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T12\"/>
    </mc:Choice>
  </mc:AlternateContent>
  <bookViews>
    <workbookView xWindow="0" yWindow="0" windowWidth="19200" windowHeight="12180" tabRatio="758"/>
  </bookViews>
  <sheets>
    <sheet name="Page 1 - Est Participants" sheetId="34" r:id="rId1"/>
    <sheet name="Page 2 - Proposed Surcharge" sheetId="39" r:id="rId2"/>
    <sheet name="Page 3 - Proposed Credit" sheetId="48" r:id="rId3"/>
    <sheet name="Table A GRC" sheetId="42" r:id="rId4"/>
    <sheet name="Blocking GRC" sheetId="43" r:id="rId5"/>
    <sheet name="UT Lifeline  rev" sheetId="44" r:id="rId6"/>
    <sheet name="Recap" sheetId="45" r:id="rId7"/>
    <sheet name="Table 2" sheetId="17" state="hidden" r:id="rId8"/>
    <sheet name="Table B (Participation)" sheetId="12" state="hidden" r:id="rId9"/>
    <sheet name="Table C (Acct Detail)" sheetId="16" state="hidden" r:id="rId10"/>
    <sheet name="Table D (Benefit Cost Ratios) " sheetId="15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0" localSheetId="4">[1]Jan!#REF!</definedName>
    <definedName name="\0" localSheetId="2">[1]Jan!#REF!</definedName>
    <definedName name="\0" localSheetId="5">[1]Jan!#REF!</definedName>
    <definedName name="\0">[1]Jan!#REF!</definedName>
    <definedName name="\A" localSheetId="4">#REF!</definedName>
    <definedName name="\A" localSheetId="2">#REF!</definedName>
    <definedName name="\A" localSheetId="7">#REF!</definedName>
    <definedName name="\A" localSheetId="3">#REF!</definedName>
    <definedName name="\A">#REF!</definedName>
    <definedName name="\B" localSheetId="4">#REF!</definedName>
    <definedName name="\B" localSheetId="2">#REF!</definedName>
    <definedName name="\B" localSheetId="7">#REF!</definedName>
    <definedName name="\B">#REF!</definedName>
    <definedName name="\BACK1" localSheetId="4">#REF!</definedName>
    <definedName name="\BACK1" localSheetId="2">#REF!</definedName>
    <definedName name="\BACK1" localSheetId="7">#REF!</definedName>
    <definedName name="\BACK1">#REF!</definedName>
    <definedName name="\BLOCK" localSheetId="4">#REF!</definedName>
    <definedName name="\BLOCK" localSheetId="2">#REF!</definedName>
    <definedName name="\BLOCK">#REF!</definedName>
    <definedName name="\BLOCKT" localSheetId="4">#REF!</definedName>
    <definedName name="\BLOCKT" localSheetId="2">#REF!</definedName>
    <definedName name="\BLOCKT">#REF!</definedName>
    <definedName name="\C" localSheetId="4">#REF!</definedName>
    <definedName name="\C" localSheetId="2">#REF!</definedName>
    <definedName name="\C" localSheetId="7">#REF!</definedName>
    <definedName name="\C">#REF!</definedName>
    <definedName name="\COMP" localSheetId="4">#REF!</definedName>
    <definedName name="\COMP" localSheetId="2">#REF!</definedName>
    <definedName name="\COMP" localSheetId="7">#REF!</definedName>
    <definedName name="\COMP">#REF!</definedName>
    <definedName name="\COMPT" localSheetId="4">#REF!</definedName>
    <definedName name="\COMPT" localSheetId="2">#REF!</definedName>
    <definedName name="\COMPT" localSheetId="7">#REF!</definedName>
    <definedName name="\COMPT">#REF!</definedName>
    <definedName name="\E" localSheetId="4">#REF!</definedName>
    <definedName name="\E" localSheetId="2">#REF!</definedName>
    <definedName name="\E">#REF!</definedName>
    <definedName name="\G" localSheetId="4">#REF!</definedName>
    <definedName name="\G" localSheetId="2">#REF!</definedName>
    <definedName name="\G" localSheetId="7">#REF!</definedName>
    <definedName name="\G">#REF!</definedName>
    <definedName name="\I" localSheetId="4">#REF!</definedName>
    <definedName name="\I" localSheetId="2">#REF!</definedName>
    <definedName name="\I" localSheetId="7">#REF!</definedName>
    <definedName name="\I">#REF!</definedName>
    <definedName name="\K" localSheetId="4">#REF!</definedName>
    <definedName name="\K" localSheetId="2">#REF!</definedName>
    <definedName name="\K" localSheetId="7">#REF!</definedName>
    <definedName name="\K">#REF!</definedName>
    <definedName name="\L" localSheetId="4">#REF!</definedName>
    <definedName name="\L" localSheetId="2">#REF!</definedName>
    <definedName name="\L" localSheetId="7">#REF!</definedName>
    <definedName name="\L">#REF!</definedName>
    <definedName name="\M" localSheetId="4">#REF!</definedName>
    <definedName name="\M" localSheetId="2">#REF!</definedName>
    <definedName name="\M" localSheetId="7">#REF!</definedName>
    <definedName name="\M" localSheetId="5">[1]Jan!#REF!</definedName>
    <definedName name="\M">#REF!</definedName>
    <definedName name="\P" localSheetId="4">#REF!</definedName>
    <definedName name="\P" localSheetId="2">#REF!</definedName>
    <definedName name="\P" localSheetId="7">#REF!</definedName>
    <definedName name="\P">#REF!</definedName>
    <definedName name="\Q" localSheetId="4">[2]Actual!#REF!</definedName>
    <definedName name="\Q" localSheetId="2">[2]Actual!#REF!</definedName>
    <definedName name="\Q" localSheetId="7">[2]Actual!#REF!</definedName>
    <definedName name="\Q" localSheetId="3">[2]Actual!#REF!</definedName>
    <definedName name="\Q">[2]Actual!#REF!</definedName>
    <definedName name="\R" localSheetId="4">#REF!</definedName>
    <definedName name="\R" localSheetId="2">#REF!</definedName>
    <definedName name="\R" localSheetId="7">#REF!</definedName>
    <definedName name="\R" localSheetId="3">#REF!</definedName>
    <definedName name="\R">#REF!</definedName>
    <definedName name="\S" localSheetId="4">#REF!</definedName>
    <definedName name="\S" localSheetId="2">#REF!</definedName>
    <definedName name="\S" localSheetId="7">#REF!</definedName>
    <definedName name="\S">#REF!</definedName>
    <definedName name="\TABLE1" localSheetId="4">#REF!</definedName>
    <definedName name="\TABLE1" localSheetId="2">#REF!</definedName>
    <definedName name="\TABLE1" localSheetId="7">#REF!</definedName>
    <definedName name="\TABLE1">#REF!</definedName>
    <definedName name="\TABLE2" localSheetId="4">#REF!</definedName>
    <definedName name="\TABLE2" localSheetId="2">#REF!</definedName>
    <definedName name="\TABLE2" localSheetId="7">#REF!</definedName>
    <definedName name="\TABLE2">#REF!</definedName>
    <definedName name="\TABLEA" localSheetId="4">#REF!</definedName>
    <definedName name="\TABLEA" localSheetId="2">#REF!</definedName>
    <definedName name="\TABLEA" localSheetId="7">#REF!</definedName>
    <definedName name="\TABLEA">#REF!</definedName>
    <definedName name="\TBL1" localSheetId="4">#REF!</definedName>
    <definedName name="\TBL1" localSheetId="2">#REF!</definedName>
    <definedName name="\TBL1">#REF!</definedName>
    <definedName name="\TBL2" localSheetId="4">#REF!</definedName>
    <definedName name="\TBL2" localSheetId="2">#REF!</definedName>
    <definedName name="\TBL2">#REF!</definedName>
    <definedName name="\TBL3" localSheetId="4">#REF!</definedName>
    <definedName name="\TBL3" localSheetId="2">#REF!</definedName>
    <definedName name="\TBL3">#REF!</definedName>
    <definedName name="\TBL4" localSheetId="4">#REF!</definedName>
    <definedName name="\TBL4" localSheetId="2">#REF!</definedName>
    <definedName name="\TBL4">#REF!</definedName>
    <definedName name="\TBL5" localSheetId="4">#REF!</definedName>
    <definedName name="\TBL5" localSheetId="2">#REF!</definedName>
    <definedName name="\TBL5">#REF!</definedName>
    <definedName name="\W" localSheetId="4">#REF!</definedName>
    <definedName name="\W" localSheetId="2">#REF!</definedName>
    <definedName name="\W" localSheetId="7">#REF!</definedName>
    <definedName name="\W">#REF!</definedName>
    <definedName name="\WORK1" localSheetId="4">#REF!</definedName>
    <definedName name="\WORK1" localSheetId="2">#REF!</definedName>
    <definedName name="\WORK1" localSheetId="7">#REF!</definedName>
    <definedName name="\WORK1">#REF!</definedName>
    <definedName name="\X" localSheetId="4">#REF!</definedName>
    <definedName name="\X" localSheetId="2">#REF!</definedName>
    <definedName name="\X" localSheetId="7">#REF!</definedName>
    <definedName name="\X">#REF!</definedName>
    <definedName name="\Z" localSheetId="4">#REF!</definedName>
    <definedName name="\Z" localSheetId="2">#REF!</definedName>
    <definedName name="\Z" localSheetId="7">#REF!</definedName>
    <definedName name="\Z">#REF!</definedName>
    <definedName name="__123Graph_A" localSheetId="4" hidden="1">'Blocking GRC'!$C$73:$C$85</definedName>
    <definedName name="__123Graph_A" localSheetId="2" hidden="1">[3]Inputs!#REF!</definedName>
    <definedName name="__123Graph_A" localSheetId="7" hidden="1">[3]Inputs!#REF!</definedName>
    <definedName name="__123Graph_A" localSheetId="3" hidden="1">[3]Inputs!#REF!</definedName>
    <definedName name="__123Graph_A" hidden="1">[3]Inputs!#REF!</definedName>
    <definedName name="__123Graph_AGRAPH1" localSheetId="4" hidden="1">'Blocking GRC'!$C$945:$C$945</definedName>
    <definedName name="__123Graph_B" localSheetId="4" hidden="1">'Blocking GRC'!#REF!</definedName>
    <definedName name="__123Graph_B" localSheetId="2" hidden="1">[3]Inputs!#REF!</definedName>
    <definedName name="__123Graph_B" localSheetId="7" hidden="1">[3]Inputs!#REF!</definedName>
    <definedName name="__123Graph_B" localSheetId="3" hidden="1">[3]Inputs!#REF!</definedName>
    <definedName name="__123Graph_B" hidden="1">[3]Inputs!#REF!</definedName>
    <definedName name="__123Graph_C" localSheetId="4" hidden="1">'Blocking GRC'!#REF!</definedName>
    <definedName name="__123Graph_D" localSheetId="4" hidden="1">'Blocking GRC'!#REF!</definedName>
    <definedName name="__123Graph_D" localSheetId="2" hidden="1">[3]Inputs!#REF!</definedName>
    <definedName name="__123Graph_D" localSheetId="7" hidden="1">[3]Inputs!#REF!</definedName>
    <definedName name="__123Graph_D" hidden="1">[3]Inputs!#REF!</definedName>
    <definedName name="__123Graph_E" localSheetId="4" hidden="1">'Blocking GRC'!#REF!</definedName>
    <definedName name="__123Graph_F" localSheetId="4" hidden="1">'Blocking GRC'!$G$73:$G$85</definedName>
    <definedName name="__MEN3" localSheetId="4">[1]Jan!#REF!</definedName>
    <definedName name="__MEN3" localSheetId="2">[1]Jan!#REF!</definedName>
    <definedName name="__MEN3">[1]Jan!#REF!</definedName>
    <definedName name="__TOP1" localSheetId="4">[1]Jan!#REF!</definedName>
    <definedName name="__TOP1" localSheetId="2">[1]Jan!#REF!</definedName>
    <definedName name="__TOP1">[1]Jan!#REF!</definedName>
    <definedName name="_1Price_Ta" localSheetId="4">#REF!</definedName>
    <definedName name="_1Price_Ta" localSheetId="2">#REF!</definedName>
    <definedName name="_1Price_Ta" localSheetId="3">#REF!</definedName>
    <definedName name="_1Price_Ta">#REF!</definedName>
    <definedName name="_3Price_Ta" localSheetId="4">#REF!</definedName>
    <definedName name="_3Price_Ta" localSheetId="2">#REF!</definedName>
    <definedName name="_3Price_Ta">#REF!</definedName>
    <definedName name="_5Price_Ta" localSheetId="4">#REF!</definedName>
    <definedName name="_5Price_Ta" localSheetId="2">#REF!</definedName>
    <definedName name="_5Price_Ta">#REF!</definedName>
    <definedName name="_B" localSheetId="4">#REF!</definedName>
    <definedName name="_B" localSheetId="2">#REF!</definedName>
    <definedName name="_B" localSheetId="7">#REF!</definedName>
    <definedName name="_B" localSheetId="3">#REF!</definedName>
    <definedName name="_B">#REF!</definedName>
    <definedName name="_BLOCK" localSheetId="4">#REF!</definedName>
    <definedName name="_BLOCK" localSheetId="2">#REF!</definedName>
    <definedName name="_BLOCK">#REF!</definedName>
    <definedName name="_BLOCKT" localSheetId="4">#REF!</definedName>
    <definedName name="_BLOCKT" localSheetId="2">#REF!</definedName>
    <definedName name="_BLOCKT">#REF!</definedName>
    <definedName name="_COMP" localSheetId="4">#REF!</definedName>
    <definedName name="_COMP" localSheetId="2">#REF!</definedName>
    <definedName name="_COMP">#REF!</definedName>
    <definedName name="_COMPR" localSheetId="4">#REF!</definedName>
    <definedName name="_COMPR" localSheetId="2">#REF!</definedName>
    <definedName name="_COMPR">#REF!</definedName>
    <definedName name="_COMPT" localSheetId="4">#REF!</definedName>
    <definedName name="_COMPT" localSheetId="2">#REF!</definedName>
    <definedName name="_COMPT">#REF!</definedName>
    <definedName name="_Dist_Values" localSheetId="4" hidden="1">'Blocking GRC'!#REF!</definedName>
    <definedName name="_Fill" localSheetId="4" hidden="1">'Blocking GRC'!#REF!</definedName>
    <definedName name="_Fill" localSheetId="2" hidden="1">#REF!</definedName>
    <definedName name="_Fill" localSheetId="7" hidden="1">#REF!</definedName>
    <definedName name="_Fill" localSheetId="3" hidden="1">#REF!</definedName>
    <definedName name="_Fill" hidden="1">#REF!</definedName>
    <definedName name="_xlnm._FilterDatabase" localSheetId="4" hidden="1">'Blocking GRC'!$K$1:$K$1183</definedName>
    <definedName name="_xlnm._FilterDatabase" localSheetId="7" hidden="1">'Table 2'!$A$13:$S$785</definedName>
    <definedName name="_Key1" localSheetId="4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3" hidden="1">#REF!</definedName>
    <definedName name="_Key2" hidden="1">#REF!</definedName>
    <definedName name="_MEN2" localSheetId="4">[1]Jan!#REF!</definedName>
    <definedName name="_MEN2" localSheetId="2">[1]Jan!#REF!</definedName>
    <definedName name="_MEN2" localSheetId="3">[1]Jan!#REF!</definedName>
    <definedName name="_MEN2" localSheetId="5">[1]Jan!#REF!</definedName>
    <definedName name="_MEN2">[1]Jan!#REF!</definedName>
    <definedName name="_MEN3" localSheetId="4">[1]Jan!#REF!</definedName>
    <definedName name="_MEN3" localSheetId="2">[1]Jan!#REF!</definedName>
    <definedName name="_MEN3" localSheetId="3">[1]Jan!#REF!</definedName>
    <definedName name="_MEN3" localSheetId="5">[1]Jan!#REF!</definedName>
    <definedName name="_MEN3">[1]Jan!#REF!</definedName>
    <definedName name="_Order1" localSheetId="4" hidden="1">255</definedName>
    <definedName name="_Order1" localSheetId="3" hidden="1">255</definedName>
    <definedName name="_Order1" hidden="1">0</definedName>
    <definedName name="_Order2" localSheetId="4" hidden="1">255</definedName>
    <definedName name="_Order2" localSheetId="3" hidden="1">255</definedName>
    <definedName name="_Order2" hidden="1">0</definedName>
    <definedName name="_P" localSheetId="4">#REF!</definedName>
    <definedName name="_P" localSheetId="2">#REF!</definedName>
    <definedName name="_P" localSheetId="7">#REF!</definedName>
    <definedName name="_P" localSheetId="3">#REF!</definedName>
    <definedName name="_P">#REF!</definedName>
    <definedName name="_Regression_Out" localSheetId="4" hidden="1">#REF!</definedName>
    <definedName name="_Regression_Out" localSheetId="2" hidden="1">#REF!</definedName>
    <definedName name="_Regression_Out" hidden="1">#REF!</definedName>
    <definedName name="_Regression_X" localSheetId="4" hidden="1">#REF!</definedName>
    <definedName name="_Regression_X" localSheetId="2" hidden="1">#REF!</definedName>
    <definedName name="_Regression_X" hidden="1">#REF!</definedName>
    <definedName name="_Regression_Y" localSheetId="4" hidden="1">#REF!</definedName>
    <definedName name="_Regression_Y" localSheetId="2" hidden="1">#REF!</definedName>
    <definedName name="_Regression_Y" hidden="1">#REF!</definedName>
    <definedName name="_Sort" localSheetId="4" hidden="1">#REF!</definedName>
    <definedName name="_Sort" localSheetId="2" hidden="1">#REF!</definedName>
    <definedName name="_Sort" localSheetId="3" hidden="1">#REF!</definedName>
    <definedName name="_Sort" hidden="1">#REF!</definedName>
    <definedName name="_SPL" localSheetId="4">#REF!</definedName>
    <definedName name="_SPL" localSheetId="2">#REF!</definedName>
    <definedName name="_SPL">#REF!</definedName>
    <definedName name="_TOP1" localSheetId="4">[1]Jan!#REF!</definedName>
    <definedName name="_TOP1" localSheetId="2">[1]Jan!#REF!</definedName>
    <definedName name="_TOP1" localSheetId="3">[1]Jan!#REF!</definedName>
    <definedName name="_TOP1" localSheetId="5">[1]Jan!#REF!</definedName>
    <definedName name="_TOP1">[1]Jan!#REF!</definedName>
    <definedName name="a" localSheetId="4" hidden="1">#REF!</definedName>
    <definedName name="a" localSheetId="7" hidden="1">'[3]DSM Output'!$J$21:$J$23</definedName>
    <definedName name="a" localSheetId="3" hidden="1">#REF!</definedName>
    <definedName name="a">'[3]DSM Output'!$J$21:$J$23</definedName>
    <definedName name="A_36" localSheetId="4">#REF!</definedName>
    <definedName name="A_36" localSheetId="2">#REF!</definedName>
    <definedName name="A_36" localSheetId="3">#REF!</definedName>
    <definedName name="A_36">#REF!</definedName>
    <definedName name="ABSTRACT" localSheetId="4">#REF!</definedName>
    <definedName name="ABSTRACT" localSheetId="2">#REF!</definedName>
    <definedName name="ABSTRACT">#REF!</definedName>
    <definedName name="Acct108D_S">[4]FuncStudy!$F$2067</definedName>
    <definedName name="Acct108D00S">[4]FuncStudy!$F$2059</definedName>
    <definedName name="Acct108DSS">[4]FuncStudy!$F$2063</definedName>
    <definedName name="Acct228.42TROJD" localSheetId="4">'[5]Func Study'!#REF!</definedName>
    <definedName name="Acct228.42TROJD" localSheetId="2">'[5]Func Study'!#REF!</definedName>
    <definedName name="Acct228.42TROJD" localSheetId="3">'[5]Func Study'!#REF!</definedName>
    <definedName name="Acct228.42TROJD">'[5]Func Study'!#REF!</definedName>
    <definedName name="ACCT2281">[4]FuncStudy!$F$1848</definedName>
    <definedName name="Acct2282">[4]FuncStudy!$F$1852</definedName>
    <definedName name="Acct2283">[4]FuncStudy!$F$1857</definedName>
    <definedName name="Acct2283S">[4]FuncStudy!$F$1861</definedName>
    <definedName name="Acct22842">[4]FuncStudy!$F$1870</definedName>
    <definedName name="Acct22842TROJD" localSheetId="4">'[5]Func Study'!#REF!</definedName>
    <definedName name="Acct22842TROJD" localSheetId="2">'[5]Func Study'!#REF!</definedName>
    <definedName name="Acct22842TROJD" localSheetId="3">'[5]Func Study'!#REF!</definedName>
    <definedName name="Acct22842TROJD">'[5]Func Study'!#REF!</definedName>
    <definedName name="Acct228SO">[4]FuncStudy!$F$1851</definedName>
    <definedName name="ACCT25398">[4]FuncStudy!$F$1882</definedName>
    <definedName name="Acct25399">[4]FuncStudy!$F$1889</definedName>
    <definedName name="Acct254">[4]FuncStudy!$F$1866</definedName>
    <definedName name="Acct282DITBAL">[4]FuncStudy!$F$1914</definedName>
    <definedName name="Acct350">[4]FuncStudy!$F$1324</definedName>
    <definedName name="Acct352">[4]FuncStudy!$F$1331</definedName>
    <definedName name="Acct353">[4]FuncStudy!$F$1337</definedName>
    <definedName name="Acct354">[4]FuncStudy!$F$1343</definedName>
    <definedName name="Acct355">[4]FuncStudy!$F$1349</definedName>
    <definedName name="Acct356">[4]FuncStudy!$F$1355</definedName>
    <definedName name="Acct357">[4]FuncStudy!$F$1361</definedName>
    <definedName name="Acct358">[4]FuncStudy!$F$1367</definedName>
    <definedName name="Acct359">[4]FuncStudy!$F$1373</definedName>
    <definedName name="Acct360">[4]FuncStudy!$F$1389</definedName>
    <definedName name="Acct361">[4]FuncStudy!$F$1395</definedName>
    <definedName name="Acct362">[4]FuncStudy!$F$1401</definedName>
    <definedName name="Acct364">[4]FuncStudy!$F$1408</definedName>
    <definedName name="Acct365">[4]FuncStudy!$F$1415</definedName>
    <definedName name="Acct366">[4]FuncStudy!$F$1422</definedName>
    <definedName name="Acct367">[4]FuncStudy!$F$1429</definedName>
    <definedName name="Acct368">[4]FuncStudy!$F$1435</definedName>
    <definedName name="Acct369">[4]FuncStudy!$F$1442</definedName>
    <definedName name="Acct370">[4]FuncStudy!$F$1448</definedName>
    <definedName name="Acct371">[4]FuncStudy!$F$1455</definedName>
    <definedName name="Acct372">[4]FuncStudy!$F$1462</definedName>
    <definedName name="Acct372A">[4]FuncStudy!$F$1461</definedName>
    <definedName name="Acct372DP">[4]FuncStudy!$F$1459</definedName>
    <definedName name="Acct372DS">[4]FuncStudy!$F$1460</definedName>
    <definedName name="Acct373">[4]FuncStudy!$F$1468</definedName>
    <definedName name="Acct444S">[4]FuncStudy!$F$105</definedName>
    <definedName name="Acct447DGU" localSheetId="4">'[5]Func Study'!#REF!</definedName>
    <definedName name="Acct447DGU" localSheetId="2">'[5]Func Study'!#REF!</definedName>
    <definedName name="Acct447DGU">'[5]Func Study'!#REF!</definedName>
    <definedName name="Acct448S">[4]FuncStudy!$F$114</definedName>
    <definedName name="Acct450S">[4]FuncStudy!$F$139</definedName>
    <definedName name="Acct451S">[4]FuncStudy!$F$144</definedName>
    <definedName name="Acct454S">[4]FuncStudy!$F$154</definedName>
    <definedName name="Acct456S">[4]FuncStudy!$F$160</definedName>
    <definedName name="Acct580">[4]FuncStudy!$F$537</definedName>
    <definedName name="Acct581">[4]FuncStudy!$F$542</definedName>
    <definedName name="Acct582">[4]FuncStudy!$F$547</definedName>
    <definedName name="Acct583">[4]FuncStudy!$F$552</definedName>
    <definedName name="Acct584">[4]FuncStudy!$F$557</definedName>
    <definedName name="Acct585">[4]FuncStudy!$F$562</definedName>
    <definedName name="Acct586">[4]FuncStudy!$F$567</definedName>
    <definedName name="Acct587">[4]FuncStudy!$F$572</definedName>
    <definedName name="Acct588">[4]FuncStudy!$F$577</definedName>
    <definedName name="Acct589">[4]FuncStudy!$F$582</definedName>
    <definedName name="Acct590">[4]FuncStudy!$F$587</definedName>
    <definedName name="Acct591">[4]FuncStudy!$F$592</definedName>
    <definedName name="Acct592">[4]FuncStudy!$F$597</definedName>
    <definedName name="Acct593">[4]FuncStudy!$F$602</definedName>
    <definedName name="Acct594">[4]FuncStudy!$F$607</definedName>
    <definedName name="Acct595">[4]FuncStudy!$F$612</definedName>
    <definedName name="Acct596">[4]FuncStudy!$F$617</definedName>
    <definedName name="Acct597">[4]FuncStudy!$F$622</definedName>
    <definedName name="Acct598">[4]FuncStudy!$F$627</definedName>
    <definedName name="Acct928RE">[4]FuncStudy!$F$750</definedName>
    <definedName name="AcctAGA">[4]FuncStudy!$F$133</definedName>
    <definedName name="AcctTable">[6]Variables!$AK$42:$AK$396</definedName>
    <definedName name="AcctTS0">[4]FuncStudy!$F$1381</definedName>
    <definedName name="ActualROE">[7]FuncStudy!$E$61</definedName>
    <definedName name="actualror">[8]WorkArea!$F$86</definedName>
    <definedName name="Adjs2avg">[9]Inputs!$L$255:'[9]Inputs'!$T$505</definedName>
    <definedName name="ALL" localSheetId="4">#REF!</definedName>
    <definedName name="ALL" localSheetId="2">#REF!</definedName>
    <definedName name="ALL" localSheetId="3">#REF!</definedName>
    <definedName name="ALL">#REF!</definedName>
    <definedName name="all_months" localSheetId="4">#REF!</definedName>
    <definedName name="all_months" localSheetId="2">#REF!</definedName>
    <definedName name="all_months" localSheetId="3">#REF!</definedName>
    <definedName name="all_months">#REF!</definedName>
    <definedName name="APR" localSheetId="4">#REF!</definedName>
    <definedName name="APR" localSheetId="2">#REF!</definedName>
    <definedName name="APR" localSheetId="7">#REF!</definedName>
    <definedName name="APR" localSheetId="5">[1]Jan!#REF!</definedName>
    <definedName name="APR">#REF!</definedName>
    <definedName name="APRT" localSheetId="4">#REF!</definedName>
    <definedName name="APRT" localSheetId="2">#REF!</definedName>
    <definedName name="APRT" localSheetId="7">#REF!</definedName>
    <definedName name="APRT">#REF!</definedName>
    <definedName name="AT_48" localSheetId="4">#REF!</definedName>
    <definedName name="AT_48" localSheetId="2">#REF!</definedName>
    <definedName name="AT_48">#REF!</definedName>
    <definedName name="AUG" localSheetId="4">#REF!</definedName>
    <definedName name="AUG" localSheetId="2">#REF!</definedName>
    <definedName name="AUG" localSheetId="7">#REF!</definedName>
    <definedName name="AUG" localSheetId="5">[1]Jan!#REF!</definedName>
    <definedName name="AUG">#REF!</definedName>
    <definedName name="AUGT" localSheetId="4">#REF!</definedName>
    <definedName name="AUGT" localSheetId="2">#REF!</definedName>
    <definedName name="AUGT" localSheetId="7">#REF!</definedName>
    <definedName name="AUGT">#REF!</definedName>
    <definedName name="AvgFactors">[6]Factors!$B$3:$P$99</definedName>
    <definedName name="BACK1" localSheetId="4">#REF!</definedName>
    <definedName name="BACK1" localSheetId="2">#REF!</definedName>
    <definedName name="BACK1" localSheetId="7">#REF!</definedName>
    <definedName name="BACK1" localSheetId="3">#REF!</definedName>
    <definedName name="BACK1">#REF!</definedName>
    <definedName name="BACK2" localSheetId="4">#REF!</definedName>
    <definedName name="BACK2" localSheetId="2">#REF!</definedName>
    <definedName name="BACK2" localSheetId="7">#REF!</definedName>
    <definedName name="BACK2">#REF!</definedName>
    <definedName name="BACK3" localSheetId="4">#REF!</definedName>
    <definedName name="BACK3" localSheetId="2">#REF!</definedName>
    <definedName name="BACK3" localSheetId="7">#REF!</definedName>
    <definedName name="BACK3">#REF!</definedName>
    <definedName name="BACKUP1" localSheetId="4">#REF!</definedName>
    <definedName name="BACKUP1" localSheetId="2">#REF!</definedName>
    <definedName name="BACKUP1" localSheetId="7">#REF!</definedName>
    <definedName name="BACKUP1">#REF!</definedName>
    <definedName name="Baseline" localSheetId="4">#REF!</definedName>
    <definedName name="Baseline" localSheetId="2">#REF!</definedName>
    <definedName name="Baseline">#REF!</definedName>
    <definedName name="BLOCK" localSheetId="4">#REF!</definedName>
    <definedName name="BLOCK" localSheetId="2">#REF!</definedName>
    <definedName name="BLOCK">#REF!</definedName>
    <definedName name="BLOCKTOP" localSheetId="4">#REF!</definedName>
    <definedName name="BLOCKTOP" localSheetId="2">#REF!</definedName>
    <definedName name="BLOCKTOP">#REF!</definedName>
    <definedName name="BOOKADJ" localSheetId="4">#REF!</definedName>
    <definedName name="BOOKADJ" localSheetId="2">#REF!</definedName>
    <definedName name="BOOKADJ" localSheetId="7">#REF!</definedName>
    <definedName name="BOOKADJ">#REF!</definedName>
    <definedName name="cap" localSheetId="7">[10]Readings!$B$2</definedName>
    <definedName name="cap">[10]Readings!$B$2</definedName>
    <definedName name="Capacity" localSheetId="4">#REF!</definedName>
    <definedName name="Capacity" localSheetId="2">#REF!</definedName>
    <definedName name="Capacity">#REF!</definedName>
    <definedName name="Check" localSheetId="4">#REF!</definedName>
    <definedName name="Check" localSheetId="2">#REF!</definedName>
    <definedName name="Check" localSheetId="3">#REF!</definedName>
    <definedName name="Check">#REF!</definedName>
    <definedName name="Classification">[4]FuncStudy!$Y$91</definedName>
    <definedName name="COMADJ" localSheetId="4">#REF!</definedName>
    <definedName name="COMADJ" localSheetId="2">#REF!</definedName>
    <definedName name="COMADJ" localSheetId="7">#REF!</definedName>
    <definedName name="COMADJ" localSheetId="3">#REF!</definedName>
    <definedName name="COMADJ">#REF!</definedName>
    <definedName name="Comn">[7]Inputs!$K$21</definedName>
    <definedName name="COMP" localSheetId="4">#REF!</definedName>
    <definedName name="COMP" localSheetId="2">#REF!</definedName>
    <definedName name="COMP" localSheetId="7">#REF!</definedName>
    <definedName name="COMP">#REF!</definedName>
    <definedName name="COMPACTUAL" localSheetId="4">#REF!</definedName>
    <definedName name="COMPACTUAL" localSheetId="2">#REF!</definedName>
    <definedName name="COMPACTUAL" localSheetId="7">#REF!</definedName>
    <definedName name="COMPACTUAL">#REF!</definedName>
    <definedName name="COMPT" localSheetId="4">#REF!</definedName>
    <definedName name="COMPT" localSheetId="2">#REF!</definedName>
    <definedName name="COMPT" localSheetId="7">#REF!</definedName>
    <definedName name="COMPT">#REF!</definedName>
    <definedName name="COMPWEATHER" localSheetId="4">#REF!</definedName>
    <definedName name="COMPWEATHER" localSheetId="2">#REF!</definedName>
    <definedName name="COMPWEATHER" localSheetId="7">#REF!</definedName>
    <definedName name="COMPWEATHER">#REF!</definedName>
    <definedName name="copy" localSheetId="4" hidden="1">#REF!</definedName>
    <definedName name="copy" localSheetId="2" hidden="1">#REF!</definedName>
    <definedName name="copy" hidden="1">#REF!</definedName>
    <definedName name="COSFacVal">[4]Inputs!$W$11</definedName>
    <definedName name="_xlnm.Database" localSheetId="4">[11]Invoice!#REF!</definedName>
    <definedName name="_xlnm.Database" localSheetId="2">[11]Invoice!#REF!</definedName>
    <definedName name="_xlnm.Database" localSheetId="7">[11]Invoice!#REF!</definedName>
    <definedName name="_xlnm.Database" localSheetId="3">[11]Invoice!#REF!</definedName>
    <definedName name="_xlnm.Database">[11]Invoice!#REF!</definedName>
    <definedName name="DATE" localSheetId="4">[12]Jan!#REF!</definedName>
    <definedName name="DATE" localSheetId="2">[12]Jan!#REF!</definedName>
    <definedName name="DATE" localSheetId="5">[12]Jan!#REF!</definedName>
    <definedName name="DATE">[12]Jan!#REF!</definedName>
    <definedName name="Debt_">[7]Inputs!$K$19</definedName>
    <definedName name="DEC" localSheetId="4">#REF!</definedName>
    <definedName name="DEC" localSheetId="2">#REF!</definedName>
    <definedName name="DEC" localSheetId="7">#REF!</definedName>
    <definedName name="DEC" localSheetId="3">#REF!</definedName>
    <definedName name="DEC" localSheetId="5">[1]Jan!#REF!</definedName>
    <definedName name="DEC">#REF!</definedName>
    <definedName name="DECT" localSheetId="4">#REF!</definedName>
    <definedName name="DECT" localSheetId="2">#REF!</definedName>
    <definedName name="DECT" localSheetId="7">#REF!</definedName>
    <definedName name="DECT">#REF!</definedName>
    <definedName name="Demand">[5]Inputs!$D$8</definedName>
    <definedName name="Demand2">[4]Inputs!$D$10</definedName>
    <definedName name="Dis">[4]FuncStudy!$Y$90</definedName>
    <definedName name="DisFac">'[4]Func Dist Factor Table'!$A$11:$G$25</definedName>
    <definedName name="Dist_factor" localSheetId="4">#REF!</definedName>
    <definedName name="Dist_factor" localSheetId="2">#REF!</definedName>
    <definedName name="Dist_factor" localSheetId="7">#REF!</definedName>
    <definedName name="Dist_factor" localSheetId="3">#REF!</definedName>
    <definedName name="Dist_factor">#REF!</definedName>
    <definedName name="dsd" localSheetId="4" hidden="1">[3]Inputs!#REF!</definedName>
    <definedName name="dsd" localSheetId="2" hidden="1">[3]Inputs!#REF!</definedName>
    <definedName name="dsd" hidden="1">[3]Inputs!#REF!</definedName>
    <definedName name="DUDE" localSheetId="4" hidden="1">#REF!</definedName>
    <definedName name="DUDE" localSheetId="2" hidden="1">#REF!</definedName>
    <definedName name="DUDE" localSheetId="7" hidden="1">#REF!</definedName>
    <definedName name="DUDE" hidden="1">#REF!</definedName>
    <definedName name="energy" localSheetId="7">[10]Readings!$B$3</definedName>
    <definedName name="energy">[10]Readings!$B$3</definedName>
    <definedName name="Engy">[5]Inputs!$D$9</definedName>
    <definedName name="f101top" localSheetId="4">#REF!</definedName>
    <definedName name="f101top" localSheetId="2">#REF!</definedName>
    <definedName name="f101top" localSheetId="7">#REF!</definedName>
    <definedName name="f101top" localSheetId="3">#REF!</definedName>
    <definedName name="f101top">#REF!</definedName>
    <definedName name="f104top" localSheetId="4">#REF!</definedName>
    <definedName name="f104top" localSheetId="2">#REF!</definedName>
    <definedName name="f104top" localSheetId="7">#REF!</definedName>
    <definedName name="f104top">#REF!</definedName>
    <definedName name="f138top" localSheetId="4">#REF!</definedName>
    <definedName name="f138top" localSheetId="2">#REF!</definedName>
    <definedName name="f138top" localSheetId="7">#REF!</definedName>
    <definedName name="f138top">#REF!</definedName>
    <definedName name="f140top" localSheetId="4">#REF!</definedName>
    <definedName name="f140top" localSheetId="2">#REF!</definedName>
    <definedName name="f140top" localSheetId="7">#REF!</definedName>
    <definedName name="f140top">#REF!</definedName>
    <definedName name="Factorck">'[4]COS Factor Table'!$Q$15:$Q$136</definedName>
    <definedName name="FactorType">[6]Variables!$AK$2:$AL$12</definedName>
    <definedName name="FACTP" localSheetId="4">#REF!</definedName>
    <definedName name="FACTP" localSheetId="2">#REF!</definedName>
    <definedName name="FACTP" localSheetId="7">#REF!</definedName>
    <definedName name="FACTP" localSheetId="3">#REF!</definedName>
    <definedName name="FACTP">#REF!</definedName>
    <definedName name="FactSum">'[4]COS Factor Table'!$A$14:$Q$137</definedName>
    <definedName name="FEB" localSheetId="4">#REF!</definedName>
    <definedName name="FEB" localSheetId="2">#REF!</definedName>
    <definedName name="FEB" localSheetId="7">#REF!</definedName>
    <definedName name="FEB" localSheetId="5">[1]Jan!#REF!</definedName>
    <definedName name="FEB">#REF!</definedName>
    <definedName name="FEBT" localSheetId="4">#REF!</definedName>
    <definedName name="FEBT" localSheetId="2">#REF!</definedName>
    <definedName name="FEBT" localSheetId="7">#REF!</definedName>
    <definedName name="FEBT">#REF!</definedName>
    <definedName name="FIX" localSheetId="4">#REF!</definedName>
    <definedName name="FIX" localSheetId="2">#REF!</definedName>
    <definedName name="FIX">#REF!</definedName>
    <definedName name="FranchiseTax">[9]Variables!$D$26</definedName>
    <definedName name="Func">'[4]Func Factor Table'!$A$10:$H$76</definedName>
    <definedName name="Func_Ftrs" localSheetId="4">#REF!</definedName>
    <definedName name="Func_Ftrs" localSheetId="2">#REF!</definedName>
    <definedName name="Func_Ftrs" localSheetId="3">#REF!</definedName>
    <definedName name="Func_Ftrs">#REF!</definedName>
    <definedName name="Func_GTD_Percents" localSheetId="4">#REF!</definedName>
    <definedName name="Func_GTD_Percents" localSheetId="2">#REF!</definedName>
    <definedName name="Func_GTD_Percents" localSheetId="3">#REF!</definedName>
    <definedName name="Func_GTD_Percents">#REF!</definedName>
    <definedName name="Func_MC" localSheetId="4">#REF!</definedName>
    <definedName name="Func_MC" localSheetId="2">#REF!</definedName>
    <definedName name="Func_MC" localSheetId="3">#REF!</definedName>
    <definedName name="Func_MC">#REF!</definedName>
    <definedName name="Func_Percents" localSheetId="4">#REF!</definedName>
    <definedName name="Func_Percents" localSheetId="2">#REF!</definedName>
    <definedName name="Func_Percents">#REF!</definedName>
    <definedName name="Func_Rev_Req1" localSheetId="4">#REF!</definedName>
    <definedName name="Func_Rev_Req1" localSheetId="2">#REF!</definedName>
    <definedName name="Func_Rev_Req1">#REF!</definedName>
    <definedName name="Func_Rev_Req2" localSheetId="4">#REF!</definedName>
    <definedName name="Func_Rev_Req2" localSheetId="2">#REF!</definedName>
    <definedName name="Func_Rev_Req2">#REF!</definedName>
    <definedName name="Func_Revenue" localSheetId="4">#REF!</definedName>
    <definedName name="Func_Revenue" localSheetId="2">#REF!</definedName>
    <definedName name="Func_Revenue">#REF!</definedName>
    <definedName name="Function">[4]FuncStudy!$Y$90</definedName>
    <definedName name="GREATER10MW" localSheetId="4">#REF!</definedName>
    <definedName name="GREATER10MW" localSheetId="2">#REF!</definedName>
    <definedName name="GREATER10MW" localSheetId="7">#REF!</definedName>
    <definedName name="GREATER10MW">#REF!</definedName>
    <definedName name="GTD_Percents" localSheetId="4">#REF!</definedName>
    <definedName name="GTD_Percents" localSheetId="2">#REF!</definedName>
    <definedName name="GTD_Percents">#REF!</definedName>
    <definedName name="HEIGHT" localSheetId="4">#REF!</definedName>
    <definedName name="HEIGHT" localSheetId="2">#REF!</definedName>
    <definedName name="HEIGHT">#REF!</definedName>
    <definedName name="ID_0303_RVN_data" localSheetId="4">#REF!</definedName>
    <definedName name="ID_0303_RVN_data" localSheetId="2">#REF!</definedName>
    <definedName name="ID_0303_RVN_data">#REF!</definedName>
    <definedName name="IDcontractsRVN" localSheetId="4">#REF!</definedName>
    <definedName name="IDcontractsRVN" localSheetId="2">#REF!</definedName>
    <definedName name="IDcontractsRVN">#REF!</definedName>
    <definedName name="IncomeTaxOptVal">[4]Inputs!$Y$11</definedName>
    <definedName name="INDADJ" localSheetId="4">#REF!</definedName>
    <definedName name="INDADJ" localSheetId="2">#REF!</definedName>
    <definedName name="INDADJ" localSheetId="7">#REF!</definedName>
    <definedName name="INDADJ">#REF!</definedName>
    <definedName name="INPUT" localSheetId="4">[13]Summary!#REF!</definedName>
    <definedName name="INPUT" localSheetId="2">[13]Summary!#REF!</definedName>
    <definedName name="INPUT" localSheetId="7">[13]Summary!#REF!</definedName>
    <definedName name="INPUT" localSheetId="3">[13]Summary!#REF!</definedName>
    <definedName name="INPUT">[13]Summary!#REF!</definedName>
    <definedName name="Instructions" localSheetId="4">#REF!</definedName>
    <definedName name="Instructions" localSheetId="2">#REF!</definedName>
    <definedName name="Instructions" localSheetId="7">#REF!</definedName>
    <definedName name="Instructions" localSheetId="3">#REF!</definedName>
    <definedName name="Instructions">#REF!</definedName>
    <definedName name="IRR" localSheetId="4">#REF!</definedName>
    <definedName name="IRR" localSheetId="2">#REF!</definedName>
    <definedName name="IRR" localSheetId="3">#REF!</definedName>
    <definedName name="IRR">#REF!</definedName>
    <definedName name="IRRIGATION" localSheetId="4">#REF!</definedName>
    <definedName name="IRRIGATION" localSheetId="2">#REF!</definedName>
    <definedName name="IRRIGATION">#REF!</definedName>
    <definedName name="JAN" localSheetId="4">#REF!</definedName>
    <definedName name="JAN" localSheetId="2">#REF!</definedName>
    <definedName name="JAN" localSheetId="7">#REF!</definedName>
    <definedName name="JAN" localSheetId="5">[1]Jan!#REF!</definedName>
    <definedName name="JAN">#REF!</definedName>
    <definedName name="JANT" localSheetId="4">#REF!</definedName>
    <definedName name="JANT" localSheetId="2">#REF!</definedName>
    <definedName name="JANT" localSheetId="7">#REF!</definedName>
    <definedName name="JANT">#REF!</definedName>
    <definedName name="JUL" localSheetId="4">#REF!</definedName>
    <definedName name="JUL" localSheetId="2">#REF!</definedName>
    <definedName name="JUL" localSheetId="7">#REF!</definedName>
    <definedName name="JUL" localSheetId="5">[1]Jan!#REF!</definedName>
    <definedName name="JUL">#REF!</definedName>
    <definedName name="JULT" localSheetId="4">#REF!</definedName>
    <definedName name="JULT" localSheetId="2">#REF!</definedName>
    <definedName name="JULT" localSheetId="7">#REF!</definedName>
    <definedName name="JULT">#REF!</definedName>
    <definedName name="JUN" localSheetId="4">#REF!</definedName>
    <definedName name="JUN" localSheetId="2">#REF!</definedName>
    <definedName name="JUN" localSheetId="7">#REF!</definedName>
    <definedName name="JUN" localSheetId="5">[1]Jan!#REF!</definedName>
    <definedName name="JUN">#REF!</definedName>
    <definedName name="JUNT" localSheetId="4">#REF!</definedName>
    <definedName name="JUNT" localSheetId="2">#REF!</definedName>
    <definedName name="JUNT" localSheetId="7">#REF!</definedName>
    <definedName name="JUNT">#REF!</definedName>
    <definedName name="Jurisdiction">[6]Variables!$AK$15</definedName>
    <definedName name="JurisNumber">[6]Variables!$AL$15</definedName>
    <definedName name="LABORMOD" localSheetId="4">#REF!</definedName>
    <definedName name="LABORMOD" localSheetId="2">#REF!</definedName>
    <definedName name="LABORMOD" localSheetId="3">#REF!</definedName>
    <definedName name="LABORMOD">#REF!</definedName>
    <definedName name="LABORROLL" localSheetId="4">#REF!</definedName>
    <definedName name="LABORROLL" localSheetId="2">#REF!</definedName>
    <definedName name="LABORROLL" localSheetId="3">#REF!</definedName>
    <definedName name="LABORROLL">#REF!</definedName>
    <definedName name="limcount" hidden="1">1</definedName>
    <definedName name="Line_Ext_Credit" localSheetId="4">#REF!</definedName>
    <definedName name="Line_Ext_Credit" localSheetId="2">#REF!</definedName>
    <definedName name="Line_Ext_Credit" localSheetId="3">#REF!</definedName>
    <definedName name="Line_Ext_Credit">#REF!</definedName>
    <definedName name="LinkCos">'[4]JAM Download'!$I$4</definedName>
    <definedName name="LOG" localSheetId="4">[14]Backup!#REF!</definedName>
    <definedName name="LOG" localSheetId="2">[14]Backup!#REF!</definedName>
    <definedName name="LOG" localSheetId="7">[14]Backup!#REF!</definedName>
    <definedName name="LOG" localSheetId="3">[14]Backup!#REF!</definedName>
    <definedName name="LOG">[14]Backup!#REF!</definedName>
    <definedName name="LOSS" localSheetId="4">[14]Backup!#REF!</definedName>
    <definedName name="LOSS" localSheetId="2">[14]Backup!#REF!</definedName>
    <definedName name="LOSS" localSheetId="7">[14]Backup!#REF!</definedName>
    <definedName name="LOSS" localSheetId="3">[14]Backup!#REF!</definedName>
    <definedName name="LOSS">[14]Backup!#REF!</definedName>
    <definedName name="MACTIT" localSheetId="4">#REF!</definedName>
    <definedName name="MACTIT" localSheetId="2">#REF!</definedName>
    <definedName name="MACTIT" localSheetId="7">#REF!</definedName>
    <definedName name="MACTIT" localSheetId="3">#REF!</definedName>
    <definedName name="MACTIT">#REF!</definedName>
    <definedName name="MAR" localSheetId="4">#REF!</definedName>
    <definedName name="MAR" localSheetId="2">#REF!</definedName>
    <definedName name="MAR" localSheetId="7">#REF!</definedName>
    <definedName name="MAR" localSheetId="5">[1]Jan!#REF!</definedName>
    <definedName name="MAR">#REF!</definedName>
    <definedName name="MART" localSheetId="4">#REF!</definedName>
    <definedName name="MART" localSheetId="2">#REF!</definedName>
    <definedName name="MART" localSheetId="7">#REF!</definedName>
    <definedName name="MART">#REF!</definedName>
    <definedName name="MAY" localSheetId="4">#REF!</definedName>
    <definedName name="MAY" localSheetId="2">#REF!</definedName>
    <definedName name="MAY" localSheetId="7">#REF!</definedName>
    <definedName name="MAY" localSheetId="5">[1]Jan!#REF!</definedName>
    <definedName name="MAY">#REF!</definedName>
    <definedName name="MAYT" localSheetId="4">#REF!</definedName>
    <definedName name="MAYT" localSheetId="2">#REF!</definedName>
    <definedName name="MAYT" localSheetId="7">#REF!</definedName>
    <definedName name="MAYT">#REF!</definedName>
    <definedName name="MCtoREV" localSheetId="4">#REF!</definedName>
    <definedName name="MCtoREV" localSheetId="2">#REF!</definedName>
    <definedName name="MCtoREV">#REF!</definedName>
    <definedName name="MEN" localSheetId="4">[1]Jan!#REF!</definedName>
    <definedName name="MEN" localSheetId="2">[1]Jan!#REF!</definedName>
    <definedName name="MEN" localSheetId="3">[1]Jan!#REF!</definedName>
    <definedName name="MEN" localSheetId="5">[1]Jan!#REF!</definedName>
    <definedName name="MEN">[1]Jan!#REF!</definedName>
    <definedName name="Menu_Begin" localSheetId="4">#REF!</definedName>
    <definedName name="Menu_Begin" localSheetId="2">#REF!</definedName>
    <definedName name="Menu_Begin" localSheetId="3">#REF!</definedName>
    <definedName name="Menu_Begin">#REF!</definedName>
    <definedName name="Menu_Caption" localSheetId="4">#REF!</definedName>
    <definedName name="Menu_Caption" localSheetId="2">#REF!</definedName>
    <definedName name="Menu_Caption" localSheetId="3">#REF!</definedName>
    <definedName name="Menu_Caption">#REF!</definedName>
    <definedName name="Menu_Large" localSheetId="4">[15]MacroBuilder!#REF!</definedName>
    <definedName name="Menu_Large" localSheetId="2">[15]MacroBuilder!#REF!</definedName>
    <definedName name="Menu_Large" localSheetId="3">[15]MacroBuilder!#REF!</definedName>
    <definedName name="Menu_Large">[15]MacroBuilder!#REF!</definedName>
    <definedName name="Menu_Name" localSheetId="4">#REF!</definedName>
    <definedName name="Menu_Name" localSheetId="2">#REF!</definedName>
    <definedName name="Menu_Name" localSheetId="3">#REF!</definedName>
    <definedName name="Menu_Name">#REF!</definedName>
    <definedName name="Menu_OnAction" localSheetId="4">#REF!</definedName>
    <definedName name="Menu_OnAction" localSheetId="2">#REF!</definedName>
    <definedName name="Menu_OnAction" localSheetId="3">#REF!</definedName>
    <definedName name="Menu_OnAction">#REF!</definedName>
    <definedName name="Menu_Parent" localSheetId="4">#REF!</definedName>
    <definedName name="Menu_Parent" localSheetId="2">#REF!</definedName>
    <definedName name="Menu_Parent" localSheetId="3">#REF!</definedName>
    <definedName name="Menu_Parent">#REF!</definedName>
    <definedName name="Menu_Small" localSheetId="4">[15]MacroBuilder!#REF!</definedName>
    <definedName name="Menu_Small" localSheetId="2">[15]MacroBuilder!#REF!</definedName>
    <definedName name="Menu_Small" localSheetId="3">[15]MacroBuilder!#REF!</definedName>
    <definedName name="Menu_Small">[15]MacroBuilder!#REF!</definedName>
    <definedName name="Method">[5]Inputs!$C$6</definedName>
    <definedName name="MONTH" localSheetId="4">[14]Backup!#REF!</definedName>
    <definedName name="MONTH" localSheetId="2">[14]Backup!#REF!</definedName>
    <definedName name="MONTH" localSheetId="7">[14]Backup!#REF!</definedName>
    <definedName name="MONTH" localSheetId="3">[14]Backup!#REF!</definedName>
    <definedName name="MONTH">[14]Backup!#REF!</definedName>
    <definedName name="monthlist" localSheetId="7">[16]Table!$R$2:$S$13</definedName>
    <definedName name="monthlist">[16]Table!$R$2:$S$13</definedName>
    <definedName name="monthtotals" localSheetId="7">'[16]WA SBC'!$D$40:$O$40</definedName>
    <definedName name="monthtotals">'[16]WA SBC'!$D$40:$O$40</definedName>
    <definedName name="MSPAverageInput" localSheetId="4">[17]Inputs!#REF!</definedName>
    <definedName name="MSPAverageInput" localSheetId="2">[17]Inputs!#REF!</definedName>
    <definedName name="MSPAverageInput" localSheetId="3">[17]Inputs!#REF!</definedName>
    <definedName name="MSPAverageInput">[17]Inputs!#REF!</definedName>
    <definedName name="MSPYearEndInput" localSheetId="4">[17]Inputs!#REF!</definedName>
    <definedName name="MSPYearEndInput" localSheetId="2">[17]Inputs!#REF!</definedName>
    <definedName name="MSPYearEndInput" localSheetId="3">[17]Inputs!#REF!</definedName>
    <definedName name="MSPYearEndInput">[17]Inputs!#REF!</definedName>
    <definedName name="MTKWH" localSheetId="4">#REF!</definedName>
    <definedName name="MTKWH" localSheetId="2">#REF!</definedName>
    <definedName name="MTKWH" localSheetId="7">#REF!</definedName>
    <definedName name="MTKWH" localSheetId="3">#REF!</definedName>
    <definedName name="MTKWH">#REF!</definedName>
    <definedName name="MTR_YR3">[18]Variables!$E$14</definedName>
    <definedName name="MTREV" localSheetId="4">#REF!</definedName>
    <definedName name="MTREV" localSheetId="2">#REF!</definedName>
    <definedName name="MTREV" localSheetId="7">#REF!</definedName>
    <definedName name="MTREV" localSheetId="3">#REF!</definedName>
    <definedName name="MTREV">#REF!</definedName>
    <definedName name="MULT" localSheetId="4">#REF!</definedName>
    <definedName name="MULT" localSheetId="2">#REF!</definedName>
    <definedName name="MULT" localSheetId="3">#REF!</definedName>
    <definedName name="MULT">#REF!</definedName>
    <definedName name="NetLagDays">[4]Inputs!$H$23</definedName>
    <definedName name="NetToGross">[9]Variables!$D$23</definedName>
    <definedName name="NEWMO1" localSheetId="4">[1]Jan!#REF!</definedName>
    <definedName name="NEWMO1" localSheetId="2">[1]Jan!#REF!</definedName>
    <definedName name="NEWMO1" localSheetId="3">[1]Jan!#REF!</definedName>
    <definedName name="NEWMO1" localSheetId="5">[1]Jan!#REF!</definedName>
    <definedName name="NEWMO1">[1]Jan!#REF!</definedName>
    <definedName name="NEWMO2" localSheetId="4">[1]Jan!#REF!</definedName>
    <definedName name="NEWMO2" localSheetId="2">[1]Jan!#REF!</definedName>
    <definedName name="NEWMO2" localSheetId="3">[1]Jan!#REF!</definedName>
    <definedName name="NEWMO2" localSheetId="5">[1]Jan!#REF!</definedName>
    <definedName name="NEWMO2">[1]Jan!#REF!</definedName>
    <definedName name="NEWMONTH" localSheetId="4">[1]Jan!#REF!</definedName>
    <definedName name="NEWMONTH" localSheetId="2">[1]Jan!#REF!</definedName>
    <definedName name="NEWMONTH" localSheetId="3">[1]Jan!#REF!</definedName>
    <definedName name="NEWMONTH" localSheetId="5">[1]Jan!#REF!</definedName>
    <definedName name="NEWMONTH">[1]Jan!#REF!</definedName>
    <definedName name="NONRES" localSheetId="4">#REF!</definedName>
    <definedName name="NONRES" localSheetId="2">#REF!</definedName>
    <definedName name="NONRES" localSheetId="3">#REF!</definedName>
    <definedName name="NONRES">#REF!</definedName>
    <definedName name="NORMALIZE" localSheetId="4">#REF!</definedName>
    <definedName name="NORMALIZE" localSheetId="2">#REF!</definedName>
    <definedName name="NORMALIZE" localSheetId="3">#REF!</definedName>
    <definedName name="NORMALIZE">#REF!</definedName>
    <definedName name="NOV" localSheetId="4">#REF!</definedName>
    <definedName name="NOV" localSheetId="2">#REF!</definedName>
    <definedName name="NOV" localSheetId="7">#REF!</definedName>
    <definedName name="NOV" localSheetId="5">[1]Jan!#REF!</definedName>
    <definedName name="NOV">#REF!</definedName>
    <definedName name="NOVT" localSheetId="4">#REF!</definedName>
    <definedName name="NOVT" localSheetId="2">#REF!</definedName>
    <definedName name="NOVT" localSheetId="7">#REF!</definedName>
    <definedName name="NOVT">#REF!</definedName>
    <definedName name="NUM" localSheetId="4">#REF!</definedName>
    <definedName name="NUM" localSheetId="2">#REF!</definedName>
    <definedName name="NUM" localSheetId="7">#REF!</definedName>
    <definedName name="NUM">#REF!</definedName>
    <definedName name="OCT" localSheetId="4">#REF!</definedName>
    <definedName name="OCT" localSheetId="2">#REF!</definedName>
    <definedName name="OCT" localSheetId="7">#REF!</definedName>
    <definedName name="OCT" localSheetId="5">[1]Jan!#REF!</definedName>
    <definedName name="OCT">#REF!</definedName>
    <definedName name="OCTT" localSheetId="4">#REF!</definedName>
    <definedName name="OCTT" localSheetId="2">#REF!</definedName>
    <definedName name="OCTT" localSheetId="7">#REF!</definedName>
    <definedName name="OCTT">#REF!</definedName>
    <definedName name="OH">[4]Inputs!$D$24</definedName>
    <definedName name="ONE" localSheetId="4">[1]Jan!#REF!</definedName>
    <definedName name="ONE" localSheetId="2">[1]Jan!#REF!</definedName>
    <definedName name="ONE" localSheetId="3">[1]Jan!#REF!</definedName>
    <definedName name="ONE" localSheetId="5">[1]Jan!#REF!</definedName>
    <definedName name="ONE">[1]Jan!#REF!</definedName>
    <definedName name="option">'[8]Dist Misc'!$F$120</definedName>
    <definedName name="OR_305_12mo_endg_200203" localSheetId="4">#REF!</definedName>
    <definedName name="OR_305_12mo_endg_200203" localSheetId="2">#REF!</definedName>
    <definedName name="OR_305_12mo_endg_200203" localSheetId="3">#REF!</definedName>
    <definedName name="OR_305_12mo_endg_200203">#REF!</definedName>
    <definedName name="P" localSheetId="4">#REF!</definedName>
    <definedName name="P" localSheetId="2">#REF!</definedName>
    <definedName name="P">#REF!</definedName>
    <definedName name="page1" localSheetId="4">[13]Summary!#REF!</definedName>
    <definedName name="page1" localSheetId="2">[13]Summary!#REF!</definedName>
    <definedName name="page1" localSheetId="7">[13]Summary!#REF!</definedName>
    <definedName name="page1" localSheetId="3">[13]Summary!#REF!</definedName>
    <definedName name="page1">[13]Summary!#REF!</definedName>
    <definedName name="Page2" localSheetId="4">'[19]Summary Table - Earned'!#REF!</definedName>
    <definedName name="Page2" localSheetId="2">'[19]Summary Table - Earned'!#REF!</definedName>
    <definedName name="Page2" localSheetId="7">'[19]Summary Table - Earned'!#REF!</definedName>
    <definedName name="Page2">'[19]Summary Table - Earned'!#REF!</definedName>
    <definedName name="PAGE3" localSheetId="4">#REF!</definedName>
    <definedName name="PAGE3" localSheetId="2">#REF!</definedName>
    <definedName name="PAGE3" localSheetId="3">#REF!</definedName>
    <definedName name="PAGE3">#REF!</definedName>
    <definedName name="Page4" localSheetId="4">#REF!</definedName>
    <definedName name="Page4" localSheetId="2">#REF!</definedName>
    <definedName name="Page4" localSheetId="3">#REF!</definedName>
    <definedName name="Page4">#REF!</definedName>
    <definedName name="Page5" localSheetId="4">#REF!</definedName>
    <definedName name="Page5" localSheetId="2">#REF!</definedName>
    <definedName name="Page5" localSheetId="3">#REF!</definedName>
    <definedName name="Page5">#REF!</definedName>
    <definedName name="Page62" localSheetId="4">[15]TransInvest!#REF!</definedName>
    <definedName name="Page62" localSheetId="2">[15]TransInvest!#REF!</definedName>
    <definedName name="Page62" localSheetId="3">[15]TransInvest!#REF!</definedName>
    <definedName name="Page62">[15]TransInvest!#REF!</definedName>
    <definedName name="page65" localSheetId="4">#REF!</definedName>
    <definedName name="page65" localSheetId="2">#REF!</definedName>
    <definedName name="page65" localSheetId="7">#REF!</definedName>
    <definedName name="page65" localSheetId="3">#REF!</definedName>
    <definedName name="page65">#REF!</definedName>
    <definedName name="page66" localSheetId="4">#REF!</definedName>
    <definedName name="page66" localSheetId="2">#REF!</definedName>
    <definedName name="page66" localSheetId="7">#REF!</definedName>
    <definedName name="page66">#REF!</definedName>
    <definedName name="page67" localSheetId="4">#REF!</definedName>
    <definedName name="page67" localSheetId="2">#REF!</definedName>
    <definedName name="page67" localSheetId="7">#REF!</definedName>
    <definedName name="page67">#REF!</definedName>
    <definedName name="page68" localSheetId="4">#REF!</definedName>
    <definedName name="page68" localSheetId="2">#REF!</definedName>
    <definedName name="page68" localSheetId="7">#REF!</definedName>
    <definedName name="page68">#REF!</definedName>
    <definedName name="page69" localSheetId="4">#REF!</definedName>
    <definedName name="page69" localSheetId="2">#REF!</definedName>
    <definedName name="page69" localSheetId="7">#REF!</definedName>
    <definedName name="page69">#REF!</definedName>
    <definedName name="Page7" localSheetId="4">#REF!</definedName>
    <definedName name="Page7" localSheetId="2">#REF!</definedName>
    <definedName name="Page7">#REF!</definedName>
    <definedName name="page8" localSheetId="4">#REF!</definedName>
    <definedName name="page8" localSheetId="2">#REF!</definedName>
    <definedName name="page8">#REF!</definedName>
    <definedName name="PALL" localSheetId="4">#REF!</definedName>
    <definedName name="PALL" localSheetId="2">#REF!</definedName>
    <definedName name="PALL" localSheetId="7">#REF!</definedName>
    <definedName name="PALL">#REF!</definedName>
    <definedName name="PBLOCK" localSheetId="4">#REF!</definedName>
    <definedName name="PBLOCK" localSheetId="2">#REF!</definedName>
    <definedName name="PBLOCK" localSheetId="7">#REF!</definedName>
    <definedName name="PBLOCK">#REF!</definedName>
    <definedName name="PBLOCKWZ" localSheetId="4">#REF!</definedName>
    <definedName name="PBLOCKWZ" localSheetId="2">#REF!</definedName>
    <definedName name="PBLOCKWZ" localSheetId="7">#REF!</definedName>
    <definedName name="PBLOCKWZ">#REF!</definedName>
    <definedName name="PCOMP" localSheetId="4">#REF!</definedName>
    <definedName name="PCOMP" localSheetId="2">#REF!</definedName>
    <definedName name="PCOMP" localSheetId="7">#REF!</definedName>
    <definedName name="PCOMP">#REF!</definedName>
    <definedName name="PCOMPOSITES" localSheetId="4">#REF!</definedName>
    <definedName name="PCOMPOSITES" localSheetId="2">#REF!</definedName>
    <definedName name="PCOMPOSITES" localSheetId="7">#REF!</definedName>
    <definedName name="PCOMPOSITES">#REF!</definedName>
    <definedName name="PCOMPWZ" localSheetId="4">#REF!</definedName>
    <definedName name="PCOMPWZ" localSheetId="2">#REF!</definedName>
    <definedName name="PCOMPWZ" localSheetId="7">#REF!</definedName>
    <definedName name="PCOMPWZ">#REF!</definedName>
    <definedName name="PeakMethod">[5]Inputs!$T$5</definedName>
    <definedName name="PLUG" localSheetId="4">#REF!</definedName>
    <definedName name="PLUG" localSheetId="2">#REF!</definedName>
    <definedName name="PLUG">#REF!</definedName>
    <definedName name="PMAC" localSheetId="4">[14]Backup!#REF!</definedName>
    <definedName name="PMAC" localSheetId="2">[14]Backup!#REF!</definedName>
    <definedName name="PMAC" localSheetId="7">[14]Backup!#REF!</definedName>
    <definedName name="PMAC" localSheetId="3">[14]Backup!#REF!</definedName>
    <definedName name="PMAC">[14]Backup!#REF!</definedName>
    <definedName name="Pref_">[7]Inputs!$K$20</definedName>
    <definedName name="PRESENT" localSheetId="4">#REF!</definedName>
    <definedName name="PRESENT" localSheetId="2">#REF!</definedName>
    <definedName name="PRESENT" localSheetId="7">#REF!</definedName>
    <definedName name="PRESENT" localSheetId="3">#REF!</definedName>
    <definedName name="PRESENT">#REF!</definedName>
    <definedName name="PRICCHNG" localSheetId="4">#REF!</definedName>
    <definedName name="PRICCHNG" localSheetId="2">#REF!</definedName>
    <definedName name="PRICCHNG" localSheetId="7">#REF!</definedName>
    <definedName name="PRICCHNG">#REF!</definedName>
    <definedName name="_xlnm.Print_Area" localSheetId="4">'Blocking GRC'!$A$1:$O$1183</definedName>
    <definedName name="_xlnm.Print_Area" localSheetId="1">'Page 2 - Proposed Surcharge'!$A$1:$I$33</definedName>
    <definedName name="_xlnm.Print_Area" localSheetId="2">'Page 3 - Proposed Credit'!$A$1:$I$34</definedName>
    <definedName name="_xlnm.Print_Area" localSheetId="6">Recap!$A$1:$J$635</definedName>
    <definedName name="_xlnm.Print_Area" localSheetId="7">'Table 2'!$A$1:$M$139</definedName>
    <definedName name="_xlnm.Print_Area" localSheetId="3">'Table A GRC'!$A$1:$S$72</definedName>
    <definedName name="_xlnm.Print_Area" localSheetId="9">'Table C (Acct Detail)'!$A$1:$I$56</definedName>
    <definedName name="_xlnm.Print_Area" localSheetId="10">'Table D (Benefit Cost Ratios) '!$A$3:$J$42</definedName>
    <definedName name="_xlnm.Print_Area" localSheetId="5">'UT Lifeline  rev'!$A$1:$N$185</definedName>
    <definedName name="_xlnm.Print_Area">#REF!</definedName>
    <definedName name="_xlnm.Print_Titles" localSheetId="4">'Blocking GRC'!$1:$9</definedName>
    <definedName name="_xlnm.Print_Titles" localSheetId="6">Recap!$1:$4</definedName>
    <definedName name="_xlnm.Print_Titles" localSheetId="7">'Table 2'!$A:$C,'Table 2'!$1:$13</definedName>
    <definedName name="_xlnm.Print_Titles" localSheetId="3">'Table A GRC'!$A:$K,'Table A GRC'!$9:$13</definedName>
    <definedName name="Print_Titles_MI" localSheetId="4">'Blocking GRC'!$1:$9</definedName>
    <definedName name="PROPOSED" localSheetId="4">#REF!</definedName>
    <definedName name="PROPOSED" localSheetId="2">#REF!</definedName>
    <definedName name="PROPOSED" localSheetId="3">#REF!</definedName>
    <definedName name="PROPOSED">#REF!</definedName>
    <definedName name="ProRate1" localSheetId="4">#REF!</definedName>
    <definedName name="ProRate1" localSheetId="2">#REF!</definedName>
    <definedName name="ProRate1" localSheetId="3">#REF!</definedName>
    <definedName name="ProRate1">#REF!</definedName>
    <definedName name="PTABLES" localSheetId="4">#REF!</definedName>
    <definedName name="PTABLES" localSheetId="2">#REF!</definedName>
    <definedName name="PTABLES" localSheetId="7">#REF!</definedName>
    <definedName name="PTABLES">#REF!</definedName>
    <definedName name="PTDMOD" localSheetId="4">#REF!</definedName>
    <definedName name="PTDMOD" localSheetId="2">#REF!</definedName>
    <definedName name="PTDMOD">#REF!</definedName>
    <definedName name="PTDROLL" localSheetId="4">#REF!</definedName>
    <definedName name="PTDROLL" localSheetId="2">#REF!</definedName>
    <definedName name="PTDROLL">#REF!</definedName>
    <definedName name="PTMOD" localSheetId="4">#REF!</definedName>
    <definedName name="PTMOD" localSheetId="2">#REF!</definedName>
    <definedName name="PTMOD">#REF!</definedName>
    <definedName name="PTROLL" localSheetId="4">#REF!</definedName>
    <definedName name="PTROLL" localSheetId="2">#REF!</definedName>
    <definedName name="PTROLL">#REF!</definedName>
    <definedName name="PWORKBACK" localSheetId="4">#REF!</definedName>
    <definedName name="PWORKBACK" localSheetId="2">#REF!</definedName>
    <definedName name="PWORKBACK" localSheetId="7">#REF!</definedName>
    <definedName name="PWORKBACK">#REF!</definedName>
    <definedName name="Query1" localSheetId="4">#REF!</definedName>
    <definedName name="Query1" localSheetId="2">#REF!</definedName>
    <definedName name="Query1">#REF!</definedName>
    <definedName name="RateCd" localSheetId="4">#REF!</definedName>
    <definedName name="RateCd" localSheetId="2">#REF!</definedName>
    <definedName name="RateCd" localSheetId="7">#REF!</definedName>
    <definedName name="RateCd">#REF!</definedName>
    <definedName name="Rates" localSheetId="4">#REF!</definedName>
    <definedName name="Rates" localSheetId="2">#REF!</definedName>
    <definedName name="Rates">#REF!</definedName>
    <definedName name="RC_ADJ" localSheetId="4">#REF!</definedName>
    <definedName name="RC_ADJ" localSheetId="2">#REF!</definedName>
    <definedName name="RC_ADJ" localSheetId="7">#REF!</definedName>
    <definedName name="RC_ADJ">#REF!</definedName>
    <definedName name="RESADJ" localSheetId="4">#REF!</definedName>
    <definedName name="RESADJ" localSheetId="2">#REF!</definedName>
    <definedName name="RESADJ" localSheetId="7">#REF!</definedName>
    <definedName name="RESADJ">#REF!</definedName>
    <definedName name="RESIDENTIAL" localSheetId="4">#REF!</definedName>
    <definedName name="RESIDENTIAL" localSheetId="2">#REF!</definedName>
    <definedName name="RESIDENTIAL">#REF!</definedName>
    <definedName name="ResourceSupplier">[9]Variables!$D$28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4">#REF!</definedName>
    <definedName name="REV_SCHD" localSheetId="2">#REF!</definedName>
    <definedName name="REV_SCHD" localSheetId="7">#REF!</definedName>
    <definedName name="REV_SCHD" localSheetId="3">#REF!</definedName>
    <definedName name="REV_SCHD">#REF!</definedName>
    <definedName name="RevCl" localSheetId="4">#REF!</definedName>
    <definedName name="RevCl" localSheetId="2">#REF!</definedName>
    <definedName name="RevCl" localSheetId="7">#REF!</definedName>
    <definedName name="RevCl">#REF!</definedName>
    <definedName name="RevClass" localSheetId="4">#REF!</definedName>
    <definedName name="RevClass" localSheetId="2">#REF!</definedName>
    <definedName name="RevClass">#REF!</definedName>
    <definedName name="Revenue_by_month_take_2" localSheetId="4">#REF!</definedName>
    <definedName name="Revenue_by_month_take_2" localSheetId="2">#REF!</definedName>
    <definedName name="Revenue_by_month_take_2">#REF!</definedName>
    <definedName name="revenue3" localSheetId="4">#REF!</definedName>
    <definedName name="revenue3" localSheetId="2">#REF!</definedName>
    <definedName name="revenue3">#REF!</definedName>
    <definedName name="RevenueCheck" localSheetId="4">#REF!</definedName>
    <definedName name="RevenueCheck" localSheetId="2">#REF!</definedName>
    <definedName name="RevenueCheck">#REF!</definedName>
    <definedName name="Revenues" localSheetId="4">#REF!</definedName>
    <definedName name="Revenues" localSheetId="2">#REF!</definedName>
    <definedName name="Revenues">#REF!</definedName>
    <definedName name="RevReqSettle" localSheetId="4">#REF!</definedName>
    <definedName name="RevReqSettle" localSheetId="2">#REF!</definedName>
    <definedName name="RevReqSettle" localSheetId="7">#REF!</definedName>
    <definedName name="RevReqSettle">#REF!</definedName>
    <definedName name="REVVSTRS" localSheetId="4">#REF!</definedName>
    <definedName name="REVVSTRS" localSheetId="2">#REF!</definedName>
    <definedName name="REVVSTRS" localSheetId="7">#REF!</definedName>
    <definedName name="REVVSTRS">#REF!</definedName>
    <definedName name="RISFORM" localSheetId="4">#REF!</definedName>
    <definedName name="RISFORM" localSheetId="2">#REF!</definedName>
    <definedName name="RISFORM">#REF!</definedName>
    <definedName name="SAPBEXwbID" hidden="1">"45EQYSCWE9WJMGB34OOD1BOQZ"</definedName>
    <definedName name="SCH33CUSTS" localSheetId="4">#REF!</definedName>
    <definedName name="SCH33CUSTS" localSheetId="2">#REF!</definedName>
    <definedName name="SCH33CUSTS" localSheetId="7">#REF!</definedName>
    <definedName name="SCH33CUSTS">#REF!</definedName>
    <definedName name="SCH48ADJ" localSheetId="4">#REF!</definedName>
    <definedName name="SCH48ADJ" localSheetId="2">#REF!</definedName>
    <definedName name="SCH48ADJ" localSheetId="7">#REF!</definedName>
    <definedName name="SCH48ADJ">#REF!</definedName>
    <definedName name="SCH98NOR" localSheetId="4">#REF!</definedName>
    <definedName name="SCH98NOR" localSheetId="2">#REF!</definedName>
    <definedName name="SCH98NOR" localSheetId="7">#REF!</definedName>
    <definedName name="SCH98NOR">#REF!</definedName>
    <definedName name="SCHED47" localSheetId="4">#REF!</definedName>
    <definedName name="SCHED47" localSheetId="2">#REF!</definedName>
    <definedName name="SCHED47" localSheetId="7">#REF!</definedName>
    <definedName name="SCHED47">#REF!</definedName>
    <definedName name="se" localSheetId="4">#REF!</definedName>
    <definedName name="se" localSheetId="2">#REF!</definedName>
    <definedName name="se">#REF!</definedName>
    <definedName name="SECOND" localSheetId="4">[1]Jan!#REF!</definedName>
    <definedName name="SECOND" localSheetId="2">[1]Jan!#REF!</definedName>
    <definedName name="SECOND" localSheetId="3">[1]Jan!#REF!</definedName>
    <definedName name="SECOND" localSheetId="5">[1]Jan!#REF!</definedName>
    <definedName name="SECOND">[1]Jan!#REF!</definedName>
    <definedName name="SEP" localSheetId="4">#REF!</definedName>
    <definedName name="SEP" localSheetId="2">#REF!</definedName>
    <definedName name="SEP" localSheetId="7">#REF!</definedName>
    <definedName name="SEP" localSheetId="3">#REF!</definedName>
    <definedName name="SEP" localSheetId="5">[1]Jan!#REF!</definedName>
    <definedName name="SEP">#REF!</definedName>
    <definedName name="SEPT" localSheetId="4">#REF!</definedName>
    <definedName name="SEPT" localSheetId="2">#REF!</definedName>
    <definedName name="SEPT" localSheetId="7">#REF!</definedName>
    <definedName name="SEPT">#REF!</definedName>
    <definedName name="September_2001_305_Detail" localSheetId="4">#REF!</definedName>
    <definedName name="September_2001_305_Detail" localSheetId="2">#REF!</definedName>
    <definedName name="September_2001_305_Detail">#REF!</definedName>
    <definedName name="SERVICES_3" localSheetId="4">#REF!</definedName>
    <definedName name="SERVICES_3" localSheetId="2">#REF!</definedName>
    <definedName name="SERVICES_3">#REF!</definedName>
    <definedName name="sg" localSheetId="4">#REF!</definedName>
    <definedName name="sg" localSheetId="2">#REF!</definedName>
    <definedName name="sg">#REF!</definedName>
    <definedName name="SITRate">[4]Inputs!$H$20</definedName>
    <definedName name="solver_adj" localSheetId="4" hidden="1">'Blocking GRC'!#REF!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'Blocking GRC'!#REF!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  <definedName name="START" localSheetId="4">[1]Jan!#REF!</definedName>
    <definedName name="START" localSheetId="2">[1]Jan!#REF!</definedName>
    <definedName name="START" localSheetId="3">[1]Jan!#REF!</definedName>
    <definedName name="START" localSheetId="5">[1]Jan!#REF!</definedName>
    <definedName name="START">[1]Jan!#REF!</definedName>
    <definedName name="State">[4]Inputs!$C$5</definedName>
    <definedName name="SUM_TAB1" localSheetId="4">#REF!</definedName>
    <definedName name="SUM_TAB1" localSheetId="2">#REF!</definedName>
    <definedName name="SUM_TAB1" localSheetId="7">#REF!</definedName>
    <definedName name="SUM_TAB1" localSheetId="3">#REF!</definedName>
    <definedName name="SUM_TAB1">#REF!</definedName>
    <definedName name="SUM_TAB2" localSheetId="4">#REF!</definedName>
    <definedName name="SUM_TAB2" localSheetId="2">#REF!</definedName>
    <definedName name="SUM_TAB2" localSheetId="7">#REF!</definedName>
    <definedName name="SUM_TAB2">#REF!</definedName>
    <definedName name="SUM_TAB3" localSheetId="4">#REF!</definedName>
    <definedName name="SUM_TAB3" localSheetId="2">#REF!</definedName>
    <definedName name="SUM_TAB3" localSheetId="7">#REF!</definedName>
    <definedName name="SUM_TAB3">#REF!</definedName>
    <definedName name="TABLE_1" localSheetId="4">#REF!</definedName>
    <definedName name="TABLE_1" localSheetId="2">#REF!</definedName>
    <definedName name="TABLE_1">#REF!</definedName>
    <definedName name="TABLE_2" localSheetId="4">#REF!</definedName>
    <definedName name="TABLE_2" localSheetId="2">#REF!</definedName>
    <definedName name="TABLE_2" localSheetId="7">#REF!</definedName>
    <definedName name="TABLE_2">#REF!</definedName>
    <definedName name="TABLE_3" localSheetId="4">#REF!</definedName>
    <definedName name="TABLE_3" localSheetId="2">#REF!</definedName>
    <definedName name="TABLE_3">#REF!</definedName>
    <definedName name="TABLE_4" localSheetId="4">#REF!</definedName>
    <definedName name="TABLE_4" localSheetId="2">#REF!</definedName>
    <definedName name="TABLE_4">#REF!</definedName>
    <definedName name="TABLE_4_A" localSheetId="4">#REF!</definedName>
    <definedName name="TABLE_4_A" localSheetId="2">#REF!</definedName>
    <definedName name="TABLE_4_A">#REF!</definedName>
    <definedName name="TABLE_5" localSheetId="4">#REF!</definedName>
    <definedName name="TABLE_5" localSheetId="2">#REF!</definedName>
    <definedName name="TABLE_5">#REF!</definedName>
    <definedName name="TABLE_6" localSheetId="4">#REF!</definedName>
    <definedName name="TABLE_6" localSheetId="2">#REF!</definedName>
    <definedName name="TABLE_6">#REF!</definedName>
    <definedName name="TABLE_7" localSheetId="4">#REF!</definedName>
    <definedName name="TABLE_7" localSheetId="2">#REF!</definedName>
    <definedName name="TABLE_7">#REF!</definedName>
    <definedName name="TABLE1" localSheetId="4">#REF!</definedName>
    <definedName name="TABLE1" localSheetId="2">#REF!</definedName>
    <definedName name="TABLE1" localSheetId="7">#REF!</definedName>
    <definedName name="TABLE1">#REF!</definedName>
    <definedName name="TABLE2" localSheetId="4">#REF!</definedName>
    <definedName name="TABLE2" localSheetId="2">#REF!</definedName>
    <definedName name="TABLE2" localSheetId="7">#REF!</definedName>
    <definedName name="TABLE2">#REF!</definedName>
    <definedName name="TABLEA" localSheetId="4">#REF!</definedName>
    <definedName name="TABLEA" localSheetId="2">#REF!</definedName>
    <definedName name="TABLEA" localSheetId="7">#REF!</definedName>
    <definedName name="TABLEA">#REF!</definedName>
    <definedName name="TABLEB" localSheetId="4">#REF!</definedName>
    <definedName name="TABLEB" localSheetId="2">#REF!</definedName>
    <definedName name="TABLEB">#REF!</definedName>
    <definedName name="TABLEC" localSheetId="4">#REF!</definedName>
    <definedName name="TABLEC" localSheetId="2">#REF!</definedName>
    <definedName name="TABLEC">#REF!</definedName>
    <definedName name="TABLEONE" localSheetId="4">#REF!</definedName>
    <definedName name="TABLEONE" localSheetId="2">#REF!</definedName>
    <definedName name="TABLEONE">#REF!</definedName>
    <definedName name="TargetROR" localSheetId="4">[20]Inputs!$L$6</definedName>
    <definedName name="TargetROR" localSheetId="3">[20]Inputs!$L$6</definedName>
    <definedName name="Targetror">[8]Variables!$I$38</definedName>
    <definedName name="TDMOD" localSheetId="4">#REF!</definedName>
    <definedName name="TDMOD" localSheetId="2">#REF!</definedName>
    <definedName name="TDMOD" localSheetId="3">#REF!</definedName>
    <definedName name="TDMOD">#REF!</definedName>
    <definedName name="TDROLL" localSheetId="4">#REF!</definedName>
    <definedName name="TDROLL" localSheetId="2">#REF!</definedName>
    <definedName name="TDROLL" localSheetId="3">#REF!</definedName>
    <definedName name="TDROLL">#REF!</definedName>
    <definedName name="TEMPADJ" localSheetId="4">#REF!</definedName>
    <definedName name="TEMPADJ" localSheetId="2">#REF!</definedName>
    <definedName name="TEMPADJ" localSheetId="7">#REF!</definedName>
    <definedName name="TEMPADJ">#REF!</definedName>
    <definedName name="Test" localSheetId="4">#REF!</definedName>
    <definedName name="Test" localSheetId="2">#REF!</definedName>
    <definedName name="Test" localSheetId="7">#REF!</definedName>
    <definedName name="Test">#REF!</definedName>
    <definedName name="Test1" localSheetId="4">#REF!</definedName>
    <definedName name="Test1" localSheetId="2">#REF!</definedName>
    <definedName name="Test1" localSheetId="7">#REF!</definedName>
    <definedName name="Test1">#REF!</definedName>
    <definedName name="Test2" localSheetId="4">#REF!</definedName>
    <definedName name="Test2" localSheetId="2">#REF!</definedName>
    <definedName name="Test2" localSheetId="7">#REF!</definedName>
    <definedName name="Test2">#REF!</definedName>
    <definedName name="Test3" localSheetId="4">#REF!</definedName>
    <definedName name="Test3" localSheetId="2">#REF!</definedName>
    <definedName name="Test3" localSheetId="7">#REF!</definedName>
    <definedName name="Test3">#REF!</definedName>
    <definedName name="Test4" localSheetId="4">#REF!</definedName>
    <definedName name="Test4" localSheetId="2">#REF!</definedName>
    <definedName name="Test4" localSheetId="7">#REF!</definedName>
    <definedName name="Test4">#REF!</definedName>
    <definedName name="Test5" localSheetId="4">#REF!</definedName>
    <definedName name="Test5" localSheetId="2">#REF!</definedName>
    <definedName name="Test5" localSheetId="7">#REF!</definedName>
    <definedName name="Test5">#REF!</definedName>
    <definedName name="TestPeriod">[4]Inputs!$C$6</definedName>
    <definedName name="TotalRateBase">'[4]G+T+D+R+M'!$H$58</definedName>
    <definedName name="TotTaxRate">[4]Inputs!$H$17</definedName>
    <definedName name="TRANSM_2" localSheetId="7">[21]Transm2!$A$1:$M$461:'[21]10 Yr FC'!$M$47</definedName>
    <definedName name="TRANSM_2">[21]Transm2!$A$1:$M$461:'[21]10 Yr FC'!$M$47</definedName>
    <definedName name="UAACT550SGW">[4]FuncStudy!$Y$406</definedName>
    <definedName name="UAACT554SGW">[4]FuncStudy!$Y$428</definedName>
    <definedName name="UAcct103">[4]FuncStudy!$Y$1316</definedName>
    <definedName name="UAcct105S">[4]FuncStudy!$Y$1674</definedName>
    <definedName name="UAcct105SEU">[4]FuncStudy!$Y$1678</definedName>
    <definedName name="UAcct105SGG">[4]FuncStudy!$Y$1679</definedName>
    <definedName name="UAcct105SGP1">[4]FuncStudy!$Y$1675</definedName>
    <definedName name="UAcct105SGP2">[4]FuncStudy!$Y$1677</definedName>
    <definedName name="UAcct105SGT">[4]FuncStudy!$Y$1676</definedName>
    <definedName name="UAcct1081390">[4]FuncStudy!$Y$2101</definedName>
    <definedName name="UAcct1081390Rcl">[4]FuncStudy!$Y$2100</definedName>
    <definedName name="UAcct1081399">[4]FuncStudy!$Y$2109</definedName>
    <definedName name="UAcct1081399Rcl">[4]FuncStudy!$Y$2108</definedName>
    <definedName name="UAcct108360">[4]FuncStudy!$Y$2008</definedName>
    <definedName name="UAcct108361">[4]FuncStudy!$Y$2012</definedName>
    <definedName name="UAcct108362">[4]FuncStudy!$Y$2016</definedName>
    <definedName name="UAcct108364">[4]FuncStudy!$Y$2020</definedName>
    <definedName name="UAcct108365">[4]FuncStudy!$Y$2024</definedName>
    <definedName name="UAcct108366">[4]FuncStudy!$Y$2028</definedName>
    <definedName name="UAcct108367">[4]FuncStudy!$Y$2032</definedName>
    <definedName name="UAcct108368">[4]FuncStudy!$Y$2036</definedName>
    <definedName name="UAcct108369">[4]FuncStudy!$Y$2040</definedName>
    <definedName name="UAcct108370">[4]FuncStudy!$Y$2044</definedName>
    <definedName name="UAcct108371">[4]FuncStudy!$Y$2048</definedName>
    <definedName name="UAcct108372">[4]FuncStudy!$Y$2052</definedName>
    <definedName name="UAcct108373">[4]FuncStudy!$Y$2056</definedName>
    <definedName name="UAcct108D">[4]FuncStudy!$Y$2068</definedName>
    <definedName name="UAcct108D00">[4]FuncStudy!$Y$2060</definedName>
    <definedName name="UAcct108Ds">[4]FuncStudy!$Y$2064</definedName>
    <definedName name="UAcct108Ep">[4]FuncStudy!$Y$1990</definedName>
    <definedName name="UAcct108Gpcn">[4]FuncStudy!$Y$2078</definedName>
    <definedName name="UAcct108Gps">[4]FuncStudy!$Y$2074</definedName>
    <definedName name="UAcct108Gpse">[4]FuncStudy!$Y$2080</definedName>
    <definedName name="UAcct108Gpsg">[4]FuncStudy!$Y$2077</definedName>
    <definedName name="UAcct108Gpsgp">[4]FuncStudy!$Y$2075</definedName>
    <definedName name="UAcct108Gpsgu">[4]FuncStudy!$Y$2076</definedName>
    <definedName name="UAcct108Gpso">[4]FuncStudy!$Y$2079</definedName>
    <definedName name="UACCT108GPSSGCH">[4]FuncStudy!$Y$2082</definedName>
    <definedName name="UACCT108GPSSGCT">[4]FuncStudy!$Y$2081</definedName>
    <definedName name="UAcct108Hp">[4]FuncStudy!$Y$1977</definedName>
    <definedName name="UAcct108Mp">[4]FuncStudy!$Y$2094</definedName>
    <definedName name="UAcct108Np">[4]FuncStudy!$Y$1970</definedName>
    <definedName name="UAcct108Op">[4]FuncStudy!$Y$1985</definedName>
    <definedName name="UAcct108Opsgw">[4]FuncStudy!$Y$1982</definedName>
    <definedName name="UAcct108OPSSGCT">[4]FuncStudy!$Y$1984</definedName>
    <definedName name="UAcct108Sp">[4]FuncStudy!$Y$1964</definedName>
    <definedName name="uacct108spssgch">[4]FuncStudy!$Y$1963</definedName>
    <definedName name="UAcct108Tp">[4]FuncStudy!$Y$2004</definedName>
    <definedName name="UAcct111390">[4]FuncStudy!$Y$2161</definedName>
    <definedName name="UAcct111Clg">[4]FuncStudy!$Y$2130</definedName>
    <definedName name="UAcct111Clgcn">[4]FuncStudy!$Y$2126</definedName>
    <definedName name="UAcct111Clgsop">[4]FuncStudy!$Y$2129</definedName>
    <definedName name="UAcct111Clgsou">[4]FuncStudy!$Y$2128</definedName>
    <definedName name="UAcct111Clh">[4]FuncStudy!$Y$2136</definedName>
    <definedName name="UAcct111Cls">[4]FuncStudy!$Y$2121</definedName>
    <definedName name="UAcct111Ipcn">[4]FuncStudy!$Y$2145</definedName>
    <definedName name="UAcct111Ips">[4]FuncStudy!$Y$2140</definedName>
    <definedName name="UAcct111Ipse">[4]FuncStudy!$Y$2143</definedName>
    <definedName name="UAcct111Ipsg">[4]FuncStudy!$Y$2144</definedName>
    <definedName name="UAcct111Ipsgp">[4]FuncStudy!$Y$2141</definedName>
    <definedName name="UAcct111Ipsgu">[4]FuncStudy!$Y$2142</definedName>
    <definedName name="uacct111ipso">[4]FuncStudy!$Y$2148</definedName>
    <definedName name="UACCT111IPSSGCH">[4]FuncStudy!$Y$2147</definedName>
    <definedName name="UAcct114">[4]FuncStudy!$Y$1686</definedName>
    <definedName name="UAcct120">[4]FuncStudy!$Y$1690</definedName>
    <definedName name="UAcct124">[4]FuncStudy!$Y$1695</definedName>
    <definedName name="UAcct141">[4]FuncStudy!$Y$1835</definedName>
    <definedName name="UAcct151">[4]FuncStudy!$Y$1717</definedName>
    <definedName name="uacct151ssech">[4]FuncStudy!$Y$1716</definedName>
    <definedName name="UAcct154">[4]FuncStudy!$Y$1751</definedName>
    <definedName name="uacct154ssgch">[4]FuncStudy!$Y$1750</definedName>
    <definedName name="UAcct163">[4]FuncStudy!$Y$1756</definedName>
    <definedName name="UAcct165">[4]FuncStudy!$Y$1771</definedName>
    <definedName name="UAcct165Se">[4]FuncStudy!$Y$1769</definedName>
    <definedName name="UAcct182">[4]FuncStudy!$Y$1702</definedName>
    <definedName name="UAcct18222">[4]FuncStudy!$Y$1825</definedName>
    <definedName name="UAcct182M">[4]FuncStudy!$Y$1781</definedName>
    <definedName name="UAcct182MSSGCT">[4]FuncStudy!$Y$1779</definedName>
    <definedName name="UAcct186">[4]FuncStudy!$Y$1710</definedName>
    <definedName name="UAcct1869">[4]FuncStudy!$Y$1830</definedName>
    <definedName name="UAcct186M">[4]FuncStudy!$Y$1792</definedName>
    <definedName name="UAcct186Mse">[4]FuncStudy!$Y$1789</definedName>
    <definedName name="UAcct190">[4]FuncStudy!$Y$1904</definedName>
    <definedName name="UAcct190CN">[4]FuncStudy!$Y$1893</definedName>
    <definedName name="UAcct190Dop">[4]FuncStudy!$Y$1894</definedName>
    <definedName name="UACCT190IBT">[4]FuncStudy!$Y$1896</definedName>
    <definedName name="UACCT190SSGCT">[4]FuncStudy!$Y$1903</definedName>
    <definedName name="UACCT2281">[4]FuncStudy!$Y$1848</definedName>
    <definedName name="UAcct2282">[4]FuncStudy!$Y$1852</definedName>
    <definedName name="UAcct2283">[4]FuncStudy!$Y$1857</definedName>
    <definedName name="UAcct2283S">[4]FuncStudy!$Y$1861</definedName>
    <definedName name="UAcct22842">[4]FuncStudy!$Y$1870</definedName>
    <definedName name="UAcct22842Trojd" localSheetId="4">'[5]Func Study'!#REF!</definedName>
    <definedName name="UAcct22842Trojd" localSheetId="2">'[5]Func Study'!#REF!</definedName>
    <definedName name="UAcct22842Trojd" localSheetId="3">'[5]Func Study'!#REF!</definedName>
    <definedName name="UAcct22842Trojd">'[5]Func Study'!#REF!</definedName>
    <definedName name="UAcct235">[4]FuncStudy!$Y$1844</definedName>
    <definedName name="UAcct252">[4]FuncStudy!$Y$1878</definedName>
    <definedName name="UAcct25316">[4]FuncStudy!$Y$1725</definedName>
    <definedName name="UAcct25317">[4]FuncStudy!$Y$1729</definedName>
    <definedName name="UAcct25318">[4]FuncStudy!$Y$1761</definedName>
    <definedName name="UAcct25319">[4]FuncStudy!$Y$1733</definedName>
    <definedName name="UACCT25398">[4]FuncStudy!$Y$1882</definedName>
    <definedName name="UAcct25399">[4]FuncStudy!$Y$1889</definedName>
    <definedName name="UAcct254">[4]FuncStudy!$Y$1866</definedName>
    <definedName name="UACCT254SO">[4]FuncStudy!$Y$1865</definedName>
    <definedName name="UAcct255">[4]FuncStudy!$Y$1954</definedName>
    <definedName name="UAcct281">[4]FuncStudy!$Y$1910</definedName>
    <definedName name="UAcct282">[4]FuncStudy!$Y$1928</definedName>
    <definedName name="UAcct282So">[4]FuncStudy!$Y$1916</definedName>
    <definedName name="UAcct283">[4]FuncStudy!$Y$1941</definedName>
    <definedName name="UAcct283So">[4]FuncStudy!$Y$1934</definedName>
    <definedName name="UAcct301S">[4]FuncStudy!$Y$1637</definedName>
    <definedName name="UAcct301Sg">[4]FuncStudy!$Y$1639</definedName>
    <definedName name="UAcct301So">[4]FuncStudy!$Y$1638</definedName>
    <definedName name="UAcct302S">[4]FuncStudy!$Y$1642</definedName>
    <definedName name="UAcct302Sg">[4]FuncStudy!$Y$1643</definedName>
    <definedName name="UAcct302Sgp">[4]FuncStudy!$Y$1644</definedName>
    <definedName name="UAcct302Sgu">[4]FuncStudy!$Y$1645</definedName>
    <definedName name="UAcct303Cn">[4]FuncStudy!$Y$1653</definedName>
    <definedName name="UAcct303S">[4]FuncStudy!$Y$1649</definedName>
    <definedName name="UAcct303Se">[4]FuncStudy!$Y$1652</definedName>
    <definedName name="UAcct303Sg">[4]FuncStudy!$Y$1650</definedName>
    <definedName name="UAcct303So">[4]FuncStudy!$Y$1651</definedName>
    <definedName name="UACCT303SSGCT">[4]FuncStudy!$Y$1655</definedName>
    <definedName name="UAcct310">[4]FuncStudy!$Y$1152</definedName>
    <definedName name="uacct310ssgch">[4]FuncStudy!$Y$1151</definedName>
    <definedName name="UAcct311">[4]FuncStudy!$Y$1157</definedName>
    <definedName name="uacct311ssgch">[4]FuncStudy!$Y$1156</definedName>
    <definedName name="UAcct312">[4]FuncStudy!$Y$1162</definedName>
    <definedName name="uacct312ssgch">[4]FuncStudy!$Y$1161</definedName>
    <definedName name="UAcct314">[4]FuncStudy!$Y$1167</definedName>
    <definedName name="uacct314ssgch">[4]FuncStudy!$Y$1166</definedName>
    <definedName name="UAcct315">[4]FuncStudy!$Y$1172</definedName>
    <definedName name="uacct315ssgch">[4]FuncStudy!$Y$1171</definedName>
    <definedName name="UAcct316">[4]FuncStudy!$Y$1177</definedName>
    <definedName name="uacct316ssgch">[4]FuncStudy!$Y$1176</definedName>
    <definedName name="UAcct320">[4]FuncStudy!$Y$1189</definedName>
    <definedName name="UAcct321">[4]FuncStudy!$Y$1193</definedName>
    <definedName name="UAcct322">[4]FuncStudy!$Y$1197</definedName>
    <definedName name="UAcct323">[4]FuncStudy!$Y$1201</definedName>
    <definedName name="UAcct324">[4]FuncStudy!$Y$1205</definedName>
    <definedName name="UAcct325">[4]FuncStudy!$Y$1209</definedName>
    <definedName name="UAcct33">[4]FuncStudy!$Y$131</definedName>
    <definedName name="UAcct330">[4]FuncStudy!$Y$1222</definedName>
    <definedName name="UAcct331">[4]FuncStudy!$Y$1227</definedName>
    <definedName name="UAcct332">[4]FuncStudy!$Y$1232</definedName>
    <definedName name="UAcct333">[4]FuncStudy!$Y$1237</definedName>
    <definedName name="UAcct334">[4]FuncStudy!$Y$1242</definedName>
    <definedName name="UAcct335">[4]FuncStudy!$Y$1247</definedName>
    <definedName name="UAcct336">[4]FuncStudy!$Y$1252</definedName>
    <definedName name="UAcct33T">[4]FuncStudy!$Y$132</definedName>
    <definedName name="UAcct340">[4]FuncStudy!$Y$1267</definedName>
    <definedName name="UAcct340Sgw">[4]FuncStudy!$Y$1265</definedName>
    <definedName name="UAcct341">[4]FuncStudy!$Y$1273</definedName>
    <definedName name="UACCT341SGW">[4]FuncStudy!$Y$1271</definedName>
    <definedName name="uacct341ssgct">[4]FuncStudy!$Y$1272</definedName>
    <definedName name="UAcct342">[4]FuncStudy!$Y$1278</definedName>
    <definedName name="uacct342ssgct">[4]FuncStudy!$Y$1277</definedName>
    <definedName name="UAcct343">[4]FuncStudy!$Y$1285</definedName>
    <definedName name="UAcct343Sgw">[4]FuncStudy!$Y$1283</definedName>
    <definedName name="uacct343sscct">[4]FuncStudy!$Y$1284</definedName>
    <definedName name="UAcct344">[4]FuncStudy!$Y$1292</definedName>
    <definedName name="UACCT344SGW">[4]FuncStudy!$Y$1290</definedName>
    <definedName name="uacct344ssgct">[4]FuncStudy!$Y$1291</definedName>
    <definedName name="UAcct345">[4]FuncStudy!$Y$1298</definedName>
    <definedName name="UACCT345SGW">[4]FuncStudy!$Y$1296</definedName>
    <definedName name="uacct345ssgct">[4]FuncStudy!$Y$1297</definedName>
    <definedName name="UAcct346">[4]FuncStudy!$Y$1304</definedName>
    <definedName name="UAcct346SGW">[4]FuncStudy!$Y$1302</definedName>
    <definedName name="UAcct350">[4]FuncStudy!$Y$1324</definedName>
    <definedName name="UAcct352">[4]FuncStudy!$Y$1331</definedName>
    <definedName name="UAcct353">[4]FuncStudy!$Y$1337</definedName>
    <definedName name="UAcct354">[4]FuncStudy!$Y$1343</definedName>
    <definedName name="UAcct355">[4]FuncStudy!$Y$1349</definedName>
    <definedName name="UAcct356">[4]FuncStudy!$Y$1355</definedName>
    <definedName name="UAcct357">[4]FuncStudy!$Y$1361</definedName>
    <definedName name="UAcct358">[4]FuncStudy!$Y$1367</definedName>
    <definedName name="UAcct359">[4]FuncStudy!$Y$1373</definedName>
    <definedName name="UAcct360">[4]FuncStudy!$Y$1389</definedName>
    <definedName name="UAcct361">[4]FuncStudy!$Y$1395</definedName>
    <definedName name="UAcct362">[4]FuncStudy!$Y$1401</definedName>
    <definedName name="UAcct368">[4]FuncStudy!$Y$1435</definedName>
    <definedName name="UAcct369">[4]FuncStudy!$Y$1442</definedName>
    <definedName name="UAcct370">[4]FuncStudy!$Y$1448</definedName>
    <definedName name="UAcct372A">[4]FuncStudy!$Y$1461</definedName>
    <definedName name="UAcct372Dp">[4]FuncStudy!$Y$1459</definedName>
    <definedName name="UAcct372Ds">[4]FuncStudy!$Y$1460</definedName>
    <definedName name="UAcct373">[4]FuncStudy!$Y$1468</definedName>
    <definedName name="UAcct389Cn">[4]FuncStudy!$Y$1483</definedName>
    <definedName name="UAcct389S">[4]FuncStudy!$Y$1482</definedName>
    <definedName name="UAcct389Sg">[4]FuncStudy!$Y$1485</definedName>
    <definedName name="UAcct389Sgu">[4]FuncStudy!$Y$1484</definedName>
    <definedName name="UAcct389So">[4]FuncStudy!$Y$1486</definedName>
    <definedName name="UAcct390Cn">[4]FuncStudy!$Y$1493</definedName>
    <definedName name="UACCT390LS">[4]FuncStudy!$Y$1602</definedName>
    <definedName name="UAcct390LSG">[4]FuncStudy!$Y$1603</definedName>
    <definedName name="UAcct390LSO">[4]FuncStudy!$Y$1604</definedName>
    <definedName name="UAcct390S">[4]FuncStudy!$Y$1490</definedName>
    <definedName name="UAcct390Sgp">[4]FuncStudy!$Y$1491</definedName>
    <definedName name="UAcct390Sgu">[4]FuncStudy!$Y$1492</definedName>
    <definedName name="UAcct390Sop">[4]FuncStudy!$Y$1494</definedName>
    <definedName name="UAcct390Sou">[4]FuncStudy!$Y$1495</definedName>
    <definedName name="UAcct391Cn">[4]FuncStudy!$Y$1502</definedName>
    <definedName name="UAcct391S">[4]FuncStudy!$Y$1499</definedName>
    <definedName name="UAcct391Se">[4]FuncStudy!$Y$1504</definedName>
    <definedName name="UAcct391Sg">[4]FuncStudy!$Y$1503</definedName>
    <definedName name="UAcct391Sgp">[4]FuncStudy!$Y$1500</definedName>
    <definedName name="UAcct391Sgu">[4]FuncStudy!$Y$1501</definedName>
    <definedName name="UAcct391So">[4]FuncStudy!$Y$1505</definedName>
    <definedName name="uacct391ssgch">[4]FuncStudy!$Y$1506</definedName>
    <definedName name="UACCT391SSGCT">[4]FuncStudy!$Y$1507</definedName>
    <definedName name="UAcct392Cn">[4]FuncStudy!$Y$1514</definedName>
    <definedName name="UAcct392L">[4]FuncStudy!$Y$1612</definedName>
    <definedName name="UACCT392LRCL">[4]FuncStudy!$F$1615</definedName>
    <definedName name="UAcct392S">[4]FuncStudy!$Y$1511</definedName>
    <definedName name="UAcct392Se">[4]FuncStudy!$Y$1516</definedName>
    <definedName name="UAcct392Sg">[4]FuncStudy!$Y$1513</definedName>
    <definedName name="UAcct392Sgp">[4]FuncStudy!$Y$1517</definedName>
    <definedName name="UAcct392Sgu">[4]FuncStudy!$Y$1515</definedName>
    <definedName name="UAcct392So">[4]FuncStudy!$Y$1512</definedName>
    <definedName name="uacct392ssgch">[4]FuncStudy!$Y$1518</definedName>
    <definedName name="uacct392ssgct">[4]FuncStudy!$Y$1519</definedName>
    <definedName name="UAcct393S">[4]FuncStudy!$Y$1523</definedName>
    <definedName name="UAcct393Sg">[4]FuncStudy!$Y$1527</definedName>
    <definedName name="UAcct393Sgp">[4]FuncStudy!$Y$1524</definedName>
    <definedName name="UAcct393Sgu">[4]FuncStudy!$Y$1525</definedName>
    <definedName name="UAcct393So">[4]FuncStudy!$Y$1526</definedName>
    <definedName name="uacct393ssgct">[4]FuncStudy!$Y$1528</definedName>
    <definedName name="UAcct394S">[4]FuncStudy!$Y$1532</definedName>
    <definedName name="UAcct394Se">[4]FuncStudy!$Y$1536</definedName>
    <definedName name="UAcct394Sg">[4]FuncStudy!$Y$1537</definedName>
    <definedName name="UAcct394Sgp">[4]FuncStudy!$Y$1533</definedName>
    <definedName name="UAcct394Sgu">[4]FuncStudy!$Y$1534</definedName>
    <definedName name="UAcct394So">[4]FuncStudy!$Y$1535</definedName>
    <definedName name="UACCT394SSGCH">[4]FuncStudy!$Y$1538</definedName>
    <definedName name="UACCT394SSGCT">[4]FuncStudy!$Y$1539</definedName>
    <definedName name="UAcct395S">[4]FuncStudy!$Y$1543</definedName>
    <definedName name="UAcct395Se">[4]FuncStudy!$Y$1547</definedName>
    <definedName name="UAcct395Sg">[4]FuncStudy!$Y$1548</definedName>
    <definedName name="UAcct395Sgp">[4]FuncStudy!$Y$1544</definedName>
    <definedName name="UAcct395Sgu">[4]FuncStudy!$Y$1545</definedName>
    <definedName name="UAcct395So">[4]FuncStudy!$Y$1546</definedName>
    <definedName name="UACCT395SSGCH">[4]FuncStudy!$Y$1549</definedName>
    <definedName name="UACCT395SSGCT">[4]FuncStudy!$Y$1550</definedName>
    <definedName name="UAcct396S">[4]FuncStudy!$Y$1554</definedName>
    <definedName name="UAcct396Se">[4]FuncStudy!$Y$1559</definedName>
    <definedName name="UAcct396Sg">[4]FuncStudy!$Y$1556</definedName>
    <definedName name="UAcct396Sgp">[4]FuncStudy!$Y$1555</definedName>
    <definedName name="UAcct396Sgu">[4]FuncStudy!$Y$1558</definedName>
    <definedName name="UAcct396So">[4]FuncStudy!$Y$1557</definedName>
    <definedName name="UACCT396SSGCH">[4]FuncStudy!$Y$1561</definedName>
    <definedName name="UACCT396SSGCT">[4]FuncStudy!$Y$1560</definedName>
    <definedName name="UAcct397Cn">[4]FuncStudy!$Y$1569</definedName>
    <definedName name="UAcct397S">[4]FuncStudy!$Y$1565</definedName>
    <definedName name="UAcct397Se">[4]FuncStudy!$Y$1571</definedName>
    <definedName name="UAcct397Sg">[4]FuncStudy!$Y$1570</definedName>
    <definedName name="UAcct397Sgp">[4]FuncStudy!$Y$1566</definedName>
    <definedName name="UAcct397Sgu">[4]FuncStudy!$Y$1567</definedName>
    <definedName name="UAcct397So">[4]FuncStudy!$Y$1568</definedName>
    <definedName name="UACCT397SSGCH">[4]FuncStudy!$Y$1572</definedName>
    <definedName name="UACCT397SSGCT">[4]FuncStudy!$Y$1573</definedName>
    <definedName name="UAcct398Cn">[4]FuncStudy!$Y$1580</definedName>
    <definedName name="UAcct398S">[4]FuncStudy!$Y$1577</definedName>
    <definedName name="UAcct398Se">[4]FuncStudy!$Y$1582</definedName>
    <definedName name="UAcct398Sg">[4]FuncStudy!$Y$1583</definedName>
    <definedName name="UAcct398Sgp">[4]FuncStudy!$Y$1578</definedName>
    <definedName name="UAcct398Sgu">[4]FuncStudy!$Y$1579</definedName>
    <definedName name="UAcct398So">[4]FuncStudy!$Y$1581</definedName>
    <definedName name="UACCT398SSGCT">[4]FuncStudy!$Y$1584</definedName>
    <definedName name="UAcct399">[4]FuncStudy!$Y$1591</definedName>
    <definedName name="UAcct399G">[4]FuncStudy!$Y$1632</definedName>
    <definedName name="UAcct399L">[4]FuncStudy!$Y$1595</definedName>
    <definedName name="UAcct399Lrcl">[4]FuncStudy!$Y$1597</definedName>
    <definedName name="UAcct403360">[4]FuncStudy!$Y$809</definedName>
    <definedName name="UAcct403361">[4]FuncStudy!$Y$810</definedName>
    <definedName name="UAcct403362">[4]FuncStudy!$Y$811</definedName>
    <definedName name="UAcct403364">[4]FuncStudy!$Y$812</definedName>
    <definedName name="UAcct403365">[4]FuncStudy!$Y$813</definedName>
    <definedName name="UAcct403366">[4]FuncStudy!$Y$814</definedName>
    <definedName name="UAcct403367">[4]FuncStudy!$Y$815</definedName>
    <definedName name="UAcct403368">[4]FuncStudy!$Y$816</definedName>
    <definedName name="UAcct403369">[4]FuncStudy!$Y$817</definedName>
    <definedName name="UAcct403370">[4]FuncStudy!$Y$818</definedName>
    <definedName name="UAcct403371">[4]FuncStudy!$Y$819</definedName>
    <definedName name="UAcct403372">[4]FuncStudy!$Y$820</definedName>
    <definedName name="UAcct403373">[4]FuncStudy!$Y$821</definedName>
    <definedName name="UAcct403Ep">[4]FuncStudy!$Y$847</definedName>
    <definedName name="UAcct403Gpcn">[4]FuncStudy!$Y$829</definedName>
    <definedName name="UAcct403Gps">[4]FuncStudy!$Y$825</definedName>
    <definedName name="UAcct403Gpseu">[4]FuncStudy!$Y$828</definedName>
    <definedName name="UAcct403Gpsg">[4]FuncStudy!$Y$830</definedName>
    <definedName name="UAcct403Gpsgp">[4]FuncStudy!$Y$826</definedName>
    <definedName name="UAcct403Gpsgu">[4]FuncStudy!$Y$827</definedName>
    <definedName name="UAcct403Gpso">[4]FuncStudy!$Y$831</definedName>
    <definedName name="uacct403gpssgch">[4]FuncStudy!$Y$833</definedName>
    <definedName name="UACCT403GPSSGCT">[4]FuncStudy!$Y$832</definedName>
    <definedName name="UAcct403Gv0">[4]FuncStudy!$Y$838</definedName>
    <definedName name="UAcct403Hp">[4]FuncStudy!$Y$793</definedName>
    <definedName name="UAcct403Mp">[4]FuncStudy!$Y$842</definedName>
    <definedName name="UAcct403Np">[4]FuncStudy!$Y$788</definedName>
    <definedName name="UAcct403Op">[4]FuncStudy!$Y$800</definedName>
    <definedName name="UAcct403Opsgu">[4]FuncStudy!$Y$797</definedName>
    <definedName name="uacct403opssgct">[4]FuncStudy!$Y$798</definedName>
    <definedName name="uacct403sgw">[4]FuncStudy!$Y$799</definedName>
    <definedName name="uacct403spdgp">[4]FuncStudy!$Y$780</definedName>
    <definedName name="uacct403spdgu">[4]FuncStudy!$Y$781</definedName>
    <definedName name="uacct403spsg">[4]FuncStudy!$Y$782</definedName>
    <definedName name="uacct403ssgch">[4]FuncStudy!$Y$783</definedName>
    <definedName name="UAcct403Tp">[4]FuncStudy!$Y$806</definedName>
    <definedName name="UAcct404330">[4]FuncStudy!$Y$881</definedName>
    <definedName name="UAcct404Clg">[4]FuncStudy!$Y$858</definedName>
    <definedName name="UAcct404Clgsop">[4]FuncStudy!$Y$856</definedName>
    <definedName name="UAcct404Clgsou">[4]FuncStudy!$Y$854</definedName>
    <definedName name="UAcct404Cls">[4]FuncStudy!$Y$862</definedName>
    <definedName name="UAcct404Ipcn">[4]FuncStudy!$Y$868</definedName>
    <definedName name="UACCT404IPDGU">[4]FuncStudy!$Y$870</definedName>
    <definedName name="UAcct404Ips">[4]FuncStudy!$Y$865</definedName>
    <definedName name="UAcct404Ipse">[4]FuncStudy!$Y$866</definedName>
    <definedName name="UACCT404IPSGP">[4]FuncStudy!$Y$869</definedName>
    <definedName name="UAcct404Ipso">[4]FuncStudy!$Y$867</definedName>
    <definedName name="UACCT404IPSSGCH">[4]FuncStudy!$Y$871</definedName>
    <definedName name="UAcct404O">[4]FuncStudy!$Y$876</definedName>
    <definedName name="UAcct405">[4]FuncStudy!$Y$889</definedName>
    <definedName name="UAcct406">[4]FuncStudy!$Y$895</definedName>
    <definedName name="UAcct407">[4]FuncStudy!$Y$904</definedName>
    <definedName name="UAcct408">[4]FuncStudy!$Y$917</definedName>
    <definedName name="UAcct408S">[4]FuncStudy!$Y$909</definedName>
    <definedName name="UAcct40910FITOther">[4]FuncStudy!$Y$1136</definedName>
    <definedName name="UAcct40910FitPMI">[4]FuncStudy!$Y$1134</definedName>
    <definedName name="UAcct40910FITPTC">[4]FuncStudy!$Y$1135</definedName>
    <definedName name="UAcct40910FITSitus">[4]FuncStudy!$Y$1137</definedName>
    <definedName name="UAcct40911Dgu">[4]FuncStudy!$Y$1104</definedName>
    <definedName name="UAcct41010">[4]FuncStudy!$Y$978</definedName>
    <definedName name="UAcct41020">[4]FuncStudy!$Y$993</definedName>
    <definedName name="UAcct41111">[4]FuncStudy!$Y$1027</definedName>
    <definedName name="UAcct41120">[4]FuncStudy!$Y$1012</definedName>
    <definedName name="UAcct41140">[4]FuncStudy!$Y$922</definedName>
    <definedName name="UAcct41141">[4]FuncStudy!$Y$927</definedName>
    <definedName name="UAcct41160">[4]FuncStudy!$Y$178</definedName>
    <definedName name="UAcct41170">[4]FuncStudy!$Y$183</definedName>
    <definedName name="UAcct4118">[4]FuncStudy!$Y$187</definedName>
    <definedName name="UAcct41181">[4]FuncStudy!$Y$190</definedName>
    <definedName name="UAcct4194">[4]FuncStudy!$Y$194</definedName>
    <definedName name="UAcct419Doth">[4]FuncStudy!$Y$958</definedName>
    <definedName name="UAcct421">[4]FuncStudy!$Y$203</definedName>
    <definedName name="UAcct4311">[4]FuncStudy!$Y$210</definedName>
    <definedName name="UAcct442Se">[4]FuncStudy!$Y$100</definedName>
    <definedName name="UAcct442Sg">[4]FuncStudy!$Y$101</definedName>
    <definedName name="UAcct447">[4]FuncStudy!$Y$125</definedName>
    <definedName name="UAcct447Dgu" localSheetId="4">'[5]Func Study'!#REF!</definedName>
    <definedName name="UAcct447Dgu" localSheetId="2">'[5]Func Study'!#REF!</definedName>
    <definedName name="UAcct447Dgu">'[5]Func Study'!#REF!</definedName>
    <definedName name="UAcct447S">[4]FuncStudy!$Y$121</definedName>
    <definedName name="UAcct447Se">[4]FuncStudy!$Y$124</definedName>
    <definedName name="UAcct448S">[4]FuncStudy!$Y$114</definedName>
    <definedName name="UAcct448So">[4]FuncStudy!$Y$115</definedName>
    <definedName name="UAcct449">[4]FuncStudy!$Y$130</definedName>
    <definedName name="UAcct450">[4]FuncStudy!$Y$141</definedName>
    <definedName name="UAcct450S">[4]FuncStudy!$Y$139</definedName>
    <definedName name="UAcct450So">[4]FuncStudy!$Y$140</definedName>
    <definedName name="UAcct451S">[4]FuncStudy!$Y$144</definedName>
    <definedName name="UAcct451Sg">[4]FuncStudy!$Y$145</definedName>
    <definedName name="UAcct451So">[4]FuncStudy!$Y$146</definedName>
    <definedName name="UAcct453">[4]FuncStudy!$Y$151</definedName>
    <definedName name="UAcct454">[4]FuncStudy!$Y$157</definedName>
    <definedName name="UAcct454S">[4]FuncStudy!$Y$154</definedName>
    <definedName name="UAcct454Sg">[4]FuncStudy!$Y$155</definedName>
    <definedName name="UAcct454So">[4]FuncStudy!$Y$156</definedName>
    <definedName name="UAcct456">[4]FuncStudy!$Y$165</definedName>
    <definedName name="UAcct456Cn">[4]FuncStudy!$Y$161</definedName>
    <definedName name="UAcct456S">[4]FuncStudy!$Y$160</definedName>
    <definedName name="UAcct456Se">[4]FuncStudy!$Y$162</definedName>
    <definedName name="UAcct500">[4]FuncStudy!$Y$226</definedName>
    <definedName name="UACCT500SSGCH">[4]FuncStudy!$Y$225</definedName>
    <definedName name="UAcct501">[4]FuncStudy!$Y$234</definedName>
    <definedName name="UAcct501Se">[4]FuncStudy!$Y$229</definedName>
    <definedName name="UACCT501SENNPC">[4]FuncStudy!$Y$230</definedName>
    <definedName name="uacct501ssech">[4]FuncStudy!$Y$233</definedName>
    <definedName name="UACCT501SSECHNNPC">[4]FuncStudy!$Y$232</definedName>
    <definedName name="uacct501ssect">[4]FuncStudy!$Y$231</definedName>
    <definedName name="UAcct502">[4]FuncStudy!$Y$239</definedName>
    <definedName name="uacct502snpps">[4]FuncStudy!$Y$237</definedName>
    <definedName name="uacct502ssgch">[4]FuncStudy!$Y$238</definedName>
    <definedName name="UAcct503">[4]FuncStudy!$Y$244</definedName>
    <definedName name="UAcct503Se">[4]FuncStudy!$Y$242</definedName>
    <definedName name="UACCT503SENNPC">[4]FuncStudy!$Y$243</definedName>
    <definedName name="UAcct505">[4]FuncStudy!$Y$249</definedName>
    <definedName name="uacct505snpps">[4]FuncStudy!$Y$247</definedName>
    <definedName name="uacct505ssgch">[4]FuncStudy!$Y$248</definedName>
    <definedName name="UAcct506">[4]FuncStudy!$Y$255</definedName>
    <definedName name="UAcct506Se">[4]FuncStudy!$Y$253</definedName>
    <definedName name="uacct506snpps">[4]FuncStudy!$Y$252</definedName>
    <definedName name="uacct506ssgch">[4]FuncStudy!$Y$254</definedName>
    <definedName name="UAcct507">[4]FuncStudy!$Y$260</definedName>
    <definedName name="uacct507ssgch">[4]FuncStudy!$Y$259</definedName>
    <definedName name="UAcct510">[4]FuncStudy!$Y$265</definedName>
    <definedName name="uacct510ssgch">[4]FuncStudy!$Y$264</definedName>
    <definedName name="UAcct511">[4]FuncStudy!$Y$270</definedName>
    <definedName name="uacct511ssgch">[4]FuncStudy!$Y$269</definedName>
    <definedName name="UAcct512">[4]FuncStudy!$Y$275</definedName>
    <definedName name="uacct512ssgch">[4]FuncStudy!$Y$274</definedName>
    <definedName name="UAcct513">[4]FuncStudy!$Y$280</definedName>
    <definedName name="uacct513ssgch">[4]FuncStudy!$Y$279</definedName>
    <definedName name="UAcct514">[4]FuncStudy!$Y$285</definedName>
    <definedName name="uacct514ssgch">[4]FuncStudy!$Y$284</definedName>
    <definedName name="UAcct517">[4]FuncStudy!$Y$291</definedName>
    <definedName name="UAcct518">[4]FuncStudy!$Y$295</definedName>
    <definedName name="UAcct519">[4]FuncStudy!$Y$300</definedName>
    <definedName name="UAcct520">[4]FuncStudy!$Y$304</definedName>
    <definedName name="UAcct523">[4]FuncStudy!$Y$308</definedName>
    <definedName name="UAcct524">[4]FuncStudy!$Y$312</definedName>
    <definedName name="UAcct528">[4]FuncStudy!$Y$316</definedName>
    <definedName name="UAcct529">[4]FuncStudy!$Y$320</definedName>
    <definedName name="UAcct530">[4]FuncStudy!$Y$324</definedName>
    <definedName name="UAcct531">[4]FuncStudy!$Y$328</definedName>
    <definedName name="UAcct532">[4]FuncStudy!$Y$332</definedName>
    <definedName name="UAcct535">[4]FuncStudy!$Y$339</definedName>
    <definedName name="UAcct536">[4]FuncStudy!$Y$343</definedName>
    <definedName name="UAcct537">[4]FuncStudy!$Y$347</definedName>
    <definedName name="UAcct538">[4]FuncStudy!$Y$351</definedName>
    <definedName name="UAcct539">[4]FuncStudy!$Y$355</definedName>
    <definedName name="UAcct540">[4]FuncStudy!$Y$359</definedName>
    <definedName name="UAcct541">[4]FuncStudy!$Y$363</definedName>
    <definedName name="UAcct542">[4]FuncStudy!$Y$367</definedName>
    <definedName name="UAcct543">[4]FuncStudy!$Y$371</definedName>
    <definedName name="UAcct544">[4]FuncStudy!$Y$375</definedName>
    <definedName name="UAcct545">[4]FuncStudy!$Y$379</definedName>
    <definedName name="UAcct546">[4]FuncStudy!$Y$386</definedName>
    <definedName name="UAcct547Se">[4]FuncStudy!$Y$389</definedName>
    <definedName name="UACCT547SSECT">[4]FuncStudy!$Y$390</definedName>
    <definedName name="UAcct548">[4]FuncStudy!$Y$396</definedName>
    <definedName name="uacct548ssgct">[4]FuncStudy!$Y$395</definedName>
    <definedName name="UAcct549">[4]FuncStudy!$Y$401</definedName>
    <definedName name="UAcct549sg">[4]FuncStudy!$Y$399</definedName>
    <definedName name="uacct550">[4]FuncStudy!$Y$407</definedName>
    <definedName name="UACCT550sg">[4]FuncStudy!$Y$405</definedName>
    <definedName name="UAcct551">[4]FuncStudy!$Y$411</definedName>
    <definedName name="UAcct552">[4]FuncStudy!$Y$416</definedName>
    <definedName name="UAcct553">[4]FuncStudy!$Y$423</definedName>
    <definedName name="UACCT553SSGCT">[4]FuncStudy!$Y$421</definedName>
    <definedName name="UAcct554">[4]FuncStudy!$Y$429</definedName>
    <definedName name="UAcct554SSCT">[4]FuncStudy!$Y$427</definedName>
    <definedName name="uacct555dgp">[4]FuncStudy!$Y$438</definedName>
    <definedName name="UAcct555Dgu">[4]FuncStudy!$Y$435</definedName>
    <definedName name="UAcct555S">[4]FuncStudy!$Y$434</definedName>
    <definedName name="UAcct555Se">[4]FuncStudy!$Y$436</definedName>
    <definedName name="uacct555ssgp">[4]FuncStudy!$Y$437</definedName>
    <definedName name="UAcct556">[4]FuncStudy!$Y$443</definedName>
    <definedName name="UAcct557">[4]FuncStudy!$Y$452</definedName>
    <definedName name="UACCT557SSGCT">[4]FuncStudy!$Y$450</definedName>
    <definedName name="UAcct560">[4]FuncStudy!$Y$477</definedName>
    <definedName name="UAcct561">[4]FuncStudy!$Y$481</definedName>
    <definedName name="UAcct562">[4]FuncStudy!$Y$485</definedName>
    <definedName name="UAcct563">[4]FuncStudy!$Y$489</definedName>
    <definedName name="UAcct564">[4]FuncStudy!$Y$493</definedName>
    <definedName name="UAcct565">[4]FuncStudy!$Y$498</definedName>
    <definedName name="UAcct565Se">[4]FuncStudy!$Y$497</definedName>
    <definedName name="UAcct566">[4]FuncStudy!$Y$502</definedName>
    <definedName name="UAcct567">[4]FuncStudy!$Y$506</definedName>
    <definedName name="UAcct568">[4]FuncStudy!$Y$510</definedName>
    <definedName name="UAcct569">[4]FuncStudy!$Y$514</definedName>
    <definedName name="UAcct570">[4]FuncStudy!$Y$518</definedName>
    <definedName name="UAcct571">[4]FuncStudy!$Y$522</definedName>
    <definedName name="UAcct572">[4]FuncStudy!$Y$526</definedName>
    <definedName name="UAcct573">[4]FuncStudy!$Y$530</definedName>
    <definedName name="UAcct580">[4]FuncStudy!$Y$537</definedName>
    <definedName name="UAcct581">[4]FuncStudy!$Y$542</definedName>
    <definedName name="UAcct582">[4]FuncStudy!$Y$547</definedName>
    <definedName name="UAcct583">[4]FuncStudy!$Y$552</definedName>
    <definedName name="UAcct584">[4]FuncStudy!$Y$557</definedName>
    <definedName name="UAcct585">[4]FuncStudy!$Y$562</definedName>
    <definedName name="UAcct586">[4]FuncStudy!$Y$567</definedName>
    <definedName name="UAcct587">[4]FuncStudy!$Y$572</definedName>
    <definedName name="UAcct588">[4]FuncStudy!$Y$577</definedName>
    <definedName name="UAcct589">[4]FuncStudy!$Y$582</definedName>
    <definedName name="UAcct590">[4]FuncStudy!$Y$587</definedName>
    <definedName name="UAcct591">[4]FuncStudy!$Y$592</definedName>
    <definedName name="UAcct592">[4]FuncStudy!$Y$597</definedName>
    <definedName name="UAcct593">[4]FuncStudy!$Y$602</definedName>
    <definedName name="UAcct594">[4]FuncStudy!$Y$607</definedName>
    <definedName name="UAcct595">[4]FuncStudy!$Y$612</definedName>
    <definedName name="UAcct596">[4]FuncStudy!$Y$617</definedName>
    <definedName name="UAcct597">[4]FuncStudy!$Y$622</definedName>
    <definedName name="UAcct598">[4]FuncStudy!$Y$627</definedName>
    <definedName name="UAcct901">[4]FuncStudy!$Y$634</definedName>
    <definedName name="UAcct902">[4]FuncStudy!$Y$639</definedName>
    <definedName name="UAcct903">[4]FuncStudy!$Y$644</definedName>
    <definedName name="UAcct904">[4]FuncStudy!$Y$650</definedName>
    <definedName name="UAcct905">[4]FuncStudy!$Y$655</definedName>
    <definedName name="UAcct907">[4]FuncStudy!$Y$662</definedName>
    <definedName name="UAcct908">[4]FuncStudy!$Y$667</definedName>
    <definedName name="UAcct909">[4]FuncStudy!$Y$672</definedName>
    <definedName name="UAcct910">[4]FuncStudy!$Y$677</definedName>
    <definedName name="UAcct911">[4]FuncStudy!$Y$684</definedName>
    <definedName name="UAcct912">[4]FuncStudy!$Y$689</definedName>
    <definedName name="UAcct913">[4]FuncStudy!$Y$694</definedName>
    <definedName name="UAcct916">[4]FuncStudy!$Y$699</definedName>
    <definedName name="UAcct920">[4]FuncStudy!$Y$708</definedName>
    <definedName name="UAcct920Cn">[4]FuncStudy!$Y$706</definedName>
    <definedName name="UAcct921">[4]FuncStudy!$Y$714</definedName>
    <definedName name="UAcct921Cn">[4]FuncStudy!$Y$712</definedName>
    <definedName name="UAcct923">[4]FuncStudy!$Y$720</definedName>
    <definedName name="UAcct923Cn">[4]FuncStudy!$Y$718</definedName>
    <definedName name="UAcct924S">[4]FuncStudy!$Y$723</definedName>
    <definedName name="UACCT924SG">[4]FuncStudy!$Y$724</definedName>
    <definedName name="UAcct924SO">[4]FuncStudy!$Y$725</definedName>
    <definedName name="UAcct925">[4]FuncStudy!$Y$730</definedName>
    <definedName name="UAcct926">[4]FuncStudy!$Y$736</definedName>
    <definedName name="UAcct927">[4]FuncStudy!$Y$741</definedName>
    <definedName name="UAcct928">[4]FuncStudy!$Y$748</definedName>
    <definedName name="UAcct928RE">[4]FuncStudy!$Y$750</definedName>
    <definedName name="UAcct929">[4]FuncStudy!$Y$755</definedName>
    <definedName name="UACCT930cn">[4]FuncStudy!$Y$759</definedName>
    <definedName name="UAcct930S">[4]FuncStudy!$Y$758</definedName>
    <definedName name="UAcct930So">[4]FuncStudy!$Y$760</definedName>
    <definedName name="UAcct931">[4]FuncStudy!$Y$766</definedName>
    <definedName name="UAcct935">[4]FuncStudy!$Y$772</definedName>
    <definedName name="UAcctAGA">[4]FuncStudy!$Y$133</definedName>
    <definedName name="UAcctd00">[4]FuncStudy!$Y$1472</definedName>
    <definedName name="UAcctdfad">[4]FuncStudy!$Y$215</definedName>
    <definedName name="UAcctdfap">[4]FuncStudy!$Y$213</definedName>
    <definedName name="UAcctdfat">[4]FuncStudy!$Y$214</definedName>
    <definedName name="UAcctds0">[4]FuncStudy!$Y$1476</definedName>
    <definedName name="UAcctfit">[4]FuncStudy!$Y$1143</definedName>
    <definedName name="UAcctg00">[4]FuncStudy!$Y$1624</definedName>
    <definedName name="UAccth00">[4]FuncStudy!$Y$1258</definedName>
    <definedName name="UAccti00">[4]FuncStudy!$Y$1666</definedName>
    <definedName name="UAcctn00">[4]FuncStudy!$Y$1214</definedName>
    <definedName name="UAccto00">[4]FuncStudy!$Y$1309</definedName>
    <definedName name="UAcctowc">[4]FuncStudy!$Y$1811</definedName>
    <definedName name="uacctowcssech">[4]FuncStudy!$Y$1810</definedName>
    <definedName name="UAccts00">[4]FuncStudy!$Y$1182</definedName>
    <definedName name="UAcctSchM">[4]FuncStudy!$Y$1121</definedName>
    <definedName name="UAcctt00">[4]FuncStudy!$Y$1377</definedName>
    <definedName name="UACT553SGW">[4]FuncStudy!$Y$422</definedName>
    <definedName name="UNBILREV" localSheetId="4">#REF!</definedName>
    <definedName name="UNBILREV" localSheetId="2">#REF!</definedName>
    <definedName name="UNBILREV" localSheetId="7">#REF!</definedName>
    <definedName name="UNBILREV" localSheetId="3">#REF!</definedName>
    <definedName name="UNBILREV">#REF!</definedName>
    <definedName name="UncollectibleAccounts">[9]Variables!$D$25</definedName>
    <definedName name="USBR" localSheetId="4">#REF!</definedName>
    <definedName name="USBR" localSheetId="2">#REF!</definedName>
    <definedName name="USBR" localSheetId="3">#REF!</definedName>
    <definedName name="USBR">#REF!</definedName>
    <definedName name="USCHMAFS">[4]FuncStudy!$Y$1032</definedName>
    <definedName name="USCHMAFSE">[4]FuncStudy!$Y$1035</definedName>
    <definedName name="USCHMAFSG">[4]FuncStudy!$Y$1037</definedName>
    <definedName name="USCHMAFSNP">[4]FuncStudy!$Y$1033</definedName>
    <definedName name="USCHMAFSO">[4]FuncStudy!$Y$1034</definedName>
    <definedName name="USCHMAFTROJP">[4]FuncStudy!$Y$1036</definedName>
    <definedName name="USCHMAPBADDEBT">[4]FuncStudy!$Y$1046</definedName>
    <definedName name="USCHMAPS">[4]FuncStudy!$Y$1041</definedName>
    <definedName name="USCHMAPSE">[4]FuncStudy!$Y$1042</definedName>
    <definedName name="USCHMAPSG">[4]FuncStudy!$Y$1045</definedName>
    <definedName name="USCHMAPSNP">[4]FuncStudy!$Y$1043</definedName>
    <definedName name="USCHMAPSO">[4]FuncStudy!$Y$1044</definedName>
    <definedName name="USCHMATBADDEBT">[4]FuncStudy!$Y$1061</definedName>
    <definedName name="USCHMATCIAC">[4]FuncStudy!$Y$1052</definedName>
    <definedName name="USCHMATGPS">[4]FuncStudy!$Y$1058</definedName>
    <definedName name="USCHMATS">[4]FuncStudy!$Y$1050</definedName>
    <definedName name="USCHMATSCHMDEXP">[4]FuncStudy!$Y$1063</definedName>
    <definedName name="USCHMATSE">[4]FuncStudy!$Y$1056</definedName>
    <definedName name="USCHMATSG">[4]FuncStudy!$Y$1055</definedName>
    <definedName name="USCHMATSG2">[4]FuncStudy!$Y$1057</definedName>
    <definedName name="USCHMATSGCT">[4]FuncStudy!$Y$1051</definedName>
    <definedName name="USCHMATSNP">[4]FuncStudy!$Y$1053</definedName>
    <definedName name="USCHMATSNPD">[4]FuncStudy!$Y$1060</definedName>
    <definedName name="USCHMATSO">[4]FuncStudy!$Y$1059</definedName>
    <definedName name="USCHMATTAXDEPR">[4]FuncStudy!$Y$1062</definedName>
    <definedName name="USCHMATTROJD">[4]FuncStudy!$Y$1054</definedName>
    <definedName name="USCHMDFDGP">[4]FuncStudy!$Y$1070</definedName>
    <definedName name="USCHMDFDGU">[4]FuncStudy!$Y$1071</definedName>
    <definedName name="USCHMDFS">[4]FuncStudy!$Y$1069</definedName>
    <definedName name="USCHMDPIBT">[4]FuncStudy!$Y$1077</definedName>
    <definedName name="USCHMDPS">[4]FuncStudy!$Y$1074</definedName>
    <definedName name="USCHMDPSE">[4]FuncStudy!$Y$1075</definedName>
    <definedName name="USCHMDPSG">[4]FuncStudy!$Y$1078</definedName>
    <definedName name="USCHMDPSNP">[4]FuncStudy!$Y$1076</definedName>
    <definedName name="USCHMDPSO">[4]FuncStudy!$Y$1079</definedName>
    <definedName name="USCHMDTBADDEBT">[4]FuncStudy!$Y$1084</definedName>
    <definedName name="USCHMDTCN">[4]FuncStudy!$Y$1086</definedName>
    <definedName name="USCHMDTDGP">[4]FuncStudy!$Y$1088</definedName>
    <definedName name="USCHMDTGPS">[4]FuncStudy!$Y$1091</definedName>
    <definedName name="USCHMDTS">[4]FuncStudy!$Y$1083</definedName>
    <definedName name="USCHMDTSE">[4]FuncStudy!$Y$1089</definedName>
    <definedName name="USCHMDTSG">[4]FuncStudy!$Y$1090</definedName>
    <definedName name="USCHMDTSNP">[4]FuncStudy!$Y$1085</definedName>
    <definedName name="USCHMDTSNPD">[4]FuncStudy!$Y$1094</definedName>
    <definedName name="USCHMDTSO">[4]FuncStudy!$Y$1092</definedName>
    <definedName name="USCHMDTTAXDEPR">[4]FuncStudy!$Y$1093</definedName>
    <definedName name="USCHMDTTROJD">[4]FuncStudy!$Y$1087</definedName>
    <definedName name="UT_305A_FY_2002" localSheetId="4">#REF!</definedName>
    <definedName name="UT_305A_FY_2002" localSheetId="2">#REF!</definedName>
    <definedName name="UT_305A_FY_2002" localSheetId="3">#REF!</definedName>
    <definedName name="UT_305A_FY_2002">#REF!</definedName>
    <definedName name="UT_RVN_0302" localSheetId="4">#REF!</definedName>
    <definedName name="UT_RVN_0302" localSheetId="2">#REF!</definedName>
    <definedName name="UT_RVN_0302" localSheetId="7">#REF!</definedName>
    <definedName name="UT_RVN_0302">#REF!</definedName>
    <definedName name="UtGrossReceipts">[9]Variables!$D$29</definedName>
    <definedName name="ValidAccount">[6]Variables!$AK$43:$AK$369</definedName>
    <definedName name="VAR" localSheetId="4">[14]Backup!#REF!</definedName>
    <definedName name="VAR" localSheetId="2">[14]Backup!#REF!</definedName>
    <definedName name="VAR" localSheetId="7">[14]Backup!#REF!</definedName>
    <definedName name="VAR" localSheetId="3">[14]Backup!#REF!</definedName>
    <definedName name="VAR">[14]Backup!#REF!</definedName>
    <definedName name="VARIABLE" localSheetId="4">[13]Summary!#REF!</definedName>
    <definedName name="VARIABLE" localSheetId="2">[13]Summary!#REF!</definedName>
    <definedName name="VARIABLE" localSheetId="7">[13]Summary!#REF!</definedName>
    <definedName name="VARIABLE" localSheetId="3">[13]Summary!#REF!</definedName>
    <definedName name="VARIABLE">[13]Summary!#REF!</definedName>
    <definedName name="VOUCHER" localSheetId="4">#REF!</definedName>
    <definedName name="VOUCHER" localSheetId="2">#REF!</definedName>
    <definedName name="VOUCHER" localSheetId="3">#REF!</definedName>
    <definedName name="VOUCHER">#REF!</definedName>
    <definedName name="WaRevenueTax">[9]Variables!$D$27</definedName>
    <definedName name="WEATHER" localSheetId="4">#REF!</definedName>
    <definedName name="WEATHER" localSheetId="2">#REF!</definedName>
    <definedName name="WEATHER" localSheetId="3">#REF!</definedName>
    <definedName name="WEATHER">#REF!</definedName>
    <definedName name="WEATHRNORM" localSheetId="4">#REF!</definedName>
    <definedName name="WEATHRNORM" localSheetId="2">#REF!</definedName>
    <definedName name="WEATHRNORM" localSheetId="7">#REF!</definedName>
    <definedName name="WEATHRNORM" localSheetId="3">#REF!</definedName>
    <definedName name="WEATHRNORM">#REF!</definedName>
    <definedName name="WIDTH" localSheetId="4">#REF!</definedName>
    <definedName name="WIDTH" localSheetId="2">#REF!</definedName>
    <definedName name="WIDTH">#REF!</definedName>
    <definedName name="WinterPeak">'[22]Load Data'!$D$9:$H$12,'[22]Load Data'!$D$20:$H$22</definedName>
    <definedName name="WN" localSheetId="4">#REF!</definedName>
    <definedName name="WN" localSheetId="2">#REF!</definedName>
    <definedName name="WN">#REF!</definedName>
    <definedName name="WORK1" localSheetId="4">#REF!</definedName>
    <definedName name="WORK1" localSheetId="2">#REF!</definedName>
    <definedName name="WORK1" localSheetId="7">#REF!</definedName>
    <definedName name="WORK1" localSheetId="3">#REF!</definedName>
    <definedName name="WORK1">#REF!</definedName>
    <definedName name="WORK2" localSheetId="4">#REF!</definedName>
    <definedName name="WORK2" localSheetId="2">#REF!</definedName>
    <definedName name="WORK2" localSheetId="7">#REF!</definedName>
    <definedName name="WORK2">#REF!</definedName>
    <definedName name="WORK3" localSheetId="4">#REF!</definedName>
    <definedName name="WORK3" localSheetId="2">#REF!</definedName>
    <definedName name="WORK3" localSheetId="7">#REF!</definedName>
    <definedName name="WORK3">#REF!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localSheetId="7">'[23]Weather Present'!$K$7</definedName>
    <definedName name="x">'[23]Weather Present'!$K$7</definedName>
    <definedName name="y" localSheetId="7" hidden="1">'[3]DSM Output'!$B$21:$B$23</definedName>
    <definedName name="y" hidden="1">'[3]DSM Output'!$B$21:$B$23</definedName>
    <definedName name="Year" localSheetId="4">#REF!</definedName>
    <definedName name="Year" localSheetId="2">#REF!</definedName>
    <definedName name="Year" localSheetId="3">#REF!</definedName>
    <definedName name="Year">#REF!</definedName>
    <definedName name="YEFactors">[6]Factors!$S$3:$AG$99</definedName>
    <definedName name="z" localSheetId="7" hidden="1">'[3]DSM Output'!$G$21:$G$23</definedName>
    <definedName name="z" hidden="1">'[3]DSM Output'!$G$21:$G$23</definedName>
    <definedName name="ZA" localSheetId="4">'[24] annual balance '!#REF!</definedName>
    <definedName name="ZA" localSheetId="2">'[24] annual balance '!#REF!</definedName>
    <definedName name="ZA" localSheetId="3">'[24] annual balance '!#REF!</definedName>
    <definedName name="ZA" localSheetId="5">'[24] annual balance '!#REF!</definedName>
    <definedName name="ZA">'[24] annual balance '!#REF!</definedName>
  </definedNames>
  <calcPr calcId="152511"/>
</workbook>
</file>

<file path=xl/calcChain.xml><?xml version="1.0" encoding="utf-8"?>
<calcChain xmlns="http://schemas.openxmlformats.org/spreadsheetml/2006/main">
  <c r="B28" i="48" l="1"/>
  <c r="B9" i="48"/>
  <c r="C9" i="48" s="1"/>
  <c r="D9" i="48" l="1"/>
  <c r="E10" i="48"/>
  <c r="E9" i="48" l="1"/>
  <c r="G9" i="48" s="1"/>
  <c r="H10" i="48" s="1"/>
  <c r="H9" i="48" l="1"/>
  <c r="I10" i="48" s="1"/>
  <c r="I9" i="48"/>
  <c r="F635" i="45"/>
  <c r="C442" i="45"/>
  <c r="M3" i="44" l="1"/>
  <c r="E174" i="44"/>
  <c r="F638" i="45" l="1"/>
  <c r="C638" i="45"/>
  <c r="F637" i="45"/>
  <c r="C637" i="45"/>
  <c r="F636" i="45"/>
  <c r="C636" i="45"/>
  <c r="F634" i="45"/>
  <c r="C634" i="45"/>
  <c r="F633" i="45"/>
  <c r="C633" i="45"/>
  <c r="F632" i="45"/>
  <c r="C632" i="45"/>
  <c r="F631" i="45"/>
  <c r="C631" i="45"/>
  <c r="F630" i="45"/>
  <c r="C630" i="45"/>
  <c r="F629" i="45"/>
  <c r="C629" i="45"/>
  <c r="F628" i="45"/>
  <c r="C628" i="45"/>
  <c r="F627" i="45"/>
  <c r="C627" i="45"/>
  <c r="F625" i="45"/>
  <c r="C625" i="45"/>
  <c r="F624" i="45"/>
  <c r="C624" i="45"/>
  <c r="F623" i="45"/>
  <c r="C623" i="45"/>
  <c r="F622" i="45"/>
  <c r="C622" i="45"/>
  <c r="F621" i="45"/>
  <c r="C621" i="45"/>
  <c r="F620" i="45"/>
  <c r="C620" i="45"/>
  <c r="F619" i="45"/>
  <c r="C619" i="45"/>
  <c r="F618" i="45"/>
  <c r="C618" i="45"/>
  <c r="F617" i="45"/>
  <c r="C617" i="45"/>
  <c r="F616" i="45"/>
  <c r="C616" i="45"/>
  <c r="F615" i="45"/>
  <c r="C615" i="45"/>
  <c r="F614" i="45"/>
  <c r="C614" i="45"/>
  <c r="F612" i="45"/>
  <c r="C612" i="45"/>
  <c r="F611" i="45"/>
  <c r="C611" i="45"/>
  <c r="F610" i="45"/>
  <c r="C610" i="45"/>
  <c r="F609" i="45"/>
  <c r="C609" i="45"/>
  <c r="F608" i="45"/>
  <c r="C608" i="45"/>
  <c r="F607" i="45"/>
  <c r="C607" i="45"/>
  <c r="F606" i="45"/>
  <c r="C606" i="45"/>
  <c r="F605" i="45"/>
  <c r="C605" i="45"/>
  <c r="F604" i="45"/>
  <c r="C604" i="45"/>
  <c r="F603" i="45"/>
  <c r="C603" i="45"/>
  <c r="F602" i="45"/>
  <c r="C602" i="45"/>
  <c r="F601" i="45"/>
  <c r="C601" i="45"/>
  <c r="F599" i="45"/>
  <c r="C599" i="45"/>
  <c r="F598" i="45"/>
  <c r="C598" i="45"/>
  <c r="F597" i="45"/>
  <c r="C597" i="45"/>
  <c r="F596" i="45"/>
  <c r="C596" i="45"/>
  <c r="F595" i="45"/>
  <c r="C595" i="45"/>
  <c r="F594" i="45"/>
  <c r="C594" i="45"/>
  <c r="F593" i="45"/>
  <c r="C593" i="45"/>
  <c r="F592" i="45"/>
  <c r="C592" i="45"/>
  <c r="F591" i="45"/>
  <c r="C591" i="45"/>
  <c r="F590" i="45"/>
  <c r="C590" i="45"/>
  <c r="F589" i="45"/>
  <c r="C589" i="45"/>
  <c r="F588" i="45"/>
  <c r="C588" i="45"/>
  <c r="F586" i="45"/>
  <c r="C586" i="45"/>
  <c r="F585" i="45"/>
  <c r="C585" i="45"/>
  <c r="F584" i="45"/>
  <c r="C584" i="45"/>
  <c r="F583" i="45"/>
  <c r="C583" i="45"/>
  <c r="F582" i="45"/>
  <c r="C582" i="45"/>
  <c r="F581" i="45"/>
  <c r="C581" i="45"/>
  <c r="F580" i="45"/>
  <c r="C580" i="45"/>
  <c r="F579" i="45"/>
  <c r="C579" i="45"/>
  <c r="F578" i="45"/>
  <c r="C578" i="45"/>
  <c r="F577" i="45"/>
  <c r="C577" i="45"/>
  <c r="F576" i="45"/>
  <c r="C576" i="45"/>
  <c r="F575" i="45"/>
  <c r="C575" i="45"/>
  <c r="F573" i="45"/>
  <c r="C573" i="45"/>
  <c r="F572" i="45"/>
  <c r="C572" i="45"/>
  <c r="F571" i="45"/>
  <c r="C571" i="45"/>
  <c r="F570" i="45"/>
  <c r="C570" i="45"/>
  <c r="F569" i="45"/>
  <c r="C569" i="45"/>
  <c r="F568" i="45"/>
  <c r="C568" i="45"/>
  <c r="F567" i="45"/>
  <c r="C567" i="45"/>
  <c r="F566" i="45"/>
  <c r="C566" i="45"/>
  <c r="F565" i="45"/>
  <c r="C565" i="45"/>
  <c r="F564" i="45"/>
  <c r="C564" i="45"/>
  <c r="F563" i="45"/>
  <c r="C563" i="45"/>
  <c r="F562" i="45"/>
  <c r="C562" i="45"/>
  <c r="F560" i="45"/>
  <c r="C560" i="45"/>
  <c r="F559" i="45"/>
  <c r="C559" i="45"/>
  <c r="F558" i="45"/>
  <c r="C558" i="45"/>
  <c r="F557" i="45"/>
  <c r="C557" i="45"/>
  <c r="F556" i="45"/>
  <c r="C556" i="45"/>
  <c r="F555" i="45"/>
  <c r="C555" i="45"/>
  <c r="F554" i="45"/>
  <c r="C554" i="45"/>
  <c r="F553" i="45"/>
  <c r="C553" i="45"/>
  <c r="F552" i="45"/>
  <c r="C552" i="45"/>
  <c r="F551" i="45"/>
  <c r="C551" i="45"/>
  <c r="F550" i="45"/>
  <c r="C550" i="45"/>
  <c r="F549" i="45"/>
  <c r="C549" i="45"/>
  <c r="F547" i="45"/>
  <c r="C547" i="45"/>
  <c r="F546" i="45"/>
  <c r="C546" i="45"/>
  <c r="F545" i="45"/>
  <c r="C545" i="45"/>
  <c r="F544" i="45"/>
  <c r="C544" i="45"/>
  <c r="F543" i="45"/>
  <c r="C543" i="45"/>
  <c r="F542" i="45"/>
  <c r="C542" i="45"/>
  <c r="F541" i="45"/>
  <c r="C541" i="45"/>
  <c r="F540" i="45"/>
  <c r="C540" i="45"/>
  <c r="F539" i="45"/>
  <c r="C539" i="45"/>
  <c r="F538" i="45"/>
  <c r="C538" i="45"/>
  <c r="F537" i="45"/>
  <c r="C537" i="45"/>
  <c r="F536" i="45"/>
  <c r="C536" i="45"/>
  <c r="F534" i="45"/>
  <c r="C534" i="45"/>
  <c r="F533" i="45"/>
  <c r="C533" i="45"/>
  <c r="F532" i="45"/>
  <c r="C532" i="45"/>
  <c r="F531" i="45"/>
  <c r="C531" i="45"/>
  <c r="F530" i="45"/>
  <c r="C530" i="45"/>
  <c r="F529" i="45"/>
  <c r="C529" i="45"/>
  <c r="F528" i="45"/>
  <c r="C528" i="45"/>
  <c r="F527" i="45"/>
  <c r="C527" i="45"/>
  <c r="F526" i="45"/>
  <c r="C526" i="45"/>
  <c r="F525" i="45"/>
  <c r="C525" i="45"/>
  <c r="F524" i="45"/>
  <c r="C524" i="45"/>
  <c r="F523" i="45"/>
  <c r="C523" i="45"/>
  <c r="F521" i="45"/>
  <c r="C521" i="45"/>
  <c r="F520" i="45"/>
  <c r="C520" i="45"/>
  <c r="F519" i="45"/>
  <c r="C519" i="45"/>
  <c r="F518" i="45"/>
  <c r="C518" i="45"/>
  <c r="F517" i="45"/>
  <c r="C517" i="45"/>
  <c r="F516" i="45"/>
  <c r="C516" i="45"/>
  <c r="F515" i="45"/>
  <c r="C515" i="45"/>
  <c r="F514" i="45"/>
  <c r="C514" i="45"/>
  <c r="F513" i="45"/>
  <c r="C513" i="45"/>
  <c r="F512" i="45"/>
  <c r="C512" i="45"/>
  <c r="F511" i="45"/>
  <c r="C511" i="45"/>
  <c r="F510" i="45"/>
  <c r="C510" i="45"/>
  <c r="F508" i="45"/>
  <c r="C508" i="45"/>
  <c r="F507" i="45"/>
  <c r="C507" i="45"/>
  <c r="F506" i="45"/>
  <c r="C506" i="45"/>
  <c r="F505" i="45"/>
  <c r="C505" i="45"/>
  <c r="F504" i="45"/>
  <c r="C504" i="45"/>
  <c r="F503" i="45"/>
  <c r="C503" i="45"/>
  <c r="F502" i="45"/>
  <c r="C502" i="45"/>
  <c r="F501" i="45"/>
  <c r="C501" i="45"/>
  <c r="F500" i="45"/>
  <c r="C500" i="45"/>
  <c r="F499" i="45"/>
  <c r="C499" i="45"/>
  <c r="F498" i="45"/>
  <c r="C498" i="45"/>
  <c r="F497" i="45"/>
  <c r="C497" i="45"/>
  <c r="F495" i="45"/>
  <c r="C495" i="45"/>
  <c r="F494" i="45"/>
  <c r="C494" i="45"/>
  <c r="F493" i="45"/>
  <c r="C493" i="45"/>
  <c r="F492" i="45"/>
  <c r="C492" i="45"/>
  <c r="F491" i="45"/>
  <c r="C491" i="45"/>
  <c r="F490" i="45"/>
  <c r="C490" i="45"/>
  <c r="F489" i="45"/>
  <c r="C489" i="45"/>
  <c r="F488" i="45"/>
  <c r="C488" i="45"/>
  <c r="F487" i="45"/>
  <c r="C487" i="45"/>
  <c r="F486" i="45"/>
  <c r="C486" i="45"/>
  <c r="F485" i="45"/>
  <c r="C485" i="45"/>
  <c r="F484" i="45"/>
  <c r="C484" i="45"/>
  <c r="F482" i="45"/>
  <c r="C482" i="45"/>
  <c r="F481" i="45"/>
  <c r="C481" i="45"/>
  <c r="F480" i="45"/>
  <c r="C480" i="45"/>
  <c r="F479" i="45"/>
  <c r="C479" i="45"/>
  <c r="F478" i="45"/>
  <c r="C478" i="45"/>
  <c r="F477" i="45"/>
  <c r="C477" i="45"/>
  <c r="F476" i="45"/>
  <c r="C476" i="45"/>
  <c r="F475" i="45"/>
  <c r="C475" i="45"/>
  <c r="F474" i="45"/>
  <c r="C474" i="45"/>
  <c r="F473" i="45"/>
  <c r="C473" i="45"/>
  <c r="F472" i="45"/>
  <c r="C472" i="45"/>
  <c r="F471" i="45"/>
  <c r="C471" i="45"/>
  <c r="F469" i="45"/>
  <c r="C469" i="45"/>
  <c r="F468" i="45"/>
  <c r="C468" i="45"/>
  <c r="D467" i="45"/>
  <c r="C467" i="45" s="1"/>
  <c r="F466" i="45"/>
  <c r="C466" i="45"/>
  <c r="D465" i="45"/>
  <c r="C465" i="45" s="1"/>
  <c r="D464" i="45"/>
  <c r="C464" i="45" s="1"/>
  <c r="F463" i="45"/>
  <c r="C463" i="45"/>
  <c r="F462" i="45"/>
  <c r="C462" i="45"/>
  <c r="C461" i="45"/>
  <c r="D460" i="45"/>
  <c r="D459" i="45"/>
  <c r="D458" i="45"/>
  <c r="F458" i="45" s="1"/>
  <c r="F456" i="45"/>
  <c r="C456" i="45"/>
  <c r="F455" i="45"/>
  <c r="C455" i="45"/>
  <c r="F454" i="45"/>
  <c r="C454" i="45"/>
  <c r="D446" i="45"/>
  <c r="C445" i="45"/>
  <c r="C444" i="45"/>
  <c r="C443" i="45"/>
  <c r="C441" i="45"/>
  <c r="C440" i="45"/>
  <c r="C439" i="45"/>
  <c r="C438" i="45"/>
  <c r="C437" i="45"/>
  <c r="C436" i="45"/>
  <c r="C435" i="45"/>
  <c r="C434" i="45"/>
  <c r="D432" i="45"/>
  <c r="C431" i="45"/>
  <c r="C430" i="45"/>
  <c r="C429" i="45"/>
  <c r="C428" i="45"/>
  <c r="C427" i="45"/>
  <c r="C426" i="45"/>
  <c r="C425" i="45"/>
  <c r="C424" i="45"/>
  <c r="C423" i="45"/>
  <c r="C422" i="45"/>
  <c r="C421" i="45"/>
  <c r="C420" i="45"/>
  <c r="D418" i="45"/>
  <c r="C417" i="45"/>
  <c r="C416" i="45"/>
  <c r="C415" i="45"/>
  <c r="C414" i="45"/>
  <c r="C413" i="45"/>
  <c r="C412" i="45"/>
  <c r="C411" i="45"/>
  <c r="C410" i="45"/>
  <c r="C409" i="45"/>
  <c r="C408" i="45"/>
  <c r="C407" i="45"/>
  <c r="C406" i="45"/>
  <c r="D404" i="45"/>
  <c r="C403" i="45"/>
  <c r="C402" i="45"/>
  <c r="C401" i="45"/>
  <c r="C400" i="45"/>
  <c r="C399" i="45"/>
  <c r="C398" i="45"/>
  <c r="C397" i="45"/>
  <c r="C396" i="45"/>
  <c r="C395" i="45"/>
  <c r="C394" i="45"/>
  <c r="C393" i="45"/>
  <c r="C392" i="45"/>
  <c r="D390" i="45"/>
  <c r="C389" i="45"/>
  <c r="C388" i="45"/>
  <c r="C387" i="45"/>
  <c r="C386" i="45"/>
  <c r="C385" i="45"/>
  <c r="C384" i="45"/>
  <c r="C383" i="45"/>
  <c r="C382" i="45"/>
  <c r="C381" i="45"/>
  <c r="C380" i="45"/>
  <c r="C379" i="45"/>
  <c r="C378" i="45"/>
  <c r="D376" i="45"/>
  <c r="C376" i="45" s="1"/>
  <c r="C375" i="45"/>
  <c r="C374" i="45"/>
  <c r="C373" i="45"/>
  <c r="C372" i="45"/>
  <c r="C371" i="45"/>
  <c r="C370" i="45"/>
  <c r="C369" i="45"/>
  <c r="C368" i="45"/>
  <c r="C367" i="45"/>
  <c r="C366" i="45"/>
  <c r="C365" i="45"/>
  <c r="C364" i="45"/>
  <c r="D362" i="45"/>
  <c r="C361" i="45"/>
  <c r="C360" i="45"/>
  <c r="C359" i="45"/>
  <c r="C358" i="45"/>
  <c r="C357" i="45"/>
  <c r="C356" i="45"/>
  <c r="C355" i="45"/>
  <c r="C354" i="45"/>
  <c r="C353" i="45"/>
  <c r="C352" i="45"/>
  <c r="C351" i="45"/>
  <c r="C350" i="45"/>
  <c r="D348" i="45"/>
  <c r="C347" i="45"/>
  <c r="C346" i="45"/>
  <c r="C345" i="45"/>
  <c r="C344" i="45"/>
  <c r="C343" i="45"/>
  <c r="C342" i="45"/>
  <c r="C341" i="45"/>
  <c r="C340" i="45"/>
  <c r="C339" i="45"/>
  <c r="C338" i="45"/>
  <c r="C337" i="45"/>
  <c r="C336" i="45"/>
  <c r="C348" i="45" s="1"/>
  <c r="D334" i="45"/>
  <c r="C333" i="45"/>
  <c r="C332" i="45"/>
  <c r="C331" i="45"/>
  <c r="C330" i="45"/>
  <c r="C329" i="45"/>
  <c r="C328" i="45"/>
  <c r="C327" i="45"/>
  <c r="C326" i="45"/>
  <c r="C325" i="45"/>
  <c r="C324" i="45"/>
  <c r="C323" i="45"/>
  <c r="C322" i="45"/>
  <c r="D320" i="45"/>
  <c r="C319" i="45"/>
  <c r="C318" i="45"/>
  <c r="C317" i="45"/>
  <c r="C316" i="45"/>
  <c r="C315" i="45"/>
  <c r="C314" i="45"/>
  <c r="C313" i="45"/>
  <c r="C312" i="45"/>
  <c r="C311" i="45"/>
  <c r="C310" i="45"/>
  <c r="C309" i="45"/>
  <c r="C308" i="45"/>
  <c r="D306" i="45"/>
  <c r="C305" i="45"/>
  <c r="C304" i="45"/>
  <c r="C303" i="45"/>
  <c r="C302" i="45"/>
  <c r="C301" i="45"/>
  <c r="C300" i="45"/>
  <c r="C299" i="45"/>
  <c r="C298" i="45"/>
  <c r="C297" i="45"/>
  <c r="C296" i="45"/>
  <c r="C295" i="45"/>
  <c r="C294" i="45"/>
  <c r="D292" i="45"/>
  <c r="C291" i="45"/>
  <c r="C290" i="45"/>
  <c r="C289" i="45"/>
  <c r="C288" i="45"/>
  <c r="C287" i="45"/>
  <c r="C286" i="45"/>
  <c r="C285" i="45"/>
  <c r="C284" i="45"/>
  <c r="C283" i="45"/>
  <c r="C282" i="45"/>
  <c r="C281" i="45"/>
  <c r="C280" i="45"/>
  <c r="D278" i="45"/>
  <c r="C278" i="45" s="1"/>
  <c r="C277" i="45"/>
  <c r="C276" i="45"/>
  <c r="C275" i="45"/>
  <c r="C274" i="45"/>
  <c r="C273" i="45"/>
  <c r="C272" i="45"/>
  <c r="C271" i="45"/>
  <c r="C270" i="45"/>
  <c r="C269" i="45"/>
  <c r="C268" i="45"/>
  <c r="C267" i="45"/>
  <c r="C266" i="45"/>
  <c r="I264" i="45"/>
  <c r="H264" i="45"/>
  <c r="G264" i="45"/>
  <c r="F264" i="45"/>
  <c r="E264" i="45"/>
  <c r="D264" i="45"/>
  <c r="C263" i="45"/>
  <c r="C262" i="45"/>
  <c r="D261" i="45"/>
  <c r="C260" i="45"/>
  <c r="D259" i="45"/>
  <c r="C259" i="45"/>
  <c r="D258" i="45"/>
  <c r="C257" i="45"/>
  <c r="C256" i="45"/>
  <c r="D255" i="45"/>
  <c r="C254" i="45"/>
  <c r="C253" i="45"/>
  <c r="C252" i="45"/>
  <c r="I250" i="45"/>
  <c r="H250" i="45"/>
  <c r="G250" i="45"/>
  <c r="F250" i="45"/>
  <c r="C250" i="45" s="1"/>
  <c r="E250" i="45"/>
  <c r="D250" i="45"/>
  <c r="C249" i="45"/>
  <c r="C248" i="45"/>
  <c r="C247" i="45"/>
  <c r="C246" i="45"/>
  <c r="I242" i="45"/>
  <c r="H242" i="45"/>
  <c r="G242" i="45"/>
  <c r="C241" i="45"/>
  <c r="C240" i="45"/>
  <c r="C239" i="45"/>
  <c r="C238" i="45"/>
  <c r="C237" i="45"/>
  <c r="D236" i="45"/>
  <c r="C236" i="45" s="1"/>
  <c r="F235" i="45"/>
  <c r="E235" i="45"/>
  <c r="D235" i="45"/>
  <c r="C235" i="45" s="1"/>
  <c r="F234" i="45"/>
  <c r="E234" i="45"/>
  <c r="D234" i="45"/>
  <c r="F233" i="45"/>
  <c r="F242" i="45" s="1"/>
  <c r="E233" i="45"/>
  <c r="D233" i="45"/>
  <c r="E232" i="45"/>
  <c r="D232" i="45"/>
  <c r="C232" i="45" s="1"/>
  <c r="E231" i="45"/>
  <c r="C231" i="45" s="1"/>
  <c r="D231" i="45"/>
  <c r="E230" i="45"/>
  <c r="D230" i="45"/>
  <c r="I228" i="45"/>
  <c r="H228" i="45"/>
  <c r="G228" i="45"/>
  <c r="E227" i="45"/>
  <c r="D227" i="45"/>
  <c r="E226" i="45"/>
  <c r="D226" i="45"/>
  <c r="C226" i="45" s="1"/>
  <c r="F225" i="45"/>
  <c r="D225" i="45"/>
  <c r="E224" i="45"/>
  <c r="D224" i="45"/>
  <c r="I217" i="45"/>
  <c r="H217" i="45"/>
  <c r="G217" i="45"/>
  <c r="F217" i="45"/>
  <c r="E217" i="45"/>
  <c r="D217" i="45"/>
  <c r="C216" i="45"/>
  <c r="C215" i="45"/>
  <c r="C214" i="45"/>
  <c r="C213" i="45"/>
  <c r="C212" i="45"/>
  <c r="C211" i="45"/>
  <c r="C210" i="45"/>
  <c r="C209" i="45"/>
  <c r="C208" i="45"/>
  <c r="C207" i="45"/>
  <c r="C206" i="45"/>
  <c r="C205" i="45"/>
  <c r="I203" i="45"/>
  <c r="H203" i="45"/>
  <c r="G203" i="45"/>
  <c r="F203" i="45"/>
  <c r="E203" i="45"/>
  <c r="D203" i="45"/>
  <c r="C202" i="45"/>
  <c r="C201" i="45"/>
  <c r="C200" i="45"/>
  <c r="C199" i="45"/>
  <c r="C198" i="45"/>
  <c r="C197" i="45"/>
  <c r="C196" i="45"/>
  <c r="C195" i="45"/>
  <c r="C194" i="45"/>
  <c r="C193" i="45"/>
  <c r="C192" i="45"/>
  <c r="C191" i="45"/>
  <c r="I189" i="45"/>
  <c r="H189" i="45"/>
  <c r="G189" i="45"/>
  <c r="F189" i="45"/>
  <c r="E189" i="45"/>
  <c r="D189" i="45"/>
  <c r="C188" i="45"/>
  <c r="C187" i="45"/>
  <c r="C186" i="45"/>
  <c r="C185" i="45"/>
  <c r="C184" i="45"/>
  <c r="C183" i="45"/>
  <c r="C182" i="45"/>
  <c r="C181" i="45"/>
  <c r="C180" i="45"/>
  <c r="C179" i="45"/>
  <c r="C178" i="45"/>
  <c r="C177" i="45"/>
  <c r="I175" i="45"/>
  <c r="H175" i="45"/>
  <c r="G175" i="45"/>
  <c r="F175" i="45"/>
  <c r="E175" i="45"/>
  <c r="D175" i="45"/>
  <c r="C174" i="45"/>
  <c r="C173" i="45"/>
  <c r="C172" i="45"/>
  <c r="C171" i="45"/>
  <c r="C170" i="45"/>
  <c r="C169" i="45"/>
  <c r="C168" i="45"/>
  <c r="C167" i="45"/>
  <c r="C166" i="45"/>
  <c r="C165" i="45"/>
  <c r="C164" i="45"/>
  <c r="C163" i="45"/>
  <c r="A156" i="45"/>
  <c r="I153" i="45"/>
  <c r="H153" i="45"/>
  <c r="G153" i="45"/>
  <c r="F153" i="45"/>
  <c r="E153" i="45"/>
  <c r="D153" i="45"/>
  <c r="C152" i="45"/>
  <c r="C151" i="45"/>
  <c r="C150" i="45"/>
  <c r="C149" i="45"/>
  <c r="C148" i="45"/>
  <c r="C147" i="45"/>
  <c r="C146" i="45"/>
  <c r="C145" i="45"/>
  <c r="C144" i="45"/>
  <c r="C143" i="45"/>
  <c r="C142" i="45"/>
  <c r="C141" i="45"/>
  <c r="C153" i="45" s="1"/>
  <c r="I139" i="45"/>
  <c r="H139" i="45"/>
  <c r="E139" i="45"/>
  <c r="D139" i="45"/>
  <c r="F138" i="45"/>
  <c r="C138" i="45" s="1"/>
  <c r="C137" i="45"/>
  <c r="C136" i="45"/>
  <c r="C135" i="45"/>
  <c r="C134" i="45"/>
  <c r="C133" i="45"/>
  <c r="C132" i="45"/>
  <c r="G131" i="45"/>
  <c r="C131" i="45" s="1"/>
  <c r="C130" i="45"/>
  <c r="C129" i="45"/>
  <c r="C128" i="45"/>
  <c r="C127" i="45"/>
  <c r="I125" i="45"/>
  <c r="H125" i="45"/>
  <c r="G125" i="45"/>
  <c r="F125" i="45"/>
  <c r="E125" i="45"/>
  <c r="D125" i="45"/>
  <c r="C124" i="45"/>
  <c r="C123" i="45"/>
  <c r="C122" i="45"/>
  <c r="C121" i="45"/>
  <c r="C120" i="45"/>
  <c r="C119" i="45"/>
  <c r="C118" i="45"/>
  <c r="C117" i="45"/>
  <c r="C116" i="45"/>
  <c r="C115" i="45"/>
  <c r="C114" i="45"/>
  <c r="C113" i="45"/>
  <c r="I111" i="45"/>
  <c r="H111" i="45"/>
  <c r="G111" i="45"/>
  <c r="F111" i="45"/>
  <c r="E111" i="45"/>
  <c r="D111" i="45"/>
  <c r="C110" i="45"/>
  <c r="C109" i="45"/>
  <c r="C108" i="45"/>
  <c r="C107" i="45"/>
  <c r="C106" i="45"/>
  <c r="C105" i="45"/>
  <c r="C104" i="45"/>
  <c r="C103" i="45"/>
  <c r="C102" i="45"/>
  <c r="C101" i="45"/>
  <c r="C100" i="45"/>
  <c r="C99" i="45"/>
  <c r="I97" i="45"/>
  <c r="H97" i="45"/>
  <c r="G97" i="45"/>
  <c r="F97" i="45"/>
  <c r="E97" i="45"/>
  <c r="D97" i="45"/>
  <c r="C96" i="45"/>
  <c r="C95" i="45"/>
  <c r="C94" i="45"/>
  <c r="C93" i="45"/>
  <c r="C92" i="45"/>
  <c r="C91" i="45"/>
  <c r="C90" i="45"/>
  <c r="C89" i="45"/>
  <c r="C88" i="45"/>
  <c r="C87" i="45"/>
  <c r="C86" i="45"/>
  <c r="C85" i="45"/>
  <c r="J83" i="45"/>
  <c r="I83" i="45"/>
  <c r="H83" i="45"/>
  <c r="G83" i="45"/>
  <c r="F83" i="45"/>
  <c r="E83" i="45"/>
  <c r="D83" i="45"/>
  <c r="C82" i="45"/>
  <c r="C81" i="45"/>
  <c r="C80" i="45"/>
  <c r="C79" i="45"/>
  <c r="C78" i="45"/>
  <c r="C77" i="45"/>
  <c r="C76" i="45"/>
  <c r="C75" i="45"/>
  <c r="C74" i="45"/>
  <c r="C73" i="45"/>
  <c r="C72" i="45"/>
  <c r="C71" i="45"/>
  <c r="J69" i="45"/>
  <c r="I69" i="45"/>
  <c r="H69" i="45"/>
  <c r="G69" i="45"/>
  <c r="F69" i="45"/>
  <c r="E69" i="45"/>
  <c r="D69" i="45"/>
  <c r="C68" i="45"/>
  <c r="C67" i="45"/>
  <c r="C66" i="45"/>
  <c r="C65" i="45"/>
  <c r="C64" i="45"/>
  <c r="C63" i="45"/>
  <c r="C62" i="45"/>
  <c r="C61" i="45"/>
  <c r="C60" i="45"/>
  <c r="C59" i="45"/>
  <c r="C58" i="45"/>
  <c r="C57" i="45"/>
  <c r="J55" i="45"/>
  <c r="I55" i="45"/>
  <c r="H55" i="45"/>
  <c r="G55" i="45"/>
  <c r="E55" i="45"/>
  <c r="D55" i="45"/>
  <c r="C54" i="45"/>
  <c r="C53" i="45"/>
  <c r="F52" i="45"/>
  <c r="C52" i="45"/>
  <c r="C51" i="45"/>
  <c r="C50" i="45"/>
  <c r="C49" i="45"/>
  <c r="C48" i="45"/>
  <c r="C47" i="45"/>
  <c r="F46" i="45"/>
  <c r="C46" i="45" s="1"/>
  <c r="C45" i="45"/>
  <c r="F44" i="45"/>
  <c r="C44" i="45" s="1"/>
  <c r="C43" i="45"/>
  <c r="J41" i="45"/>
  <c r="I41" i="45"/>
  <c r="H41" i="45"/>
  <c r="G41" i="45"/>
  <c r="F41" i="45"/>
  <c r="D41" i="45"/>
  <c r="C40" i="45"/>
  <c r="C39" i="45"/>
  <c r="C38" i="45"/>
  <c r="C37" i="45"/>
  <c r="E36" i="45"/>
  <c r="C36" i="45" s="1"/>
  <c r="E35" i="45"/>
  <c r="C35" i="45" s="1"/>
  <c r="E34" i="45"/>
  <c r="C34" i="45" s="1"/>
  <c r="E33" i="45"/>
  <c r="C33" i="45" s="1"/>
  <c r="E32" i="45"/>
  <c r="C32" i="45" s="1"/>
  <c r="C31" i="45"/>
  <c r="C30" i="45"/>
  <c r="E29" i="45"/>
  <c r="C29" i="45"/>
  <c r="E26" i="45"/>
  <c r="C26" i="45" s="1"/>
  <c r="C25" i="45"/>
  <c r="I24" i="45"/>
  <c r="H24" i="45"/>
  <c r="G24" i="45"/>
  <c r="F24" i="45"/>
  <c r="E24" i="45"/>
  <c r="D24" i="45"/>
  <c r="I23" i="45"/>
  <c r="C23" i="45" s="1"/>
  <c r="H23" i="45"/>
  <c r="G23" i="45"/>
  <c r="F23" i="45"/>
  <c r="E23" i="45"/>
  <c r="D23" i="45"/>
  <c r="I22" i="45"/>
  <c r="H22" i="45"/>
  <c r="G22" i="45"/>
  <c r="F22" i="45"/>
  <c r="E22" i="45"/>
  <c r="D22" i="45"/>
  <c r="I21" i="45"/>
  <c r="H21" i="45"/>
  <c r="G21" i="45"/>
  <c r="F21" i="45"/>
  <c r="E21" i="45"/>
  <c r="D21" i="45"/>
  <c r="I20" i="45"/>
  <c r="H20" i="45"/>
  <c r="G20" i="45"/>
  <c r="F20" i="45"/>
  <c r="E20" i="45"/>
  <c r="D20" i="45"/>
  <c r="C20" i="45" s="1"/>
  <c r="I19" i="45"/>
  <c r="H19" i="45"/>
  <c r="G19" i="45"/>
  <c r="F19" i="45"/>
  <c r="E19" i="45"/>
  <c r="D19" i="45"/>
  <c r="I18" i="45"/>
  <c r="I27" i="45" s="1"/>
  <c r="H18" i="45"/>
  <c r="G18" i="45"/>
  <c r="F18" i="45"/>
  <c r="E18" i="45"/>
  <c r="D18" i="45"/>
  <c r="C17" i="45"/>
  <c r="C16" i="45"/>
  <c r="C15" i="45"/>
  <c r="I13" i="45"/>
  <c r="H13" i="45"/>
  <c r="C12" i="45"/>
  <c r="C11" i="45"/>
  <c r="C10" i="45"/>
  <c r="G9" i="45"/>
  <c r="G13" i="45" s="1"/>
  <c r="F9" i="45"/>
  <c r="F13" i="45" s="1"/>
  <c r="E9" i="45"/>
  <c r="E13" i="45" s="1"/>
  <c r="D9" i="45"/>
  <c r="D13" i="45" s="1"/>
  <c r="A3" i="45"/>
  <c r="A182" i="44"/>
  <c r="G176" i="44"/>
  <c r="E141" i="44"/>
  <c r="E70" i="44"/>
  <c r="F61" i="44"/>
  <c r="F60" i="44"/>
  <c r="D56" i="44"/>
  <c r="I55" i="44"/>
  <c r="D55" i="44"/>
  <c r="D54" i="44"/>
  <c r="D53" i="44"/>
  <c r="D52" i="44"/>
  <c r="D51" i="44"/>
  <c r="D49" i="44"/>
  <c r="D48" i="44"/>
  <c r="H47" i="44"/>
  <c r="D47" i="44"/>
  <c r="H46" i="44"/>
  <c r="D46" i="44"/>
  <c r="H45" i="44"/>
  <c r="D45" i="44"/>
  <c r="H44" i="44"/>
  <c r="D44" i="44"/>
  <c r="H43" i="44"/>
  <c r="D43" i="44"/>
  <c r="H42" i="44"/>
  <c r="D42" i="44"/>
  <c r="H41" i="44"/>
  <c r="D41" i="44"/>
  <c r="H40" i="44"/>
  <c r="D40" i="44"/>
  <c r="H39" i="44"/>
  <c r="D39" i="44"/>
  <c r="H38" i="44"/>
  <c r="D38" i="44"/>
  <c r="H37" i="44"/>
  <c r="D37" i="44"/>
  <c r="H36" i="44"/>
  <c r="D36" i="44"/>
  <c r="H35" i="44"/>
  <c r="D35" i="44"/>
  <c r="H34" i="44"/>
  <c r="D34" i="44"/>
  <c r="H33" i="44"/>
  <c r="D33" i="44"/>
  <c r="H32" i="44"/>
  <c r="D32" i="44"/>
  <c r="H31" i="44"/>
  <c r="D31" i="44"/>
  <c r="H30" i="44"/>
  <c r="D30" i="44"/>
  <c r="H29" i="44"/>
  <c r="D29" i="44"/>
  <c r="H28" i="44"/>
  <c r="D28" i="44"/>
  <c r="D27" i="44"/>
  <c r="D26" i="44"/>
  <c r="D25" i="44"/>
  <c r="D24" i="44"/>
  <c r="D23" i="44"/>
  <c r="D22" i="44"/>
  <c r="D21" i="44"/>
  <c r="H20" i="44"/>
  <c r="D20" i="44"/>
  <c r="H19" i="44"/>
  <c r="D19" i="44"/>
  <c r="H18" i="44"/>
  <c r="D18" i="44"/>
  <c r="H17" i="44"/>
  <c r="D17" i="44"/>
  <c r="H16" i="44"/>
  <c r="D16" i="44"/>
  <c r="H15" i="44"/>
  <c r="D15" i="44"/>
  <c r="H14" i="44"/>
  <c r="D14" i="44"/>
  <c r="H13" i="44"/>
  <c r="D13" i="44"/>
  <c r="H12" i="44"/>
  <c r="D12" i="44"/>
  <c r="H11" i="44"/>
  <c r="D11" i="44"/>
  <c r="H10" i="44"/>
  <c r="D10" i="44"/>
  <c r="H9" i="44"/>
  <c r="D9" i="44"/>
  <c r="H8" i="44"/>
  <c r="D8" i="44"/>
  <c r="H7" i="44"/>
  <c r="D7" i="44"/>
  <c r="D6" i="44"/>
  <c r="L6" i="44" s="1"/>
  <c r="M6" i="44" s="1"/>
  <c r="A1" i="44"/>
  <c r="C24" i="45" l="1"/>
  <c r="C69" i="45"/>
  <c r="C217" i="45"/>
  <c r="C264" i="45"/>
  <c r="C227" i="45"/>
  <c r="C234" i="45"/>
  <c r="C18" i="45"/>
  <c r="C83" i="45"/>
  <c r="C111" i="45"/>
  <c r="E228" i="45"/>
  <c r="C292" i="45"/>
  <c r="C446" i="45"/>
  <c r="H219" i="45"/>
  <c r="C189" i="45"/>
  <c r="C362" i="45"/>
  <c r="C404" i="45"/>
  <c r="D27" i="45"/>
  <c r="D219" i="45" s="1"/>
  <c r="C9" i="45"/>
  <c r="G27" i="45"/>
  <c r="G219" i="45" s="1"/>
  <c r="C21" i="45"/>
  <c r="C320" i="45"/>
  <c r="C458" i="45"/>
  <c r="C19" i="45"/>
  <c r="C175" i="45"/>
  <c r="C334" i="45"/>
  <c r="H27" i="45"/>
  <c r="C432" i="45"/>
  <c r="F176" i="44"/>
  <c r="H176" i="44"/>
  <c r="D176" i="44"/>
  <c r="I6" i="44"/>
  <c r="E176" i="44"/>
  <c r="C230" i="45"/>
  <c r="E242" i="45"/>
  <c r="C13" i="45"/>
  <c r="C125" i="45"/>
  <c r="F467" i="45"/>
  <c r="C261" i="45"/>
  <c r="C224" i="45"/>
  <c r="D228" i="45"/>
  <c r="F461" i="45"/>
  <c r="C255" i="45"/>
  <c r="F27" i="45"/>
  <c r="F219" i="45" s="1"/>
  <c r="C22" i="45"/>
  <c r="F459" i="45"/>
  <c r="C459" i="45"/>
  <c r="F55" i="45"/>
  <c r="C55" i="45" s="1"/>
  <c r="C139" i="45"/>
  <c r="D448" i="45"/>
  <c r="F464" i="45"/>
  <c r="C258" i="45"/>
  <c r="C460" i="45"/>
  <c r="F460" i="45"/>
  <c r="E27" i="45"/>
  <c r="E41" i="45"/>
  <c r="I219" i="45"/>
  <c r="F139" i="45"/>
  <c r="C306" i="45"/>
  <c r="C418" i="45"/>
  <c r="C97" i="45"/>
  <c r="G139" i="45"/>
  <c r="C203" i="45"/>
  <c r="F228" i="45"/>
  <c r="C225" i="45"/>
  <c r="D242" i="45"/>
  <c r="C242" i="45" s="1"/>
  <c r="C233" i="45"/>
  <c r="C390" i="45"/>
  <c r="F465" i="45"/>
  <c r="C27" i="45" l="1"/>
  <c r="C448" i="45"/>
  <c r="E219" i="45"/>
  <c r="C219" i="45" s="1"/>
  <c r="C228" i="45"/>
  <c r="C41" i="45"/>
  <c r="J6" i="44"/>
  <c r="L7" i="44" s="1"/>
  <c r="M7" i="44" s="1"/>
  <c r="C7" i="44" l="1"/>
  <c r="I7" i="44"/>
  <c r="J7" i="44" l="1"/>
  <c r="L8" i="44" s="1"/>
  <c r="M8" i="44" s="1"/>
  <c r="I8" i="44" l="1"/>
  <c r="C8" i="44"/>
  <c r="J8" i="44" l="1"/>
  <c r="L9" i="44" l="1"/>
  <c r="M9" i="44" s="1"/>
  <c r="I9" i="44" s="1"/>
  <c r="C9" i="44"/>
  <c r="J9" i="44" l="1"/>
  <c r="L10" i="44" s="1"/>
  <c r="M10" i="44" s="1"/>
  <c r="I10" i="44" s="1"/>
  <c r="C10" i="44" l="1"/>
  <c r="J10" i="44" s="1"/>
  <c r="L11" i="44" s="1"/>
  <c r="M11" i="44" s="1"/>
  <c r="I11" i="44" l="1"/>
  <c r="C11" i="44"/>
  <c r="J11" i="44" l="1"/>
  <c r="L12" i="44" s="1"/>
  <c r="M12" i="44" s="1"/>
  <c r="I12" i="44" s="1"/>
  <c r="C12" i="44" l="1"/>
  <c r="J12" i="44" s="1"/>
  <c r="L13" i="44" s="1"/>
  <c r="M13" i="44" s="1"/>
  <c r="I13" i="44" s="1"/>
  <c r="C13" i="44" l="1"/>
  <c r="J13" i="44" s="1"/>
  <c r="C14" i="44" l="1"/>
  <c r="L14" i="44"/>
  <c r="M14" i="44" s="1"/>
  <c r="I14" i="44" s="1"/>
  <c r="J14" i="44" l="1"/>
  <c r="L15" i="44" s="1"/>
  <c r="M15" i="44" s="1"/>
  <c r="I15" i="44" s="1"/>
  <c r="C15" i="44" l="1"/>
  <c r="J15" i="44"/>
  <c r="L16" i="44" s="1"/>
  <c r="M16" i="44" s="1"/>
  <c r="I16" i="44" s="1"/>
  <c r="C16" i="44" l="1"/>
  <c r="J16" i="44" s="1"/>
  <c r="L17" i="44" s="1"/>
  <c r="M17" i="44" s="1"/>
  <c r="I17" i="44" l="1"/>
  <c r="C17" i="44"/>
  <c r="J17" i="44" l="1"/>
  <c r="L18" i="44" s="1"/>
  <c r="M18" i="44" s="1"/>
  <c r="C18" i="44" l="1"/>
  <c r="I18" i="44"/>
  <c r="J18" i="44" l="1"/>
  <c r="L19" i="44" s="1"/>
  <c r="M19" i="44" s="1"/>
  <c r="I19" i="44" l="1"/>
  <c r="C19" i="44"/>
  <c r="J19" i="44" l="1"/>
  <c r="L20" i="44" s="1"/>
  <c r="M20" i="44" s="1"/>
  <c r="I20" i="44" l="1"/>
  <c r="C20" i="44"/>
  <c r="J20" i="44" l="1"/>
  <c r="L21" i="44" s="1"/>
  <c r="M21" i="44" s="1"/>
  <c r="I21" i="44" l="1"/>
  <c r="C21" i="44"/>
  <c r="J21" i="44" l="1"/>
  <c r="L22" i="44" s="1"/>
  <c r="M22" i="44" s="1"/>
  <c r="I22" i="44" l="1"/>
  <c r="C22" i="44"/>
  <c r="J22" i="44" l="1"/>
  <c r="L23" i="44" s="1"/>
  <c r="M23" i="44" s="1"/>
  <c r="C23" i="44" l="1"/>
  <c r="I23" i="44"/>
  <c r="J23" i="44" l="1"/>
  <c r="L24" i="44" s="1"/>
  <c r="M24" i="44" s="1"/>
  <c r="I24" i="44" l="1"/>
  <c r="C24" i="44"/>
  <c r="J24" i="44" l="1"/>
  <c r="L25" i="44" s="1"/>
  <c r="M25" i="44" s="1"/>
  <c r="I25" i="44" l="1"/>
  <c r="C25" i="44"/>
  <c r="J25" i="44" l="1"/>
  <c r="L26" i="44" s="1"/>
  <c r="M26" i="44" s="1"/>
  <c r="C26" i="44" l="1"/>
  <c r="I26" i="44"/>
  <c r="J26" i="44" l="1"/>
  <c r="L27" i="44" s="1"/>
  <c r="M27" i="44" s="1"/>
  <c r="I27" i="44" s="1"/>
  <c r="C27" i="44" l="1"/>
  <c r="J27" i="44"/>
  <c r="L28" i="44" s="1"/>
  <c r="M28" i="44" s="1"/>
  <c r="I28" i="44" s="1"/>
  <c r="C28" i="44" l="1"/>
  <c r="J28" i="44" s="1"/>
  <c r="L29" i="44" s="1"/>
  <c r="M29" i="44" s="1"/>
  <c r="I29" i="44" l="1"/>
  <c r="C29" i="44"/>
  <c r="J29" i="44" l="1"/>
  <c r="L30" i="44" s="1"/>
  <c r="M30" i="44" s="1"/>
  <c r="I30" i="44" s="1"/>
  <c r="C30" i="44" l="1"/>
  <c r="J30" i="44" s="1"/>
  <c r="L31" i="44" s="1"/>
  <c r="M31" i="44" s="1"/>
  <c r="I31" i="44" l="1"/>
  <c r="C31" i="44"/>
  <c r="J31" i="44" l="1"/>
  <c r="L32" i="44" s="1"/>
  <c r="M32" i="44" s="1"/>
  <c r="I32" i="44" s="1"/>
  <c r="C32" i="44" l="1"/>
  <c r="J32" i="44" s="1"/>
  <c r="L33" i="44" l="1"/>
  <c r="M33" i="44" s="1"/>
  <c r="I33" i="44" s="1"/>
  <c r="C33" i="44"/>
  <c r="J33" i="44" l="1"/>
  <c r="L34" i="44" s="1"/>
  <c r="M34" i="44" s="1"/>
  <c r="I34" i="44" s="1"/>
  <c r="C34" i="44" l="1"/>
  <c r="J34" i="44" s="1"/>
  <c r="L35" i="44" l="1"/>
  <c r="M35" i="44" s="1"/>
  <c r="I35" i="44" s="1"/>
  <c r="C35" i="44"/>
  <c r="J35" i="44" l="1"/>
  <c r="C36" i="44" l="1"/>
  <c r="L36" i="44"/>
  <c r="M36" i="44" s="1"/>
  <c r="I36" i="44" s="1"/>
  <c r="J36" i="44" l="1"/>
  <c r="C37" i="44" s="1"/>
  <c r="L37" i="44" l="1"/>
  <c r="M37" i="44" s="1"/>
  <c r="I37" i="44" s="1"/>
  <c r="J37" i="44" s="1"/>
  <c r="L38" i="44" l="1"/>
  <c r="M38" i="44" s="1"/>
  <c r="I38" i="44" s="1"/>
  <c r="C38" i="44"/>
  <c r="J38" i="44" l="1"/>
  <c r="L39" i="44"/>
  <c r="M39" i="44" s="1"/>
  <c r="I39" i="44" s="1"/>
  <c r="C39" i="44"/>
  <c r="J39" i="44" l="1"/>
  <c r="C40" i="44" l="1"/>
  <c r="L40" i="44"/>
  <c r="M40" i="44" s="1"/>
  <c r="I40" i="44" s="1"/>
  <c r="J40" i="44" l="1"/>
  <c r="L41" i="44" s="1"/>
  <c r="M41" i="44" s="1"/>
  <c r="I41" i="44" s="1"/>
  <c r="C41" i="44" l="1"/>
  <c r="J41" i="44"/>
  <c r="L42" i="44" l="1"/>
  <c r="M42" i="44" s="1"/>
  <c r="I42" i="44" s="1"/>
  <c r="C42" i="44"/>
  <c r="J42" i="44" l="1"/>
  <c r="L43" i="44" l="1"/>
  <c r="M43" i="44" s="1"/>
  <c r="I43" i="44" s="1"/>
  <c r="C43" i="44"/>
  <c r="J43" i="44" l="1"/>
  <c r="L44" i="44" l="1"/>
  <c r="M44" i="44" s="1"/>
  <c r="I44" i="44" s="1"/>
  <c r="C44" i="44"/>
  <c r="J44" i="44" l="1"/>
  <c r="L45" i="44"/>
  <c r="M45" i="44" s="1"/>
  <c r="I45" i="44" s="1"/>
  <c r="C45" i="44"/>
  <c r="J45" i="44" l="1"/>
  <c r="L46" i="44" s="1"/>
  <c r="M46" i="44" s="1"/>
  <c r="I46" i="44" s="1"/>
  <c r="C46" i="44" l="1"/>
  <c r="J46" i="44" s="1"/>
  <c r="L47" i="44" l="1"/>
  <c r="M47" i="44" s="1"/>
  <c r="I47" i="44" s="1"/>
  <c r="C47" i="44"/>
  <c r="J47" i="44" l="1"/>
  <c r="C48" i="44" l="1"/>
  <c r="L48" i="44"/>
  <c r="M48" i="44" s="1"/>
  <c r="I48" i="44" s="1"/>
  <c r="J48" i="44" s="1"/>
  <c r="L49" i="44" l="1"/>
  <c r="M49" i="44" s="1"/>
  <c r="I49" i="44" s="1"/>
  <c r="C49" i="44"/>
  <c r="J49" i="44" l="1"/>
  <c r="L50" i="44" l="1"/>
  <c r="M50" i="44" s="1"/>
  <c r="I50" i="44" s="1"/>
  <c r="C50" i="44"/>
  <c r="J50" i="44" l="1"/>
  <c r="C51" i="44" s="1"/>
  <c r="L51" i="44" l="1"/>
  <c r="M51" i="44" s="1"/>
  <c r="I51" i="44" s="1"/>
  <c r="J51" i="44" s="1"/>
  <c r="L52" i="44" l="1"/>
  <c r="M52" i="44" s="1"/>
  <c r="I52" i="44" s="1"/>
  <c r="C52" i="44"/>
  <c r="J52" i="44" l="1"/>
  <c r="L53" i="44" l="1"/>
  <c r="M53" i="44" s="1"/>
  <c r="C53" i="44"/>
  <c r="J53" i="44" s="1"/>
  <c r="L54" i="44" l="1"/>
  <c r="M54" i="44" s="1"/>
  <c r="C54" i="44"/>
  <c r="J54" i="44" s="1"/>
  <c r="L55" i="44" l="1"/>
  <c r="M55" i="44" s="1"/>
  <c r="C55" i="44"/>
  <c r="J55" i="44" s="1"/>
  <c r="L56" i="44" l="1"/>
  <c r="M56" i="44" s="1"/>
  <c r="C56" i="44"/>
  <c r="J56" i="44" s="1"/>
  <c r="L57" i="44" l="1"/>
  <c r="M57" i="44" s="1"/>
  <c r="C57" i="44"/>
  <c r="J57" i="44" s="1"/>
  <c r="L58" i="44" l="1"/>
  <c r="M58" i="44" s="1"/>
  <c r="C58" i="44"/>
  <c r="J58" i="44" s="1"/>
  <c r="L59" i="44" l="1"/>
  <c r="M59" i="44" s="1"/>
  <c r="C59" i="44"/>
  <c r="J59" i="44" s="1"/>
  <c r="L60" i="44" l="1"/>
  <c r="M60" i="44" s="1"/>
  <c r="C60" i="44"/>
  <c r="J60" i="44" s="1"/>
  <c r="L61" i="44" l="1"/>
  <c r="M61" i="44" s="1"/>
  <c r="C61" i="44"/>
  <c r="J61" i="44" s="1"/>
  <c r="L62" i="44" l="1"/>
  <c r="M62" i="44" s="1"/>
  <c r="I62" i="44" s="1"/>
  <c r="C62" i="44"/>
  <c r="J62" i="44" l="1"/>
  <c r="L63" i="44" l="1"/>
  <c r="M63" i="44" s="1"/>
  <c r="I63" i="44" s="1"/>
  <c r="C63" i="44"/>
  <c r="J63" i="44" l="1"/>
  <c r="C64" i="44" s="1"/>
  <c r="L64" i="44" l="1"/>
  <c r="M64" i="44" s="1"/>
  <c r="I64" i="44" s="1"/>
  <c r="J64" i="44" s="1"/>
  <c r="L65" i="44" l="1"/>
  <c r="M65" i="44" s="1"/>
  <c r="I65" i="44" s="1"/>
  <c r="C65" i="44"/>
  <c r="J65" i="44" l="1"/>
  <c r="L66" i="44" l="1"/>
  <c r="M66" i="44" s="1"/>
  <c r="I66" i="44" s="1"/>
  <c r="C66" i="44"/>
  <c r="J66" i="44" l="1"/>
  <c r="C67" i="44" s="1"/>
  <c r="L67" i="44" l="1"/>
  <c r="M67" i="44" s="1"/>
  <c r="I67" i="44" s="1"/>
  <c r="J67" i="44" s="1"/>
  <c r="L68" i="44" l="1"/>
  <c r="M68" i="44" s="1"/>
  <c r="L225" i="44"/>
  <c r="M225" i="44" s="1"/>
  <c r="I225" i="44" s="1"/>
  <c r="C225" i="44"/>
  <c r="C68" i="44"/>
  <c r="I68" i="44"/>
  <c r="J68" i="44" l="1"/>
  <c r="J225" i="44"/>
  <c r="L226" i="44" s="1"/>
  <c r="M226" i="44" s="1"/>
  <c r="L69" i="44" l="1"/>
  <c r="M69" i="44" s="1"/>
  <c r="I69" i="44" s="1"/>
  <c r="I226" i="44"/>
  <c r="C226" i="44"/>
  <c r="C69" i="44"/>
  <c r="J226" i="44" l="1"/>
  <c r="L227" i="44" s="1"/>
  <c r="M227" i="44" s="1"/>
  <c r="I227" i="44" s="1"/>
  <c r="J69" i="44"/>
  <c r="C70" i="44" s="1"/>
  <c r="C227" i="44" l="1"/>
  <c r="L70" i="44"/>
  <c r="M70" i="44" s="1"/>
  <c r="I70" i="44" s="1"/>
  <c r="J70" i="44" s="1"/>
  <c r="J227" i="44"/>
  <c r="L228" i="44" s="1"/>
  <c r="M228" i="44" s="1"/>
  <c r="L71" i="44" l="1"/>
  <c r="M71" i="44" s="1"/>
  <c r="I71" i="44" s="1"/>
  <c r="I228" i="44"/>
  <c r="C228" i="44"/>
  <c r="J228" i="44" s="1"/>
  <c r="L229" i="44" s="1"/>
  <c r="M229" i="44" s="1"/>
  <c r="C71" i="44"/>
  <c r="J71" i="44" l="1"/>
  <c r="C72" i="44" s="1"/>
  <c r="I229" i="44"/>
  <c r="C229" i="44"/>
  <c r="L72" i="44" l="1"/>
  <c r="M72" i="44" s="1"/>
  <c r="I72" i="44" s="1"/>
  <c r="J72" i="44" s="1"/>
  <c r="J229" i="44"/>
  <c r="L230" i="44" s="1"/>
  <c r="M230" i="44" s="1"/>
  <c r="L73" i="44" l="1"/>
  <c r="M73" i="44" s="1"/>
  <c r="I73" i="44" s="1"/>
  <c r="J73" i="44" s="1"/>
  <c r="C73" i="44"/>
  <c r="C230" i="44"/>
  <c r="I230" i="44"/>
  <c r="L74" i="44" l="1"/>
  <c r="M74" i="44" s="1"/>
  <c r="I74" i="44" s="1"/>
  <c r="J230" i="44"/>
  <c r="L231" i="44" s="1"/>
  <c r="M231" i="44" s="1"/>
  <c r="C74" i="44"/>
  <c r="J74" i="44" l="1"/>
  <c r="C231" i="44"/>
  <c r="I231" i="44"/>
  <c r="L75" i="44" l="1"/>
  <c r="M75" i="44" s="1"/>
  <c r="I75" i="44" s="1"/>
  <c r="C75" i="44"/>
  <c r="J231" i="44"/>
  <c r="L232" i="44" s="1"/>
  <c r="M232" i="44" s="1"/>
  <c r="J75" i="44" l="1"/>
  <c r="L76" i="44"/>
  <c r="M76" i="44" s="1"/>
  <c r="I76" i="44" s="1"/>
  <c r="C76" i="44"/>
  <c r="I232" i="44"/>
  <c r="C232" i="44"/>
  <c r="J76" i="44" l="1"/>
  <c r="J232" i="44"/>
  <c r="L233" i="44" s="1"/>
  <c r="M233" i="44" s="1"/>
  <c r="L77" i="44" l="1"/>
  <c r="M77" i="44" s="1"/>
  <c r="I77" i="44" s="1"/>
  <c r="C77" i="44"/>
  <c r="I233" i="44"/>
  <c r="C233" i="44"/>
  <c r="J77" i="44" l="1"/>
  <c r="L78" i="44"/>
  <c r="M78" i="44" s="1"/>
  <c r="I78" i="44" s="1"/>
  <c r="J78" i="44" s="1"/>
  <c r="C78" i="44"/>
  <c r="J233" i="44"/>
  <c r="L234" i="44" s="1"/>
  <c r="M234" i="44" s="1"/>
  <c r="I234" i="44" s="1"/>
  <c r="C234" i="44" l="1"/>
  <c r="L79" i="44"/>
  <c r="M79" i="44" s="1"/>
  <c r="I79" i="44" s="1"/>
  <c r="J234" i="44"/>
  <c r="L235" i="44" s="1"/>
  <c r="M235" i="44" s="1"/>
  <c r="C79" i="44"/>
  <c r="J79" i="44" l="1"/>
  <c r="C235" i="44"/>
  <c r="I235" i="44"/>
  <c r="L80" i="44" l="1"/>
  <c r="M80" i="44" s="1"/>
  <c r="I80" i="44" s="1"/>
  <c r="J235" i="44"/>
  <c r="L236" i="44" s="1"/>
  <c r="M236" i="44" s="1"/>
  <c r="C80" i="44"/>
  <c r="J80" i="44" l="1"/>
  <c r="I236" i="44"/>
  <c r="C236" i="44"/>
  <c r="L81" i="44" l="1"/>
  <c r="M81" i="44" s="1"/>
  <c r="I81" i="44" s="1"/>
  <c r="C81" i="44"/>
  <c r="J236" i="44"/>
  <c r="L237" i="44" s="1"/>
  <c r="M237" i="44" s="1"/>
  <c r="J81" i="44" l="1"/>
  <c r="L82" i="44" s="1"/>
  <c r="M82" i="44" s="1"/>
  <c r="I82" i="44" s="1"/>
  <c r="I237" i="44"/>
  <c r="C237" i="44"/>
  <c r="C82" i="44" l="1"/>
  <c r="J82" i="44" s="1"/>
  <c r="C83" i="44" s="1"/>
  <c r="J237" i="44"/>
  <c r="L238" i="44" s="1"/>
  <c r="M238" i="44" s="1"/>
  <c r="L83" i="44" l="1"/>
  <c r="M83" i="44" s="1"/>
  <c r="I83" i="44" s="1"/>
  <c r="J83" i="44" s="1"/>
  <c r="C238" i="44"/>
  <c r="I238" i="44"/>
  <c r="L84" i="44" l="1"/>
  <c r="M84" i="44" s="1"/>
  <c r="I84" i="44" s="1"/>
  <c r="C84" i="44"/>
  <c r="J238" i="44"/>
  <c r="L239" i="44" s="1"/>
  <c r="M239" i="44" s="1"/>
  <c r="J84" i="44" l="1"/>
  <c r="L85" i="44" s="1"/>
  <c r="M85" i="44" s="1"/>
  <c r="I85" i="44" s="1"/>
  <c r="C239" i="44"/>
  <c r="I239" i="44"/>
  <c r="C85" i="44" l="1"/>
  <c r="J85" i="44" s="1"/>
  <c r="C86" i="44" s="1"/>
  <c r="J239" i="44"/>
  <c r="L240" i="44" s="1"/>
  <c r="M240" i="44" s="1"/>
  <c r="L86" i="44" l="1"/>
  <c r="M86" i="44" s="1"/>
  <c r="I86" i="44" s="1"/>
  <c r="J86" i="44" s="1"/>
  <c r="I240" i="44"/>
  <c r="C240" i="44"/>
  <c r="L87" i="44" l="1"/>
  <c r="M87" i="44" s="1"/>
  <c r="I87" i="44" s="1"/>
  <c r="J240" i="44"/>
  <c r="L241" i="44" s="1"/>
  <c r="M241" i="44" s="1"/>
  <c r="I241" i="44" s="1"/>
  <c r="C87" i="44"/>
  <c r="C241" i="44" l="1"/>
  <c r="J241" i="44" s="1"/>
  <c r="L242" i="44" s="1"/>
  <c r="M242" i="44" s="1"/>
  <c r="I242" i="44" s="1"/>
  <c r="J87" i="44"/>
  <c r="C242" i="44" l="1"/>
  <c r="J242" i="44" s="1"/>
  <c r="L243" i="44" s="1"/>
  <c r="M243" i="44" s="1"/>
  <c r="L88" i="44"/>
  <c r="M88" i="44" s="1"/>
  <c r="I88" i="44" s="1"/>
  <c r="C88" i="44"/>
  <c r="J88" i="44" l="1"/>
  <c r="L89" i="44" s="1"/>
  <c r="M89" i="44" s="1"/>
  <c r="I89" i="44" s="1"/>
  <c r="C243" i="44"/>
  <c r="I243" i="44"/>
  <c r="C89" i="44" l="1"/>
  <c r="J89" i="44" s="1"/>
  <c r="J243" i="44"/>
  <c r="L244" i="44" s="1"/>
  <c r="M244" i="44" s="1"/>
  <c r="I244" i="44" s="1"/>
  <c r="C244" i="44" l="1"/>
  <c r="J244" i="44" s="1"/>
  <c r="L245" i="44" s="1"/>
  <c r="M245" i="44" s="1"/>
  <c r="I245" i="44" s="1"/>
  <c r="L90" i="44"/>
  <c r="M90" i="44" s="1"/>
  <c r="I90" i="44" s="1"/>
  <c r="C90" i="44"/>
  <c r="J90" i="44" l="1"/>
  <c r="C91" i="44" s="1"/>
  <c r="C245" i="44"/>
  <c r="J245" i="44" s="1"/>
  <c r="L246" i="44" s="1"/>
  <c r="M246" i="44" s="1"/>
  <c r="L91" i="44" l="1"/>
  <c r="M91" i="44" s="1"/>
  <c r="I91" i="44" s="1"/>
  <c r="J91" i="44" s="1"/>
  <c r="C92" i="44" s="1"/>
  <c r="C246" i="44"/>
  <c r="I246" i="44"/>
  <c r="L92" i="44" l="1"/>
  <c r="M92" i="44" s="1"/>
  <c r="I92" i="44" s="1"/>
  <c r="J92" i="44" s="1"/>
  <c r="C93" i="44" s="1"/>
  <c r="J246" i="44"/>
  <c r="L247" i="44" s="1"/>
  <c r="M247" i="44" s="1"/>
  <c r="L93" i="44" l="1"/>
  <c r="M93" i="44" s="1"/>
  <c r="I93" i="44" s="1"/>
  <c r="J93" i="44" s="1"/>
  <c r="C247" i="44"/>
  <c r="I247" i="44"/>
  <c r="L94" i="44" l="1"/>
  <c r="M94" i="44" s="1"/>
  <c r="I94" i="44" s="1"/>
  <c r="J247" i="44"/>
  <c r="C94" i="44"/>
  <c r="J94" i="44" l="1"/>
  <c r="C95" i="44" s="1"/>
  <c r="L95" i="44" l="1"/>
  <c r="M95" i="44" s="1"/>
  <c r="I95" i="44" s="1"/>
  <c r="J95" i="44" s="1"/>
  <c r="L96" i="44" l="1"/>
  <c r="M96" i="44" s="1"/>
  <c r="I96" i="44" s="1"/>
  <c r="C96" i="44"/>
  <c r="J96" i="44" l="1"/>
  <c r="C97" i="44" s="1"/>
  <c r="L97" i="44" l="1"/>
  <c r="M97" i="44" s="1"/>
  <c r="I97" i="44" s="1"/>
  <c r="J97" i="44" s="1"/>
  <c r="L98" i="44" l="1"/>
  <c r="M98" i="44" s="1"/>
  <c r="I98" i="44" s="1"/>
  <c r="C98" i="44"/>
  <c r="J98" i="44" l="1"/>
  <c r="L99" i="44" l="1"/>
  <c r="M99" i="44" s="1"/>
  <c r="I99" i="44" s="1"/>
  <c r="C99" i="44"/>
  <c r="J99" i="44" l="1"/>
  <c r="L100" i="44" s="1"/>
  <c r="M100" i="44" s="1"/>
  <c r="I100" i="44" s="1"/>
  <c r="C100" i="44" l="1"/>
  <c r="J100" i="44" s="1"/>
  <c r="C101" i="44" s="1"/>
  <c r="L101" i="44" l="1"/>
  <c r="M101" i="44" s="1"/>
  <c r="I101" i="44" s="1"/>
  <c r="J101" i="44" s="1"/>
  <c r="C102" i="44" l="1"/>
  <c r="L102" i="44"/>
  <c r="M102" i="44" s="1"/>
  <c r="I102" i="44" s="1"/>
  <c r="J102" i="44" l="1"/>
  <c r="C103" i="44" s="1"/>
  <c r="L103" i="44" l="1"/>
  <c r="M103" i="44" s="1"/>
  <c r="I103" i="44" s="1"/>
  <c r="J103" i="44" s="1"/>
  <c r="L104" i="44" s="1"/>
  <c r="M104" i="44" s="1"/>
  <c r="I104" i="44" s="1"/>
  <c r="C104" i="44" l="1"/>
  <c r="J104" i="44"/>
  <c r="C105" i="44" s="1"/>
  <c r="L105" i="44" l="1"/>
  <c r="M105" i="44" s="1"/>
  <c r="I105" i="44" s="1"/>
  <c r="J105" i="44" s="1"/>
  <c r="C106" i="44" s="1"/>
  <c r="L106" i="44" l="1"/>
  <c r="M106" i="44" s="1"/>
  <c r="I106" i="44" s="1"/>
  <c r="J106" i="44" s="1"/>
  <c r="L107" i="44" s="1"/>
  <c r="M107" i="44" s="1"/>
  <c r="I107" i="44" s="1"/>
  <c r="C107" i="44" l="1"/>
  <c r="J107" i="44" s="1"/>
  <c r="C108" i="44" s="1"/>
  <c r="L108" i="44" l="1"/>
  <c r="M108" i="44" s="1"/>
  <c r="I108" i="44" s="1"/>
  <c r="J108" i="44" s="1"/>
  <c r="C109" i="44" s="1"/>
  <c r="L109" i="44" l="1"/>
  <c r="M109" i="44" s="1"/>
  <c r="I109" i="44" s="1"/>
  <c r="J109" i="44" s="1"/>
  <c r="L110" i="44" l="1"/>
  <c r="M110" i="44" s="1"/>
  <c r="I110" i="44" s="1"/>
  <c r="J110" i="44" s="1"/>
  <c r="C110" i="44"/>
  <c r="L111" i="44" l="1"/>
  <c r="M111" i="44" s="1"/>
  <c r="I111" i="44" s="1"/>
  <c r="C111" i="44"/>
  <c r="J111" i="44" l="1"/>
  <c r="L112" i="44" l="1"/>
  <c r="M112" i="44" s="1"/>
  <c r="I112" i="44" s="1"/>
  <c r="C112" i="44"/>
  <c r="J112" i="44" l="1"/>
  <c r="L113" i="44" l="1"/>
  <c r="M113" i="44" s="1"/>
  <c r="I113" i="44" s="1"/>
  <c r="C113" i="44"/>
  <c r="J113" i="44" l="1"/>
  <c r="C114" i="44" s="1"/>
  <c r="L114" i="44" l="1"/>
  <c r="M114" i="44" s="1"/>
  <c r="I114" i="44" s="1"/>
  <c r="J114" i="44" s="1"/>
  <c r="L115" i="44" l="1"/>
  <c r="M115" i="44" s="1"/>
  <c r="I115" i="44" s="1"/>
  <c r="C115" i="44"/>
  <c r="J115" i="44" l="1"/>
  <c r="L116" i="44"/>
  <c r="M116" i="44" s="1"/>
  <c r="I116" i="44" s="1"/>
  <c r="C116" i="44"/>
  <c r="J116" i="44" l="1"/>
  <c r="L117" i="44" l="1"/>
  <c r="M117" i="44" s="1"/>
  <c r="I117" i="44" s="1"/>
  <c r="C117" i="44"/>
  <c r="J117" i="44" l="1"/>
  <c r="L118" i="44" l="1"/>
  <c r="M118" i="44" s="1"/>
  <c r="I118" i="44" s="1"/>
  <c r="C118" i="44"/>
  <c r="J118" i="44" l="1"/>
  <c r="C119" i="44" s="1"/>
  <c r="L119" i="44" l="1"/>
  <c r="M119" i="44" s="1"/>
  <c r="I119" i="44" s="1"/>
  <c r="J119" i="44" s="1"/>
  <c r="L120" i="44" l="1"/>
  <c r="M120" i="44" s="1"/>
  <c r="I120" i="44" s="1"/>
  <c r="C120" i="44"/>
  <c r="J120" i="44" l="1"/>
  <c r="L121" i="44"/>
  <c r="M121" i="44" s="1"/>
  <c r="I121" i="44" s="1"/>
  <c r="J121" i="44" s="1"/>
  <c r="C121" i="44"/>
  <c r="L122" i="44" l="1"/>
  <c r="M122" i="44" s="1"/>
  <c r="I122" i="44" s="1"/>
  <c r="C122" i="44"/>
  <c r="J122" i="44" l="1"/>
  <c r="C123" i="44" s="1"/>
  <c r="L123" i="44" l="1"/>
  <c r="M123" i="44" s="1"/>
  <c r="I123" i="44" s="1"/>
  <c r="J123" i="44" s="1"/>
  <c r="L124" i="44" l="1"/>
  <c r="M124" i="44" s="1"/>
  <c r="I124" i="44" s="1"/>
  <c r="C124" i="44"/>
  <c r="J124" i="44" l="1"/>
  <c r="L125" i="44" l="1"/>
  <c r="M125" i="44" s="1"/>
  <c r="I125" i="44" s="1"/>
  <c r="C125" i="44"/>
  <c r="J125" i="44" l="1"/>
  <c r="C126" i="44" s="1"/>
  <c r="L126" i="44" l="1"/>
  <c r="M126" i="44" s="1"/>
  <c r="I126" i="44" s="1"/>
  <c r="J126" i="44" s="1"/>
  <c r="L127" i="44" l="1"/>
  <c r="M127" i="44" s="1"/>
  <c r="I127" i="44" s="1"/>
  <c r="J127" i="44" s="1"/>
  <c r="C127" i="44"/>
  <c r="L128" i="44" l="1"/>
  <c r="M128" i="44" s="1"/>
  <c r="I128" i="44" s="1"/>
  <c r="C128" i="44"/>
  <c r="J128" i="44" s="1"/>
  <c r="L129" i="44" l="1"/>
  <c r="M129" i="44" s="1"/>
  <c r="I129" i="44" s="1"/>
  <c r="J129" i="44" s="1"/>
  <c r="C129" i="44"/>
  <c r="L130" i="44" l="1"/>
  <c r="M130" i="44" s="1"/>
  <c r="I130" i="44" s="1"/>
  <c r="C130" i="44"/>
  <c r="J130" i="44" l="1"/>
  <c r="C131" i="44" s="1"/>
  <c r="L131" i="44" l="1"/>
  <c r="M131" i="44" s="1"/>
  <c r="I131" i="44" s="1"/>
  <c r="J131" i="44" s="1"/>
  <c r="L132" i="44" l="1"/>
  <c r="M132" i="44" s="1"/>
  <c r="I132" i="44" s="1"/>
  <c r="C132" i="44"/>
  <c r="J132" i="44" l="1"/>
  <c r="C133" i="44" l="1"/>
  <c r="L133" i="44"/>
  <c r="M133" i="44" s="1"/>
  <c r="I133" i="44" s="1"/>
  <c r="J133" i="44" l="1"/>
  <c r="L134" i="44" l="1"/>
  <c r="M134" i="44" s="1"/>
  <c r="I134" i="44" s="1"/>
  <c r="C134" i="44"/>
  <c r="J134" i="44" l="1"/>
  <c r="L135" i="44" l="1"/>
  <c r="M135" i="44" s="1"/>
  <c r="I135" i="44" s="1"/>
  <c r="C135" i="44"/>
  <c r="J135" i="44" l="1"/>
  <c r="C136" i="44" s="1"/>
  <c r="L136" i="44" l="1"/>
  <c r="M136" i="44" s="1"/>
  <c r="I136" i="44" s="1"/>
  <c r="J136" i="44" s="1"/>
  <c r="C137" i="44" l="1"/>
  <c r="L137" i="44"/>
  <c r="M137" i="44" s="1"/>
  <c r="I137" i="44" s="1"/>
  <c r="J137" i="44" l="1"/>
  <c r="C138" i="44" s="1"/>
  <c r="L138" i="44" l="1"/>
  <c r="M138" i="44" s="1"/>
  <c r="I138" i="44" s="1"/>
  <c r="J138" i="44" s="1"/>
  <c r="C139" i="44" s="1"/>
  <c r="L139" i="44" l="1"/>
  <c r="M139" i="44" s="1"/>
  <c r="I139" i="44" s="1"/>
  <c r="J139" i="44" s="1"/>
  <c r="L140" i="44" l="1"/>
  <c r="M140" i="44" s="1"/>
  <c r="I140" i="44" s="1"/>
  <c r="C140" i="44"/>
  <c r="J140" i="44" l="1"/>
  <c r="L141" i="44" l="1"/>
  <c r="M141" i="44" s="1"/>
  <c r="I141" i="44" s="1"/>
  <c r="C141" i="44"/>
  <c r="J141" i="44" l="1"/>
  <c r="L142" i="44" l="1"/>
  <c r="M142" i="44" s="1"/>
  <c r="I142" i="44" s="1"/>
  <c r="C142" i="44"/>
  <c r="J142" i="44" l="1"/>
  <c r="C143" i="44" s="1"/>
  <c r="L143" i="44" l="1"/>
  <c r="M143" i="44" s="1"/>
  <c r="I143" i="44" s="1"/>
  <c r="J143" i="44" s="1"/>
  <c r="L144" i="44" l="1"/>
  <c r="M144" i="44" s="1"/>
  <c r="I144" i="44" s="1"/>
  <c r="C144" i="44"/>
  <c r="J144" i="44" l="1"/>
  <c r="L145" i="44"/>
  <c r="M145" i="44" s="1"/>
  <c r="I145" i="44" s="1"/>
  <c r="C145" i="44"/>
  <c r="J145" i="44" l="1"/>
  <c r="L146" i="44"/>
  <c r="M146" i="44" s="1"/>
  <c r="I146" i="44" s="1"/>
  <c r="C146" i="44"/>
  <c r="J146" i="44" l="1"/>
  <c r="L147" i="44"/>
  <c r="M147" i="44" s="1"/>
  <c r="I147" i="44" s="1"/>
  <c r="C147" i="44"/>
  <c r="J147" i="44" l="1"/>
  <c r="L148" i="44"/>
  <c r="M148" i="44" s="1"/>
  <c r="I148" i="44" s="1"/>
  <c r="C148" i="44"/>
  <c r="J148" i="44" l="1"/>
  <c r="L149" i="44" l="1"/>
  <c r="M149" i="44" s="1"/>
  <c r="I149" i="44" s="1"/>
  <c r="C149" i="44"/>
  <c r="J149" i="44" l="1"/>
  <c r="C150" i="44" s="1"/>
  <c r="L150" i="44" l="1"/>
  <c r="M150" i="44" s="1"/>
  <c r="I150" i="44" s="1"/>
  <c r="J150" i="44" s="1"/>
  <c r="L151" i="44" l="1"/>
  <c r="M151" i="44" s="1"/>
  <c r="I151" i="44" s="1"/>
  <c r="C151" i="44"/>
  <c r="J151" i="44" l="1"/>
  <c r="C152" i="44" s="1"/>
  <c r="L152" i="44" l="1"/>
  <c r="M152" i="44" s="1"/>
  <c r="I152" i="44" s="1"/>
  <c r="J152" i="44" s="1"/>
  <c r="L153" i="44" l="1"/>
  <c r="M153" i="44" s="1"/>
  <c r="I153" i="44" s="1"/>
  <c r="C153" i="44"/>
  <c r="J153" i="44" l="1"/>
  <c r="L154" i="44" s="1"/>
  <c r="M154" i="44" s="1"/>
  <c r="I154" i="44" s="1"/>
  <c r="C154" i="44" l="1"/>
  <c r="J154" i="44" s="1"/>
  <c r="L155" i="44" l="1"/>
  <c r="M155" i="44" s="1"/>
  <c r="I155" i="44" s="1"/>
  <c r="C155" i="44"/>
  <c r="J155" i="44" l="1"/>
  <c r="C156" i="44" s="1"/>
  <c r="L156" i="44" l="1"/>
  <c r="M156" i="44" s="1"/>
  <c r="I156" i="44" s="1"/>
  <c r="J156" i="44" s="1"/>
  <c r="L157" i="44" l="1"/>
  <c r="M157" i="44" s="1"/>
  <c r="I157" i="44" s="1"/>
  <c r="C157" i="44"/>
  <c r="J157" i="44" l="1"/>
  <c r="C158" i="44" l="1"/>
  <c r="L158" i="44"/>
  <c r="M158" i="44" s="1"/>
  <c r="I158" i="44" s="1"/>
  <c r="J158" i="44" l="1"/>
  <c r="L159" i="44" l="1"/>
  <c r="M159" i="44" s="1"/>
  <c r="I159" i="44" s="1"/>
  <c r="C159" i="44"/>
  <c r="J159" i="44" s="1"/>
  <c r="C160" i="44" s="1"/>
  <c r="L160" i="44" l="1"/>
  <c r="M160" i="44" s="1"/>
  <c r="I160" i="44" s="1"/>
  <c r="J160" i="44" s="1"/>
  <c r="L161" i="44" s="1"/>
  <c r="M161" i="44" s="1"/>
  <c r="I161" i="44" s="1"/>
  <c r="C161" i="44" l="1"/>
  <c r="J161" i="44" s="1"/>
  <c r="L162" i="44" s="1"/>
  <c r="M162" i="44" s="1"/>
  <c r="I162" i="44" s="1"/>
  <c r="C162" i="44" l="1"/>
  <c r="J162" i="44" s="1"/>
  <c r="C163" i="44" l="1"/>
  <c r="L163" i="44"/>
  <c r="M163" i="44" s="1"/>
  <c r="I163" i="44" s="1"/>
  <c r="J163" i="44" s="1"/>
  <c r="L164" i="44" s="1"/>
  <c r="M164" i="44" s="1"/>
  <c r="I164" i="44" s="1"/>
  <c r="C164" i="44" l="1"/>
  <c r="J164" i="44" s="1"/>
  <c r="L165" i="44" l="1"/>
  <c r="M165" i="44" s="1"/>
  <c r="I165" i="44" s="1"/>
  <c r="C165" i="44"/>
  <c r="J165" i="44" l="1"/>
  <c r="C166" i="44" s="1"/>
  <c r="L166" i="44" l="1"/>
  <c r="M166" i="44" s="1"/>
  <c r="I166" i="44" s="1"/>
  <c r="J166" i="44" s="1"/>
  <c r="L167" i="44" l="1"/>
  <c r="M167" i="44" s="1"/>
  <c r="I167" i="44" s="1"/>
  <c r="C167" i="44"/>
  <c r="J167" i="44" l="1"/>
  <c r="L168" i="44"/>
  <c r="M168" i="44" s="1"/>
  <c r="I168" i="44" s="1"/>
  <c r="J168" i="44" s="1"/>
  <c r="C168" i="44"/>
  <c r="L169" i="44" l="1"/>
  <c r="M169" i="44" s="1"/>
  <c r="I169" i="44" s="1"/>
  <c r="C169" i="44"/>
  <c r="J169" i="44" l="1"/>
  <c r="L170" i="44"/>
  <c r="M170" i="44" s="1"/>
  <c r="I170" i="44" s="1"/>
  <c r="C170" i="44"/>
  <c r="J170" i="44" l="1"/>
  <c r="L171" i="44" l="1"/>
  <c r="M171" i="44" s="1"/>
  <c r="I171" i="44" s="1"/>
  <c r="C171" i="44"/>
  <c r="J171" i="44" l="1"/>
  <c r="C172" i="44" s="1"/>
  <c r="L172" i="44" l="1"/>
  <c r="M172" i="44" s="1"/>
  <c r="I172" i="44" s="1"/>
  <c r="J172" i="44" s="1"/>
  <c r="L173" i="44" l="1"/>
  <c r="M173" i="44" s="1"/>
  <c r="I173" i="44" s="1"/>
  <c r="C173" i="44"/>
  <c r="J173" i="44" l="1"/>
  <c r="L174" i="44"/>
  <c r="M174" i="44" s="1"/>
  <c r="I176" i="44"/>
  <c r="C174" i="44"/>
  <c r="B28" i="39"/>
  <c r="J174" i="44" l="1"/>
  <c r="H32" i="48" l="1"/>
  <c r="J8" i="34"/>
  <c r="J9" i="34"/>
  <c r="J10" i="34"/>
  <c r="J11" i="34"/>
  <c r="J12" i="34"/>
  <c r="J13" i="34"/>
  <c r="J14" i="34"/>
  <c r="J15" i="34"/>
  <c r="J16" i="34"/>
  <c r="J17" i="34"/>
  <c r="J18" i="34"/>
  <c r="J7" i="34"/>
  <c r="L72" i="42" l="1"/>
  <c r="J72" i="42"/>
  <c r="I70" i="42"/>
  <c r="I72" i="42" s="1"/>
  <c r="L69" i="42"/>
  <c r="J69" i="42"/>
  <c r="L68" i="42"/>
  <c r="J68" i="42"/>
  <c r="I21" i="34" l="1"/>
  <c r="I22" i="34"/>
  <c r="H15" i="34"/>
  <c r="H16" i="34" l="1"/>
  <c r="AD1182" i="43"/>
  <c r="I1180" i="43"/>
  <c r="K1180" i="43" s="1"/>
  <c r="AD1180" i="43" s="1"/>
  <c r="I1179" i="43"/>
  <c r="K1179" i="43" s="1"/>
  <c r="AD1179" i="43" s="1"/>
  <c r="I1178" i="43"/>
  <c r="O1178" i="43" s="1"/>
  <c r="I1177" i="43"/>
  <c r="O1177" i="43" s="1"/>
  <c r="I1176" i="43"/>
  <c r="K1176" i="43" s="1"/>
  <c r="AD1176" i="43" s="1"/>
  <c r="I1175" i="43"/>
  <c r="O1175" i="43" s="1"/>
  <c r="AD1174" i="43"/>
  <c r="AD1173" i="43"/>
  <c r="E1172" i="43"/>
  <c r="E1169" i="43" s="1"/>
  <c r="AD1171" i="43"/>
  <c r="I1171" i="43"/>
  <c r="C1171" i="43"/>
  <c r="AD1170" i="43"/>
  <c r="E1170" i="43"/>
  <c r="C1170" i="43"/>
  <c r="AD1169" i="43"/>
  <c r="C1169" i="43"/>
  <c r="G1167" i="43"/>
  <c r="G1166" i="43"/>
  <c r="T1166" i="43" s="1"/>
  <c r="C1166" i="43"/>
  <c r="AD1165" i="43"/>
  <c r="AD1164" i="43"/>
  <c r="E1163" i="43"/>
  <c r="E1160" i="43" s="1"/>
  <c r="AD1162" i="43"/>
  <c r="I1162" i="43"/>
  <c r="C1162" i="43"/>
  <c r="AD1161" i="43"/>
  <c r="E1161" i="43"/>
  <c r="C1161" i="43"/>
  <c r="AD1160" i="43"/>
  <c r="C1160" i="43"/>
  <c r="G1158" i="43"/>
  <c r="C1158" i="43"/>
  <c r="C1149" i="43" s="1"/>
  <c r="G1157" i="43"/>
  <c r="I1157" i="43" s="1"/>
  <c r="AD1156" i="43"/>
  <c r="AD1155" i="43"/>
  <c r="AD1153" i="43"/>
  <c r="E1153" i="43"/>
  <c r="AD1152" i="43"/>
  <c r="AD1151" i="43"/>
  <c r="G1149" i="43"/>
  <c r="G1148" i="43"/>
  <c r="C1148" i="43"/>
  <c r="AD1147" i="43"/>
  <c r="AD1146" i="43"/>
  <c r="G1144" i="43"/>
  <c r="G1143" i="43"/>
  <c r="G1142" i="43"/>
  <c r="AD1141" i="43"/>
  <c r="G1140" i="43"/>
  <c r="G1139" i="43"/>
  <c r="AD1138" i="43"/>
  <c r="G1137" i="43"/>
  <c r="E1137" i="43"/>
  <c r="G1136" i="43"/>
  <c r="AD1135" i="43"/>
  <c r="G1135" i="43"/>
  <c r="G1134" i="43"/>
  <c r="E1134" i="43"/>
  <c r="G1133" i="43"/>
  <c r="E1133" i="43"/>
  <c r="AD1132" i="43"/>
  <c r="G1132" i="43"/>
  <c r="G1131" i="43"/>
  <c r="R1130" i="43"/>
  <c r="G1130" i="43"/>
  <c r="AD1129" i="43"/>
  <c r="G1129" i="43"/>
  <c r="AD1128" i="43"/>
  <c r="R1127" i="43"/>
  <c r="G1127" i="43"/>
  <c r="G1126" i="43"/>
  <c r="AD1125" i="43"/>
  <c r="AD1124" i="43"/>
  <c r="G1122" i="43"/>
  <c r="G1121" i="43"/>
  <c r="G1120" i="43"/>
  <c r="AD1119" i="43"/>
  <c r="G1118" i="43"/>
  <c r="G1117" i="43"/>
  <c r="AD1116" i="43"/>
  <c r="G1115" i="43"/>
  <c r="E1115" i="43"/>
  <c r="C1115" i="43"/>
  <c r="C1137" i="43" s="1"/>
  <c r="G1114" i="43"/>
  <c r="E1114" i="43"/>
  <c r="E1136" i="43" s="1"/>
  <c r="C1114" i="43"/>
  <c r="AD1113" i="43"/>
  <c r="K1112" i="43"/>
  <c r="AD1112" i="43" s="1"/>
  <c r="G1112" i="43"/>
  <c r="E1112" i="43"/>
  <c r="C1112" i="43"/>
  <c r="C1134" i="43" s="1"/>
  <c r="G1111" i="43"/>
  <c r="K1111" i="43" s="1"/>
  <c r="AD1111" i="43" s="1"/>
  <c r="E1111" i="43"/>
  <c r="C1111" i="43"/>
  <c r="AD1110" i="43"/>
  <c r="G1109" i="43"/>
  <c r="G1108" i="43"/>
  <c r="AD1107" i="43"/>
  <c r="AD1106" i="43"/>
  <c r="G1105" i="43"/>
  <c r="G1104" i="43"/>
  <c r="AD1103" i="43"/>
  <c r="AD1102" i="43"/>
  <c r="E1101" i="43"/>
  <c r="C1100" i="43"/>
  <c r="C1099" i="43"/>
  <c r="C1121" i="43" s="1"/>
  <c r="C1098" i="43"/>
  <c r="AD1097" i="43"/>
  <c r="C1096" i="43"/>
  <c r="C1118" i="43" s="1"/>
  <c r="C1095" i="43"/>
  <c r="C1117" i="43" s="1"/>
  <c r="AD1094" i="43"/>
  <c r="AD1091" i="43"/>
  <c r="C1091" i="43"/>
  <c r="AD1088" i="43"/>
  <c r="C1088" i="43"/>
  <c r="C1086" i="43"/>
  <c r="AD1085" i="43"/>
  <c r="C1085" i="43"/>
  <c r="AD1084" i="43"/>
  <c r="C1083" i="43"/>
  <c r="E1082" i="43"/>
  <c r="E1104" i="43" s="1"/>
  <c r="C1082" i="43"/>
  <c r="C1104" i="43" s="1"/>
  <c r="I1104" i="43" s="1"/>
  <c r="AD1081" i="43"/>
  <c r="AD1080" i="43"/>
  <c r="I1078" i="43"/>
  <c r="E1078" i="43"/>
  <c r="E1079" i="43" s="1"/>
  <c r="C1078" i="43"/>
  <c r="C1079" i="43" s="1"/>
  <c r="AD1077" i="43"/>
  <c r="E1077" i="43"/>
  <c r="AD1076" i="43"/>
  <c r="AD1075" i="43"/>
  <c r="E1074" i="43"/>
  <c r="K1073" i="43"/>
  <c r="C1073" i="43"/>
  <c r="K1072" i="43"/>
  <c r="C1072" i="43"/>
  <c r="C1074" i="43" s="1"/>
  <c r="R1071" i="43"/>
  <c r="K1071" i="43"/>
  <c r="C1071" i="43"/>
  <c r="K1070" i="43"/>
  <c r="AD1070" i="43" s="1"/>
  <c r="E1070" i="43"/>
  <c r="AD1069" i="43"/>
  <c r="AD1068" i="43"/>
  <c r="E1067" i="43"/>
  <c r="AD1066" i="43"/>
  <c r="I1066" i="43"/>
  <c r="C1066" i="43"/>
  <c r="C883" i="43" s="1"/>
  <c r="G1064" i="43"/>
  <c r="I1064" i="43" s="1"/>
  <c r="C1064" i="43"/>
  <c r="G1063" i="43"/>
  <c r="C1063" i="43"/>
  <c r="G1062" i="43"/>
  <c r="C1062" i="43"/>
  <c r="G1061" i="43"/>
  <c r="C1061" i="43"/>
  <c r="G1060" i="43"/>
  <c r="C1060" i="43"/>
  <c r="G1059" i="43"/>
  <c r="C1059" i="43"/>
  <c r="AD1058" i="43"/>
  <c r="G1057" i="43"/>
  <c r="I1057" i="43" s="1"/>
  <c r="G1056" i="43"/>
  <c r="I1056" i="43" s="1"/>
  <c r="G1055" i="43"/>
  <c r="I1055" i="43" s="1"/>
  <c r="G1054" i="43"/>
  <c r="I1054" i="43" s="1"/>
  <c r="G1053" i="43"/>
  <c r="I1053" i="43" s="1"/>
  <c r="G1052" i="43"/>
  <c r="I1052" i="43" s="1"/>
  <c r="G1051" i="43"/>
  <c r="I1051" i="43" s="1"/>
  <c r="AD1050" i="43"/>
  <c r="AD1049" i="43"/>
  <c r="L1048" i="43"/>
  <c r="G1047" i="43"/>
  <c r="K1047" i="43" s="1"/>
  <c r="AD1047" i="43" s="1"/>
  <c r="G1046" i="43"/>
  <c r="K1046" i="43" s="1"/>
  <c r="AD1046" i="43" s="1"/>
  <c r="AD1045" i="43"/>
  <c r="C1045" i="43"/>
  <c r="G1044" i="43"/>
  <c r="K1044" i="43" s="1"/>
  <c r="AD1044" i="43" s="1"/>
  <c r="G1043" i="43"/>
  <c r="AD1042" i="43"/>
  <c r="C1042" i="43"/>
  <c r="G1041" i="43"/>
  <c r="C1041" i="43"/>
  <c r="G1040" i="43"/>
  <c r="I1040" i="43" s="1"/>
  <c r="C1040" i="43"/>
  <c r="AD1039" i="43"/>
  <c r="C1039" i="43"/>
  <c r="AD1038" i="43"/>
  <c r="G1037" i="43"/>
  <c r="C1037" i="43"/>
  <c r="G1036" i="43"/>
  <c r="I1036" i="43" s="1"/>
  <c r="C1036" i="43"/>
  <c r="E1023" i="43" s="1"/>
  <c r="AD1035" i="43"/>
  <c r="G1034" i="43"/>
  <c r="G1033" i="43"/>
  <c r="AD1032" i="43"/>
  <c r="G1031" i="43"/>
  <c r="G1030" i="43"/>
  <c r="AD1029" i="43"/>
  <c r="G1028" i="43"/>
  <c r="G1027" i="43"/>
  <c r="AD1026" i="43"/>
  <c r="AD1025" i="43"/>
  <c r="G1024" i="43"/>
  <c r="I1024" i="43" s="1"/>
  <c r="G1023" i="43"/>
  <c r="AD1022" i="43"/>
  <c r="K1021" i="43"/>
  <c r="AD1021" i="43" s="1"/>
  <c r="G1021" i="43"/>
  <c r="I1021" i="43" s="1"/>
  <c r="G1020" i="43"/>
  <c r="AD1019" i="43"/>
  <c r="G1018" i="43"/>
  <c r="I1018" i="43" s="1"/>
  <c r="G1017" i="43"/>
  <c r="K1017" i="43" s="1"/>
  <c r="AD1017" i="43" s="1"/>
  <c r="AD1016" i="43"/>
  <c r="G1015" i="43"/>
  <c r="I1015" i="43" s="1"/>
  <c r="G1014" i="43"/>
  <c r="K1014" i="43" s="1"/>
  <c r="AD1014" i="43" s="1"/>
  <c r="AD1013" i="43"/>
  <c r="AD1012" i="43"/>
  <c r="G1011" i="43"/>
  <c r="G1010" i="43"/>
  <c r="E1010" i="43"/>
  <c r="AD1009" i="43"/>
  <c r="AD1008" i="43"/>
  <c r="AD1007" i="43"/>
  <c r="E1006" i="43"/>
  <c r="AD1005" i="43"/>
  <c r="I1005" i="43"/>
  <c r="C1005" i="43"/>
  <c r="G1003" i="43"/>
  <c r="C1003" i="43"/>
  <c r="G1002" i="43"/>
  <c r="C1002" i="43"/>
  <c r="G1001" i="43"/>
  <c r="C1001" i="43"/>
  <c r="G1000" i="43"/>
  <c r="C1000" i="43"/>
  <c r="C878" i="43" s="1"/>
  <c r="G999" i="43"/>
  <c r="C999" i="43"/>
  <c r="G998" i="43"/>
  <c r="C998" i="43"/>
  <c r="AD997" i="43"/>
  <c r="G996" i="43"/>
  <c r="G995" i="43"/>
  <c r="I995" i="43" s="1"/>
  <c r="G994" i="43"/>
  <c r="G993" i="43"/>
  <c r="I993" i="43" s="1"/>
  <c r="G992" i="43"/>
  <c r="G991" i="43"/>
  <c r="I991" i="43" s="1"/>
  <c r="G990" i="43"/>
  <c r="AD989" i="43"/>
  <c r="AD988" i="43"/>
  <c r="L987" i="43"/>
  <c r="G986" i="43"/>
  <c r="K986" i="43" s="1"/>
  <c r="AD986" i="43" s="1"/>
  <c r="G985" i="43"/>
  <c r="AD984" i="43"/>
  <c r="C984" i="43"/>
  <c r="G983" i="43"/>
  <c r="I983" i="43" s="1"/>
  <c r="G982" i="43"/>
  <c r="AD981" i="43"/>
  <c r="C981" i="43"/>
  <c r="G980" i="43"/>
  <c r="C980" i="43"/>
  <c r="C858" i="43" s="1"/>
  <c r="G979" i="43"/>
  <c r="C979" i="43"/>
  <c r="C857" i="43" s="1"/>
  <c r="AD978" i="43"/>
  <c r="C978" i="43"/>
  <c r="C856" i="43" s="1"/>
  <c r="AD977" i="43"/>
  <c r="G976" i="43"/>
  <c r="C976" i="43"/>
  <c r="G975" i="43"/>
  <c r="C975" i="43"/>
  <c r="AD974" i="43"/>
  <c r="G973" i="43"/>
  <c r="G972" i="43"/>
  <c r="I972" i="43" s="1"/>
  <c r="AD971" i="43"/>
  <c r="G970" i="43"/>
  <c r="G969" i="43"/>
  <c r="I969" i="43" s="1"/>
  <c r="AD968" i="43"/>
  <c r="G967" i="43"/>
  <c r="G966" i="43"/>
  <c r="I966" i="43" s="1"/>
  <c r="AD965" i="43"/>
  <c r="AD964" i="43"/>
  <c r="G963" i="43"/>
  <c r="G962" i="43"/>
  <c r="I962" i="43" s="1"/>
  <c r="AD961" i="43"/>
  <c r="I960" i="43"/>
  <c r="G960" i="43"/>
  <c r="K960" i="43" s="1"/>
  <c r="AD960" i="43" s="1"/>
  <c r="G959" i="43"/>
  <c r="K959" i="43" s="1"/>
  <c r="AD959" i="43" s="1"/>
  <c r="AD958" i="43"/>
  <c r="G957" i="43"/>
  <c r="K957" i="43" s="1"/>
  <c r="AD957" i="43" s="1"/>
  <c r="G956" i="43"/>
  <c r="AD955" i="43"/>
  <c r="G954" i="43"/>
  <c r="I954" i="43" s="1"/>
  <c r="G953" i="43"/>
  <c r="I953" i="43" s="1"/>
  <c r="AD952" i="43"/>
  <c r="AD951" i="43"/>
  <c r="G950" i="43"/>
  <c r="I950" i="43" s="1"/>
  <c r="G949" i="43"/>
  <c r="I949" i="43" s="1"/>
  <c r="AD948" i="43"/>
  <c r="AD947" i="43"/>
  <c r="AD946" i="43"/>
  <c r="E945" i="43"/>
  <c r="AD944" i="43"/>
  <c r="I944" i="43"/>
  <c r="C944" i="43"/>
  <c r="G942" i="43"/>
  <c r="I942" i="43" s="1"/>
  <c r="G941" i="43"/>
  <c r="I941" i="43" s="1"/>
  <c r="G940" i="43"/>
  <c r="I940" i="43" s="1"/>
  <c r="G939" i="43"/>
  <c r="I939" i="43" s="1"/>
  <c r="G938" i="43"/>
  <c r="I938" i="43" s="1"/>
  <c r="G937" i="43"/>
  <c r="I937" i="43" s="1"/>
  <c r="AD936" i="43"/>
  <c r="G935" i="43"/>
  <c r="C935" i="43"/>
  <c r="C874" i="43" s="1"/>
  <c r="G934" i="43"/>
  <c r="C934" i="43"/>
  <c r="G933" i="43"/>
  <c r="C933" i="43"/>
  <c r="G932" i="43"/>
  <c r="C932" i="43"/>
  <c r="G931" i="43"/>
  <c r="C931" i="43"/>
  <c r="C870" i="43" s="1"/>
  <c r="G930" i="43"/>
  <c r="C930" i="43"/>
  <c r="C869" i="43" s="1"/>
  <c r="G929" i="43"/>
  <c r="C929" i="43"/>
  <c r="AD928" i="43"/>
  <c r="AD927" i="43"/>
  <c r="G925" i="43"/>
  <c r="G924" i="43"/>
  <c r="K924" i="43" s="1"/>
  <c r="AD924" i="43" s="1"/>
  <c r="AD923" i="43"/>
  <c r="G922" i="43"/>
  <c r="G921" i="43"/>
  <c r="AD920" i="43"/>
  <c r="G919" i="43"/>
  <c r="G918" i="43"/>
  <c r="K918" i="43" s="1"/>
  <c r="AD918" i="43" s="1"/>
  <c r="AD917" i="43"/>
  <c r="AD916" i="43"/>
  <c r="G915" i="43"/>
  <c r="I915" i="43" s="1"/>
  <c r="G914" i="43"/>
  <c r="I914" i="43" s="1"/>
  <c r="AD913" i="43"/>
  <c r="G912" i="43"/>
  <c r="C912" i="43"/>
  <c r="C851" i="43" s="1"/>
  <c r="G911" i="43"/>
  <c r="C911" i="43"/>
  <c r="C850" i="43" s="1"/>
  <c r="AD910" i="43"/>
  <c r="C910" i="43"/>
  <c r="C849" i="43" s="1"/>
  <c r="G909" i="43"/>
  <c r="C909" i="43"/>
  <c r="C848" i="43" s="1"/>
  <c r="G908" i="43"/>
  <c r="C908" i="43"/>
  <c r="AD907" i="43"/>
  <c r="C907" i="43"/>
  <c r="C846" i="43" s="1"/>
  <c r="G906" i="43"/>
  <c r="I906" i="43" s="1"/>
  <c r="C906" i="43"/>
  <c r="G905" i="43"/>
  <c r="C905" i="43"/>
  <c r="C844" i="43" s="1"/>
  <c r="AD904" i="43"/>
  <c r="C904" i="43"/>
  <c r="AD903" i="43"/>
  <c r="G902" i="43"/>
  <c r="C902" i="43"/>
  <c r="C841" i="43" s="1"/>
  <c r="G901" i="43"/>
  <c r="C901" i="43"/>
  <c r="E901" i="43" s="1"/>
  <c r="AD900" i="43"/>
  <c r="G899" i="43"/>
  <c r="I899" i="43" s="1"/>
  <c r="G898" i="43"/>
  <c r="K898" i="43" s="1"/>
  <c r="AD898" i="43" s="1"/>
  <c r="AD897" i="43"/>
  <c r="G896" i="43"/>
  <c r="K895" i="43"/>
  <c r="AD895" i="43" s="1"/>
  <c r="G895" i="43"/>
  <c r="I895" i="43" s="1"/>
  <c r="AD894" i="43"/>
  <c r="K893" i="43"/>
  <c r="AD893" i="43" s="1"/>
  <c r="G893" i="43"/>
  <c r="I893" i="43" s="1"/>
  <c r="G892" i="43"/>
  <c r="K892" i="43" s="1"/>
  <c r="AD892" i="43" s="1"/>
  <c r="AD891" i="43"/>
  <c r="AD890" i="43"/>
  <c r="G889" i="43"/>
  <c r="G888" i="43"/>
  <c r="AD887" i="43"/>
  <c r="AD886" i="43"/>
  <c r="AD885" i="43"/>
  <c r="AD883" i="43"/>
  <c r="E883" i="43"/>
  <c r="G881" i="43"/>
  <c r="G880" i="43"/>
  <c r="C880" i="43"/>
  <c r="G879" i="43"/>
  <c r="G878" i="43"/>
  <c r="G877" i="43"/>
  <c r="G876" i="43"/>
  <c r="AD875" i="43"/>
  <c r="G874" i="43"/>
  <c r="G873" i="43"/>
  <c r="C873" i="43"/>
  <c r="G872" i="43"/>
  <c r="G871" i="43"/>
  <c r="C871" i="43"/>
  <c r="G870" i="43"/>
  <c r="G869" i="43"/>
  <c r="G868" i="43"/>
  <c r="AD867" i="43"/>
  <c r="AD866" i="43"/>
  <c r="G864" i="43"/>
  <c r="E864" i="43"/>
  <c r="C864" i="43"/>
  <c r="G863" i="43"/>
  <c r="E863" i="43"/>
  <c r="C863" i="43"/>
  <c r="AD862" i="43"/>
  <c r="G861" i="43"/>
  <c r="K861" i="43" s="1"/>
  <c r="AD861" i="43" s="1"/>
  <c r="E861" i="43"/>
  <c r="C861" i="43"/>
  <c r="G860" i="43"/>
  <c r="E860" i="43"/>
  <c r="K860" i="43" s="1"/>
  <c r="AD860" i="43" s="1"/>
  <c r="C860" i="43"/>
  <c r="AD859" i="43"/>
  <c r="C859" i="43"/>
  <c r="G858" i="43"/>
  <c r="G857" i="43"/>
  <c r="AD856" i="43"/>
  <c r="AD855" i="43"/>
  <c r="G854" i="43"/>
  <c r="G853" i="43"/>
  <c r="C853" i="43"/>
  <c r="AD852" i="43"/>
  <c r="G851" i="43"/>
  <c r="G850" i="43"/>
  <c r="AD849" i="43"/>
  <c r="G848" i="43"/>
  <c r="G847" i="43"/>
  <c r="C847" i="43"/>
  <c r="AD846" i="43"/>
  <c r="G845" i="43"/>
  <c r="C845" i="43"/>
  <c r="G844" i="43"/>
  <c r="AD843" i="43"/>
  <c r="C843" i="43"/>
  <c r="AD842" i="43"/>
  <c r="G841" i="43"/>
  <c r="G840" i="43"/>
  <c r="C840" i="43"/>
  <c r="AD839" i="43"/>
  <c r="G838" i="43"/>
  <c r="E838" i="43"/>
  <c r="C838" i="43"/>
  <c r="G837" i="43"/>
  <c r="K837" i="43" s="1"/>
  <c r="AD837" i="43" s="1"/>
  <c r="E837" i="43"/>
  <c r="C837" i="43"/>
  <c r="AD836" i="43"/>
  <c r="C836" i="43"/>
  <c r="G835" i="43"/>
  <c r="K835" i="43" s="1"/>
  <c r="AD835" i="43" s="1"/>
  <c r="E835" i="43"/>
  <c r="C835" i="43"/>
  <c r="G834" i="43"/>
  <c r="E834" i="43"/>
  <c r="C834" i="43"/>
  <c r="AD833" i="43"/>
  <c r="C833" i="43"/>
  <c r="G832" i="43"/>
  <c r="E832" i="43"/>
  <c r="C832" i="43"/>
  <c r="G831" i="43"/>
  <c r="E831" i="43"/>
  <c r="C831" i="43"/>
  <c r="AD830" i="43"/>
  <c r="C830" i="43"/>
  <c r="AD829" i="43"/>
  <c r="R828" i="43"/>
  <c r="G828" i="43"/>
  <c r="C828" i="43"/>
  <c r="G827" i="43"/>
  <c r="C827" i="43"/>
  <c r="AD826" i="43"/>
  <c r="AD825" i="43"/>
  <c r="AD824" i="43"/>
  <c r="E823" i="43"/>
  <c r="AD822" i="43"/>
  <c r="I822" i="43"/>
  <c r="C822" i="43"/>
  <c r="G821" i="43"/>
  <c r="I821" i="43" s="1"/>
  <c r="G820" i="43"/>
  <c r="C820" i="43"/>
  <c r="G819" i="43"/>
  <c r="C819" i="43"/>
  <c r="E819" i="43" s="1"/>
  <c r="G818" i="43"/>
  <c r="C818" i="43"/>
  <c r="G817" i="43"/>
  <c r="C817" i="43"/>
  <c r="E817" i="43" s="1"/>
  <c r="E818" i="43" s="1"/>
  <c r="G816" i="43"/>
  <c r="C816" i="43"/>
  <c r="G815" i="43"/>
  <c r="C815" i="43"/>
  <c r="G814" i="43"/>
  <c r="C814" i="43"/>
  <c r="M813" i="43"/>
  <c r="G813" i="43"/>
  <c r="T813" i="43" s="1"/>
  <c r="E813" i="43"/>
  <c r="C813" i="43"/>
  <c r="AD812" i="43"/>
  <c r="AD811" i="43"/>
  <c r="E810" i="43"/>
  <c r="AD809" i="43"/>
  <c r="I809" i="43"/>
  <c r="C809" i="43"/>
  <c r="G808" i="43"/>
  <c r="I808" i="43" s="1"/>
  <c r="G807" i="43"/>
  <c r="C807" i="43"/>
  <c r="G806" i="43"/>
  <c r="C806" i="43"/>
  <c r="G805" i="43"/>
  <c r="C805" i="43"/>
  <c r="G804" i="43"/>
  <c r="C804" i="43"/>
  <c r="G803" i="43"/>
  <c r="C803" i="43"/>
  <c r="G802" i="43"/>
  <c r="C802" i="43"/>
  <c r="G801" i="43"/>
  <c r="C801" i="43"/>
  <c r="M800" i="43"/>
  <c r="G800" i="43"/>
  <c r="E800" i="43"/>
  <c r="C800" i="43"/>
  <c r="I800" i="43" s="1"/>
  <c r="AD799" i="43"/>
  <c r="AD798" i="43"/>
  <c r="E797" i="43"/>
  <c r="AD796" i="43"/>
  <c r="I796" i="43"/>
  <c r="I783" i="43" s="1"/>
  <c r="C796" i="43"/>
  <c r="G795" i="43"/>
  <c r="I795" i="43" s="1"/>
  <c r="G794" i="43"/>
  <c r="C794" i="43"/>
  <c r="G793" i="43"/>
  <c r="C793" i="43"/>
  <c r="G792" i="43"/>
  <c r="C792" i="43"/>
  <c r="C779" i="43" s="1"/>
  <c r="G791" i="43"/>
  <c r="C791" i="43"/>
  <c r="G790" i="43"/>
  <c r="C790" i="43"/>
  <c r="G789" i="43"/>
  <c r="C789" i="43"/>
  <c r="G788" i="43"/>
  <c r="C788" i="43"/>
  <c r="C775" i="43" s="1"/>
  <c r="M787" i="43"/>
  <c r="G787" i="43"/>
  <c r="E787" i="43"/>
  <c r="E774" i="43" s="1"/>
  <c r="O774" i="43" s="1"/>
  <c r="C787" i="43"/>
  <c r="AD786" i="43"/>
  <c r="AD785" i="43"/>
  <c r="R784" i="43"/>
  <c r="R783" i="43"/>
  <c r="O783" i="43"/>
  <c r="K783" i="43"/>
  <c r="AD783" i="43" s="1"/>
  <c r="E783" i="43"/>
  <c r="M782" i="43"/>
  <c r="G782" i="43"/>
  <c r="C782" i="43"/>
  <c r="G781" i="43"/>
  <c r="G780" i="43"/>
  <c r="G779" i="43"/>
  <c r="G778" i="43"/>
  <c r="G777" i="43"/>
  <c r="G776" i="43"/>
  <c r="R775" i="43"/>
  <c r="G775" i="43"/>
  <c r="G774" i="43"/>
  <c r="T774" i="43" s="1"/>
  <c r="AD773" i="43"/>
  <c r="AD772" i="43"/>
  <c r="E771" i="43"/>
  <c r="AD769" i="43"/>
  <c r="I769" i="43"/>
  <c r="C769" i="43"/>
  <c r="G768" i="43"/>
  <c r="C768" i="43"/>
  <c r="G767" i="43"/>
  <c r="C767" i="43"/>
  <c r="G766" i="43"/>
  <c r="C766" i="43"/>
  <c r="G765" i="43"/>
  <c r="C765" i="43"/>
  <c r="AD764" i="43"/>
  <c r="AD762" i="43"/>
  <c r="G761" i="43"/>
  <c r="C761" i="43"/>
  <c r="G760" i="43"/>
  <c r="C760" i="43"/>
  <c r="I760" i="43" s="1"/>
  <c r="R759" i="43"/>
  <c r="G759" i="43"/>
  <c r="C759" i="43"/>
  <c r="G758" i="43"/>
  <c r="I758" i="43" s="1"/>
  <c r="C758" i="43"/>
  <c r="AD757" i="43"/>
  <c r="AD756" i="43"/>
  <c r="AD755" i="43"/>
  <c r="AD753" i="43"/>
  <c r="I753" i="43"/>
  <c r="C753" i="43"/>
  <c r="G752" i="43"/>
  <c r="E752" i="43"/>
  <c r="C752" i="43"/>
  <c r="G751" i="43"/>
  <c r="E751" i="43"/>
  <c r="C751" i="43"/>
  <c r="AD750" i="43"/>
  <c r="AD749" i="43"/>
  <c r="AD747" i="43"/>
  <c r="I747" i="43"/>
  <c r="C747" i="43"/>
  <c r="G746" i="43"/>
  <c r="E746" i="43"/>
  <c r="K746" i="43" s="1"/>
  <c r="AD746" i="43" s="1"/>
  <c r="C746" i="43"/>
  <c r="G745" i="43"/>
  <c r="E745" i="43"/>
  <c r="C745" i="43"/>
  <c r="AD744" i="43"/>
  <c r="AD743" i="43"/>
  <c r="AD741" i="43"/>
  <c r="I741" i="43"/>
  <c r="I735" i="43" s="1"/>
  <c r="C741" i="43"/>
  <c r="G740" i="43"/>
  <c r="E740" i="43"/>
  <c r="E742" i="43" s="1"/>
  <c r="C740" i="43"/>
  <c r="G739" i="43"/>
  <c r="E739" i="43"/>
  <c r="C739" i="43"/>
  <c r="AD738" i="43"/>
  <c r="AD737" i="43"/>
  <c r="AD735" i="43"/>
  <c r="E735" i="43"/>
  <c r="G734" i="43"/>
  <c r="R733" i="43"/>
  <c r="G733" i="43"/>
  <c r="AD732" i="43"/>
  <c r="AD731" i="43"/>
  <c r="AD729" i="43"/>
  <c r="I729" i="43"/>
  <c r="C729" i="43"/>
  <c r="G728" i="43"/>
  <c r="E728" i="43"/>
  <c r="E730" i="43" s="1"/>
  <c r="C728" i="43"/>
  <c r="G727" i="43"/>
  <c r="E727" i="43"/>
  <c r="C727" i="43"/>
  <c r="G726" i="43"/>
  <c r="C726" i="43"/>
  <c r="G725" i="43"/>
  <c r="C725" i="43"/>
  <c r="E725" i="43" s="1"/>
  <c r="G724" i="43"/>
  <c r="C724" i="43"/>
  <c r="AD723" i="43"/>
  <c r="AD722" i="43"/>
  <c r="AD720" i="43"/>
  <c r="I720" i="43"/>
  <c r="C720" i="43"/>
  <c r="G719" i="43"/>
  <c r="E719" i="43"/>
  <c r="C719" i="43"/>
  <c r="G718" i="43"/>
  <c r="E718" i="43"/>
  <c r="C718" i="43"/>
  <c r="G717" i="43"/>
  <c r="C717" i="43"/>
  <c r="E717" i="43" s="1"/>
  <c r="K717" i="43" s="1"/>
  <c r="AD717" i="43" s="1"/>
  <c r="G716" i="43"/>
  <c r="C716" i="43"/>
  <c r="G715" i="43"/>
  <c r="C715" i="43"/>
  <c r="I715" i="43" s="1"/>
  <c r="AD714" i="43"/>
  <c r="AD713" i="43"/>
  <c r="AD711" i="43"/>
  <c r="I711" i="43"/>
  <c r="C711" i="43"/>
  <c r="G710" i="43"/>
  <c r="E710" i="43"/>
  <c r="E712" i="43" s="1"/>
  <c r="C710" i="43"/>
  <c r="G709" i="43"/>
  <c r="E709" i="43"/>
  <c r="C709" i="43"/>
  <c r="G708" i="43"/>
  <c r="C708" i="43"/>
  <c r="G707" i="43"/>
  <c r="C707" i="43"/>
  <c r="G706" i="43"/>
  <c r="C706" i="43"/>
  <c r="AD705" i="43"/>
  <c r="AD704" i="43"/>
  <c r="AD702" i="43"/>
  <c r="E702" i="43"/>
  <c r="G701" i="43"/>
  <c r="G700" i="43"/>
  <c r="G699" i="43"/>
  <c r="R698" i="43"/>
  <c r="G698" i="43"/>
  <c r="G697" i="43"/>
  <c r="AD696" i="43"/>
  <c r="AD695" i="43"/>
  <c r="AD693" i="43"/>
  <c r="AD692" i="43"/>
  <c r="AD690" i="43"/>
  <c r="AD689" i="43"/>
  <c r="E689" i="43"/>
  <c r="C689" i="43"/>
  <c r="E688" i="43"/>
  <c r="E686" i="43" s="1"/>
  <c r="C688" i="43"/>
  <c r="AD687" i="43"/>
  <c r="I687" i="43"/>
  <c r="C687" i="43"/>
  <c r="C686" i="43"/>
  <c r="G685" i="43"/>
  <c r="C685" i="43"/>
  <c r="G684" i="43"/>
  <c r="C684" i="43"/>
  <c r="G683" i="43"/>
  <c r="C683" i="43"/>
  <c r="I683" i="43" s="1"/>
  <c r="G682" i="43"/>
  <c r="C682" i="43"/>
  <c r="AD681" i="43"/>
  <c r="G680" i="43"/>
  <c r="C680" i="43"/>
  <c r="G679" i="43"/>
  <c r="C679" i="43"/>
  <c r="G678" i="43"/>
  <c r="C678" i="43"/>
  <c r="G677" i="43"/>
  <c r="C677" i="43"/>
  <c r="G676" i="43"/>
  <c r="C676" i="43"/>
  <c r="G675" i="43"/>
  <c r="C675" i="43"/>
  <c r="AD674" i="43"/>
  <c r="G673" i="43"/>
  <c r="C673" i="43"/>
  <c r="G672" i="43"/>
  <c r="C672" i="43"/>
  <c r="G671" i="43"/>
  <c r="C671" i="43"/>
  <c r="AD670" i="43"/>
  <c r="G669" i="43"/>
  <c r="C669" i="43"/>
  <c r="G668" i="43"/>
  <c r="I668" i="43" s="1"/>
  <c r="C668" i="43"/>
  <c r="AD667" i="43"/>
  <c r="AD666" i="43"/>
  <c r="AD665" i="43"/>
  <c r="E665" i="43"/>
  <c r="C665" i="43"/>
  <c r="E664" i="43"/>
  <c r="E662" i="43" s="1"/>
  <c r="E660" i="43" s="1"/>
  <c r="AD663" i="43"/>
  <c r="I663" i="43"/>
  <c r="C663" i="43"/>
  <c r="C662" i="43"/>
  <c r="G661" i="43"/>
  <c r="C661" i="43"/>
  <c r="G660" i="43"/>
  <c r="C660" i="43"/>
  <c r="AD659" i="43"/>
  <c r="G658" i="43"/>
  <c r="C658" i="43"/>
  <c r="G657" i="43"/>
  <c r="C657" i="43"/>
  <c r="G656" i="43"/>
  <c r="C656" i="43"/>
  <c r="G655" i="43"/>
  <c r="C655" i="43"/>
  <c r="G654" i="43"/>
  <c r="C654" i="43"/>
  <c r="I654" i="43" s="1"/>
  <c r="G653" i="43"/>
  <c r="C653" i="43"/>
  <c r="G652" i="43"/>
  <c r="C652" i="43"/>
  <c r="AD651" i="43"/>
  <c r="G650" i="43"/>
  <c r="C650" i="43"/>
  <c r="G649" i="43"/>
  <c r="C649" i="43"/>
  <c r="G648" i="43"/>
  <c r="C648" i="43"/>
  <c r="G647" i="43"/>
  <c r="C647" i="43"/>
  <c r="G646" i="43"/>
  <c r="C646" i="43"/>
  <c r="G645" i="43"/>
  <c r="C645" i="43"/>
  <c r="G644" i="43"/>
  <c r="C644" i="43"/>
  <c r="G643" i="43"/>
  <c r="C643" i="43"/>
  <c r="G642" i="43"/>
  <c r="C642" i="43"/>
  <c r="G641" i="43"/>
  <c r="C641" i="43"/>
  <c r="AD640" i="43"/>
  <c r="G639" i="43"/>
  <c r="C639" i="43"/>
  <c r="G638" i="43"/>
  <c r="C638" i="43"/>
  <c r="G637" i="43"/>
  <c r="C637" i="43"/>
  <c r="G636" i="43"/>
  <c r="C636" i="43"/>
  <c r="AD635" i="43"/>
  <c r="G634" i="43"/>
  <c r="I634" i="43" s="1"/>
  <c r="C634" i="43"/>
  <c r="G633" i="43"/>
  <c r="C633" i="43"/>
  <c r="AD632" i="43"/>
  <c r="AD631" i="43"/>
  <c r="AD630" i="43"/>
  <c r="E630" i="43"/>
  <c r="E692" i="43" s="1"/>
  <c r="C630" i="43"/>
  <c r="E629" i="43"/>
  <c r="AD628" i="43"/>
  <c r="I628" i="43"/>
  <c r="C628" i="43"/>
  <c r="C693" i="43" s="1"/>
  <c r="Q627" i="43"/>
  <c r="C627" i="43"/>
  <c r="G626" i="43"/>
  <c r="C626" i="43"/>
  <c r="G625" i="43"/>
  <c r="C625" i="43"/>
  <c r="G624" i="43"/>
  <c r="C624" i="43"/>
  <c r="G623" i="43"/>
  <c r="C623" i="43"/>
  <c r="G622" i="43"/>
  <c r="C622" i="43"/>
  <c r="AD621" i="43"/>
  <c r="G620" i="43"/>
  <c r="C620" i="43"/>
  <c r="G619" i="43"/>
  <c r="C619" i="43"/>
  <c r="G618" i="43"/>
  <c r="C618" i="43"/>
  <c r="R617" i="43"/>
  <c r="G617" i="43"/>
  <c r="C617" i="43"/>
  <c r="G616" i="43"/>
  <c r="C616" i="43"/>
  <c r="AD615" i="43"/>
  <c r="AD614" i="43"/>
  <c r="AD613" i="43"/>
  <c r="AD612" i="43"/>
  <c r="AD610" i="43"/>
  <c r="I610" i="43"/>
  <c r="C610" i="43"/>
  <c r="AD609" i="43"/>
  <c r="E609" i="43"/>
  <c r="C609" i="43"/>
  <c r="AD608" i="43"/>
  <c r="E608" i="43"/>
  <c r="C608" i="43"/>
  <c r="C611" i="43" s="1"/>
  <c r="G606" i="43"/>
  <c r="C606" i="43"/>
  <c r="AD605" i="43"/>
  <c r="G604" i="43"/>
  <c r="C604" i="43"/>
  <c r="AD603" i="43"/>
  <c r="G602" i="43"/>
  <c r="C602" i="43"/>
  <c r="G601" i="43"/>
  <c r="C601" i="43"/>
  <c r="G600" i="43"/>
  <c r="I600" i="43" s="1"/>
  <c r="C600" i="43"/>
  <c r="G599" i="43"/>
  <c r="C599" i="43"/>
  <c r="I599" i="43" s="1"/>
  <c r="G598" i="43"/>
  <c r="C598" i="43"/>
  <c r="G597" i="43"/>
  <c r="C597" i="43"/>
  <c r="AD596" i="43"/>
  <c r="G595" i="43"/>
  <c r="C595" i="43"/>
  <c r="G594" i="43"/>
  <c r="I594" i="43" s="1"/>
  <c r="G593" i="43"/>
  <c r="C593" i="43"/>
  <c r="G592" i="43"/>
  <c r="C592" i="43"/>
  <c r="G591" i="43"/>
  <c r="C591" i="43"/>
  <c r="AD590" i="43"/>
  <c r="G589" i="43"/>
  <c r="I589" i="43" s="1"/>
  <c r="C589" i="43"/>
  <c r="G588" i="43"/>
  <c r="C588" i="43"/>
  <c r="G587" i="43"/>
  <c r="C587" i="43"/>
  <c r="G586" i="43"/>
  <c r="C586" i="43"/>
  <c r="G585" i="43"/>
  <c r="C585" i="43"/>
  <c r="G584" i="43"/>
  <c r="C584" i="43"/>
  <c r="G583" i="43"/>
  <c r="C583" i="43"/>
  <c r="G582" i="43"/>
  <c r="C582" i="43"/>
  <c r="G581" i="43"/>
  <c r="C581" i="43"/>
  <c r="G580" i="43"/>
  <c r="C580" i="43"/>
  <c r="G579" i="43"/>
  <c r="C579" i="43"/>
  <c r="AD578" i="43"/>
  <c r="G577" i="43"/>
  <c r="I577" i="43" s="1"/>
  <c r="G576" i="43"/>
  <c r="C576" i="43"/>
  <c r="G575" i="43"/>
  <c r="C575" i="43"/>
  <c r="G574" i="43"/>
  <c r="C574" i="43"/>
  <c r="G573" i="43"/>
  <c r="C573" i="43"/>
  <c r="G572" i="43"/>
  <c r="C572" i="43"/>
  <c r="G571" i="43"/>
  <c r="C571" i="43"/>
  <c r="G570" i="43"/>
  <c r="I570" i="43" s="1"/>
  <c r="C570" i="43"/>
  <c r="G569" i="43"/>
  <c r="C569" i="43"/>
  <c r="I568" i="43"/>
  <c r="G568" i="43"/>
  <c r="C568" i="43"/>
  <c r="G567" i="43"/>
  <c r="C567" i="43"/>
  <c r="G566" i="43"/>
  <c r="C566" i="43"/>
  <c r="G565" i="43"/>
  <c r="C565" i="43"/>
  <c r="G564" i="43"/>
  <c r="C564" i="43"/>
  <c r="R563" i="43"/>
  <c r="G563" i="43"/>
  <c r="C563" i="43"/>
  <c r="AD562" i="43"/>
  <c r="AD561" i="43"/>
  <c r="AD560" i="43"/>
  <c r="AD558" i="43"/>
  <c r="G556" i="43"/>
  <c r="C556" i="43"/>
  <c r="C557" i="43" s="1"/>
  <c r="G555" i="43"/>
  <c r="I555" i="43" s="1"/>
  <c r="C555" i="43"/>
  <c r="AD554" i="43"/>
  <c r="G552" i="43"/>
  <c r="C552" i="43"/>
  <c r="C553" i="43" s="1"/>
  <c r="G551" i="43"/>
  <c r="C551" i="43"/>
  <c r="G550" i="43"/>
  <c r="C550" i="43"/>
  <c r="G549" i="43"/>
  <c r="C549" i="43"/>
  <c r="G548" i="43"/>
  <c r="C548" i="43"/>
  <c r="G547" i="43"/>
  <c r="C547" i="43"/>
  <c r="G546" i="43"/>
  <c r="C546" i="43"/>
  <c r="AD545" i="43"/>
  <c r="AD544" i="43"/>
  <c r="AD542" i="43"/>
  <c r="G540" i="43"/>
  <c r="C540" i="43"/>
  <c r="C541" i="43" s="1"/>
  <c r="G539" i="43"/>
  <c r="C539" i="43"/>
  <c r="AD538" i="43"/>
  <c r="G536" i="43"/>
  <c r="C536" i="43"/>
  <c r="G535" i="43"/>
  <c r="C535" i="43"/>
  <c r="G534" i="43"/>
  <c r="C534" i="43"/>
  <c r="G533" i="43"/>
  <c r="C533" i="43"/>
  <c r="R532" i="43"/>
  <c r="G532" i="43"/>
  <c r="C532" i="43"/>
  <c r="G531" i="43"/>
  <c r="C531" i="43"/>
  <c r="G530" i="43"/>
  <c r="I530" i="43" s="1"/>
  <c r="C530" i="43"/>
  <c r="AD529" i="43"/>
  <c r="AD528" i="43"/>
  <c r="E527" i="43"/>
  <c r="AD526" i="43"/>
  <c r="I526" i="43"/>
  <c r="C526" i="43"/>
  <c r="G525" i="43"/>
  <c r="C525" i="43"/>
  <c r="G524" i="43"/>
  <c r="C524" i="43"/>
  <c r="G523" i="43"/>
  <c r="C523" i="43"/>
  <c r="G522" i="43"/>
  <c r="E522" i="43"/>
  <c r="C522" i="43"/>
  <c r="C506" i="43" s="1"/>
  <c r="AD521" i="43"/>
  <c r="AD520" i="43"/>
  <c r="E519" i="43"/>
  <c r="AD518" i="43"/>
  <c r="I518" i="43"/>
  <c r="C518" i="43"/>
  <c r="G517" i="43"/>
  <c r="C517" i="43"/>
  <c r="G516" i="43"/>
  <c r="C516" i="43"/>
  <c r="G515" i="43"/>
  <c r="C515" i="43"/>
  <c r="G514" i="43"/>
  <c r="E514" i="43"/>
  <c r="C514" i="43"/>
  <c r="AD513" i="43"/>
  <c r="AD512" i="43"/>
  <c r="AD510" i="43"/>
  <c r="E510" i="43"/>
  <c r="G509" i="43"/>
  <c r="G508" i="43"/>
  <c r="G507" i="43"/>
  <c r="R506" i="43"/>
  <c r="G506" i="43"/>
  <c r="I506" i="43" s="1"/>
  <c r="AD505" i="43"/>
  <c r="AD504" i="43"/>
  <c r="E503" i="43"/>
  <c r="AD502" i="43"/>
  <c r="I502" i="43"/>
  <c r="C502" i="43"/>
  <c r="G501" i="43"/>
  <c r="C501" i="43"/>
  <c r="G500" i="43"/>
  <c r="C500" i="43"/>
  <c r="G499" i="43"/>
  <c r="C499" i="43"/>
  <c r="G498" i="43"/>
  <c r="C498" i="43"/>
  <c r="G497" i="43"/>
  <c r="C497" i="43"/>
  <c r="G496" i="43"/>
  <c r="C496" i="43"/>
  <c r="G495" i="43"/>
  <c r="E495" i="43"/>
  <c r="C495" i="43"/>
  <c r="AD494" i="43"/>
  <c r="AD493" i="43"/>
  <c r="E492" i="43"/>
  <c r="AD491" i="43"/>
  <c r="I491" i="43"/>
  <c r="C491" i="43"/>
  <c r="C469" i="43" s="1"/>
  <c r="G490" i="43"/>
  <c r="C490" i="43"/>
  <c r="G489" i="43"/>
  <c r="C489" i="43"/>
  <c r="G488" i="43"/>
  <c r="C488" i="43"/>
  <c r="G487" i="43"/>
  <c r="C487" i="43"/>
  <c r="G486" i="43"/>
  <c r="C486" i="43"/>
  <c r="G485" i="43"/>
  <c r="C485" i="43"/>
  <c r="G484" i="43"/>
  <c r="E484" i="43"/>
  <c r="C484" i="43"/>
  <c r="AD483" i="43"/>
  <c r="AD482" i="43"/>
  <c r="E481" i="43"/>
  <c r="AD480" i="43"/>
  <c r="I480" i="43"/>
  <c r="C480" i="43"/>
  <c r="G479" i="43"/>
  <c r="C479" i="43"/>
  <c r="G478" i="43"/>
  <c r="C478" i="43"/>
  <c r="G477" i="43"/>
  <c r="C477" i="43"/>
  <c r="G476" i="43"/>
  <c r="I476" i="43" s="1"/>
  <c r="C476" i="43"/>
  <c r="G475" i="43"/>
  <c r="C475" i="43"/>
  <c r="G474" i="43"/>
  <c r="C474" i="43"/>
  <c r="G473" i="43"/>
  <c r="K473" i="43" s="1"/>
  <c r="E473" i="43"/>
  <c r="C473" i="43"/>
  <c r="AD472" i="43"/>
  <c r="R472" i="43"/>
  <c r="AD471" i="43"/>
  <c r="K469" i="43"/>
  <c r="AD469" i="43" s="1"/>
  <c r="E469" i="43"/>
  <c r="G468" i="43"/>
  <c r="G467" i="43"/>
  <c r="G466" i="43"/>
  <c r="G465" i="43"/>
  <c r="G464" i="43"/>
  <c r="G463" i="43"/>
  <c r="C463" i="43"/>
  <c r="G462" i="43"/>
  <c r="AD461" i="43"/>
  <c r="AD460" i="43"/>
  <c r="E459" i="43"/>
  <c r="E435" i="43" s="1"/>
  <c r="AD458" i="43"/>
  <c r="I458" i="43"/>
  <c r="C458" i="43"/>
  <c r="G457" i="43"/>
  <c r="C457" i="43"/>
  <c r="G456" i="43"/>
  <c r="C456" i="43"/>
  <c r="G455" i="43"/>
  <c r="C455" i="43"/>
  <c r="G454" i="43"/>
  <c r="C454" i="43"/>
  <c r="G453" i="43"/>
  <c r="C453" i="43"/>
  <c r="G452" i="43"/>
  <c r="C452" i="43"/>
  <c r="G451" i="43"/>
  <c r="C451" i="43"/>
  <c r="G450" i="43"/>
  <c r="E450" i="43"/>
  <c r="C450" i="43"/>
  <c r="AD449" i="43"/>
  <c r="AD448" i="43"/>
  <c r="E447" i="43"/>
  <c r="AD446" i="43"/>
  <c r="I446" i="43"/>
  <c r="C446" i="43"/>
  <c r="G445" i="43"/>
  <c r="C445" i="43"/>
  <c r="C433" i="43" s="1"/>
  <c r="G444" i="43"/>
  <c r="C444" i="43"/>
  <c r="G443" i="43"/>
  <c r="C443" i="43"/>
  <c r="C431" i="43" s="1"/>
  <c r="G442" i="43"/>
  <c r="C442" i="43"/>
  <c r="G441" i="43"/>
  <c r="C441" i="43"/>
  <c r="G440" i="43"/>
  <c r="C440" i="43"/>
  <c r="G439" i="43"/>
  <c r="C439" i="43"/>
  <c r="C427" i="43" s="1"/>
  <c r="G438" i="43"/>
  <c r="E438" i="43"/>
  <c r="C438" i="43"/>
  <c r="I438" i="43" s="1"/>
  <c r="AD437" i="43"/>
  <c r="AD436" i="43"/>
  <c r="K434" i="43"/>
  <c r="AD434" i="43" s="1"/>
  <c r="E434" i="43"/>
  <c r="G433" i="43"/>
  <c r="G432" i="43"/>
  <c r="G431" i="43"/>
  <c r="G430" i="43"/>
  <c r="C430" i="43"/>
  <c r="G429" i="43"/>
  <c r="R428" i="43"/>
  <c r="G428" i="43"/>
  <c r="G427" i="43"/>
  <c r="G426" i="43"/>
  <c r="AD425" i="43"/>
  <c r="AD424" i="43"/>
  <c r="E423" i="43"/>
  <c r="E420" i="43" s="1"/>
  <c r="E415" i="43" s="1"/>
  <c r="K415" i="43" s="1"/>
  <c r="AD415" i="43" s="1"/>
  <c r="AD422" i="43"/>
  <c r="E422" i="43"/>
  <c r="C422" i="43"/>
  <c r="AD421" i="43"/>
  <c r="I421" i="43"/>
  <c r="C421" i="43"/>
  <c r="AD420" i="43"/>
  <c r="C420" i="43"/>
  <c r="G418" i="43"/>
  <c r="C418" i="43"/>
  <c r="G417" i="43"/>
  <c r="C417" i="43"/>
  <c r="G416" i="43"/>
  <c r="C416" i="43"/>
  <c r="G415" i="43"/>
  <c r="C415" i="43"/>
  <c r="G414" i="43"/>
  <c r="C414" i="43"/>
  <c r="G413" i="43"/>
  <c r="C413" i="43"/>
  <c r="G412" i="43"/>
  <c r="C412" i="43"/>
  <c r="I412" i="43" s="1"/>
  <c r="G411" i="43"/>
  <c r="C411" i="43"/>
  <c r="AD410" i="43"/>
  <c r="G409" i="43"/>
  <c r="C409" i="43"/>
  <c r="G408" i="43"/>
  <c r="C408" i="43"/>
  <c r="G407" i="43"/>
  <c r="C407" i="43"/>
  <c r="E407" i="43" s="1"/>
  <c r="K407" i="43" s="1"/>
  <c r="AD407" i="43" s="1"/>
  <c r="G406" i="43"/>
  <c r="C406" i="43"/>
  <c r="G405" i="43"/>
  <c r="C405" i="43"/>
  <c r="G404" i="43"/>
  <c r="C404" i="43"/>
  <c r="AD403" i="43"/>
  <c r="G402" i="43"/>
  <c r="C402" i="43"/>
  <c r="G401" i="43"/>
  <c r="C401" i="43"/>
  <c r="G400" i="43"/>
  <c r="I400" i="43" s="1"/>
  <c r="C400" i="43"/>
  <c r="G399" i="43"/>
  <c r="C399" i="43"/>
  <c r="G398" i="43"/>
  <c r="C398" i="43"/>
  <c r="G397" i="43"/>
  <c r="C397" i="43"/>
  <c r="G396" i="43"/>
  <c r="C396" i="43"/>
  <c r="G395" i="43"/>
  <c r="C395" i="43"/>
  <c r="G394" i="43"/>
  <c r="C394" i="43"/>
  <c r="G393" i="43"/>
  <c r="C393" i="43"/>
  <c r="G392" i="43"/>
  <c r="C392" i="43"/>
  <c r="I392" i="43" s="1"/>
  <c r="AD391" i="43"/>
  <c r="G390" i="43"/>
  <c r="C390" i="43"/>
  <c r="G389" i="43"/>
  <c r="C389" i="43"/>
  <c r="G388" i="43"/>
  <c r="C388" i="43"/>
  <c r="G387" i="43"/>
  <c r="C387" i="43"/>
  <c r="AD386" i="43"/>
  <c r="AD385" i="43"/>
  <c r="AD384" i="43"/>
  <c r="E383" i="43"/>
  <c r="E380" i="43" s="1"/>
  <c r="AD382" i="43"/>
  <c r="E382" i="43"/>
  <c r="C382" i="43"/>
  <c r="C262" i="43" s="1"/>
  <c r="AD381" i="43"/>
  <c r="I381" i="43"/>
  <c r="C381" i="43"/>
  <c r="AD380" i="43"/>
  <c r="C380" i="43"/>
  <c r="G378" i="43"/>
  <c r="C378" i="43"/>
  <c r="G377" i="43"/>
  <c r="C377" i="43"/>
  <c r="G376" i="43"/>
  <c r="C376" i="43"/>
  <c r="E376" i="43" s="1"/>
  <c r="G375" i="43"/>
  <c r="C375" i="43"/>
  <c r="E375" i="43" s="1"/>
  <c r="K375" i="43" s="1"/>
  <c r="AD375" i="43" s="1"/>
  <c r="G374" i="43"/>
  <c r="C374" i="43"/>
  <c r="G373" i="43"/>
  <c r="C373" i="43"/>
  <c r="E373" i="43" s="1"/>
  <c r="G372" i="43"/>
  <c r="I372" i="43" s="1"/>
  <c r="C372" i="43"/>
  <c r="G371" i="43"/>
  <c r="C371" i="43"/>
  <c r="E371" i="43" s="1"/>
  <c r="AD370" i="43"/>
  <c r="G369" i="43"/>
  <c r="C369" i="43"/>
  <c r="C249" i="43" s="1"/>
  <c r="G368" i="43"/>
  <c r="C368" i="43"/>
  <c r="E368" i="43" s="1"/>
  <c r="G367" i="43"/>
  <c r="C367" i="43"/>
  <c r="E367" i="43" s="1"/>
  <c r="K367" i="43" s="1"/>
  <c r="AD367" i="43" s="1"/>
  <c r="G366" i="43"/>
  <c r="C366" i="43"/>
  <c r="G365" i="43"/>
  <c r="C365" i="43"/>
  <c r="C245" i="43" s="1"/>
  <c r="I245" i="43" s="1"/>
  <c r="G364" i="43"/>
  <c r="I364" i="43" s="1"/>
  <c r="C364" i="43"/>
  <c r="AD363" i="43"/>
  <c r="G362" i="43"/>
  <c r="C362" i="43"/>
  <c r="G361" i="43"/>
  <c r="C361" i="43"/>
  <c r="G360" i="43"/>
  <c r="C360" i="43"/>
  <c r="G359" i="43"/>
  <c r="C359" i="43"/>
  <c r="E359" i="43" s="1"/>
  <c r="K359" i="43" s="1"/>
  <c r="AD359" i="43" s="1"/>
  <c r="G358" i="43"/>
  <c r="C358" i="43"/>
  <c r="E358" i="43" s="1"/>
  <c r="G357" i="43"/>
  <c r="I357" i="43" s="1"/>
  <c r="C357" i="43"/>
  <c r="G356" i="43"/>
  <c r="C356" i="43"/>
  <c r="G355" i="43"/>
  <c r="C355" i="43"/>
  <c r="G354" i="43"/>
  <c r="C354" i="43"/>
  <c r="G353" i="43"/>
  <c r="C353" i="43"/>
  <c r="G352" i="43"/>
  <c r="C352" i="43"/>
  <c r="AD351" i="43"/>
  <c r="G350" i="43"/>
  <c r="C350" i="43"/>
  <c r="E350" i="43" s="1"/>
  <c r="G349" i="43"/>
  <c r="C349" i="43"/>
  <c r="G348" i="43"/>
  <c r="C348" i="43"/>
  <c r="E348" i="43" s="1"/>
  <c r="K348" i="43" s="1"/>
  <c r="AD348" i="43" s="1"/>
  <c r="G347" i="43"/>
  <c r="C347" i="43"/>
  <c r="E347" i="43" s="1"/>
  <c r="AD346" i="43"/>
  <c r="AD345" i="43"/>
  <c r="AD344" i="43"/>
  <c r="E343" i="43"/>
  <c r="E340" i="43" s="1"/>
  <c r="AD342" i="43"/>
  <c r="E342" i="43"/>
  <c r="E262" i="43" s="1"/>
  <c r="C342" i="43"/>
  <c r="AD341" i="43"/>
  <c r="I341" i="43"/>
  <c r="C341" i="43"/>
  <c r="AD340" i="43"/>
  <c r="C340" i="43"/>
  <c r="C343" i="43" s="1"/>
  <c r="G338" i="43"/>
  <c r="C338" i="43"/>
  <c r="E338" i="43" s="1"/>
  <c r="G337" i="43"/>
  <c r="C337" i="43"/>
  <c r="G336" i="43"/>
  <c r="C336" i="43"/>
  <c r="G335" i="43"/>
  <c r="C335" i="43"/>
  <c r="E335" i="43" s="1"/>
  <c r="K335" i="43" s="1"/>
  <c r="AD335" i="43" s="1"/>
  <c r="G334" i="43"/>
  <c r="C334" i="43"/>
  <c r="C254" i="43" s="1"/>
  <c r="G333" i="43"/>
  <c r="C333" i="43"/>
  <c r="G332" i="43"/>
  <c r="C332" i="43"/>
  <c r="G331" i="43"/>
  <c r="C331" i="43"/>
  <c r="E331" i="43" s="1"/>
  <c r="AD330" i="43"/>
  <c r="G329" i="43"/>
  <c r="C329" i="43"/>
  <c r="G328" i="43"/>
  <c r="C328" i="43"/>
  <c r="G327" i="43"/>
  <c r="C327" i="43"/>
  <c r="G326" i="43"/>
  <c r="C326" i="43"/>
  <c r="G325" i="43"/>
  <c r="C325" i="43"/>
  <c r="G324" i="43"/>
  <c r="I324" i="43" s="1"/>
  <c r="C324" i="43"/>
  <c r="AD323" i="43"/>
  <c r="G322" i="43"/>
  <c r="C322" i="43"/>
  <c r="G321" i="43"/>
  <c r="C321" i="43"/>
  <c r="G320" i="43"/>
  <c r="C320" i="43"/>
  <c r="G319" i="43"/>
  <c r="C319" i="43"/>
  <c r="G318" i="43"/>
  <c r="C318" i="43"/>
  <c r="E318" i="43" s="1"/>
  <c r="G317" i="43"/>
  <c r="C317" i="43"/>
  <c r="C237" i="43" s="1"/>
  <c r="I237" i="43" s="1"/>
  <c r="G316" i="43"/>
  <c r="C316" i="43"/>
  <c r="G315" i="43"/>
  <c r="C315" i="43"/>
  <c r="G314" i="43"/>
  <c r="C314" i="43"/>
  <c r="G313" i="43"/>
  <c r="C313" i="43"/>
  <c r="G312" i="43"/>
  <c r="C312" i="43"/>
  <c r="AD311" i="43"/>
  <c r="G310" i="43"/>
  <c r="C310" i="43"/>
  <c r="G309" i="43"/>
  <c r="C309" i="43"/>
  <c r="C229" i="43" s="1"/>
  <c r="G308" i="43"/>
  <c r="C308" i="43"/>
  <c r="G307" i="43"/>
  <c r="I307" i="43" s="1"/>
  <c r="C307" i="43"/>
  <c r="AD306" i="43"/>
  <c r="AD305" i="43"/>
  <c r="AD304" i="43"/>
  <c r="E303" i="43"/>
  <c r="E300" i="43" s="1"/>
  <c r="E260" i="43" s="1"/>
  <c r="E263" i="43" s="1"/>
  <c r="AD302" i="43"/>
  <c r="E302" i="43"/>
  <c r="C302" i="43"/>
  <c r="AD301" i="43"/>
  <c r="I301" i="43"/>
  <c r="C301" i="43"/>
  <c r="AD300" i="43"/>
  <c r="C300" i="43"/>
  <c r="C260" i="43" s="1"/>
  <c r="G298" i="43"/>
  <c r="C298" i="43"/>
  <c r="G297" i="43"/>
  <c r="C297" i="43"/>
  <c r="G296" i="43"/>
  <c r="C296" i="43"/>
  <c r="G295" i="43"/>
  <c r="C295" i="43"/>
  <c r="C255" i="43" s="1"/>
  <c r="G294" i="43"/>
  <c r="C294" i="43"/>
  <c r="G293" i="43"/>
  <c r="C293" i="43"/>
  <c r="G292" i="43"/>
  <c r="C292" i="43"/>
  <c r="G291" i="43"/>
  <c r="C291" i="43"/>
  <c r="AD290" i="43"/>
  <c r="G289" i="43"/>
  <c r="C289" i="43"/>
  <c r="G288" i="43"/>
  <c r="C288" i="43"/>
  <c r="G287" i="43"/>
  <c r="C287" i="43"/>
  <c r="G286" i="43"/>
  <c r="C286" i="43"/>
  <c r="C246" i="43" s="1"/>
  <c r="G285" i="43"/>
  <c r="C285" i="43"/>
  <c r="G284" i="43"/>
  <c r="C284" i="43"/>
  <c r="C244" i="43" s="1"/>
  <c r="AD283" i="43"/>
  <c r="G282" i="43"/>
  <c r="C282" i="43"/>
  <c r="C242" i="43" s="1"/>
  <c r="G281" i="43"/>
  <c r="C281" i="43"/>
  <c r="G280" i="43"/>
  <c r="C280" i="43"/>
  <c r="G279" i="43"/>
  <c r="C279" i="43"/>
  <c r="G278" i="43"/>
  <c r="C278" i="43"/>
  <c r="E278" i="43" s="1"/>
  <c r="G277" i="43"/>
  <c r="C277" i="43"/>
  <c r="I277" i="43" s="1"/>
  <c r="G276" i="43"/>
  <c r="C276" i="43"/>
  <c r="G275" i="43"/>
  <c r="C275" i="43"/>
  <c r="G274" i="43"/>
  <c r="C274" i="43"/>
  <c r="C234" i="43" s="1"/>
  <c r="G273" i="43"/>
  <c r="C273" i="43"/>
  <c r="G272" i="43"/>
  <c r="C272" i="43"/>
  <c r="AD271" i="43"/>
  <c r="G270" i="43"/>
  <c r="C270" i="43"/>
  <c r="E270" i="43" s="1"/>
  <c r="G269" i="43"/>
  <c r="C269" i="43"/>
  <c r="G268" i="43"/>
  <c r="I268" i="43" s="1"/>
  <c r="C268" i="43"/>
  <c r="G267" i="43"/>
  <c r="C267" i="43"/>
  <c r="AD266" i="43"/>
  <c r="AD265" i="43"/>
  <c r="AD264" i="43"/>
  <c r="AD262" i="43"/>
  <c r="AD261" i="43"/>
  <c r="E261" i="43"/>
  <c r="C261" i="43"/>
  <c r="AD260" i="43"/>
  <c r="G258" i="43"/>
  <c r="G257" i="43"/>
  <c r="C257" i="43"/>
  <c r="I257" i="43" s="1"/>
  <c r="G256" i="43"/>
  <c r="G255" i="43"/>
  <c r="G254" i="43"/>
  <c r="G253" i="43"/>
  <c r="G252" i="43"/>
  <c r="C252" i="43"/>
  <c r="G251" i="43"/>
  <c r="AD250" i="43"/>
  <c r="G249" i="43"/>
  <c r="G248" i="43"/>
  <c r="G247" i="43"/>
  <c r="G246" i="43"/>
  <c r="G245" i="43"/>
  <c r="G244" i="43"/>
  <c r="AD243" i="43"/>
  <c r="G242" i="43"/>
  <c r="G241" i="43"/>
  <c r="C241" i="43"/>
  <c r="I241" i="43" s="1"/>
  <c r="G240" i="43"/>
  <c r="G239" i="43"/>
  <c r="G238" i="43"/>
  <c r="G237" i="43"/>
  <c r="G236" i="43"/>
  <c r="G235" i="43"/>
  <c r="G234" i="43"/>
  <c r="G233" i="43"/>
  <c r="G232" i="43"/>
  <c r="AD231" i="43"/>
  <c r="G230" i="43"/>
  <c r="G229" i="43"/>
  <c r="R228" i="43"/>
  <c r="G228" i="43"/>
  <c r="G227" i="43"/>
  <c r="AD226" i="43"/>
  <c r="AD225" i="43"/>
  <c r="AD224" i="43"/>
  <c r="E223" i="43"/>
  <c r="AD222" i="43"/>
  <c r="I222" i="43"/>
  <c r="C222" i="43"/>
  <c r="G221" i="43"/>
  <c r="C221" i="43"/>
  <c r="G220" i="43"/>
  <c r="C220" i="43"/>
  <c r="E220" i="43" s="1"/>
  <c r="K220" i="43" s="1"/>
  <c r="AD220" i="43" s="1"/>
  <c r="G219" i="43"/>
  <c r="I219" i="43" s="1"/>
  <c r="C219" i="43"/>
  <c r="G218" i="43"/>
  <c r="C218" i="43"/>
  <c r="G217" i="43"/>
  <c r="C217" i="43"/>
  <c r="G216" i="43"/>
  <c r="C216" i="43"/>
  <c r="G215" i="43"/>
  <c r="C215" i="43"/>
  <c r="G214" i="43"/>
  <c r="K214" i="43" s="1"/>
  <c r="AD214" i="43" s="1"/>
  <c r="E214" i="43"/>
  <c r="C214" i="43"/>
  <c r="AD213" i="43"/>
  <c r="AD212" i="43"/>
  <c r="E211" i="43"/>
  <c r="AD210" i="43"/>
  <c r="I210" i="43"/>
  <c r="C210" i="43"/>
  <c r="G209" i="43"/>
  <c r="C209" i="43"/>
  <c r="C185" i="43" s="1"/>
  <c r="G208" i="43"/>
  <c r="C208" i="43"/>
  <c r="E208" i="43" s="1"/>
  <c r="G207" i="43"/>
  <c r="C207" i="43"/>
  <c r="G206" i="43"/>
  <c r="C206" i="43"/>
  <c r="G205" i="43"/>
  <c r="C205" i="43"/>
  <c r="G204" i="43"/>
  <c r="C204" i="43"/>
  <c r="G203" i="43"/>
  <c r="C203" i="43"/>
  <c r="G202" i="43"/>
  <c r="E202" i="43"/>
  <c r="C202" i="43"/>
  <c r="AD201" i="43"/>
  <c r="AD200" i="43"/>
  <c r="E199" i="43"/>
  <c r="AD198" i="43"/>
  <c r="I198" i="43"/>
  <c r="C198" i="43"/>
  <c r="G197" i="43"/>
  <c r="C197" i="43"/>
  <c r="G196" i="43"/>
  <c r="C196" i="43"/>
  <c r="E196" i="43" s="1"/>
  <c r="G195" i="43"/>
  <c r="C195" i="43"/>
  <c r="G194" i="43"/>
  <c r="C194" i="43"/>
  <c r="G193" i="43"/>
  <c r="C193" i="43"/>
  <c r="G192" i="43"/>
  <c r="C192" i="43"/>
  <c r="G191" i="43"/>
  <c r="C191" i="43"/>
  <c r="G190" i="43"/>
  <c r="K190" i="43" s="1"/>
  <c r="AD190" i="43" s="1"/>
  <c r="E190" i="43"/>
  <c r="C190" i="43"/>
  <c r="AD189" i="43"/>
  <c r="AD188" i="43"/>
  <c r="K186" i="43"/>
  <c r="AD186" i="43" s="1"/>
  <c r="E186" i="43"/>
  <c r="C186" i="43"/>
  <c r="G185" i="43"/>
  <c r="G184" i="43"/>
  <c r="G183" i="43"/>
  <c r="G182" i="43"/>
  <c r="G181" i="43"/>
  <c r="C181" i="43"/>
  <c r="G180" i="43"/>
  <c r="R179" i="43"/>
  <c r="G179" i="43"/>
  <c r="G178" i="43"/>
  <c r="C178" i="43"/>
  <c r="AD177" i="43"/>
  <c r="AD176" i="43"/>
  <c r="E175" i="43"/>
  <c r="AD174" i="43"/>
  <c r="I174" i="43"/>
  <c r="C174" i="43"/>
  <c r="G173" i="43"/>
  <c r="I173" i="43" s="1"/>
  <c r="G172" i="43"/>
  <c r="C172" i="43"/>
  <c r="G171" i="43"/>
  <c r="E171" i="43"/>
  <c r="C171" i="43"/>
  <c r="AD170" i="43"/>
  <c r="G169" i="43"/>
  <c r="G168" i="43"/>
  <c r="G167" i="43"/>
  <c r="G166" i="43"/>
  <c r="C166" i="43"/>
  <c r="AD165" i="43"/>
  <c r="C165" i="43"/>
  <c r="C169" i="43" s="1"/>
  <c r="AD164" i="43"/>
  <c r="C164" i="43"/>
  <c r="G163" i="43"/>
  <c r="E163" i="43"/>
  <c r="C163" i="43"/>
  <c r="I163" i="43" s="1"/>
  <c r="AD162" i="43"/>
  <c r="AD161" i="43"/>
  <c r="E160" i="43"/>
  <c r="AD159" i="43"/>
  <c r="I159" i="43"/>
  <c r="I144" i="43" s="1"/>
  <c r="C159" i="43"/>
  <c r="G158" i="43"/>
  <c r="I158" i="43" s="1"/>
  <c r="G157" i="43"/>
  <c r="C157" i="43"/>
  <c r="G156" i="43"/>
  <c r="E156" i="43"/>
  <c r="C156" i="43"/>
  <c r="AD155" i="43"/>
  <c r="G154" i="43"/>
  <c r="G153" i="43"/>
  <c r="G152" i="43"/>
  <c r="G151" i="43"/>
  <c r="C151" i="43"/>
  <c r="AD150" i="43"/>
  <c r="C150" i="43"/>
  <c r="C154" i="43" s="1"/>
  <c r="C139" i="43" s="1"/>
  <c r="AD149" i="43"/>
  <c r="C149" i="43"/>
  <c r="C134" i="43" s="1"/>
  <c r="G148" i="43"/>
  <c r="E148" i="43"/>
  <c r="C148" i="43"/>
  <c r="AD147" i="43"/>
  <c r="AD146" i="43"/>
  <c r="AD144" i="43"/>
  <c r="E144" i="43"/>
  <c r="C144" i="43"/>
  <c r="G143" i="43"/>
  <c r="C143" i="43"/>
  <c r="G142" i="43"/>
  <c r="G141" i="43"/>
  <c r="C141" i="43"/>
  <c r="AD140" i="43"/>
  <c r="G139" i="43"/>
  <c r="G138" i="43"/>
  <c r="G137" i="43"/>
  <c r="G136" i="43"/>
  <c r="AD135" i="43"/>
  <c r="AD134" i="43"/>
  <c r="G133" i="43"/>
  <c r="AD132" i="43"/>
  <c r="AD131" i="43"/>
  <c r="E130" i="43"/>
  <c r="AD129" i="43"/>
  <c r="I129" i="43"/>
  <c r="C129" i="43"/>
  <c r="G128" i="43"/>
  <c r="G127" i="43"/>
  <c r="C127" i="43"/>
  <c r="G126" i="43"/>
  <c r="K126" i="43" s="1"/>
  <c r="AD126" i="43" s="1"/>
  <c r="E126" i="43"/>
  <c r="C126" i="43"/>
  <c r="C125" i="43" s="1"/>
  <c r="AD125" i="43"/>
  <c r="E125" i="43"/>
  <c r="E127" i="43" s="1"/>
  <c r="G124" i="43"/>
  <c r="G123" i="43"/>
  <c r="G122" i="43"/>
  <c r="G121" i="43"/>
  <c r="C121" i="43"/>
  <c r="AD120" i="43"/>
  <c r="C120" i="43"/>
  <c r="C124" i="43" s="1"/>
  <c r="AD119" i="43"/>
  <c r="C119" i="43"/>
  <c r="G118" i="43"/>
  <c r="E118" i="43"/>
  <c r="C118" i="43"/>
  <c r="AD117" i="43"/>
  <c r="AD116" i="43"/>
  <c r="E115" i="43"/>
  <c r="E110" i="43" s="1"/>
  <c r="AD114" i="43"/>
  <c r="I114" i="43"/>
  <c r="C114" i="43"/>
  <c r="G113" i="43"/>
  <c r="G112" i="43"/>
  <c r="C112" i="43"/>
  <c r="G111" i="43"/>
  <c r="E111" i="43"/>
  <c r="C111" i="43"/>
  <c r="C110" i="43" s="1"/>
  <c r="C115" i="43" s="1"/>
  <c r="E105" i="43" s="1"/>
  <c r="E109" i="43" s="1"/>
  <c r="K109" i="43" s="1"/>
  <c r="AD109" i="43" s="1"/>
  <c r="AD110" i="43"/>
  <c r="G109" i="43"/>
  <c r="G108" i="43"/>
  <c r="G107" i="43"/>
  <c r="G106" i="43"/>
  <c r="C106" i="43"/>
  <c r="AD105" i="43"/>
  <c r="C105" i="43"/>
  <c r="C109" i="43" s="1"/>
  <c r="AD104" i="43"/>
  <c r="C104" i="43"/>
  <c r="G103" i="43"/>
  <c r="E103" i="43"/>
  <c r="C103" i="43"/>
  <c r="AD102" i="43"/>
  <c r="AD101" i="43"/>
  <c r="E100" i="43"/>
  <c r="E85" i="43" s="1"/>
  <c r="AD99" i="43"/>
  <c r="I99" i="43"/>
  <c r="C99" i="43"/>
  <c r="G98" i="43"/>
  <c r="G97" i="43"/>
  <c r="C97" i="43"/>
  <c r="C82" i="43" s="1"/>
  <c r="I82" i="43" s="1"/>
  <c r="G96" i="43"/>
  <c r="I96" i="43" s="1"/>
  <c r="E96" i="43"/>
  <c r="E97" i="43" s="1"/>
  <c r="C96" i="43"/>
  <c r="AD95" i="43"/>
  <c r="G94" i="43"/>
  <c r="G93" i="43"/>
  <c r="G92" i="43"/>
  <c r="G91" i="43"/>
  <c r="C91" i="43"/>
  <c r="C76" i="43" s="1"/>
  <c r="AD90" i="43"/>
  <c r="C90" i="43"/>
  <c r="C94" i="43" s="1"/>
  <c r="AD89" i="43"/>
  <c r="C89" i="43"/>
  <c r="C93" i="43" s="1"/>
  <c r="G88" i="43"/>
  <c r="E88" i="43"/>
  <c r="C88" i="43"/>
  <c r="C73" i="43" s="1"/>
  <c r="AD87" i="43"/>
  <c r="AD86" i="43"/>
  <c r="AD84" i="43"/>
  <c r="E84" i="43"/>
  <c r="G83" i="43"/>
  <c r="C83" i="43"/>
  <c r="G82" i="43"/>
  <c r="M82" i="43" s="1"/>
  <c r="G81" i="43"/>
  <c r="M81" i="43" s="1"/>
  <c r="AD80" i="43"/>
  <c r="G79" i="43"/>
  <c r="G78" i="43"/>
  <c r="G77" i="43"/>
  <c r="G76" i="43"/>
  <c r="AD75" i="43"/>
  <c r="AD74" i="43"/>
  <c r="R74" i="43"/>
  <c r="G73" i="43"/>
  <c r="AD72" i="43"/>
  <c r="AD71" i="43"/>
  <c r="E70" i="43"/>
  <c r="AD69" i="43"/>
  <c r="I69" i="43"/>
  <c r="C69" i="43"/>
  <c r="AD68" i="43"/>
  <c r="C68" i="43"/>
  <c r="C61" i="43" s="1"/>
  <c r="AD67" i="43"/>
  <c r="C67" i="43"/>
  <c r="AD66" i="43"/>
  <c r="I65" i="43"/>
  <c r="G65" i="43"/>
  <c r="G64" i="43"/>
  <c r="C64" i="43"/>
  <c r="G63" i="43"/>
  <c r="C63" i="43"/>
  <c r="U62" i="43"/>
  <c r="G62" i="43"/>
  <c r="C62" i="43"/>
  <c r="U61" i="43"/>
  <c r="G61" i="43"/>
  <c r="AD60" i="43"/>
  <c r="U59" i="43"/>
  <c r="G59" i="43"/>
  <c r="C59" i="43"/>
  <c r="U58" i="43"/>
  <c r="G58" i="43"/>
  <c r="I58" i="43" s="1"/>
  <c r="C58" i="43"/>
  <c r="U57" i="43"/>
  <c r="G57" i="43"/>
  <c r="C57" i="43"/>
  <c r="G56" i="43"/>
  <c r="C56" i="43"/>
  <c r="I56" i="43" s="1"/>
  <c r="Q55" i="43"/>
  <c r="Q56" i="43" s="1"/>
  <c r="G55" i="43"/>
  <c r="C55" i="43"/>
  <c r="M54" i="43"/>
  <c r="O54" i="43" s="1"/>
  <c r="G54" i="43"/>
  <c r="E54" i="43"/>
  <c r="C54" i="43"/>
  <c r="G53" i="43"/>
  <c r="I53" i="43" s="1"/>
  <c r="C53" i="43"/>
  <c r="M52" i="43"/>
  <c r="G52" i="43"/>
  <c r="C52" i="43"/>
  <c r="AD51" i="43"/>
  <c r="E51" i="43"/>
  <c r="C51" i="43"/>
  <c r="AD50" i="43"/>
  <c r="AD49" i="43"/>
  <c r="E48" i="43"/>
  <c r="AD47" i="43"/>
  <c r="I47" i="43"/>
  <c r="C47" i="43"/>
  <c r="AD46" i="43"/>
  <c r="C46" i="43"/>
  <c r="AD45" i="43"/>
  <c r="C45" i="43"/>
  <c r="AD44" i="43"/>
  <c r="G43" i="43"/>
  <c r="I43" i="43" s="1"/>
  <c r="G42" i="43"/>
  <c r="C42" i="43"/>
  <c r="G41" i="43"/>
  <c r="C41" i="43"/>
  <c r="C32" i="43" s="1"/>
  <c r="U40" i="43"/>
  <c r="G40" i="43"/>
  <c r="C40" i="43"/>
  <c r="U39" i="43"/>
  <c r="G39" i="43"/>
  <c r="AD38" i="43"/>
  <c r="U37" i="43"/>
  <c r="G37" i="43"/>
  <c r="C37" i="43"/>
  <c r="U36" i="43"/>
  <c r="G36" i="43"/>
  <c r="C36" i="43"/>
  <c r="U35" i="43"/>
  <c r="G35" i="43"/>
  <c r="C35" i="43"/>
  <c r="AD34" i="43"/>
  <c r="M34" i="43"/>
  <c r="O34" i="43" s="1"/>
  <c r="G34" i="43"/>
  <c r="I34" i="43" s="1"/>
  <c r="G33" i="43"/>
  <c r="M32" i="43"/>
  <c r="G32" i="43"/>
  <c r="AD31" i="43"/>
  <c r="E31" i="43"/>
  <c r="C31" i="43"/>
  <c r="E43" i="43" s="1"/>
  <c r="AD30" i="43"/>
  <c r="AD29" i="43"/>
  <c r="E28" i="43"/>
  <c r="AD27" i="43"/>
  <c r="I27" i="43"/>
  <c r="C27" i="43"/>
  <c r="AD26" i="43"/>
  <c r="C26" i="43"/>
  <c r="AD25" i="43"/>
  <c r="C25" i="43"/>
  <c r="AD24" i="43"/>
  <c r="G23" i="43"/>
  <c r="I23" i="43" s="1"/>
  <c r="G22" i="43"/>
  <c r="C22" i="43"/>
  <c r="C13" i="43" s="1"/>
  <c r="M21" i="43"/>
  <c r="M22" i="43" s="1"/>
  <c r="G21" i="43"/>
  <c r="C21" i="43"/>
  <c r="C12" i="43" s="1"/>
  <c r="U20" i="43"/>
  <c r="G20" i="43"/>
  <c r="C20" i="43"/>
  <c r="U19" i="43"/>
  <c r="G19" i="43"/>
  <c r="AD18" i="43"/>
  <c r="U17" i="43"/>
  <c r="G17" i="43"/>
  <c r="M17" i="43" s="1"/>
  <c r="C17" i="43"/>
  <c r="U16" i="43"/>
  <c r="G16" i="43"/>
  <c r="C16" i="43"/>
  <c r="U15" i="43"/>
  <c r="G15" i="43"/>
  <c r="G14" i="43"/>
  <c r="E14" i="43"/>
  <c r="O14" i="43" s="1"/>
  <c r="C14" i="43"/>
  <c r="M13" i="43"/>
  <c r="G13" i="43"/>
  <c r="R12" i="43"/>
  <c r="G12" i="43"/>
  <c r="T12" i="43" s="1"/>
  <c r="E11" i="43"/>
  <c r="C11" i="43"/>
  <c r="A4" i="43"/>
  <c r="A3" i="43"/>
  <c r="Q62" i="42"/>
  <c r="Q60" i="42"/>
  <c r="Q59" i="42"/>
  <c r="Q58" i="42"/>
  <c r="Q57" i="42"/>
  <c r="Q56" i="42"/>
  <c r="K48" i="42"/>
  <c r="V48" i="42" s="1"/>
  <c r="K47" i="42"/>
  <c r="M47" i="42" s="1"/>
  <c r="I47" i="42"/>
  <c r="G47" i="42"/>
  <c r="Q45" i="42"/>
  <c r="K45" i="42"/>
  <c r="I45" i="42"/>
  <c r="G45" i="42"/>
  <c r="Q44" i="42"/>
  <c r="K44" i="42"/>
  <c r="I44" i="42"/>
  <c r="G44" i="42"/>
  <c r="Q43" i="42"/>
  <c r="K43" i="42"/>
  <c r="I43" i="42"/>
  <c r="G43" i="42"/>
  <c r="Q42" i="42"/>
  <c r="K42" i="42"/>
  <c r="O42" i="42" s="1"/>
  <c r="V42" i="42" s="1"/>
  <c r="I42" i="42"/>
  <c r="G42" i="42"/>
  <c r="Q41" i="42"/>
  <c r="K41" i="42"/>
  <c r="I41" i="42"/>
  <c r="G41" i="42"/>
  <c r="K37" i="42"/>
  <c r="M37" i="42" s="1"/>
  <c r="U37" i="42" s="1"/>
  <c r="W36" i="42"/>
  <c r="K36" i="42"/>
  <c r="I36" i="42"/>
  <c r="G36" i="42"/>
  <c r="Q35" i="42"/>
  <c r="K35" i="42"/>
  <c r="I35" i="42"/>
  <c r="G35" i="42"/>
  <c r="K34" i="42"/>
  <c r="I34" i="42"/>
  <c r="G34" i="42"/>
  <c r="W33" i="42"/>
  <c r="K33" i="42"/>
  <c r="I33" i="42"/>
  <c r="G33" i="42"/>
  <c r="K32" i="42"/>
  <c r="I32" i="42"/>
  <c r="G32" i="42"/>
  <c r="K31" i="42"/>
  <c r="I31" i="42"/>
  <c r="G31" i="42"/>
  <c r="K29" i="42"/>
  <c r="I29" i="42"/>
  <c r="G29" i="42"/>
  <c r="K28" i="42"/>
  <c r="I28" i="42"/>
  <c r="G28" i="42"/>
  <c r="K26" i="42"/>
  <c r="I26" i="42"/>
  <c r="G26" i="42"/>
  <c r="K25" i="42"/>
  <c r="I25" i="42"/>
  <c r="G25" i="42"/>
  <c r="G27" i="42" s="1"/>
  <c r="K24" i="42"/>
  <c r="I24" i="42"/>
  <c r="G24" i="42"/>
  <c r="K22" i="42"/>
  <c r="I22" i="42"/>
  <c r="G22" i="42"/>
  <c r="K21" i="42"/>
  <c r="I21" i="42"/>
  <c r="G21" i="42"/>
  <c r="K20" i="42"/>
  <c r="I20" i="42"/>
  <c r="G20" i="42"/>
  <c r="K17" i="42"/>
  <c r="V17" i="42" s="1"/>
  <c r="K16" i="42"/>
  <c r="I16" i="42"/>
  <c r="G16" i="42"/>
  <c r="A16" i="42"/>
  <c r="K15" i="42"/>
  <c r="K18" i="42" s="1"/>
  <c r="I15" i="42"/>
  <c r="G15" i="42"/>
  <c r="G18" i="42" s="1"/>
  <c r="E12" i="42"/>
  <c r="A6" i="42"/>
  <c r="A5" i="42"/>
  <c r="Y23" i="43" l="1"/>
  <c r="E112" i="43"/>
  <c r="E656" i="43"/>
  <c r="I195" i="43"/>
  <c r="C247" i="43"/>
  <c r="I247" i="43" s="1"/>
  <c r="E288" i="43"/>
  <c r="K288" i="43" s="1"/>
  <c r="AD288" i="43" s="1"/>
  <c r="E336" i="43"/>
  <c r="K336" i="43" s="1"/>
  <c r="AD336" i="43" s="1"/>
  <c r="M41" i="43"/>
  <c r="T41" i="43" s="1"/>
  <c r="I84" i="43"/>
  <c r="C155" i="43"/>
  <c r="E285" i="43"/>
  <c r="E333" i="43"/>
  <c r="I229" i="43"/>
  <c r="K14" i="43"/>
  <c r="AD14" i="43" s="1"/>
  <c r="I317" i="43"/>
  <c r="E399" i="43"/>
  <c r="I565" i="43"/>
  <c r="C238" i="43"/>
  <c r="E405" i="43"/>
  <c r="M48" i="42"/>
  <c r="U48" i="42" s="1"/>
  <c r="C256" i="43"/>
  <c r="I256" i="43" s="1"/>
  <c r="E281" i="43"/>
  <c r="K281" i="43" s="1"/>
  <c r="AD281" i="43" s="1"/>
  <c r="E298" i="43"/>
  <c r="K298" i="43" s="1"/>
  <c r="AD298" i="43" s="1"/>
  <c r="E308" i="43"/>
  <c r="I312" i="43"/>
  <c r="E325" i="43"/>
  <c r="E390" i="43"/>
  <c r="E398" i="43"/>
  <c r="E238" i="43" s="1"/>
  <c r="K238" i="43" s="1"/>
  <c r="AD238" i="43" s="1"/>
  <c r="E462" i="43"/>
  <c r="K462" i="43" s="1"/>
  <c r="E634" i="43"/>
  <c r="K634" i="43" s="1"/>
  <c r="AD634" i="43" s="1"/>
  <c r="E643" i="43"/>
  <c r="K643" i="43" s="1"/>
  <c r="AD643" i="43" s="1"/>
  <c r="I765" i="43"/>
  <c r="I827" i="43"/>
  <c r="K954" i="43"/>
  <c r="AD954" i="43" s="1"/>
  <c r="E1158" i="43"/>
  <c r="C730" i="43"/>
  <c r="I860" i="43"/>
  <c r="I930" i="43"/>
  <c r="I883" i="43"/>
  <c r="K1114" i="43"/>
  <c r="AD1114" i="43" s="1"/>
  <c r="K1178" i="43"/>
  <c r="AD1178" i="43" s="1"/>
  <c r="E700" i="43"/>
  <c r="E806" i="43"/>
  <c r="I870" i="43"/>
  <c r="I874" i="43"/>
  <c r="C879" i="43"/>
  <c r="I879" i="43" s="1"/>
  <c r="C1159" i="43"/>
  <c r="E758" i="43"/>
  <c r="E765" i="43" s="1"/>
  <c r="C778" i="43"/>
  <c r="C781" i="43"/>
  <c r="I313" i="43"/>
  <c r="E387" i="43"/>
  <c r="E395" i="43"/>
  <c r="K395" i="43" s="1"/>
  <c r="AD395" i="43" s="1"/>
  <c r="E648" i="43"/>
  <c r="K648" i="43" s="1"/>
  <c r="AD648" i="43" s="1"/>
  <c r="I660" i="43"/>
  <c r="E426" i="43"/>
  <c r="C434" i="43"/>
  <c r="I474" i="43"/>
  <c r="K495" i="43"/>
  <c r="AD495" i="43" s="1"/>
  <c r="I532" i="43"/>
  <c r="C75" i="43"/>
  <c r="K148" i="43"/>
  <c r="C180" i="43"/>
  <c r="I180" i="43" s="1"/>
  <c r="E184" i="43"/>
  <c r="K184" i="43" s="1"/>
  <c r="AD184" i="43" s="1"/>
  <c r="K208" i="43"/>
  <c r="AD208" i="43" s="1"/>
  <c r="C258" i="43"/>
  <c r="E268" i="43"/>
  <c r="E296" i="43"/>
  <c r="K296" i="43" s="1"/>
  <c r="AD296" i="43" s="1"/>
  <c r="E327" i="43"/>
  <c r="K327" i="43" s="1"/>
  <c r="AD327" i="43" s="1"/>
  <c r="E388" i="43"/>
  <c r="E228" i="43" s="1"/>
  <c r="K228" i="43" s="1"/>
  <c r="AD228" i="43" s="1"/>
  <c r="I404" i="43"/>
  <c r="I495" i="43"/>
  <c r="I574" i="43"/>
  <c r="E645" i="43"/>
  <c r="I657" i="43"/>
  <c r="C1150" i="43"/>
  <c r="K758" i="43"/>
  <c r="E791" i="43"/>
  <c r="E792" i="43" s="1"/>
  <c r="E779" i="43" s="1"/>
  <c r="K779" i="43" s="1"/>
  <c r="AD779" i="43" s="1"/>
  <c r="I813" i="43"/>
  <c r="K838" i="43"/>
  <c r="AD838" i="43" s="1"/>
  <c r="I847" i="43"/>
  <c r="K983" i="43"/>
  <c r="AD983" i="43" s="1"/>
  <c r="I1063" i="43"/>
  <c r="E1113" i="43"/>
  <c r="K1134" i="43"/>
  <c r="C235" i="43"/>
  <c r="I235" i="43" s="1"/>
  <c r="K388" i="43"/>
  <c r="AD388" i="43" s="1"/>
  <c r="R435" i="43"/>
  <c r="O44" i="42"/>
  <c r="V44" i="42" s="1"/>
  <c r="W35" i="43"/>
  <c r="C84" i="43"/>
  <c r="I272" i="43"/>
  <c r="I280" i="43"/>
  <c r="C253" i="43"/>
  <c r="I253" i="43" s="1"/>
  <c r="I315" i="43"/>
  <c r="E328" i="43"/>
  <c r="K328" i="43" s="1"/>
  <c r="AD328" i="43" s="1"/>
  <c r="E393" i="43"/>
  <c r="E401" i="43"/>
  <c r="E546" i="43"/>
  <c r="E555" i="43" s="1"/>
  <c r="K555" i="43" s="1"/>
  <c r="AD555" i="43" s="1"/>
  <c r="I567" i="43"/>
  <c r="I588" i="43"/>
  <c r="I597" i="43"/>
  <c r="I727" i="43"/>
  <c r="T800" i="43"/>
  <c r="E804" i="43"/>
  <c r="E805" i="43" s="1"/>
  <c r="I820" i="43"/>
  <c r="I838" i="43"/>
  <c r="I908" i="43"/>
  <c r="I933" i="43"/>
  <c r="C877" i="43"/>
  <c r="I877" i="43" s="1"/>
  <c r="C881" i="43"/>
  <c r="I1118" i="43"/>
  <c r="E1110" i="43"/>
  <c r="B14" i="39"/>
  <c r="B14" i="48"/>
  <c r="E793" i="43"/>
  <c r="E794" i="43" s="1"/>
  <c r="K794" i="43" s="1"/>
  <c r="AD794" i="43" s="1"/>
  <c r="C780" i="43"/>
  <c r="B15" i="39"/>
  <c r="B15" i="48"/>
  <c r="B20" i="39"/>
  <c r="B20" i="48"/>
  <c r="E20" i="48" s="1"/>
  <c r="W36" i="43"/>
  <c r="W61" i="43"/>
  <c r="C81" i="43"/>
  <c r="E82" i="43"/>
  <c r="K82" i="43" s="1"/>
  <c r="AD82" i="43" s="1"/>
  <c r="C142" i="43"/>
  <c r="I142" i="43" s="1"/>
  <c r="K202" i="43"/>
  <c r="AD202" i="43" s="1"/>
  <c r="C240" i="43"/>
  <c r="I240" i="43" s="1"/>
  <c r="E287" i="43"/>
  <c r="E295" i="43"/>
  <c r="E576" i="43"/>
  <c r="I576" i="43"/>
  <c r="I788" i="43"/>
  <c r="K817" i="43"/>
  <c r="AD817" i="43" s="1"/>
  <c r="I817" i="43"/>
  <c r="I896" i="43"/>
  <c r="K896" i="43"/>
  <c r="AD896" i="43" s="1"/>
  <c r="I925" i="43"/>
  <c r="K925" i="43"/>
  <c r="AD925" i="43" s="1"/>
  <c r="K1043" i="43"/>
  <c r="AD1043" i="43" s="1"/>
  <c r="I1043" i="43"/>
  <c r="M1127" i="43"/>
  <c r="E600" i="43"/>
  <c r="K600" i="43" s="1"/>
  <c r="AD600" i="43" s="1"/>
  <c r="E570" i="43"/>
  <c r="K570" i="43" s="1"/>
  <c r="AD570" i="43" s="1"/>
  <c r="K922" i="43"/>
  <c r="AD922" i="43" s="1"/>
  <c r="I922" i="43"/>
  <c r="K27" i="42"/>
  <c r="B22" i="39"/>
  <c r="B22" i="48"/>
  <c r="B13" i="39"/>
  <c r="B13" i="48"/>
  <c r="E13" i="48" s="1"/>
  <c r="B17" i="48"/>
  <c r="E17" i="48" s="1"/>
  <c r="S47" i="42"/>
  <c r="K23" i="43"/>
  <c r="AD23" i="43" s="1"/>
  <c r="K43" i="43"/>
  <c r="AD43" i="43" s="1"/>
  <c r="T52" i="43"/>
  <c r="I141" i="43"/>
  <c r="I148" i="43"/>
  <c r="E173" i="43"/>
  <c r="K173" i="43" s="1"/>
  <c r="AD173" i="43" s="1"/>
  <c r="I246" i="43"/>
  <c r="I249" i="43"/>
  <c r="K371" i="43"/>
  <c r="AD371" i="43" s="1"/>
  <c r="I586" i="43"/>
  <c r="C735" i="43"/>
  <c r="I791" i="43"/>
  <c r="K791" i="43"/>
  <c r="AD791" i="43" s="1"/>
  <c r="I919" i="43"/>
  <c r="K919" i="43"/>
  <c r="AD919" i="43" s="1"/>
  <c r="K1020" i="43"/>
  <c r="AD1020" i="43" s="1"/>
  <c r="I1020" i="43"/>
  <c r="E639" i="43"/>
  <c r="I639" i="43"/>
  <c r="G30" i="42"/>
  <c r="M17" i="42"/>
  <c r="U17" i="42" s="1"/>
  <c r="I30" i="42"/>
  <c r="B21" i="39"/>
  <c r="B21" i="48"/>
  <c r="E21" i="48" s="1"/>
  <c r="B18" i="39"/>
  <c r="B18" i="48"/>
  <c r="E18" i="48" s="1"/>
  <c r="B19" i="48"/>
  <c r="E19" i="48" s="1"/>
  <c r="W37" i="43"/>
  <c r="C79" i="43"/>
  <c r="I79" i="43" s="1"/>
  <c r="C95" i="43"/>
  <c r="C80" i="43" s="1"/>
  <c r="C130" i="43"/>
  <c r="E120" i="43" s="1"/>
  <c r="E124" i="43" s="1"/>
  <c r="K124" i="43" s="1"/>
  <c r="AD124" i="43" s="1"/>
  <c r="I139" i="43"/>
  <c r="C133" i="43"/>
  <c r="I133" i="43" s="1"/>
  <c r="K163" i="43"/>
  <c r="AD163" i="43" s="1"/>
  <c r="C170" i="43"/>
  <c r="C175" i="43" s="1"/>
  <c r="E164" i="43" s="1"/>
  <c r="E168" i="43" s="1"/>
  <c r="K168" i="43" s="1"/>
  <c r="AD168" i="43" s="1"/>
  <c r="I172" i="43"/>
  <c r="I181" i="43"/>
  <c r="I185" i="43"/>
  <c r="C183" i="43"/>
  <c r="I205" i="43"/>
  <c r="I207" i="43"/>
  <c r="E273" i="43"/>
  <c r="C233" i="43"/>
  <c r="I233" i="43" s="1"/>
  <c r="C251" i="43"/>
  <c r="E310" i="43"/>
  <c r="E230" i="43" s="1"/>
  <c r="C230" i="43"/>
  <c r="I230" i="43" s="1"/>
  <c r="I261" i="43"/>
  <c r="C774" i="43"/>
  <c r="I804" i="43"/>
  <c r="K804" i="43"/>
  <c r="AD804" i="43" s="1"/>
  <c r="K368" i="43"/>
  <c r="AD368" i="43" s="1"/>
  <c r="K376" i="43"/>
  <c r="AD376" i="43" s="1"/>
  <c r="I457" i="43"/>
  <c r="I499" i="43"/>
  <c r="I525" i="43"/>
  <c r="E565" i="43"/>
  <c r="K565" i="43" s="1"/>
  <c r="AD565" i="43" s="1"/>
  <c r="E572" i="43"/>
  <c r="K572" i="43" s="1"/>
  <c r="AD572" i="43" s="1"/>
  <c r="E584" i="43"/>
  <c r="E592" i="43"/>
  <c r="K592" i="43" s="1"/>
  <c r="AD592" i="43" s="1"/>
  <c r="I602" i="43"/>
  <c r="I619" i="43"/>
  <c r="I671" i="43"/>
  <c r="I707" i="43"/>
  <c r="K718" i="43"/>
  <c r="AD718" i="43" s="1"/>
  <c r="C776" i="43"/>
  <c r="I776" i="43" s="1"/>
  <c r="I878" i="43"/>
  <c r="I999" i="43"/>
  <c r="E1071" i="43"/>
  <c r="K1104" i="43"/>
  <c r="E1152" i="43"/>
  <c r="I1181" i="43"/>
  <c r="O1179" i="43"/>
  <c r="O1181" i="43" s="1"/>
  <c r="K308" i="43"/>
  <c r="AD308" i="43" s="1"/>
  <c r="I320" i="43"/>
  <c r="K331" i="43"/>
  <c r="AD331" i="43" s="1"/>
  <c r="I352" i="43"/>
  <c r="I361" i="43"/>
  <c r="C383" i="43"/>
  <c r="C423" i="43"/>
  <c r="I441" i="43"/>
  <c r="C465" i="43"/>
  <c r="I534" i="43"/>
  <c r="E547" i="43"/>
  <c r="K547" i="43" s="1"/>
  <c r="AD547" i="43" s="1"/>
  <c r="E564" i="43"/>
  <c r="K564" i="43" s="1"/>
  <c r="AD564" i="43" s="1"/>
  <c r="E571" i="43"/>
  <c r="K571" i="43" s="1"/>
  <c r="AD571" i="43" s="1"/>
  <c r="I572" i="43"/>
  <c r="E579" i="43"/>
  <c r="K579" i="43" s="1"/>
  <c r="AD579" i="43" s="1"/>
  <c r="E581" i="43"/>
  <c r="K581" i="43" s="1"/>
  <c r="AD581" i="43" s="1"/>
  <c r="E585" i="43"/>
  <c r="K585" i="43" s="1"/>
  <c r="AD585" i="43" s="1"/>
  <c r="E593" i="43"/>
  <c r="K593" i="43" s="1"/>
  <c r="AD593" i="43" s="1"/>
  <c r="E595" i="43"/>
  <c r="K595" i="43" s="1"/>
  <c r="AD595" i="43" s="1"/>
  <c r="E647" i="43"/>
  <c r="K647" i="43" s="1"/>
  <c r="AD647" i="43" s="1"/>
  <c r="E655" i="43"/>
  <c r="E716" i="43"/>
  <c r="I717" i="43"/>
  <c r="K728" i="43"/>
  <c r="AD728" i="43" s="1"/>
  <c r="I746" i="43"/>
  <c r="E795" i="43"/>
  <c r="K795" i="43" s="1"/>
  <c r="AD795" i="43" s="1"/>
  <c r="E808" i="43"/>
  <c r="K808" i="43" s="1"/>
  <c r="AD808" i="43" s="1"/>
  <c r="E821" i="43"/>
  <c r="K821" i="43" s="1"/>
  <c r="AD821" i="43" s="1"/>
  <c r="I861" i="43"/>
  <c r="K1023" i="43"/>
  <c r="AD1023" i="43" s="1"/>
  <c r="I1062" i="43"/>
  <c r="M1129" i="43"/>
  <c r="M1130" i="43" s="1"/>
  <c r="M1135" i="43"/>
  <c r="I284" i="43"/>
  <c r="I287" i="43"/>
  <c r="I292" i="43"/>
  <c r="E307" i="43"/>
  <c r="E313" i="43"/>
  <c r="E315" i="43"/>
  <c r="E319" i="43"/>
  <c r="K319" i="43" s="1"/>
  <c r="AD319" i="43" s="1"/>
  <c r="E321" i="43"/>
  <c r="I332" i="43"/>
  <c r="E353" i="43"/>
  <c r="E355" i="43"/>
  <c r="K355" i="43" s="1"/>
  <c r="AD355" i="43" s="1"/>
  <c r="I360" i="43"/>
  <c r="I367" i="43"/>
  <c r="I393" i="43"/>
  <c r="I395" i="43"/>
  <c r="I397" i="43"/>
  <c r="I427" i="43"/>
  <c r="K450" i="43"/>
  <c r="AD450" i="43" s="1"/>
  <c r="I452" i="43"/>
  <c r="I454" i="43"/>
  <c r="I434" i="43"/>
  <c r="K484" i="43"/>
  <c r="I486" i="43"/>
  <c r="I488" i="43"/>
  <c r="I496" i="43"/>
  <c r="I500" i="43"/>
  <c r="I469" i="43"/>
  <c r="E506" i="43"/>
  <c r="K506" i="43" s="1"/>
  <c r="C508" i="43"/>
  <c r="E563" i="43"/>
  <c r="K563" i="43" s="1"/>
  <c r="I564" i="43"/>
  <c r="I573" i="43"/>
  <c r="I585" i="43"/>
  <c r="I587" i="43"/>
  <c r="E589" i="43"/>
  <c r="I591" i="43"/>
  <c r="I623" i="43"/>
  <c r="E636" i="43"/>
  <c r="K636" i="43" s="1"/>
  <c r="AD636" i="43" s="1"/>
  <c r="E642" i="43"/>
  <c r="K642" i="43" s="1"/>
  <c r="AD642" i="43" s="1"/>
  <c r="E644" i="43"/>
  <c r="E652" i="43"/>
  <c r="K652" i="43" s="1"/>
  <c r="AD652" i="43" s="1"/>
  <c r="E654" i="43"/>
  <c r="K654" i="43" s="1"/>
  <c r="AD654" i="43" s="1"/>
  <c r="C664" i="43"/>
  <c r="I675" i="43"/>
  <c r="I708" i="43"/>
  <c r="I710" i="43"/>
  <c r="I702" i="43"/>
  <c r="I716" i="43"/>
  <c r="K719" i="43"/>
  <c r="AD719" i="43" s="1"/>
  <c r="I724" i="43"/>
  <c r="K727" i="43"/>
  <c r="AD727" i="43" s="1"/>
  <c r="C742" i="43"/>
  <c r="I751" i="43"/>
  <c r="I767" i="43"/>
  <c r="K787" i="43"/>
  <c r="AD787" i="43" s="1"/>
  <c r="I801" i="43"/>
  <c r="I814" i="43"/>
  <c r="K953" i="43"/>
  <c r="AD953" i="43" s="1"/>
  <c r="I1002" i="43"/>
  <c r="I1014" i="43"/>
  <c r="I1023" i="43"/>
  <c r="I1070" i="43"/>
  <c r="C1087" i="43"/>
  <c r="C1109" i="43" s="1"/>
  <c r="I1134" i="43"/>
  <c r="M142" i="43"/>
  <c r="T142" i="43" s="1"/>
  <c r="M157" i="43"/>
  <c r="T157" i="43" s="1"/>
  <c r="M172" i="43"/>
  <c r="T82" i="43"/>
  <c r="I94" i="43"/>
  <c r="G23" i="42"/>
  <c r="V37" i="42"/>
  <c r="M42" i="42"/>
  <c r="U42" i="42" s="1"/>
  <c r="B19" i="39"/>
  <c r="E12" i="43"/>
  <c r="K12" i="43" s="1"/>
  <c r="Y20" i="43"/>
  <c r="E65" i="43"/>
  <c r="K65" i="43" s="1"/>
  <c r="AD65" i="43" s="1"/>
  <c r="M56" i="43"/>
  <c r="I109" i="43"/>
  <c r="I508" i="43"/>
  <c r="I27" i="42"/>
  <c r="I71" i="42"/>
  <c r="G46" i="42"/>
  <c r="G49" i="42" s="1"/>
  <c r="B17" i="39"/>
  <c r="R46" i="43"/>
  <c r="AA15" i="43" s="1"/>
  <c r="K67" i="42"/>
  <c r="E64" i="43"/>
  <c r="K64" i="43" s="1"/>
  <c r="AD64" i="43" s="1"/>
  <c r="E68" i="43"/>
  <c r="E61" i="43" s="1"/>
  <c r="T81" i="43"/>
  <c r="M156" i="43"/>
  <c r="T156" i="43" s="1"/>
  <c r="M171" i="43"/>
  <c r="O171" i="43" s="1"/>
  <c r="K111" i="43"/>
  <c r="AD111" i="43" s="1"/>
  <c r="I111" i="43"/>
  <c r="I38" i="42"/>
  <c r="I39" i="42" s="1"/>
  <c r="K68" i="42"/>
  <c r="X36" i="42"/>
  <c r="Y36" i="42" s="1"/>
  <c r="I46" i="42"/>
  <c r="E13" i="43"/>
  <c r="O13" i="43" s="1"/>
  <c r="C19" i="43"/>
  <c r="W19" i="43" s="1"/>
  <c r="E45" i="43"/>
  <c r="E37" i="43" s="1"/>
  <c r="K37" i="43" s="1"/>
  <c r="AD37" i="43" s="1"/>
  <c r="E53" i="43"/>
  <c r="K53" i="43" s="1"/>
  <c r="AD53" i="43" s="1"/>
  <c r="R68" i="43"/>
  <c r="AA14" i="43" s="1"/>
  <c r="E81" i="43"/>
  <c r="K81" i="43" s="1"/>
  <c r="AD81" i="43" s="1"/>
  <c r="I124" i="43"/>
  <c r="K38" i="42"/>
  <c r="K39" i="42" s="1"/>
  <c r="C24" i="43"/>
  <c r="E35" i="43"/>
  <c r="E52" i="43"/>
  <c r="I64" i="43"/>
  <c r="K96" i="43"/>
  <c r="AD96" i="43" s="1"/>
  <c r="I126" i="43"/>
  <c r="E106" i="43"/>
  <c r="K106" i="43" s="1"/>
  <c r="AD106" i="43" s="1"/>
  <c r="E128" i="43"/>
  <c r="K128" i="43" s="1"/>
  <c r="AD128" i="43" s="1"/>
  <c r="K171" i="43"/>
  <c r="AD171" i="43" s="1"/>
  <c r="I196" i="43"/>
  <c r="I220" i="43"/>
  <c r="I244" i="43"/>
  <c r="I273" i="43"/>
  <c r="I275" i="43"/>
  <c r="E293" i="43"/>
  <c r="K293" i="43" s="1"/>
  <c r="AD293" i="43" s="1"/>
  <c r="E334" i="43"/>
  <c r="I353" i="43"/>
  <c r="I355" i="43"/>
  <c r="I401" i="43"/>
  <c r="E411" i="43"/>
  <c r="K411" i="43" s="1"/>
  <c r="AD411" i="43" s="1"/>
  <c r="I415" i="43"/>
  <c r="I430" i="43"/>
  <c r="K438" i="43"/>
  <c r="AD438" i="43" s="1"/>
  <c r="C462" i="43"/>
  <c r="I462" i="43" s="1"/>
  <c r="C464" i="43"/>
  <c r="C507" i="43"/>
  <c r="C519" i="43"/>
  <c r="E516" i="43" s="1"/>
  <c r="I604" i="43"/>
  <c r="E133" i="43"/>
  <c r="K133" i="43" s="1"/>
  <c r="E178" i="43"/>
  <c r="K178" i="43" s="1"/>
  <c r="AD178" i="43" s="1"/>
  <c r="K196" i="43"/>
  <c r="AD196" i="43" s="1"/>
  <c r="E374" i="43"/>
  <c r="K374" i="43" s="1"/>
  <c r="AD374" i="43" s="1"/>
  <c r="I407" i="43"/>
  <c r="E414" i="43"/>
  <c r="I552" i="43"/>
  <c r="I593" i="43"/>
  <c r="C691" i="43"/>
  <c r="C694" i="43" s="1"/>
  <c r="C629" i="43"/>
  <c r="I637" i="43"/>
  <c r="E637" i="43"/>
  <c r="E113" i="43"/>
  <c r="E121" i="43"/>
  <c r="K156" i="43"/>
  <c r="AD156" i="43" s="1"/>
  <c r="I208" i="43"/>
  <c r="I295" i="43"/>
  <c r="K315" i="43"/>
  <c r="AD315" i="43" s="1"/>
  <c r="I321" i="43"/>
  <c r="I335" i="43"/>
  <c r="I347" i="43"/>
  <c r="E361" i="43"/>
  <c r="E365" i="43"/>
  <c r="E245" i="43" s="1"/>
  <c r="K245" i="43" s="1"/>
  <c r="AD245" i="43" s="1"/>
  <c r="K399" i="43"/>
  <c r="AD399" i="43" s="1"/>
  <c r="E408" i="43"/>
  <c r="E248" i="43" s="1"/>
  <c r="E413" i="43"/>
  <c r="K413" i="43" s="1"/>
  <c r="AD413" i="43" s="1"/>
  <c r="E416" i="43"/>
  <c r="K416" i="43" s="1"/>
  <c r="AD416" i="43" s="1"/>
  <c r="C426" i="43"/>
  <c r="I426" i="43" s="1"/>
  <c r="I442" i="43"/>
  <c r="I444" i="43"/>
  <c r="I478" i="43"/>
  <c r="C492" i="43"/>
  <c r="E489" i="43" s="1"/>
  <c r="K489" i="43" s="1"/>
  <c r="AD489" i="43" s="1"/>
  <c r="I510" i="43"/>
  <c r="C510" i="43"/>
  <c r="C511" i="43" s="1"/>
  <c r="I547" i="43"/>
  <c r="I583" i="43"/>
  <c r="I618" i="43"/>
  <c r="I622" i="43"/>
  <c r="I625" i="43"/>
  <c r="E166" i="43"/>
  <c r="K166" i="43" s="1"/>
  <c r="AD166" i="43" s="1"/>
  <c r="C303" i="43"/>
  <c r="E294" i="43"/>
  <c r="K294" i="43" s="1"/>
  <c r="AD294" i="43" s="1"/>
  <c r="I327" i="43"/>
  <c r="I375" i="43"/>
  <c r="E378" i="43"/>
  <c r="K378" i="43" s="1"/>
  <c r="AD378" i="43" s="1"/>
  <c r="I387" i="43"/>
  <c r="C509" i="43"/>
  <c r="I620" i="43"/>
  <c r="I626" i="43"/>
  <c r="I652" i="43"/>
  <c r="K655" i="43"/>
  <c r="AD655" i="43" s="1"/>
  <c r="I678" i="43"/>
  <c r="E708" i="43"/>
  <c r="K708" i="43" s="1"/>
  <c r="AD708" i="43" s="1"/>
  <c r="I709" i="43"/>
  <c r="C702" i="43"/>
  <c r="E724" i="43"/>
  <c r="I725" i="43"/>
  <c r="I728" i="43"/>
  <c r="K739" i="43"/>
  <c r="C763" i="43"/>
  <c r="O787" i="43"/>
  <c r="I794" i="43"/>
  <c r="I807" i="43"/>
  <c r="C810" i="43"/>
  <c r="E802" i="43" s="1"/>
  <c r="K813" i="43"/>
  <c r="AD813" i="43" s="1"/>
  <c r="E820" i="43"/>
  <c r="K820" i="43" s="1"/>
  <c r="AD820" i="43" s="1"/>
  <c r="I844" i="43"/>
  <c r="E888" i="43"/>
  <c r="K888" i="43" s="1"/>
  <c r="K966" i="43"/>
  <c r="AD966" i="43" s="1"/>
  <c r="K969" i="43"/>
  <c r="AD969" i="43" s="1"/>
  <c r="K972" i="43"/>
  <c r="AD972" i="43" s="1"/>
  <c r="I1003" i="43"/>
  <c r="K1015" i="43"/>
  <c r="AD1015" i="43" s="1"/>
  <c r="I1017" i="43"/>
  <c r="K1018" i="43"/>
  <c r="AD1018" i="43" s="1"/>
  <c r="I1044" i="43"/>
  <c r="I1047" i="43"/>
  <c r="C1067" i="43"/>
  <c r="I1112" i="43"/>
  <c r="I1121" i="43"/>
  <c r="E1126" i="43"/>
  <c r="I1158" i="43"/>
  <c r="C1151" i="43"/>
  <c r="K1175" i="43"/>
  <c r="AD1175" i="43" s="1"/>
  <c r="O1176" i="43"/>
  <c r="O1180" i="43"/>
  <c r="C734" i="43"/>
  <c r="I734" i="43" s="1"/>
  <c r="T787" i="43"/>
  <c r="E807" i="43"/>
  <c r="K807" i="43" s="1"/>
  <c r="AD807" i="43" s="1"/>
  <c r="O813" i="43"/>
  <c r="C823" i="43"/>
  <c r="E815" i="43" s="1"/>
  <c r="K815" i="43" s="1"/>
  <c r="AD815" i="43" s="1"/>
  <c r="I858" i="43"/>
  <c r="I644" i="43"/>
  <c r="E657" i="43"/>
  <c r="K657" i="43" s="1"/>
  <c r="AD657" i="43" s="1"/>
  <c r="C748" i="43"/>
  <c r="K765" i="43"/>
  <c r="I778" i="43"/>
  <c r="I780" i="43"/>
  <c r="I787" i="43"/>
  <c r="K800" i="43"/>
  <c r="AD800" i="43" s="1"/>
  <c r="K831" i="43"/>
  <c r="AD831" i="43" s="1"/>
  <c r="I869" i="43"/>
  <c r="I871" i="43"/>
  <c r="I873" i="43"/>
  <c r="I892" i="43"/>
  <c r="I898" i="43"/>
  <c r="K899" i="43"/>
  <c r="AD899" i="43" s="1"/>
  <c r="K901" i="43"/>
  <c r="AD901" i="43" s="1"/>
  <c r="I918" i="43"/>
  <c r="I924" i="43"/>
  <c r="I957" i="43"/>
  <c r="I986" i="43"/>
  <c r="I1046" i="43"/>
  <c r="C1143" i="43"/>
  <c r="I1143" i="43" s="1"/>
  <c r="I1149" i="43"/>
  <c r="C1152" i="43"/>
  <c r="K1177" i="43"/>
  <c r="AD1177" i="43" s="1"/>
  <c r="I642" i="43"/>
  <c r="I645" i="43"/>
  <c r="I669" i="43"/>
  <c r="I673" i="43"/>
  <c r="I677" i="43"/>
  <c r="C712" i="43"/>
  <c r="I740" i="43"/>
  <c r="K751" i="43"/>
  <c r="AD751" i="43" s="1"/>
  <c r="I752" i="43"/>
  <c r="I754" i="43" s="1"/>
  <c r="O800" i="43"/>
  <c r="E914" i="43"/>
  <c r="K914" i="43" s="1"/>
  <c r="AD914" i="43" s="1"/>
  <c r="H17" i="34"/>
  <c r="I20" i="43"/>
  <c r="E21" i="43"/>
  <c r="K21" i="43" s="1"/>
  <c r="AD21" i="43" s="1"/>
  <c r="I22" i="43"/>
  <c r="R21" i="43"/>
  <c r="R26" i="43"/>
  <c r="AA13" i="43" s="1"/>
  <c r="K35" i="43"/>
  <c r="AD35" i="43" s="1"/>
  <c r="I35" i="43"/>
  <c r="W57" i="43"/>
  <c r="W59" i="43"/>
  <c r="C107" i="43"/>
  <c r="I107" i="43" s="1"/>
  <c r="E104" i="43"/>
  <c r="I269" i="43"/>
  <c r="I289" i="43"/>
  <c r="I329" i="43"/>
  <c r="I369" i="43"/>
  <c r="I636" i="43"/>
  <c r="I792" i="43"/>
  <c r="I36" i="43"/>
  <c r="I57" i="43"/>
  <c r="E276" i="43"/>
  <c r="I276" i="43"/>
  <c r="K307" i="43"/>
  <c r="K347" i="43"/>
  <c r="I374" i="43"/>
  <c r="K387" i="43"/>
  <c r="K414" i="43"/>
  <c r="AD414" i="43" s="1"/>
  <c r="I414" i="43"/>
  <c r="C428" i="43"/>
  <c r="I428" i="43" s="1"/>
  <c r="I487" i="43"/>
  <c r="I551" i="43"/>
  <c r="C783" i="43"/>
  <c r="C797" i="43"/>
  <c r="T32" i="43"/>
  <c r="E42" i="43"/>
  <c r="K42" i="43" s="1"/>
  <c r="AD42" i="43" s="1"/>
  <c r="M77" i="43"/>
  <c r="I81" i="43"/>
  <c r="K121" i="43"/>
  <c r="AD121" i="43" s="1"/>
  <c r="I121" i="43"/>
  <c r="I234" i="43"/>
  <c r="I337" i="43"/>
  <c r="I377" i="43"/>
  <c r="I417" i="43"/>
  <c r="C429" i="43"/>
  <c r="I429" i="43" s="1"/>
  <c r="I453" i="43"/>
  <c r="AD473" i="43"/>
  <c r="C468" i="43"/>
  <c r="C481" i="43"/>
  <c r="E474" i="43" s="1"/>
  <c r="K474" i="43" s="1"/>
  <c r="AD474" i="43" s="1"/>
  <c r="I479" i="43"/>
  <c r="I523" i="43"/>
  <c r="I566" i="43"/>
  <c r="E566" i="43"/>
  <c r="I616" i="43"/>
  <c r="I633" i="43"/>
  <c r="E633" i="43"/>
  <c r="I647" i="43"/>
  <c r="E679" i="43"/>
  <c r="I679" i="43"/>
  <c r="C736" i="43"/>
  <c r="I845" i="43"/>
  <c r="I853" i="43"/>
  <c r="I13" i="43"/>
  <c r="M15" i="43"/>
  <c r="Z21" i="43" s="1"/>
  <c r="M59" i="43"/>
  <c r="M37" i="43"/>
  <c r="T17" i="43"/>
  <c r="Y21" i="43"/>
  <c r="C15" i="43"/>
  <c r="E32" i="43"/>
  <c r="O32" i="43" s="1"/>
  <c r="C39" i="43"/>
  <c r="I39" i="43" s="1"/>
  <c r="C44" i="43"/>
  <c r="I54" i="43"/>
  <c r="K54" i="43"/>
  <c r="AD54" i="43" s="1"/>
  <c r="M55" i="43"/>
  <c r="R55" i="43"/>
  <c r="R56" i="43" s="1"/>
  <c r="I55" i="43"/>
  <c r="I83" i="43"/>
  <c r="K97" i="43"/>
  <c r="AD97" i="43" s="1"/>
  <c r="I97" i="43"/>
  <c r="I112" i="43"/>
  <c r="K112" i="43"/>
  <c r="AD112" i="43" s="1"/>
  <c r="C122" i="43"/>
  <c r="I122" i="43" s="1"/>
  <c r="E119" i="43"/>
  <c r="K127" i="43"/>
  <c r="AD127" i="43" s="1"/>
  <c r="I127" i="43"/>
  <c r="C136" i="43"/>
  <c r="I136" i="43" s="1"/>
  <c r="I206" i="43"/>
  <c r="I242" i="43"/>
  <c r="I309" i="43"/>
  <c r="I349" i="43"/>
  <c r="I389" i="43"/>
  <c r="I409" i="43"/>
  <c r="I464" i="43"/>
  <c r="I517" i="43"/>
  <c r="I524" i="43"/>
  <c r="E788" i="43"/>
  <c r="K788" i="43" s="1"/>
  <c r="E784" i="43"/>
  <c r="E789" i="43"/>
  <c r="V12" i="43"/>
  <c r="T13" i="43"/>
  <c r="M53" i="43"/>
  <c r="M33" i="43"/>
  <c r="I21" i="43"/>
  <c r="T22" i="43"/>
  <c r="M64" i="43"/>
  <c r="M42" i="43"/>
  <c r="I59" i="43"/>
  <c r="C74" i="43"/>
  <c r="C92" i="43"/>
  <c r="I93" i="43"/>
  <c r="I151" i="43"/>
  <c r="C160" i="43"/>
  <c r="E149" i="43" s="1"/>
  <c r="I166" i="43"/>
  <c r="I183" i="43"/>
  <c r="I203" i="43"/>
  <c r="I251" i="43"/>
  <c r="I255" i="43"/>
  <c r="K287" i="43"/>
  <c r="AD287" i="43" s="1"/>
  <c r="I294" i="43"/>
  <c r="E316" i="43"/>
  <c r="K316" i="43" s="1"/>
  <c r="AD316" i="43" s="1"/>
  <c r="I316" i="43"/>
  <c r="K334" i="43"/>
  <c r="AD334" i="43" s="1"/>
  <c r="I334" i="43"/>
  <c r="E356" i="43"/>
  <c r="K356" i="43" s="1"/>
  <c r="AD356" i="43" s="1"/>
  <c r="I356" i="43"/>
  <c r="E396" i="43"/>
  <c r="K396" i="43" s="1"/>
  <c r="AD396" i="43" s="1"/>
  <c r="I396" i="43"/>
  <c r="AD506" i="43"/>
  <c r="K584" i="43"/>
  <c r="AD584" i="43" s="1"/>
  <c r="K589" i="43"/>
  <c r="AD589" i="43" s="1"/>
  <c r="K645" i="43"/>
  <c r="AD645" i="43" s="1"/>
  <c r="K660" i="43"/>
  <c r="AD660" i="43" s="1"/>
  <c r="M16" i="43"/>
  <c r="T21" i="43"/>
  <c r="M63" i="43"/>
  <c r="M23" i="43"/>
  <c r="I37" i="43"/>
  <c r="I52" i="43"/>
  <c r="W62" i="43"/>
  <c r="E98" i="43"/>
  <c r="E73" i="43"/>
  <c r="K73" i="43" s="1"/>
  <c r="I98" i="43"/>
  <c r="K103" i="43"/>
  <c r="I106" i="43"/>
  <c r="K113" i="43"/>
  <c r="AD113" i="43" s="1"/>
  <c r="I113" i="43"/>
  <c r="K118" i="43"/>
  <c r="I128" i="43"/>
  <c r="T172" i="43"/>
  <c r="I194" i="43"/>
  <c r="I218" i="43"/>
  <c r="C236" i="43"/>
  <c r="I236" i="43" s="1"/>
  <c r="I258" i="43"/>
  <c r="C239" i="43"/>
  <c r="I239" i="43" s="1"/>
  <c r="E279" i="43"/>
  <c r="I297" i="43"/>
  <c r="I14" i="43"/>
  <c r="I16" i="43"/>
  <c r="I17" i="43"/>
  <c r="M19" i="43"/>
  <c r="C33" i="43"/>
  <c r="E36" i="43"/>
  <c r="I42" i="43"/>
  <c r="K52" i="43"/>
  <c r="T56" i="43"/>
  <c r="W58" i="43"/>
  <c r="I61" i="43"/>
  <c r="I62" i="43"/>
  <c r="I63" i="43"/>
  <c r="E67" i="43"/>
  <c r="M73" i="43"/>
  <c r="I73" i="43"/>
  <c r="I76" i="43"/>
  <c r="K88" i="43"/>
  <c r="I91" i="43"/>
  <c r="C108" i="43"/>
  <c r="C123" i="43"/>
  <c r="I123" i="43" s="1"/>
  <c r="E141" i="43"/>
  <c r="K141" i="43" s="1"/>
  <c r="AD141" i="43" s="1"/>
  <c r="E157" i="43"/>
  <c r="E155" i="43" s="1"/>
  <c r="I157" i="43"/>
  <c r="E172" i="43"/>
  <c r="K172" i="43" s="1"/>
  <c r="AD172" i="43" s="1"/>
  <c r="I191" i="43"/>
  <c r="C179" i="43"/>
  <c r="I179" i="43" s="1"/>
  <c r="I186" i="43"/>
  <c r="I215" i="43"/>
  <c r="I238" i="43"/>
  <c r="I254" i="43"/>
  <c r="C227" i="43"/>
  <c r="C299" i="43"/>
  <c r="E267" i="43"/>
  <c r="K267" i="43" s="1"/>
  <c r="K268" i="43"/>
  <c r="AD268" i="43" s="1"/>
  <c r="I286" i="43"/>
  <c r="E255" i="43"/>
  <c r="K255" i="43" s="1"/>
  <c r="AD255" i="43" s="1"/>
  <c r="K295" i="43"/>
  <c r="AD295" i="43" s="1"/>
  <c r="I326" i="43"/>
  <c r="I366" i="43"/>
  <c r="I406" i="43"/>
  <c r="C447" i="43"/>
  <c r="E442" i="43" s="1"/>
  <c r="I445" i="43"/>
  <c r="C459" i="43"/>
  <c r="I548" i="43"/>
  <c r="E569" i="43"/>
  <c r="I569" i="43"/>
  <c r="I575" i="43"/>
  <c r="E575" i="43"/>
  <c r="I745" i="43"/>
  <c r="C733" i="43"/>
  <c r="I733" i="43" s="1"/>
  <c r="I768" i="43"/>
  <c r="AD148" i="43"/>
  <c r="C152" i="43"/>
  <c r="C167" i="43"/>
  <c r="I167" i="43" s="1"/>
  <c r="AD484" i="43"/>
  <c r="I497" i="43"/>
  <c r="K514" i="43"/>
  <c r="I514" i="43"/>
  <c r="I533" i="43"/>
  <c r="K546" i="43"/>
  <c r="I546" i="43"/>
  <c r="I624" i="43"/>
  <c r="K745" i="43"/>
  <c r="E733" i="43"/>
  <c r="I889" i="43"/>
  <c r="I41" i="43"/>
  <c r="O81" i="43"/>
  <c r="I88" i="43"/>
  <c r="M96" i="43"/>
  <c r="C100" i="43"/>
  <c r="M111" i="43"/>
  <c r="I118" i="43"/>
  <c r="M126" i="43"/>
  <c r="M141" i="43"/>
  <c r="C153" i="43"/>
  <c r="I153" i="43" s="1"/>
  <c r="C168" i="43"/>
  <c r="I168" i="43" s="1"/>
  <c r="I169" i="43"/>
  <c r="I171" i="43"/>
  <c r="I178" i="43"/>
  <c r="C184" i="43"/>
  <c r="I184" i="43" s="1"/>
  <c r="I192" i="43"/>
  <c r="I193" i="43"/>
  <c r="C199" i="43"/>
  <c r="E193" i="43" s="1"/>
  <c r="K193" i="43" s="1"/>
  <c r="AD193" i="43" s="1"/>
  <c r="I204" i="43"/>
  <c r="C211" i="43"/>
  <c r="E205" i="43" s="1"/>
  <c r="K205" i="43" s="1"/>
  <c r="AD205" i="43" s="1"/>
  <c r="I216" i="43"/>
  <c r="I217" i="43"/>
  <c r="C223" i="43"/>
  <c r="E217" i="43" s="1"/>
  <c r="K217" i="43" s="1"/>
  <c r="AD217" i="43" s="1"/>
  <c r="K248" i="43"/>
  <c r="AD248" i="43" s="1"/>
  <c r="I267" i="43"/>
  <c r="K270" i="43"/>
  <c r="AD270" i="43" s="1"/>
  <c r="I270" i="43"/>
  <c r="C232" i="43"/>
  <c r="E272" i="43"/>
  <c r="E274" i="43"/>
  <c r="E277" i="43"/>
  <c r="I279" i="43"/>
  <c r="E280" i="43"/>
  <c r="I281" i="43"/>
  <c r="E282" i="43"/>
  <c r="K285" i="43"/>
  <c r="AD285" i="43" s="1"/>
  <c r="E291" i="43"/>
  <c r="I298" i="43"/>
  <c r="K310" i="43"/>
  <c r="AD310" i="43" s="1"/>
  <c r="I310" i="43"/>
  <c r="E312" i="43"/>
  <c r="K312" i="43" s="1"/>
  <c r="AD312" i="43" s="1"/>
  <c r="E314" i="43"/>
  <c r="E317" i="43"/>
  <c r="K317" i="43" s="1"/>
  <c r="AD317" i="43" s="1"/>
  <c r="I319" i="43"/>
  <c r="E320" i="43"/>
  <c r="K320" i="43" s="1"/>
  <c r="AD320" i="43" s="1"/>
  <c r="E322" i="43"/>
  <c r="K322" i="43" s="1"/>
  <c r="AD322" i="43" s="1"/>
  <c r="K325" i="43"/>
  <c r="AD325" i="43" s="1"/>
  <c r="K333" i="43"/>
  <c r="AD333" i="43" s="1"/>
  <c r="K338" i="43"/>
  <c r="AD338" i="43" s="1"/>
  <c r="I338" i="43"/>
  <c r="K350" i="43"/>
  <c r="AD350" i="43" s="1"/>
  <c r="I350" i="43"/>
  <c r="E352" i="43"/>
  <c r="K352" i="43" s="1"/>
  <c r="AD352" i="43" s="1"/>
  <c r="E354" i="43"/>
  <c r="E357" i="43"/>
  <c r="K357" i="43" s="1"/>
  <c r="AD357" i="43" s="1"/>
  <c r="I359" i="43"/>
  <c r="E360" i="43"/>
  <c r="K360" i="43" s="1"/>
  <c r="AD360" i="43" s="1"/>
  <c r="E362" i="43"/>
  <c r="K373" i="43"/>
  <c r="AD373" i="43" s="1"/>
  <c r="I378" i="43"/>
  <c r="K390" i="43"/>
  <c r="AD390" i="43" s="1"/>
  <c r="I390" i="43"/>
  <c r="E392" i="43"/>
  <c r="K392" i="43" s="1"/>
  <c r="AD392" i="43" s="1"/>
  <c r="E394" i="43"/>
  <c r="K394" i="43" s="1"/>
  <c r="AD394" i="43" s="1"/>
  <c r="E397" i="43"/>
  <c r="K397" i="43" s="1"/>
  <c r="AD397" i="43" s="1"/>
  <c r="I399" i="43"/>
  <c r="E400" i="43"/>
  <c r="K400" i="43" s="1"/>
  <c r="AD400" i="43" s="1"/>
  <c r="E402" i="43"/>
  <c r="K405" i="43"/>
  <c r="AD405" i="43" s="1"/>
  <c r="I418" i="43"/>
  <c r="I433" i="43"/>
  <c r="I440" i="43"/>
  <c r="C432" i="43"/>
  <c r="I432" i="43" s="1"/>
  <c r="I450" i="43"/>
  <c r="E454" i="43"/>
  <c r="K454" i="43" s="1"/>
  <c r="AD454" i="43" s="1"/>
  <c r="I456" i="43"/>
  <c r="I465" i="43"/>
  <c r="I484" i="43"/>
  <c r="I490" i="43"/>
  <c r="E470" i="43"/>
  <c r="I498" i="43"/>
  <c r="C503" i="43"/>
  <c r="C466" i="43"/>
  <c r="I466" i="43" s="1"/>
  <c r="I509" i="43"/>
  <c r="I515" i="43"/>
  <c r="I549" i="43"/>
  <c r="I563" i="43"/>
  <c r="K576" i="43"/>
  <c r="AD576" i="43" s="1"/>
  <c r="I579" i="43"/>
  <c r="E582" i="43"/>
  <c r="I582" i="43"/>
  <c r="E598" i="43"/>
  <c r="I598" i="43"/>
  <c r="E606" i="43"/>
  <c r="I606" i="43"/>
  <c r="E694" i="43"/>
  <c r="E691" i="43" s="1"/>
  <c r="E627" i="43"/>
  <c r="E618" i="43" s="1"/>
  <c r="E638" i="43"/>
  <c r="I638" i="43"/>
  <c r="I641" i="43"/>
  <c r="E641" i="43"/>
  <c r="I661" i="43"/>
  <c r="E661" i="43"/>
  <c r="I682" i="43"/>
  <c r="E682" i="43"/>
  <c r="AD765" i="43"/>
  <c r="K832" i="43"/>
  <c r="AD832" i="43" s="1"/>
  <c r="I832" i="43"/>
  <c r="C868" i="43"/>
  <c r="I929" i="43"/>
  <c r="E158" i="43"/>
  <c r="K230" i="43"/>
  <c r="AD230" i="43" s="1"/>
  <c r="K273" i="43"/>
  <c r="AD273" i="43" s="1"/>
  <c r="K278" i="43"/>
  <c r="AD278" i="43" s="1"/>
  <c r="I278" i="43"/>
  <c r="K313" i="43"/>
  <c r="AD313" i="43" s="1"/>
  <c r="K318" i="43"/>
  <c r="AD318" i="43" s="1"/>
  <c r="I318" i="43"/>
  <c r="K321" i="43"/>
  <c r="AD321" i="43" s="1"/>
  <c r="C339" i="43"/>
  <c r="K353" i="43"/>
  <c r="AD353" i="43" s="1"/>
  <c r="K358" i="43"/>
  <c r="AD358" i="43" s="1"/>
  <c r="I358" i="43"/>
  <c r="K361" i="43"/>
  <c r="AD361" i="43" s="1"/>
  <c r="C379" i="43"/>
  <c r="K393" i="43"/>
  <c r="AD393" i="43" s="1"/>
  <c r="K398" i="43"/>
  <c r="AD398" i="43" s="1"/>
  <c r="I398" i="43"/>
  <c r="K401" i="43"/>
  <c r="AD401" i="43" s="1"/>
  <c r="E418" i="43"/>
  <c r="C419" i="43"/>
  <c r="I439" i="43"/>
  <c r="I455" i="43"/>
  <c r="I489" i="43"/>
  <c r="I601" i="43"/>
  <c r="E601" i="43"/>
  <c r="E650" i="43"/>
  <c r="I650" i="43"/>
  <c r="K700" i="43"/>
  <c r="AD700" i="43" s="1"/>
  <c r="K716" i="43"/>
  <c r="AD716" i="43" s="1"/>
  <c r="K725" i="43"/>
  <c r="AD725" i="43" s="1"/>
  <c r="K752" i="43"/>
  <c r="E754" i="43"/>
  <c r="AD758" i="43"/>
  <c r="K805" i="43"/>
  <c r="AD805" i="43" s="1"/>
  <c r="I805" i="43"/>
  <c r="I994" i="43"/>
  <c r="I32" i="43"/>
  <c r="I40" i="43"/>
  <c r="O52" i="43"/>
  <c r="C66" i="43"/>
  <c r="C70" i="43" s="1"/>
  <c r="I103" i="43"/>
  <c r="I143" i="43"/>
  <c r="I154" i="43"/>
  <c r="I156" i="43"/>
  <c r="I12" i="43"/>
  <c r="E95" i="43"/>
  <c r="E80" i="43" s="1"/>
  <c r="M97" i="43"/>
  <c r="M112" i="43"/>
  <c r="M127" i="43"/>
  <c r="C135" i="43"/>
  <c r="C182" i="43"/>
  <c r="I182" i="43" s="1"/>
  <c r="I190" i="43"/>
  <c r="E194" i="43"/>
  <c r="K194" i="43" s="1"/>
  <c r="AD194" i="43" s="1"/>
  <c r="I197" i="43"/>
  <c r="I202" i="43"/>
  <c r="E206" i="43"/>
  <c r="K206" i="43" s="1"/>
  <c r="AD206" i="43" s="1"/>
  <c r="I209" i="43"/>
  <c r="I214" i="43"/>
  <c r="E218" i="43"/>
  <c r="I221" i="43"/>
  <c r="I232" i="43"/>
  <c r="C248" i="43"/>
  <c r="I248" i="43" s="1"/>
  <c r="I252" i="43"/>
  <c r="C263" i="43"/>
  <c r="C228" i="43"/>
  <c r="I228" i="43" s="1"/>
  <c r="E269" i="43"/>
  <c r="I274" i="43"/>
  <c r="E275" i="43"/>
  <c r="I282" i="43"/>
  <c r="E284" i="43"/>
  <c r="I285" i="43"/>
  <c r="E286" i="43"/>
  <c r="I288" i="43"/>
  <c r="E289" i="43"/>
  <c r="I291" i="43"/>
  <c r="E292" i="43"/>
  <c r="I293" i="43"/>
  <c r="I296" i="43"/>
  <c r="E297" i="43"/>
  <c r="I308" i="43"/>
  <c r="E309" i="43"/>
  <c r="K314" i="43"/>
  <c r="AD314" i="43" s="1"/>
  <c r="I314" i="43"/>
  <c r="I322" i="43"/>
  <c r="E324" i="43"/>
  <c r="K324" i="43" s="1"/>
  <c r="AD324" i="43" s="1"/>
  <c r="I325" i="43"/>
  <c r="E326" i="43"/>
  <c r="K326" i="43" s="1"/>
  <c r="AD326" i="43" s="1"/>
  <c r="I328" i="43"/>
  <c r="E329" i="43"/>
  <c r="K329" i="43" s="1"/>
  <c r="AD329" i="43" s="1"/>
  <c r="I331" i="43"/>
  <c r="E332" i="43"/>
  <c r="K332" i="43" s="1"/>
  <c r="AD332" i="43" s="1"/>
  <c r="I333" i="43"/>
  <c r="I336" i="43"/>
  <c r="E337" i="43"/>
  <c r="K337" i="43" s="1"/>
  <c r="AD337" i="43" s="1"/>
  <c r="I348" i="43"/>
  <c r="E349" i="43"/>
  <c r="K349" i="43" s="1"/>
  <c r="AD349" i="43" s="1"/>
  <c r="K354" i="43"/>
  <c r="AD354" i="43" s="1"/>
  <c r="I354" i="43"/>
  <c r="K362" i="43"/>
  <c r="AD362" i="43" s="1"/>
  <c r="I362" i="43"/>
  <c r="E364" i="43"/>
  <c r="K364" i="43" s="1"/>
  <c r="AD364" i="43" s="1"/>
  <c r="I365" i="43"/>
  <c r="E366" i="43"/>
  <c r="K366" i="43" s="1"/>
  <c r="AD366" i="43" s="1"/>
  <c r="I368" i="43"/>
  <c r="E369" i="43"/>
  <c r="K369" i="43" s="1"/>
  <c r="AD369" i="43" s="1"/>
  <c r="I371" i="43"/>
  <c r="E372" i="43"/>
  <c r="K372" i="43" s="1"/>
  <c r="AD372" i="43" s="1"/>
  <c r="I373" i="43"/>
  <c r="I376" i="43"/>
  <c r="E377" i="43"/>
  <c r="K377" i="43" s="1"/>
  <c r="AD377" i="43" s="1"/>
  <c r="I388" i="43"/>
  <c r="E389" i="43"/>
  <c r="I394" i="43"/>
  <c r="K402" i="43"/>
  <c r="AD402" i="43" s="1"/>
  <c r="I402" i="43"/>
  <c r="E404" i="43"/>
  <c r="K404" i="43" s="1"/>
  <c r="AD404" i="43" s="1"/>
  <c r="I405" i="43"/>
  <c r="E406" i="43"/>
  <c r="K406" i="43" s="1"/>
  <c r="AD406" i="43" s="1"/>
  <c r="I408" i="43"/>
  <c r="E409" i="43"/>
  <c r="K409" i="43" s="1"/>
  <c r="AD409" i="43" s="1"/>
  <c r="I411" i="43"/>
  <c r="E412" i="43"/>
  <c r="K412" i="43" s="1"/>
  <c r="AD412" i="43" s="1"/>
  <c r="I413" i="43"/>
  <c r="I416" i="43"/>
  <c r="E417" i="43"/>
  <c r="K417" i="43" s="1"/>
  <c r="AD417" i="43" s="1"/>
  <c r="K426" i="43"/>
  <c r="I431" i="43"/>
  <c r="I443" i="43"/>
  <c r="I451" i="43"/>
  <c r="I463" i="43"/>
  <c r="C467" i="43"/>
  <c r="I467" i="43" s="1"/>
  <c r="I468" i="43"/>
  <c r="I473" i="43"/>
  <c r="I475" i="43"/>
  <c r="E476" i="43"/>
  <c r="I477" i="43"/>
  <c r="I485" i="43"/>
  <c r="E486" i="43"/>
  <c r="K486" i="43" s="1"/>
  <c r="AD486" i="43" s="1"/>
  <c r="I501" i="43"/>
  <c r="I507" i="43"/>
  <c r="K516" i="43"/>
  <c r="AD516" i="43" s="1"/>
  <c r="I516" i="43"/>
  <c r="E517" i="43"/>
  <c r="K522" i="43"/>
  <c r="I522" i="43"/>
  <c r="C527" i="43"/>
  <c r="E523" i="43" s="1"/>
  <c r="I531" i="43"/>
  <c r="C537" i="43"/>
  <c r="I536" i="43"/>
  <c r="I539" i="43"/>
  <c r="I540" i="43"/>
  <c r="C558" i="43"/>
  <c r="I556" i="43"/>
  <c r="I557" i="43" s="1"/>
  <c r="E568" i="43"/>
  <c r="I581" i="43"/>
  <c r="E583" i="43"/>
  <c r="E588" i="43"/>
  <c r="E591" i="43"/>
  <c r="E597" i="43"/>
  <c r="E611" i="43"/>
  <c r="E604" i="43"/>
  <c r="E577" i="43"/>
  <c r="E594" i="43"/>
  <c r="E587" i="43"/>
  <c r="E574" i="43"/>
  <c r="E567" i="43"/>
  <c r="I617" i="43"/>
  <c r="K637" i="43"/>
  <c r="AD637" i="43" s="1"/>
  <c r="E646" i="43"/>
  <c r="I646" i="43"/>
  <c r="E684" i="43"/>
  <c r="E685" i="43"/>
  <c r="E677" i="43"/>
  <c r="E673" i="43"/>
  <c r="E678" i="43"/>
  <c r="E669" i="43"/>
  <c r="I719" i="43"/>
  <c r="C721" i="43"/>
  <c r="C701" i="43"/>
  <c r="R780" i="43"/>
  <c r="K774" i="43"/>
  <c r="I774" i="43"/>
  <c r="K789" i="43"/>
  <c r="AD789" i="43" s="1"/>
  <c r="I789" i="43"/>
  <c r="I911" i="43"/>
  <c r="I934" i="43"/>
  <c r="I976" i="43"/>
  <c r="E1045" i="43"/>
  <c r="C862" i="43"/>
  <c r="E573" i="43"/>
  <c r="I580" i="43"/>
  <c r="E586" i="43"/>
  <c r="I648" i="43"/>
  <c r="I653" i="43"/>
  <c r="E653" i="43"/>
  <c r="E672" i="43"/>
  <c r="E676" i="43"/>
  <c r="I706" i="43"/>
  <c r="I712" i="43" s="1"/>
  <c r="C697" i="43"/>
  <c r="I697" i="43" s="1"/>
  <c r="E706" i="43"/>
  <c r="I766" i="43"/>
  <c r="C777" i="43"/>
  <c r="I777" i="43" s="1"/>
  <c r="K802" i="43"/>
  <c r="AD802" i="43" s="1"/>
  <c r="I802" i="43"/>
  <c r="K818" i="43"/>
  <c r="AD818" i="43" s="1"/>
  <c r="I818" i="43"/>
  <c r="C1105" i="43"/>
  <c r="I1105" i="43" s="1"/>
  <c r="E530" i="43"/>
  <c r="I535" i="43"/>
  <c r="I550" i="43"/>
  <c r="C607" i="43"/>
  <c r="I571" i="43"/>
  <c r="E580" i="43"/>
  <c r="I584" i="43"/>
  <c r="I592" i="43"/>
  <c r="I595" i="43"/>
  <c r="E599" i="43"/>
  <c r="E602" i="43"/>
  <c r="K639" i="43"/>
  <c r="AD639" i="43" s="1"/>
  <c r="I643" i="43"/>
  <c r="K644" i="43"/>
  <c r="AD644" i="43" s="1"/>
  <c r="E658" i="43"/>
  <c r="I658" i="43"/>
  <c r="I672" i="43"/>
  <c r="I680" i="43"/>
  <c r="E701" i="43"/>
  <c r="K710" i="43"/>
  <c r="AD710" i="43" s="1"/>
  <c r="I726" i="43"/>
  <c r="C699" i="43"/>
  <c r="I699" i="43" s="1"/>
  <c r="E726" i="43"/>
  <c r="I781" i="43"/>
  <c r="T783" i="43"/>
  <c r="M821" i="43"/>
  <c r="M808" i="43"/>
  <c r="M795" i="43"/>
  <c r="I815" i="43"/>
  <c r="I840" i="43"/>
  <c r="I996" i="43"/>
  <c r="I1011" i="43"/>
  <c r="K1028" i="43"/>
  <c r="AD1028" i="43" s="1"/>
  <c r="I1028" i="43"/>
  <c r="I693" i="43"/>
  <c r="I649" i="43"/>
  <c r="I656" i="43"/>
  <c r="E671" i="43"/>
  <c r="I685" i="43"/>
  <c r="E715" i="43"/>
  <c r="I718" i="43"/>
  <c r="C700" i="43"/>
  <c r="I700" i="43" s="1"/>
  <c r="AD739" i="43"/>
  <c r="I759" i="43"/>
  <c r="I790" i="43"/>
  <c r="E801" i="43"/>
  <c r="I803" i="43"/>
  <c r="I816" i="43"/>
  <c r="I828" i="43"/>
  <c r="I831" i="43"/>
  <c r="K834" i="43"/>
  <c r="AD834" i="43" s="1"/>
  <c r="I834" i="43"/>
  <c r="I841" i="43"/>
  <c r="I848" i="43"/>
  <c r="I850" i="43"/>
  <c r="K863" i="43"/>
  <c r="AD863" i="43" s="1"/>
  <c r="I863" i="43"/>
  <c r="I888" i="43"/>
  <c r="K921" i="43"/>
  <c r="AD921" i="43" s="1"/>
  <c r="I921" i="43"/>
  <c r="I931" i="43"/>
  <c r="I963" i="43"/>
  <c r="I992" i="43"/>
  <c r="C876" i="43"/>
  <c r="I876" i="43" s="1"/>
  <c r="I1001" i="43"/>
  <c r="K1010" i="43"/>
  <c r="I1010" i="43"/>
  <c r="K1031" i="43"/>
  <c r="AD1031" i="43" s="1"/>
  <c r="I1031" i="43"/>
  <c r="E1037" i="43"/>
  <c r="K1037" i="43" s="1"/>
  <c r="AD1037" i="43" s="1"/>
  <c r="C854" i="43"/>
  <c r="I854" i="43" s="1"/>
  <c r="I1037" i="43"/>
  <c r="I1061" i="43"/>
  <c r="AD1072" i="43"/>
  <c r="C692" i="43"/>
  <c r="E649" i="43"/>
  <c r="I655" i="43"/>
  <c r="K656" i="43"/>
  <c r="AD656" i="43" s="1"/>
  <c r="E668" i="43"/>
  <c r="E675" i="43"/>
  <c r="I676" i="43"/>
  <c r="E680" i="43"/>
  <c r="E683" i="43"/>
  <c r="I684" i="43"/>
  <c r="C698" i="43"/>
  <c r="I698" i="43" s="1"/>
  <c r="E707" i="43"/>
  <c r="K709" i="43"/>
  <c r="AD709" i="43" s="1"/>
  <c r="K724" i="43"/>
  <c r="I739" i="43"/>
  <c r="I742" i="43" s="1"/>
  <c r="K740" i="43"/>
  <c r="AD740" i="43" s="1"/>
  <c r="E734" i="43"/>
  <c r="C754" i="43"/>
  <c r="I761" i="43"/>
  <c r="C770" i="43"/>
  <c r="I775" i="43"/>
  <c r="I779" i="43"/>
  <c r="E780" i="43"/>
  <c r="K780" i="43" s="1"/>
  <c r="AD780" i="43" s="1"/>
  <c r="I782" i="43"/>
  <c r="I793" i="43"/>
  <c r="K801" i="43"/>
  <c r="AD801" i="43" s="1"/>
  <c r="K806" i="43"/>
  <c r="AD806" i="43" s="1"/>
  <c r="I806" i="43"/>
  <c r="I810" i="43" s="1"/>
  <c r="K819" i="43"/>
  <c r="AD819" i="43" s="1"/>
  <c r="I819" i="43"/>
  <c r="I835" i="43"/>
  <c r="I837" i="43"/>
  <c r="I851" i="43"/>
  <c r="K864" i="43"/>
  <c r="AD864" i="43" s="1"/>
  <c r="I864" i="43"/>
  <c r="I868" i="43"/>
  <c r="I901" i="43"/>
  <c r="I909" i="43"/>
  <c r="K973" i="43"/>
  <c r="AD973" i="43" s="1"/>
  <c r="I973" i="43"/>
  <c r="K985" i="43"/>
  <c r="AD985" i="43" s="1"/>
  <c r="I985" i="43"/>
  <c r="I990" i="43"/>
  <c r="E721" i="43"/>
  <c r="E748" i="43"/>
  <c r="I857" i="43"/>
  <c r="I880" i="43"/>
  <c r="I902" i="43"/>
  <c r="I905" i="43"/>
  <c r="I932" i="43"/>
  <c r="C872" i="43"/>
  <c r="K1034" i="43"/>
  <c r="AD1034" i="43" s="1"/>
  <c r="I1034" i="43"/>
  <c r="I1041" i="43"/>
  <c r="I1071" i="43"/>
  <c r="AD1071" i="43"/>
  <c r="AD1104" i="43"/>
  <c r="AD1134" i="43"/>
  <c r="K1090" i="43"/>
  <c r="AD1090" i="43" s="1"/>
  <c r="I881" i="43"/>
  <c r="I912" i="43"/>
  <c r="I935" i="43"/>
  <c r="C945" i="43"/>
  <c r="E929" i="43" s="1"/>
  <c r="K956" i="43"/>
  <c r="AD956" i="43" s="1"/>
  <c r="I956" i="43"/>
  <c r="K970" i="43"/>
  <c r="AD970" i="43" s="1"/>
  <c r="I970" i="43"/>
  <c r="E962" i="43"/>
  <c r="E840" i="43" s="1"/>
  <c r="K840" i="43" s="1"/>
  <c r="AD840" i="43" s="1"/>
  <c r="E975" i="43"/>
  <c r="I975" i="43"/>
  <c r="E949" i="43"/>
  <c r="K982" i="43"/>
  <c r="AD982" i="43" s="1"/>
  <c r="I982" i="43"/>
  <c r="I1060" i="43"/>
  <c r="E1060" i="43"/>
  <c r="K1060" i="43" s="1"/>
  <c r="AD1060" i="43" s="1"/>
  <c r="K1074" i="43"/>
  <c r="C1122" i="43"/>
  <c r="I1122" i="43" s="1"/>
  <c r="C1101" i="43"/>
  <c r="E1086" i="43" s="1"/>
  <c r="O1158" i="43"/>
  <c r="K1158" i="43"/>
  <c r="AD1158" i="43" s="1"/>
  <c r="C1163" i="43"/>
  <c r="C1153" i="43"/>
  <c r="I979" i="43"/>
  <c r="C1006" i="43"/>
  <c r="E1000" i="43" s="1"/>
  <c r="K1000" i="43" s="1"/>
  <c r="AD1000" i="43" s="1"/>
  <c r="K1027" i="43"/>
  <c r="AD1027" i="43" s="1"/>
  <c r="I1027" i="43"/>
  <c r="K1030" i="43"/>
  <c r="AD1030" i="43" s="1"/>
  <c r="I1030" i="43"/>
  <c r="K1033" i="43"/>
  <c r="AD1033" i="43" s="1"/>
  <c r="I1033" i="43"/>
  <c r="I1059" i="43"/>
  <c r="E1062" i="43"/>
  <c r="K1062" i="43" s="1"/>
  <c r="AD1062" i="43" s="1"/>
  <c r="E1040" i="43"/>
  <c r="E1032" i="43"/>
  <c r="E1029" i="43"/>
  <c r="E1026" i="43"/>
  <c r="E1057" i="43"/>
  <c r="K1057" i="43" s="1"/>
  <c r="AD1057" i="43" s="1"/>
  <c r="E1056" i="43"/>
  <c r="K1056" i="43" s="1"/>
  <c r="AD1056" i="43" s="1"/>
  <c r="E1055" i="43"/>
  <c r="K1055" i="43" s="1"/>
  <c r="AD1055" i="43" s="1"/>
  <c r="E1054" i="43"/>
  <c r="K1054" i="43" s="1"/>
  <c r="AD1054" i="43" s="1"/>
  <c r="E1053" i="43"/>
  <c r="K1053" i="43" s="1"/>
  <c r="AD1053" i="43" s="1"/>
  <c r="E1052" i="43"/>
  <c r="K1052" i="43" s="1"/>
  <c r="AD1052" i="43" s="1"/>
  <c r="E1051" i="43"/>
  <c r="K1051" i="43" s="1"/>
  <c r="E1024" i="43"/>
  <c r="K1024" i="43" s="1"/>
  <c r="AD1024" i="43" s="1"/>
  <c r="C1108" i="43"/>
  <c r="I1108" i="43" s="1"/>
  <c r="C1139" i="43"/>
  <c r="I1139" i="43" s="1"/>
  <c r="I1159" i="43"/>
  <c r="I1163" i="43" s="1"/>
  <c r="K1181" i="43"/>
  <c r="AD1181" i="43" s="1"/>
  <c r="I959" i="43"/>
  <c r="K967" i="43"/>
  <c r="AD967" i="43" s="1"/>
  <c r="I967" i="43"/>
  <c r="I980" i="43"/>
  <c r="I998" i="43"/>
  <c r="I1000" i="43"/>
  <c r="E1036" i="43"/>
  <c r="K1036" i="43" s="1"/>
  <c r="AD1036" i="43" s="1"/>
  <c r="E1061" i="43"/>
  <c r="K1061" i="43" s="1"/>
  <c r="AD1061" i="43" s="1"/>
  <c r="I1079" i="43"/>
  <c r="K1078" i="43"/>
  <c r="C1136" i="43"/>
  <c r="I1136" i="43" s="1"/>
  <c r="C1113" i="43"/>
  <c r="C1135" i="43" s="1"/>
  <c r="I1114" i="43"/>
  <c r="M1136" i="43"/>
  <c r="M1137" i="43"/>
  <c r="E1151" i="43"/>
  <c r="E1154" i="43" s="1"/>
  <c r="E1157" i="43"/>
  <c r="E1063" i="43"/>
  <c r="K1063" i="43" s="1"/>
  <c r="AD1063" i="43" s="1"/>
  <c r="AD1073" i="43"/>
  <c r="I1117" i="43"/>
  <c r="K1137" i="43"/>
  <c r="AD1137" i="43" s="1"/>
  <c r="I1137" i="43"/>
  <c r="E1072" i="43"/>
  <c r="E1073" i="43" s="1"/>
  <c r="I1073" i="43" s="1"/>
  <c r="C1126" i="43"/>
  <c r="I1126" i="43" s="1"/>
  <c r="C1120" i="43"/>
  <c r="C1142" i="43" s="1"/>
  <c r="C1133" i="43"/>
  <c r="I1133" i="43" s="1"/>
  <c r="I1111" i="43"/>
  <c r="C1110" i="43"/>
  <c r="C1132" i="43" s="1"/>
  <c r="K1115" i="43"/>
  <c r="I1115" i="43"/>
  <c r="K1126" i="43"/>
  <c r="K1082" i="43" s="1"/>
  <c r="M1126" i="43"/>
  <c r="I1167" i="43"/>
  <c r="T1167" i="43"/>
  <c r="K1133" i="43"/>
  <c r="I1153" i="43"/>
  <c r="C1168" i="43"/>
  <c r="I1166" i="43"/>
  <c r="C1140" i="43"/>
  <c r="I1140" i="43" s="1"/>
  <c r="I1096" i="43" s="1"/>
  <c r="K1136" i="43"/>
  <c r="I1148" i="43"/>
  <c r="I1150" i="43" s="1"/>
  <c r="E1166" i="43"/>
  <c r="E1167" i="43"/>
  <c r="O1167" i="43" s="1"/>
  <c r="C1172" i="43"/>
  <c r="T1148" i="43"/>
  <c r="T1149" i="43"/>
  <c r="T1157" i="43"/>
  <c r="T1158" i="43"/>
  <c r="K30" i="42"/>
  <c r="K46" i="42"/>
  <c r="O41" i="42"/>
  <c r="M41" i="42" s="1"/>
  <c r="O45" i="42"/>
  <c r="V45" i="42" s="1"/>
  <c r="U47" i="42"/>
  <c r="G12" i="42"/>
  <c r="A17" i="42"/>
  <c r="G38" i="42"/>
  <c r="G39" i="42" s="1"/>
  <c r="M44" i="42"/>
  <c r="V47" i="42"/>
  <c r="K23" i="42"/>
  <c r="X33" i="42"/>
  <c r="Y33" i="42" s="1"/>
  <c r="I51" i="42"/>
  <c r="I49" i="42"/>
  <c r="I18" i="42"/>
  <c r="I23" i="42"/>
  <c r="O35" i="42"/>
  <c r="V35" i="42" s="1"/>
  <c r="O43" i="42"/>
  <c r="V43" i="42" s="1"/>
  <c r="R70" i="43" l="1"/>
  <c r="Z14" i="43" s="1"/>
  <c r="C1154" i="43"/>
  <c r="E778" i="43"/>
  <c r="K778" i="43" s="1"/>
  <c r="AD778" i="43" s="1"/>
  <c r="C140" i="43"/>
  <c r="C145" i="43" s="1"/>
  <c r="I721" i="43"/>
  <c r="C470" i="43"/>
  <c r="C771" i="43"/>
  <c r="E763" i="43" s="1"/>
  <c r="E770" i="43" s="1"/>
  <c r="E617" i="43"/>
  <c r="K617" i="43" s="1"/>
  <c r="AD617" i="43" s="1"/>
  <c r="I503" i="43"/>
  <c r="I748" i="43"/>
  <c r="E548" i="43"/>
  <c r="K548" i="43" s="1"/>
  <c r="AD548" i="43" s="1"/>
  <c r="E62" i="43"/>
  <c r="C784" i="43"/>
  <c r="K792" i="43"/>
  <c r="AD792" i="43" s="1"/>
  <c r="E241" i="43"/>
  <c r="K241" i="43" s="1"/>
  <c r="AD241" i="43" s="1"/>
  <c r="E776" i="43"/>
  <c r="K776" i="43" s="1"/>
  <c r="AD776" i="43" s="1"/>
  <c r="K793" i="43"/>
  <c r="AD793" i="43" s="1"/>
  <c r="K365" i="43"/>
  <c r="AD365" i="43" s="1"/>
  <c r="E83" i="43"/>
  <c r="K83" i="43" s="1"/>
  <c r="AD83" i="43" s="1"/>
  <c r="O156" i="43"/>
  <c r="I1090" i="43"/>
  <c r="E256" i="43"/>
  <c r="K256" i="43" s="1"/>
  <c r="AD256" i="43" s="1"/>
  <c r="C884" i="43"/>
  <c r="I511" i="43"/>
  <c r="E247" i="43"/>
  <c r="K247" i="43" s="1"/>
  <c r="AD247" i="43" s="1"/>
  <c r="E165" i="43"/>
  <c r="E814" i="43"/>
  <c r="K814" i="43" s="1"/>
  <c r="AD814" i="43" s="1"/>
  <c r="E626" i="43"/>
  <c r="I223" i="43"/>
  <c r="M1132" i="43"/>
  <c r="M1133" i="43" s="1"/>
  <c r="I770" i="43"/>
  <c r="E488" i="43"/>
  <c r="K488" i="43" s="1"/>
  <c r="AD488" i="43" s="1"/>
  <c r="K13" i="43"/>
  <c r="AD13" i="43" s="1"/>
  <c r="T1130" i="43"/>
  <c r="M1108" i="43"/>
  <c r="I730" i="43"/>
  <c r="E444" i="43"/>
  <c r="K444" i="43" s="1"/>
  <c r="AD444" i="43" s="1"/>
  <c r="E441" i="43"/>
  <c r="O157" i="43"/>
  <c r="V36" i="43"/>
  <c r="T171" i="43"/>
  <c r="E478" i="43"/>
  <c r="E487" i="43"/>
  <c r="K487" i="43" s="1"/>
  <c r="AD487" i="43" s="1"/>
  <c r="E22" i="43"/>
  <c r="O22" i="43" s="1"/>
  <c r="I1099" i="43"/>
  <c r="E781" i="43"/>
  <c r="K781" i="43" s="1"/>
  <c r="AD781" i="43" s="1"/>
  <c r="E254" i="43"/>
  <c r="K254" i="43" s="1"/>
  <c r="AD254" i="43" s="1"/>
  <c r="M1131" i="43"/>
  <c r="T1131" i="43" s="1"/>
  <c r="E233" i="43"/>
  <c r="K233" i="43" s="1"/>
  <c r="AD233" i="43" s="1"/>
  <c r="B16" i="39"/>
  <c r="B16" i="48"/>
  <c r="E16" i="48" s="1"/>
  <c r="B12" i="39"/>
  <c r="B12" i="48"/>
  <c r="E12" i="48" s="1"/>
  <c r="H15" i="48"/>
  <c r="E15" i="48"/>
  <c r="G51" i="42"/>
  <c r="E699" i="43"/>
  <c r="O12" i="43"/>
  <c r="E63" i="43"/>
  <c r="K63" i="43" s="1"/>
  <c r="AD63" i="43" s="1"/>
  <c r="W20" i="43"/>
  <c r="E14" i="48"/>
  <c r="H14" i="48"/>
  <c r="E782" i="43"/>
  <c r="O82" i="43"/>
  <c r="C13" i="48"/>
  <c r="C13" i="39"/>
  <c r="I1168" i="43"/>
  <c r="I1172" i="43" s="1"/>
  <c r="E827" i="43"/>
  <c r="K827" i="43" s="1"/>
  <c r="AD827" i="43" s="1"/>
  <c r="I872" i="43"/>
  <c r="I882" i="43" s="1"/>
  <c r="E623" i="43"/>
  <c r="K623" i="43" s="1"/>
  <c r="AD623" i="43" s="1"/>
  <c r="E150" i="43"/>
  <c r="E152" i="43" s="1"/>
  <c r="E258" i="43"/>
  <c r="K258" i="43" s="1"/>
  <c r="AD258" i="43" s="1"/>
  <c r="K32" i="43"/>
  <c r="E790" i="43"/>
  <c r="E485" i="43"/>
  <c r="K485" i="43" s="1"/>
  <c r="AD485" i="43" s="1"/>
  <c r="S42" i="42"/>
  <c r="C17" i="48"/>
  <c r="C17" i="39"/>
  <c r="E22" i="48"/>
  <c r="H22" i="48"/>
  <c r="T1127" i="43"/>
  <c r="M1105" i="43"/>
  <c r="T1105" i="43" s="1"/>
  <c r="O55" i="42"/>
  <c r="C1127" i="43"/>
  <c r="I1127" i="43" s="1"/>
  <c r="I1083" i="43" s="1"/>
  <c r="I459" i="43"/>
  <c r="E192" i="43"/>
  <c r="K192" i="43" s="1"/>
  <c r="AD192" i="43" s="1"/>
  <c r="E151" i="43"/>
  <c r="E1011" i="43"/>
  <c r="K1011" i="43" s="1"/>
  <c r="AD1011" i="43" s="1"/>
  <c r="E1019" i="43"/>
  <c r="E1013" i="43"/>
  <c r="E1016" i="43"/>
  <c r="E1042" i="43"/>
  <c r="M1109" i="43"/>
  <c r="T1109" i="43" s="1"/>
  <c r="E1039" i="43"/>
  <c r="E1041" i="43" s="1"/>
  <c r="K1041" i="43" s="1"/>
  <c r="K408" i="43"/>
  <c r="AD408" i="43" s="1"/>
  <c r="K949" i="43"/>
  <c r="E908" i="43"/>
  <c r="E847" i="43" s="1"/>
  <c r="K847" i="43" s="1"/>
  <c r="AD847" i="43" s="1"/>
  <c r="E911" i="43"/>
  <c r="I1072" i="43"/>
  <c r="I1074" i="43" s="1"/>
  <c r="I537" i="43"/>
  <c r="V37" i="43"/>
  <c r="K36" i="43"/>
  <c r="AD36" i="43" s="1"/>
  <c r="E816" i="43"/>
  <c r="K816" i="43" s="1"/>
  <c r="E803" i="43"/>
  <c r="K803" i="43" s="1"/>
  <c r="AD803" i="43" s="1"/>
  <c r="I1065" i="43"/>
  <c r="C1144" i="43"/>
  <c r="I1144" i="43" s="1"/>
  <c r="K962" i="43"/>
  <c r="AD962" i="43" s="1"/>
  <c r="E933" i="43"/>
  <c r="K933" i="43" s="1"/>
  <c r="AD933" i="43" s="1"/>
  <c r="I447" i="43"/>
  <c r="E499" i="43"/>
  <c r="I419" i="43"/>
  <c r="I423" i="43" s="1"/>
  <c r="I339" i="43"/>
  <c r="I343" i="43" s="1"/>
  <c r="I187" i="43"/>
  <c r="E215" i="43"/>
  <c r="K215" i="43" s="1"/>
  <c r="AD215" i="43" s="1"/>
  <c r="E191" i="43"/>
  <c r="O172" i="43"/>
  <c r="V35" i="43"/>
  <c r="E498" i="43"/>
  <c r="K498" i="43" s="1"/>
  <c r="AD498" i="43" s="1"/>
  <c r="E253" i="43"/>
  <c r="K253" i="43" s="1"/>
  <c r="AD253" i="43" s="1"/>
  <c r="K69" i="42"/>
  <c r="K70" i="42"/>
  <c r="E26" i="43"/>
  <c r="I1154" i="43"/>
  <c r="K1040" i="43"/>
  <c r="AD1040" i="43" s="1"/>
  <c r="K742" i="43"/>
  <c r="AD742" i="43" s="1"/>
  <c r="I686" i="43"/>
  <c r="I688" i="43" s="1"/>
  <c r="E607" i="43"/>
  <c r="I797" i="43"/>
  <c r="I211" i="43"/>
  <c r="I736" i="43"/>
  <c r="E170" i="43"/>
  <c r="E140" i="43" s="1"/>
  <c r="E145" i="43" s="1"/>
  <c r="I175" i="43"/>
  <c r="K22" i="43"/>
  <c r="AD22" i="43" s="1"/>
  <c r="E1059" i="43"/>
  <c r="K1059" i="43" s="1"/>
  <c r="AD1059" i="43" s="1"/>
  <c r="E515" i="43"/>
  <c r="K515" i="43" s="1"/>
  <c r="AD515" i="43" s="1"/>
  <c r="I19" i="43"/>
  <c r="H18" i="34"/>
  <c r="H21" i="34"/>
  <c r="I1082" i="43"/>
  <c r="E853" i="43"/>
  <c r="K853" i="43" s="1"/>
  <c r="AD853" i="43" s="1"/>
  <c r="K975" i="43"/>
  <c r="AD975" i="43" s="1"/>
  <c r="I1004" i="43"/>
  <c r="E736" i="43"/>
  <c r="K734" i="43"/>
  <c r="AD734" i="43" s="1"/>
  <c r="AD888" i="43"/>
  <c r="K677" i="43"/>
  <c r="AD677" i="43" s="1"/>
  <c r="K604" i="43"/>
  <c r="AD604" i="43" s="1"/>
  <c r="K275" i="43"/>
  <c r="AD275" i="43" s="1"/>
  <c r="E235" i="43"/>
  <c r="K235" i="43" s="1"/>
  <c r="AD235" i="43" s="1"/>
  <c r="E219" i="43"/>
  <c r="K219" i="43" s="1"/>
  <c r="AD219" i="43" s="1"/>
  <c r="E169" i="43"/>
  <c r="K169" i="43" s="1"/>
  <c r="AD169" i="43" s="1"/>
  <c r="E167" i="43"/>
  <c r="K167" i="43" s="1"/>
  <c r="K618" i="43"/>
  <c r="AD618" i="43" s="1"/>
  <c r="E234" i="43"/>
  <c r="K234" i="43" s="1"/>
  <c r="AD234" i="43" s="1"/>
  <c r="K274" i="43"/>
  <c r="AD274" i="43" s="1"/>
  <c r="O96" i="43"/>
  <c r="T96" i="43"/>
  <c r="AD514" i="43"/>
  <c r="E227" i="43"/>
  <c r="E299" i="43"/>
  <c r="T42" i="43"/>
  <c r="O42" i="43"/>
  <c r="E777" i="43"/>
  <c r="K777" i="43" s="1"/>
  <c r="AD777" i="43" s="1"/>
  <c r="K790" i="43"/>
  <c r="AD790" i="43" s="1"/>
  <c r="I662" i="43"/>
  <c r="I664" i="43" s="1"/>
  <c r="M1115" i="43"/>
  <c r="T1137" i="43"/>
  <c r="O1137" i="43"/>
  <c r="C1107" i="43"/>
  <c r="C1129" i="43" s="1"/>
  <c r="C1130" i="43"/>
  <c r="I1130" i="43" s="1"/>
  <c r="I1086" i="43" s="1"/>
  <c r="E984" i="43"/>
  <c r="E1099" i="43"/>
  <c r="E1095" i="43"/>
  <c r="E1096" i="43"/>
  <c r="E978" i="43"/>
  <c r="I987" i="43"/>
  <c r="I1006" i="43" s="1"/>
  <c r="I1109" i="43"/>
  <c r="C1131" i="43"/>
  <c r="I1131" i="43" s="1"/>
  <c r="I865" i="43"/>
  <c r="T808" i="43"/>
  <c r="O808" i="43"/>
  <c r="K658" i="43"/>
  <c r="AD658" i="43" s="1"/>
  <c r="K580" i="43"/>
  <c r="AD580" i="43" s="1"/>
  <c r="I784" i="43"/>
  <c r="K669" i="43"/>
  <c r="AD669" i="43" s="1"/>
  <c r="E419" i="43"/>
  <c r="AD752" i="43"/>
  <c r="K754" i="43"/>
  <c r="AD754" i="43" s="1"/>
  <c r="K641" i="43"/>
  <c r="AD641" i="43" s="1"/>
  <c r="K499" i="43"/>
  <c r="AD499" i="43" s="1"/>
  <c r="I130" i="43"/>
  <c r="E66" i="43"/>
  <c r="E59" i="43"/>
  <c r="O59" i="43" s="1"/>
  <c r="E58" i="43"/>
  <c r="E57" i="43"/>
  <c r="K218" i="43"/>
  <c r="AD218" i="43" s="1"/>
  <c r="M65" i="43"/>
  <c r="M43" i="43"/>
  <c r="O23" i="43"/>
  <c r="T23" i="43"/>
  <c r="M36" i="43"/>
  <c r="M58" i="43"/>
  <c r="T16" i="43"/>
  <c r="E153" i="43"/>
  <c r="E134" i="43"/>
  <c r="K679" i="43"/>
  <c r="AD679" i="43" s="1"/>
  <c r="T1126" i="43"/>
  <c r="M1104" i="43"/>
  <c r="O1126" i="43"/>
  <c r="AD1115" i="43"/>
  <c r="K1093" i="43"/>
  <c r="AD1093" i="43" s="1"/>
  <c r="E1098" i="43"/>
  <c r="I1095" i="43"/>
  <c r="E1088" i="43"/>
  <c r="E1132" i="43" s="1"/>
  <c r="O1157" i="43"/>
  <c r="O1159" i="43" s="1"/>
  <c r="O1163" i="43" s="1"/>
  <c r="E1148" i="43"/>
  <c r="E1159" i="43"/>
  <c r="K1157" i="43"/>
  <c r="I1092" i="43"/>
  <c r="E1091" i="43"/>
  <c r="E1135" i="43" s="1"/>
  <c r="E999" i="43"/>
  <c r="K999" i="43" s="1"/>
  <c r="AD999" i="43" s="1"/>
  <c r="AD1051" i="43"/>
  <c r="E1149" i="43"/>
  <c r="E923" i="43"/>
  <c r="E920" i="43"/>
  <c r="E917" i="43"/>
  <c r="E941" i="43"/>
  <c r="E937" i="43"/>
  <c r="E897" i="43"/>
  <c r="E940" i="43"/>
  <c r="E910" i="43"/>
  <c r="E889" i="43"/>
  <c r="E942" i="43"/>
  <c r="E938" i="43"/>
  <c r="E915" i="43"/>
  <c r="E891" i="43"/>
  <c r="E931" i="43"/>
  <c r="E905" i="43"/>
  <c r="E932" i="43"/>
  <c r="E902" i="43"/>
  <c r="E939" i="43"/>
  <c r="E894" i="43"/>
  <c r="E907" i="43"/>
  <c r="AD949" i="43"/>
  <c r="E930" i="43"/>
  <c r="AD724" i="43"/>
  <c r="K649" i="43"/>
  <c r="AD649" i="43" s="1"/>
  <c r="I926" i="43"/>
  <c r="K810" i="43"/>
  <c r="AD810" i="43" s="1"/>
  <c r="K715" i="43"/>
  <c r="E934" i="43"/>
  <c r="E1083" i="43"/>
  <c r="O782" i="43"/>
  <c r="K782" i="43"/>
  <c r="AD782" i="43" s="1"/>
  <c r="E697" i="43"/>
  <c r="K706" i="43"/>
  <c r="K567" i="43"/>
  <c r="AD567" i="43" s="1"/>
  <c r="K577" i="43"/>
  <c r="AD577" i="43" s="1"/>
  <c r="K597" i="43"/>
  <c r="AD597" i="43" s="1"/>
  <c r="K583" i="43"/>
  <c r="AD583" i="43" s="1"/>
  <c r="I379" i="43"/>
  <c r="I383" i="43" s="1"/>
  <c r="E339" i="43"/>
  <c r="K309" i="43"/>
  <c r="AD309" i="43" s="1"/>
  <c r="T112" i="43"/>
  <c r="O112" i="43"/>
  <c r="E135" i="43"/>
  <c r="I943" i="43"/>
  <c r="K661" i="43"/>
  <c r="AD661" i="43" s="1"/>
  <c r="I607" i="43"/>
  <c r="I611" i="43" s="1"/>
  <c r="K418" i="43"/>
  <c r="AD418" i="43" s="1"/>
  <c r="E242" i="43"/>
  <c r="K242" i="43" s="1"/>
  <c r="AD242" i="43" s="1"/>
  <c r="K282" i="43"/>
  <c r="AD282" i="43" s="1"/>
  <c r="E237" i="43"/>
  <c r="K237" i="43" s="1"/>
  <c r="AD237" i="43" s="1"/>
  <c r="K277" i="43"/>
  <c r="AD277" i="43" s="1"/>
  <c r="C137" i="43"/>
  <c r="I137" i="43" s="1"/>
  <c r="I152" i="43"/>
  <c r="I160" i="43" s="1"/>
  <c r="E500" i="43"/>
  <c r="K500" i="43" s="1"/>
  <c r="AD500" i="43" s="1"/>
  <c r="E451" i="43"/>
  <c r="K451" i="43" s="1"/>
  <c r="E455" i="43"/>
  <c r="E452" i="43"/>
  <c r="K452" i="43" s="1"/>
  <c r="AD452" i="43" s="1"/>
  <c r="K191" i="43"/>
  <c r="C78" i="43"/>
  <c r="I78" i="43" s="1"/>
  <c r="I108" i="43"/>
  <c r="I115" i="43" s="1"/>
  <c r="AD52" i="43"/>
  <c r="E33" i="43"/>
  <c r="K33" i="43" s="1"/>
  <c r="AD33" i="43" s="1"/>
  <c r="I33" i="43"/>
  <c r="I48" i="43" s="1"/>
  <c r="AD73" i="43"/>
  <c r="C77" i="43"/>
  <c r="I77" i="43" s="1"/>
  <c r="I92" i="43"/>
  <c r="I100" i="43" s="1"/>
  <c r="V61" i="43"/>
  <c r="K61" i="43"/>
  <c r="AD61" i="43" s="1"/>
  <c r="O53" i="43"/>
  <c r="T53" i="43"/>
  <c r="K478" i="43"/>
  <c r="AD478" i="43" s="1"/>
  <c r="C28" i="43"/>
  <c r="W17" i="43"/>
  <c r="W15" i="43"/>
  <c r="W16" i="43"/>
  <c r="I15" i="43"/>
  <c r="E25" i="43"/>
  <c r="T59" i="43"/>
  <c r="K633" i="43"/>
  <c r="E453" i="43"/>
  <c r="K453" i="43" s="1"/>
  <c r="AD453" i="43" s="1"/>
  <c r="E1108" i="43"/>
  <c r="E1130" i="43" s="1"/>
  <c r="E996" i="43"/>
  <c r="K996" i="43" s="1"/>
  <c r="AD996" i="43" s="1"/>
  <c r="E995" i="43"/>
  <c r="K995" i="43" s="1"/>
  <c r="AD995" i="43" s="1"/>
  <c r="E994" i="43"/>
  <c r="E993" i="43"/>
  <c r="K993" i="43" s="1"/>
  <c r="AD993" i="43" s="1"/>
  <c r="E992" i="43"/>
  <c r="K992" i="43" s="1"/>
  <c r="AD992" i="43" s="1"/>
  <c r="E991" i="43"/>
  <c r="K991" i="43" s="1"/>
  <c r="AD991" i="43" s="1"/>
  <c r="E990" i="43"/>
  <c r="K990" i="43" s="1"/>
  <c r="E963" i="43"/>
  <c r="K963" i="43" s="1"/>
  <c r="AD963" i="43" s="1"/>
  <c r="E958" i="43"/>
  <c r="E1001" i="43"/>
  <c r="K1001" i="43" s="1"/>
  <c r="AD1001" i="43" s="1"/>
  <c r="E971" i="43"/>
  <c r="E955" i="43"/>
  <c r="E968" i="43"/>
  <c r="E950" i="43"/>
  <c r="K950" i="43" s="1"/>
  <c r="AD950" i="43" s="1"/>
  <c r="E979" i="43"/>
  <c r="E952" i="43"/>
  <c r="E1002" i="43"/>
  <c r="K1002" i="43" s="1"/>
  <c r="AD1002" i="43" s="1"/>
  <c r="E965" i="43"/>
  <c r="E981" i="43"/>
  <c r="AD788" i="43"/>
  <c r="E760" i="43"/>
  <c r="K760" i="43" s="1"/>
  <c r="AD760" i="43" s="1"/>
  <c r="K675" i="43"/>
  <c r="AD675" i="43" s="1"/>
  <c r="T795" i="43"/>
  <c r="O795" i="43"/>
  <c r="K599" i="43"/>
  <c r="AD599" i="43" s="1"/>
  <c r="K574" i="43"/>
  <c r="AD574" i="43" s="1"/>
  <c r="AD522" i="43"/>
  <c r="AD267" i="43"/>
  <c r="T97" i="43"/>
  <c r="O97" i="43"/>
  <c r="AD563" i="43"/>
  <c r="K929" i="43"/>
  <c r="O126" i="43"/>
  <c r="T126" i="43"/>
  <c r="K279" i="43"/>
  <c r="AD279" i="43" s="1"/>
  <c r="E239" i="43"/>
  <c r="K239" i="43" s="1"/>
  <c r="AD239" i="43" s="1"/>
  <c r="AD307" i="43"/>
  <c r="AD1136" i="43"/>
  <c r="K1092" i="43"/>
  <c r="AD1092" i="43" s="1"/>
  <c r="AD1074" i="43"/>
  <c r="R1074" i="43"/>
  <c r="K683" i="43"/>
  <c r="AD683" i="43" s="1"/>
  <c r="I823" i="43"/>
  <c r="K626" i="43"/>
  <c r="K699" i="43"/>
  <c r="AD699" i="43" s="1"/>
  <c r="K676" i="43"/>
  <c r="AD676" i="43" s="1"/>
  <c r="K573" i="43"/>
  <c r="AD573" i="43" s="1"/>
  <c r="C703" i="43"/>
  <c r="I701" i="43"/>
  <c r="I703" i="43" s="1"/>
  <c r="K685" i="43"/>
  <c r="AD685" i="43" s="1"/>
  <c r="C542" i="43"/>
  <c r="C543" i="43" s="1"/>
  <c r="I558" i="43"/>
  <c r="I542" i="43" s="1"/>
  <c r="C559" i="43"/>
  <c r="K476" i="43"/>
  <c r="AD476" i="43" s="1"/>
  <c r="E465" i="43"/>
  <c r="K465" i="43" s="1"/>
  <c r="AD465" i="43" s="1"/>
  <c r="I470" i="43"/>
  <c r="AD462" i="43"/>
  <c r="E625" i="43"/>
  <c r="E622" i="43"/>
  <c r="E616" i="43"/>
  <c r="E624" i="43"/>
  <c r="E620" i="43"/>
  <c r="K598" i="43"/>
  <c r="AD598" i="43" s="1"/>
  <c r="E142" i="43"/>
  <c r="K157" i="43"/>
  <c r="AD157" i="43" s="1"/>
  <c r="O64" i="43"/>
  <c r="T64" i="43"/>
  <c r="K523" i="43"/>
  <c r="AD523" i="43" s="1"/>
  <c r="E1168" i="43"/>
  <c r="O1166" i="43"/>
  <c r="O1168" i="43" s="1"/>
  <c r="O1172" i="43" s="1"/>
  <c r="K1166" i="43"/>
  <c r="M1134" i="43"/>
  <c r="AD1133" i="43"/>
  <c r="K1089" i="43"/>
  <c r="AD1089" i="43" s="1"/>
  <c r="K1167" i="43"/>
  <c r="AD1167" i="43" s="1"/>
  <c r="I1093" i="43"/>
  <c r="I1142" i="43"/>
  <c r="E1085" i="43"/>
  <c r="E976" i="43"/>
  <c r="K976" i="43" s="1"/>
  <c r="AD976" i="43" s="1"/>
  <c r="E1064" i="43"/>
  <c r="K1064" i="43" s="1"/>
  <c r="AD1064" i="43" s="1"/>
  <c r="I1100" i="43"/>
  <c r="AD1082" i="43"/>
  <c r="E904" i="43"/>
  <c r="I1048" i="43"/>
  <c r="E998" i="43"/>
  <c r="K998" i="43" s="1"/>
  <c r="AD998" i="43" s="1"/>
  <c r="I763" i="43"/>
  <c r="K671" i="43"/>
  <c r="AD671" i="43" s="1"/>
  <c r="K726" i="43"/>
  <c r="AD726" i="43" s="1"/>
  <c r="E703" i="43"/>
  <c r="K701" i="43"/>
  <c r="AD701" i="43" s="1"/>
  <c r="E619" i="43"/>
  <c r="E531" i="43"/>
  <c r="K531" i="43" s="1"/>
  <c r="AD531" i="43" s="1"/>
  <c r="K530" i="43"/>
  <c r="K672" i="43"/>
  <c r="AD672" i="43" s="1"/>
  <c r="AD774" i="43"/>
  <c r="K678" i="43"/>
  <c r="AD678" i="43" s="1"/>
  <c r="K684" i="43"/>
  <c r="AD684" i="43" s="1"/>
  <c r="K594" i="43"/>
  <c r="AD594" i="43" s="1"/>
  <c r="K588" i="43"/>
  <c r="AD588" i="43" s="1"/>
  <c r="K568" i="43"/>
  <c r="AD568" i="43" s="1"/>
  <c r="E524" i="43"/>
  <c r="E379" i="43"/>
  <c r="E249" i="43"/>
  <c r="K249" i="43" s="1"/>
  <c r="AD249" i="43" s="1"/>
  <c r="K289" i="43"/>
  <c r="AD289" i="43" s="1"/>
  <c r="K284" i="43"/>
  <c r="AD284" i="43" s="1"/>
  <c r="E244" i="43"/>
  <c r="K244" i="43" s="1"/>
  <c r="AD244" i="43" s="1"/>
  <c r="K601" i="43"/>
  <c r="AD601" i="43" s="1"/>
  <c r="E497" i="43"/>
  <c r="K497" i="43" s="1"/>
  <c r="AD497" i="43" s="1"/>
  <c r="E496" i="43"/>
  <c r="K496" i="43" s="1"/>
  <c r="K748" i="43"/>
  <c r="AD748" i="43" s="1"/>
  <c r="AD745" i="43"/>
  <c r="E456" i="43"/>
  <c r="K456" i="43" s="1"/>
  <c r="AD456" i="43" s="1"/>
  <c r="E430" i="43"/>
  <c r="K430" i="43" s="1"/>
  <c r="AD430" i="43" s="1"/>
  <c r="K442" i="43"/>
  <c r="AD442" i="43" s="1"/>
  <c r="T19" i="43"/>
  <c r="M61" i="43"/>
  <c r="M39" i="43"/>
  <c r="K98" i="43"/>
  <c r="AD98" i="43" s="1"/>
  <c r="V62" i="43"/>
  <c r="K62" i="43"/>
  <c r="AD62" i="43" s="1"/>
  <c r="K517" i="43"/>
  <c r="AD517" i="43" s="1"/>
  <c r="K566" i="43"/>
  <c r="AD566" i="43" s="1"/>
  <c r="AD426" i="43"/>
  <c r="E257" i="43"/>
  <c r="K257" i="43" s="1"/>
  <c r="AD257" i="43" s="1"/>
  <c r="E229" i="43"/>
  <c r="K229" i="43" s="1"/>
  <c r="AD229" i="43" s="1"/>
  <c r="E207" i="43"/>
  <c r="K207" i="43" s="1"/>
  <c r="AD207" i="43" s="1"/>
  <c r="I199" i="43"/>
  <c r="T127" i="43"/>
  <c r="O127" i="43"/>
  <c r="K650" i="43"/>
  <c r="AD650" i="43" s="1"/>
  <c r="K638" i="43"/>
  <c r="AD638" i="43" s="1"/>
  <c r="K606" i="43"/>
  <c r="AD606" i="43" s="1"/>
  <c r="K582" i="43"/>
  <c r="AD582" i="43" s="1"/>
  <c r="I492" i="43"/>
  <c r="K441" i="43"/>
  <c r="AD441" i="43" s="1"/>
  <c r="O141" i="43"/>
  <c r="T141" i="43"/>
  <c r="C85" i="43"/>
  <c r="E90" i="43"/>
  <c r="K733" i="43"/>
  <c r="AD546" i="43"/>
  <c r="I519" i="43"/>
  <c r="K575" i="43"/>
  <c r="AD575" i="43" s="1"/>
  <c r="C435" i="43"/>
  <c r="E443" i="43"/>
  <c r="E439" i="43"/>
  <c r="C259" i="43"/>
  <c r="I227" i="43"/>
  <c r="I259" i="43" s="1"/>
  <c r="I263" i="43" s="1"/>
  <c r="AD88" i="43"/>
  <c r="M178" i="43"/>
  <c r="M83" i="43"/>
  <c r="R78" i="43"/>
  <c r="M148" i="43"/>
  <c r="T73" i="43"/>
  <c r="M163" i="43"/>
  <c r="M118" i="43"/>
  <c r="M103" i="43"/>
  <c r="M88" i="43"/>
  <c r="O73" i="43"/>
  <c r="M133" i="43"/>
  <c r="K297" i="43"/>
  <c r="AD297" i="43" s="1"/>
  <c r="E216" i="43"/>
  <c r="K216" i="43" s="1"/>
  <c r="AD103" i="43"/>
  <c r="I70" i="43"/>
  <c r="AD133" i="43"/>
  <c r="E89" i="43"/>
  <c r="T33" i="43"/>
  <c r="K389" i="43"/>
  <c r="AD389" i="43" s="1"/>
  <c r="E136" i="43"/>
  <c r="K136" i="43" s="1"/>
  <c r="AD136" i="43" s="1"/>
  <c r="K151" i="43"/>
  <c r="W40" i="43"/>
  <c r="W39" i="43"/>
  <c r="C48" i="43"/>
  <c r="T37" i="43"/>
  <c r="O37" i="43"/>
  <c r="I627" i="43"/>
  <c r="E91" i="43"/>
  <c r="M152" i="43"/>
  <c r="M167" i="43"/>
  <c r="T77" i="43"/>
  <c r="M137" i="43"/>
  <c r="M92" i="43"/>
  <c r="M122" i="43"/>
  <c r="M107" i="43"/>
  <c r="E440" i="43"/>
  <c r="K276" i="43"/>
  <c r="AD276" i="43" s="1"/>
  <c r="E236" i="43"/>
  <c r="K236" i="43" s="1"/>
  <c r="AD236" i="43" s="1"/>
  <c r="K269" i="43"/>
  <c r="AD269" i="43" s="1"/>
  <c r="E108" i="43"/>
  <c r="K108" i="43" s="1"/>
  <c r="AD108" i="43" s="1"/>
  <c r="E107" i="43"/>
  <c r="K107" i="43" s="1"/>
  <c r="AD107" i="43" s="1"/>
  <c r="AD12" i="43"/>
  <c r="AD1126" i="43"/>
  <c r="I1089" i="43"/>
  <c r="C1123" i="43"/>
  <c r="R1181" i="43"/>
  <c r="T1108" i="43"/>
  <c r="M1114" i="43"/>
  <c r="T1136" i="43"/>
  <c r="O1136" i="43"/>
  <c r="O1078" i="43"/>
  <c r="O1079" i="43" s="1"/>
  <c r="AD1078" i="43"/>
  <c r="K1079" i="43"/>
  <c r="AD1079" i="43" s="1"/>
  <c r="I1120" i="43"/>
  <c r="K707" i="43"/>
  <c r="AD707" i="43" s="1"/>
  <c r="E698" i="43"/>
  <c r="K680" i="43"/>
  <c r="AD680" i="43" s="1"/>
  <c r="K668" i="43"/>
  <c r="AD1010" i="43"/>
  <c r="T821" i="43"/>
  <c r="O821" i="43"/>
  <c r="K602" i="43"/>
  <c r="AD602" i="43" s="1"/>
  <c r="K653" i="43"/>
  <c r="AD653" i="43" s="1"/>
  <c r="K586" i="43"/>
  <c r="AD586" i="43" s="1"/>
  <c r="K673" i="43"/>
  <c r="AD673" i="43" s="1"/>
  <c r="K646" i="43"/>
  <c r="AD646" i="43" s="1"/>
  <c r="K587" i="43"/>
  <c r="AD587" i="43" s="1"/>
  <c r="K591" i="43"/>
  <c r="AD591" i="43" s="1"/>
  <c r="I541" i="43"/>
  <c r="I527" i="43"/>
  <c r="I481" i="43"/>
  <c r="I435" i="43"/>
  <c r="K292" i="43"/>
  <c r="AD292" i="43" s="1"/>
  <c r="E252" i="43"/>
  <c r="K252" i="43" s="1"/>
  <c r="AD252" i="43" s="1"/>
  <c r="E246" i="43"/>
  <c r="K246" i="43" s="1"/>
  <c r="AD246" i="43" s="1"/>
  <c r="E182" i="43"/>
  <c r="E195" i="43"/>
  <c r="C187" i="43"/>
  <c r="E143" i="43"/>
  <c r="K143" i="43" s="1"/>
  <c r="AD143" i="43" s="1"/>
  <c r="K158" i="43"/>
  <c r="AD158" i="43" s="1"/>
  <c r="K682" i="43"/>
  <c r="AD682" i="43" s="1"/>
  <c r="E251" i="43"/>
  <c r="K251" i="43" s="1"/>
  <c r="AD251" i="43" s="1"/>
  <c r="K291" i="43"/>
  <c r="AD291" i="43" s="1"/>
  <c r="K280" i="43"/>
  <c r="AD280" i="43" s="1"/>
  <c r="E240" i="43"/>
  <c r="K240" i="43" s="1"/>
  <c r="AD240" i="43" s="1"/>
  <c r="E232" i="43"/>
  <c r="K232" i="43" s="1"/>
  <c r="AD232" i="43" s="1"/>
  <c r="K272" i="43"/>
  <c r="AD272" i="43" s="1"/>
  <c r="I299" i="43"/>
  <c r="I303" i="43" s="1"/>
  <c r="E181" i="43"/>
  <c r="K181" i="43" s="1"/>
  <c r="AD181" i="43" s="1"/>
  <c r="C138" i="43"/>
  <c r="I138" i="43" s="1"/>
  <c r="O111" i="43"/>
  <c r="T111" i="43"/>
  <c r="I553" i="43"/>
  <c r="I559" i="43" s="1"/>
  <c r="K569" i="43"/>
  <c r="AD569" i="43" s="1"/>
  <c r="E463" i="43"/>
  <c r="K463" i="43" s="1"/>
  <c r="AD463" i="43" s="1"/>
  <c r="K286" i="43"/>
  <c r="AD286" i="43" s="1"/>
  <c r="O21" i="43"/>
  <c r="AD118" i="43"/>
  <c r="T63" i="43"/>
  <c r="O63" i="43"/>
  <c r="E203" i="43"/>
  <c r="K203" i="43" s="1"/>
  <c r="AD32" i="43"/>
  <c r="E775" i="43"/>
  <c r="K775" i="43" s="1"/>
  <c r="AD775" i="43" s="1"/>
  <c r="E204" i="43"/>
  <c r="K204" i="43" s="1"/>
  <c r="AD204" i="43" s="1"/>
  <c r="E123" i="43"/>
  <c r="K123" i="43" s="1"/>
  <c r="AD123" i="43" s="1"/>
  <c r="E122" i="43"/>
  <c r="K122" i="43" s="1"/>
  <c r="AD122" i="43" s="1"/>
  <c r="T55" i="43"/>
  <c r="E46" i="43"/>
  <c r="M35" i="43"/>
  <c r="T15" i="43"/>
  <c r="M57" i="43"/>
  <c r="Z20" i="43"/>
  <c r="E477" i="43"/>
  <c r="E475" i="43"/>
  <c r="K419" i="43"/>
  <c r="AD387" i="43"/>
  <c r="K379" i="43"/>
  <c r="AD347" i="43"/>
  <c r="R47" i="43"/>
  <c r="Y15" i="43" s="1"/>
  <c r="M35" i="42"/>
  <c r="V41" i="42"/>
  <c r="O46" i="42"/>
  <c r="G50" i="42"/>
  <c r="I12" i="42"/>
  <c r="K12" i="42"/>
  <c r="S44" i="42"/>
  <c r="U44" i="42"/>
  <c r="U41" i="42"/>
  <c r="S41" i="42"/>
  <c r="M43" i="42"/>
  <c r="I50" i="42"/>
  <c r="A18" i="42"/>
  <c r="M45" i="42"/>
  <c r="C19" i="48" s="1"/>
  <c r="K51" i="42"/>
  <c r="K49" i="42"/>
  <c r="K50" i="42" s="1"/>
  <c r="O54" i="42" s="1"/>
  <c r="E759" i="43" l="1"/>
  <c r="K759" i="43" s="1"/>
  <c r="I771" i="43"/>
  <c r="E868" i="43"/>
  <c r="K868" i="43" s="1"/>
  <c r="AD868" i="43" s="1"/>
  <c r="E490" i="43"/>
  <c r="K490" i="43" s="1"/>
  <c r="AD490" i="43" s="1"/>
  <c r="I543" i="43"/>
  <c r="E872" i="43"/>
  <c r="M46" i="42"/>
  <c r="C18" i="48"/>
  <c r="C18" i="39"/>
  <c r="E429" i="43"/>
  <c r="K429" i="43" s="1"/>
  <c r="AD429" i="43" s="1"/>
  <c r="I1067" i="43"/>
  <c r="K908" i="43"/>
  <c r="AD908" i="43" s="1"/>
  <c r="I28" i="43"/>
  <c r="I85" i="43"/>
  <c r="E154" i="43"/>
  <c r="K154" i="43" s="1"/>
  <c r="AD154" i="43" s="1"/>
  <c r="E856" i="43"/>
  <c r="E41" i="43"/>
  <c r="I67" i="42" s="1"/>
  <c r="E467" i="43"/>
  <c r="K467" i="43" s="1"/>
  <c r="AD467" i="43" s="1"/>
  <c r="C19" i="39"/>
  <c r="I1098" i="43"/>
  <c r="O33" i="43"/>
  <c r="R18" i="43" s="1"/>
  <c r="AD1041" i="43"/>
  <c r="K1048" i="43"/>
  <c r="E180" i="43"/>
  <c r="K180" i="43" s="1"/>
  <c r="AD180" i="43" s="1"/>
  <c r="I945" i="43"/>
  <c r="E980" i="43"/>
  <c r="I1145" i="43"/>
  <c r="E19" i="43"/>
  <c r="E20" i="43"/>
  <c r="AD816" i="43"/>
  <c r="K823" i="43"/>
  <c r="AD823" i="43" s="1"/>
  <c r="I68" i="42"/>
  <c r="I69" i="42"/>
  <c r="E761" i="43"/>
  <c r="K761" i="43" s="1"/>
  <c r="AD761" i="43" s="1"/>
  <c r="I145" i="43"/>
  <c r="I1087" i="43"/>
  <c r="I1101" i="43" s="1"/>
  <c r="K72" i="42"/>
  <c r="K71" i="42"/>
  <c r="E850" i="43"/>
  <c r="K850" i="43" s="1"/>
  <c r="AD850" i="43" s="1"/>
  <c r="K911" i="43"/>
  <c r="AD911" i="43" s="1"/>
  <c r="E209" i="43"/>
  <c r="K209" i="43" s="1"/>
  <c r="AD209" i="43" s="1"/>
  <c r="E539" i="43"/>
  <c r="K539" i="43" s="1"/>
  <c r="E543" i="43"/>
  <c r="E537" i="43" s="1"/>
  <c r="I884" i="43"/>
  <c r="E507" i="43"/>
  <c r="K507" i="43" s="1"/>
  <c r="AD507" i="43" s="1"/>
  <c r="C1145" i="43"/>
  <c r="I23" i="34"/>
  <c r="J23" i="34" s="1"/>
  <c r="H22" i="34"/>
  <c r="O1130" i="43"/>
  <c r="K1130" i="43"/>
  <c r="AD1130" i="43" s="1"/>
  <c r="E559" i="43"/>
  <c r="E534" i="43"/>
  <c r="K534" i="43" s="1"/>
  <c r="AD534" i="43" s="1"/>
  <c r="O41" i="43"/>
  <c r="E183" i="43"/>
  <c r="K183" i="43" s="1"/>
  <c r="AD183" i="43" s="1"/>
  <c r="K195" i="43"/>
  <c r="AD195" i="43" s="1"/>
  <c r="E94" i="43"/>
  <c r="E75" i="43"/>
  <c r="AD539" i="43"/>
  <c r="E1087" i="43"/>
  <c r="AD1166" i="43"/>
  <c r="K1168" i="43"/>
  <c r="K624" i="43"/>
  <c r="AD624" i="43" s="1"/>
  <c r="E873" i="43"/>
  <c r="K873" i="43" s="1"/>
  <c r="AD873" i="43" s="1"/>
  <c r="K934" i="43"/>
  <c r="AD934" i="43" s="1"/>
  <c r="E871" i="43"/>
  <c r="K871" i="43" s="1"/>
  <c r="AD871" i="43" s="1"/>
  <c r="K932" i="43"/>
  <c r="AD932" i="43" s="1"/>
  <c r="K915" i="43"/>
  <c r="AD915" i="43" s="1"/>
  <c r="E854" i="43"/>
  <c r="K854" i="43" s="1"/>
  <c r="AD854" i="43" s="1"/>
  <c r="K941" i="43"/>
  <c r="AD941" i="43" s="1"/>
  <c r="E880" i="43"/>
  <c r="K880" i="43" s="1"/>
  <c r="AD880" i="43" s="1"/>
  <c r="O1149" i="43"/>
  <c r="K1149" i="43"/>
  <c r="AD1149" i="43" s="1"/>
  <c r="E1120" i="43"/>
  <c r="E1142" i="43" s="1"/>
  <c r="E1100" i="43"/>
  <c r="E1121" i="43"/>
  <c r="K1121" i="43" s="1"/>
  <c r="E39" i="43"/>
  <c r="O39" i="43" s="1"/>
  <c r="E40" i="43"/>
  <c r="E44" i="43"/>
  <c r="K182" i="43"/>
  <c r="AD182" i="43" s="1"/>
  <c r="K698" i="43"/>
  <c r="AD698" i="43" s="1"/>
  <c r="E428" i="43"/>
  <c r="K428" i="43" s="1"/>
  <c r="AD428" i="43" s="1"/>
  <c r="K440" i="43"/>
  <c r="AD440" i="43" s="1"/>
  <c r="O152" i="43"/>
  <c r="T152" i="43"/>
  <c r="AD216" i="43"/>
  <c r="O88" i="43"/>
  <c r="T88" i="43"/>
  <c r="M202" i="43"/>
  <c r="M190" i="43"/>
  <c r="T178" i="43"/>
  <c r="M214" i="43"/>
  <c r="O178" i="43"/>
  <c r="K616" i="43"/>
  <c r="E139" i="43"/>
  <c r="K139" i="43" s="1"/>
  <c r="AD139" i="43" s="1"/>
  <c r="K721" i="43"/>
  <c r="AD721" i="43" s="1"/>
  <c r="AD715" i="43"/>
  <c r="E869" i="43"/>
  <c r="K869" i="43" s="1"/>
  <c r="AD869" i="43" s="1"/>
  <c r="K930" i="43"/>
  <c r="AD930" i="43" s="1"/>
  <c r="K905" i="43"/>
  <c r="AD905" i="43" s="1"/>
  <c r="E844" i="43"/>
  <c r="K844" i="43" s="1"/>
  <c r="AD844" i="43" s="1"/>
  <c r="E879" i="43"/>
  <c r="K879" i="43" s="1"/>
  <c r="AD879" i="43" s="1"/>
  <c r="K940" i="43"/>
  <c r="AD940" i="43" s="1"/>
  <c r="V57" i="43"/>
  <c r="K57" i="43"/>
  <c r="AD57" i="43" s="1"/>
  <c r="E56" i="43"/>
  <c r="E55" i="43"/>
  <c r="R69" i="43"/>
  <c r="Y14" i="43" s="1"/>
  <c r="E259" i="43"/>
  <c r="K227" i="43"/>
  <c r="E221" i="43"/>
  <c r="K221" i="43" s="1"/>
  <c r="AD221" i="43" s="1"/>
  <c r="K383" i="43"/>
  <c r="AD383" i="43" s="1"/>
  <c r="AD379" i="43"/>
  <c r="E466" i="43"/>
  <c r="K466" i="43" s="1"/>
  <c r="AD466" i="43" s="1"/>
  <c r="E479" i="43"/>
  <c r="K477" i="43"/>
  <c r="AD477" i="43" s="1"/>
  <c r="AD203" i="43"/>
  <c r="K686" i="43"/>
  <c r="AD668" i="43"/>
  <c r="O1114" i="43"/>
  <c r="O1092" i="43" s="1"/>
  <c r="T1114" i="43"/>
  <c r="T107" i="43"/>
  <c r="O107" i="43"/>
  <c r="T137" i="43"/>
  <c r="E76" i="43"/>
  <c r="K76" i="43" s="1"/>
  <c r="K91" i="43"/>
  <c r="E93" i="43"/>
  <c r="E74" i="43"/>
  <c r="E92" i="43"/>
  <c r="K115" i="43"/>
  <c r="AD115" i="43" s="1"/>
  <c r="T103" i="43"/>
  <c r="O103" i="43"/>
  <c r="O148" i="43"/>
  <c r="T148" i="43"/>
  <c r="E427" i="43"/>
  <c r="K427" i="43" s="1"/>
  <c r="K439" i="43"/>
  <c r="AD733" i="43"/>
  <c r="K736" i="43"/>
  <c r="T61" i="43"/>
  <c r="O61" i="43"/>
  <c r="E532" i="43"/>
  <c r="K532" i="43" s="1"/>
  <c r="AD532" i="43" s="1"/>
  <c r="K619" i="43"/>
  <c r="AD619" i="43" s="1"/>
  <c r="E906" i="43"/>
  <c r="E843" i="43"/>
  <c r="T1134" i="43"/>
  <c r="O1134" i="43"/>
  <c r="M1112" i="43"/>
  <c r="K622" i="43"/>
  <c r="AD622" i="43" s="1"/>
  <c r="O1073" i="43"/>
  <c r="O1070" i="43"/>
  <c r="O1071" i="43"/>
  <c r="O1072" i="43"/>
  <c r="K797" i="43"/>
  <c r="AD797" i="43" s="1"/>
  <c r="E857" i="43"/>
  <c r="K857" i="43" s="1"/>
  <c r="AD857" i="43" s="1"/>
  <c r="K979" i="43"/>
  <c r="AD979" i="43" s="1"/>
  <c r="AD990" i="43"/>
  <c r="E1003" i="43"/>
  <c r="K1003" i="43" s="1"/>
  <c r="AD1003" i="43" s="1"/>
  <c r="K994" i="43"/>
  <c r="AD994" i="43" s="1"/>
  <c r="K662" i="43"/>
  <c r="AD633" i="43"/>
  <c r="E16" i="43"/>
  <c r="E15" i="43"/>
  <c r="E24" i="43"/>
  <c r="E17" i="43"/>
  <c r="E179" i="43"/>
  <c r="K179" i="43" s="1"/>
  <c r="AD451" i="43"/>
  <c r="K697" i="43"/>
  <c r="E878" i="43"/>
  <c r="K878" i="43" s="1"/>
  <c r="AD878" i="43" s="1"/>
  <c r="K939" i="43"/>
  <c r="AD939" i="43" s="1"/>
  <c r="E870" i="43"/>
  <c r="K870" i="43" s="1"/>
  <c r="AD870" i="43" s="1"/>
  <c r="K931" i="43"/>
  <c r="AD931" i="43" s="1"/>
  <c r="K942" i="43"/>
  <c r="AD942" i="43" s="1"/>
  <c r="E836" i="43"/>
  <c r="E859" i="43"/>
  <c r="K1065" i="43"/>
  <c r="AD1065" i="43" s="1"/>
  <c r="K1159" i="43"/>
  <c r="AD1157" i="43"/>
  <c r="E138" i="43"/>
  <c r="K138" i="43" s="1"/>
  <c r="AD138" i="43" s="1"/>
  <c r="K153" i="43"/>
  <c r="AD153" i="43" s="1"/>
  <c r="T43" i="43"/>
  <c r="O43" i="43"/>
  <c r="V58" i="43"/>
  <c r="K58" i="43"/>
  <c r="AD58" i="43" s="1"/>
  <c r="E501" i="43"/>
  <c r="K501" i="43" s="1"/>
  <c r="AD501" i="43" s="1"/>
  <c r="E432" i="43"/>
  <c r="K432" i="43" s="1"/>
  <c r="AD432" i="43" s="1"/>
  <c r="E1118" i="43"/>
  <c r="K1118" i="43" s="1"/>
  <c r="O1115" i="43"/>
  <c r="O1093" i="43" s="1"/>
  <c r="T1115" i="43"/>
  <c r="K519" i="43"/>
  <c r="AD519" i="43" s="1"/>
  <c r="AD167" i="43"/>
  <c r="K175" i="43"/>
  <c r="AD175" i="43" s="1"/>
  <c r="E935" i="43"/>
  <c r="K423" i="43"/>
  <c r="AD423" i="43" s="1"/>
  <c r="AD419" i="43"/>
  <c r="AD1048" i="43"/>
  <c r="O167" i="43"/>
  <c r="T167" i="43"/>
  <c r="O163" i="43"/>
  <c r="T163" i="43"/>
  <c r="M173" i="43"/>
  <c r="M98" i="43"/>
  <c r="M158" i="43"/>
  <c r="T83" i="43"/>
  <c r="M143" i="43"/>
  <c r="O83" i="43"/>
  <c r="E909" i="43"/>
  <c r="E846" i="43"/>
  <c r="E912" i="43"/>
  <c r="E849" i="43"/>
  <c r="E1150" i="43"/>
  <c r="O1148" i="43"/>
  <c r="K1148" i="43"/>
  <c r="O1104" i="43"/>
  <c r="T1104" i="43"/>
  <c r="E464" i="43"/>
  <c r="K464" i="43" s="1"/>
  <c r="K475" i="43"/>
  <c r="O57" i="43"/>
  <c r="T57" i="43"/>
  <c r="K130" i="43"/>
  <c r="AD130" i="43" s="1"/>
  <c r="T92" i="43"/>
  <c r="O92" i="43"/>
  <c r="AD151" i="43"/>
  <c r="T39" i="43"/>
  <c r="AD496" i="43"/>
  <c r="K503" i="43"/>
  <c r="AD503" i="43" s="1"/>
  <c r="AD626" i="43"/>
  <c r="R627" i="43"/>
  <c r="K607" i="43"/>
  <c r="K299" i="43"/>
  <c r="E767" i="43"/>
  <c r="K767" i="43" s="1"/>
  <c r="AD767" i="43" s="1"/>
  <c r="E766" i="43"/>
  <c r="K766" i="43" s="1"/>
  <c r="K1108" i="43"/>
  <c r="E457" i="43"/>
  <c r="K457" i="43" s="1"/>
  <c r="AD457" i="43" s="1"/>
  <c r="K455" i="43"/>
  <c r="AD455" i="43" s="1"/>
  <c r="K712" i="43"/>
  <c r="AD712" i="43" s="1"/>
  <c r="AD706" i="43"/>
  <c r="E833" i="43"/>
  <c r="K938" i="43"/>
  <c r="AD938" i="43" s="1"/>
  <c r="E877" i="43"/>
  <c r="K877" i="43" s="1"/>
  <c r="AD877" i="43" s="1"/>
  <c r="K152" i="43"/>
  <c r="AD152" i="43" s="1"/>
  <c r="E137" i="43"/>
  <c r="K137" i="43" s="1"/>
  <c r="O58" i="43"/>
  <c r="T58" i="43"/>
  <c r="K980" i="43"/>
  <c r="AD980" i="43" s="1"/>
  <c r="E858" i="43"/>
  <c r="K858" i="43" s="1"/>
  <c r="AD858" i="43" s="1"/>
  <c r="K872" i="43"/>
  <c r="AD872" i="43" s="1"/>
  <c r="T35" i="43"/>
  <c r="O35" i="43"/>
  <c r="E197" i="43"/>
  <c r="R1079" i="43"/>
  <c r="O1108" i="43"/>
  <c r="T122" i="43"/>
  <c r="O122" i="43"/>
  <c r="I691" i="43"/>
  <c r="I694" i="43" s="1"/>
  <c r="I629" i="43"/>
  <c r="T133" i="43"/>
  <c r="O133" i="43"/>
  <c r="T118" i="43"/>
  <c r="O118" i="43"/>
  <c r="E445" i="43"/>
  <c r="E431" i="43"/>
  <c r="K431" i="43" s="1"/>
  <c r="AD431" i="43" s="1"/>
  <c r="K443" i="43"/>
  <c r="AD443" i="43" s="1"/>
  <c r="K524" i="43"/>
  <c r="AD524" i="43" s="1"/>
  <c r="E508" i="43"/>
  <c r="E525" i="43"/>
  <c r="K784" i="43"/>
  <c r="AD530" i="43"/>
  <c r="T1133" i="43"/>
  <c r="M1111" i="43"/>
  <c r="O1133" i="43"/>
  <c r="K142" i="43"/>
  <c r="AD142" i="43" s="1"/>
  <c r="O142" i="43"/>
  <c r="K620" i="43"/>
  <c r="AD620" i="43" s="1"/>
  <c r="K625" i="43"/>
  <c r="AD625" i="43" s="1"/>
  <c r="K339" i="43"/>
  <c r="AD929" i="43"/>
  <c r="AD759" i="43"/>
  <c r="K763" i="43"/>
  <c r="AD763" i="43" s="1"/>
  <c r="C1183" i="43"/>
  <c r="AD191" i="43"/>
  <c r="E1105" i="43"/>
  <c r="E1127" i="43" s="1"/>
  <c r="K730" i="43"/>
  <c r="AD730" i="43" s="1"/>
  <c r="E841" i="43"/>
  <c r="K841" i="43" s="1"/>
  <c r="AD841" i="43" s="1"/>
  <c r="K902" i="43"/>
  <c r="AD902" i="43" s="1"/>
  <c r="E830" i="43"/>
  <c r="E828" i="43"/>
  <c r="K828" i="43" s="1"/>
  <c r="K889" i="43"/>
  <c r="E876" i="43"/>
  <c r="K876" i="43" s="1"/>
  <c r="AD876" i="43" s="1"/>
  <c r="K937" i="43"/>
  <c r="AD937" i="43" s="1"/>
  <c r="E862" i="43"/>
  <c r="T36" i="43"/>
  <c r="O36" i="43"/>
  <c r="O65" i="43"/>
  <c r="T65" i="43"/>
  <c r="V59" i="43"/>
  <c r="K59" i="43"/>
  <c r="AD59" i="43" s="1"/>
  <c r="E1117" i="43"/>
  <c r="K1117" i="43" s="1"/>
  <c r="I1123" i="43"/>
  <c r="O12" i="42"/>
  <c r="Q13" i="42" s="1"/>
  <c r="M49" i="42"/>
  <c r="S46" i="42"/>
  <c r="Q46" i="42"/>
  <c r="O49" i="42"/>
  <c r="V46" i="42"/>
  <c r="U35" i="42"/>
  <c r="S35" i="42"/>
  <c r="U45" i="42"/>
  <c r="S45" i="42"/>
  <c r="O63" i="42"/>
  <c r="O60" i="42"/>
  <c r="O58" i="42"/>
  <c r="Q24" i="42" s="1"/>
  <c r="O24" i="42" s="1"/>
  <c r="O56" i="42"/>
  <c r="Q34" i="42"/>
  <c r="O34" i="42" s="1"/>
  <c r="O62" i="42"/>
  <c r="Q32" i="42" s="1"/>
  <c r="O32" i="42" s="1"/>
  <c r="O59" i="42"/>
  <c r="O57" i="42"/>
  <c r="M12" i="42"/>
  <c r="Q12" i="42"/>
  <c r="U43" i="42"/>
  <c r="S43" i="42"/>
  <c r="A20" i="42"/>
  <c r="A21" i="42" s="1"/>
  <c r="A22" i="42" s="1"/>
  <c r="K1067" i="43" l="1"/>
  <c r="AD1067" i="43" s="1"/>
  <c r="K41" i="43"/>
  <c r="AD41" i="43" s="1"/>
  <c r="I1183" i="43"/>
  <c r="E1143" i="43"/>
  <c r="K1143" i="43" s="1"/>
  <c r="AD1143" i="43" s="1"/>
  <c r="E533" i="43"/>
  <c r="K533" i="43" s="1"/>
  <c r="AD533" i="43" s="1"/>
  <c r="K492" i="43"/>
  <c r="AD492" i="43" s="1"/>
  <c r="U46" i="42"/>
  <c r="U49" i="42" s="1"/>
  <c r="O1150" i="43"/>
  <c r="O1154" i="43" s="1"/>
  <c r="K211" i="43"/>
  <c r="AD211" i="43" s="1"/>
  <c r="K987" i="43"/>
  <c r="O1086" i="43"/>
  <c r="K160" i="43"/>
  <c r="AD160" i="43" s="1"/>
  <c r="V20" i="43"/>
  <c r="K20" i="43"/>
  <c r="AD20" i="43" s="1"/>
  <c r="K19" i="43"/>
  <c r="AD19" i="43" s="1"/>
  <c r="R28" i="43"/>
  <c r="Z13" i="43" s="1"/>
  <c r="V19" i="43"/>
  <c r="O19" i="43"/>
  <c r="E1139" i="43"/>
  <c r="K1139" i="43" s="1"/>
  <c r="AD1139" i="43" s="1"/>
  <c r="E1140" i="43"/>
  <c r="K1140" i="43" s="1"/>
  <c r="AD1140" i="43" s="1"/>
  <c r="K223" i="43"/>
  <c r="AD223" i="43" s="1"/>
  <c r="K1142" i="43"/>
  <c r="AD1142" i="43" s="1"/>
  <c r="AD828" i="43"/>
  <c r="K343" i="43"/>
  <c r="AD343" i="43" s="1"/>
  <c r="AD339" i="43"/>
  <c r="K1150" i="43"/>
  <c r="AD1148" i="43"/>
  <c r="M128" i="43"/>
  <c r="M113" i="43"/>
  <c r="T98" i="43"/>
  <c r="O98" i="43"/>
  <c r="R27" i="43"/>
  <c r="Y13" i="43" s="1"/>
  <c r="R22" i="43"/>
  <c r="V15" i="43"/>
  <c r="K15" i="43"/>
  <c r="O15" i="43"/>
  <c r="AD427" i="43"/>
  <c r="E78" i="43"/>
  <c r="K78" i="43" s="1"/>
  <c r="AD78" i="43" s="1"/>
  <c r="K93" i="43"/>
  <c r="AD93" i="43" s="1"/>
  <c r="AD227" i="43"/>
  <c r="K259" i="43"/>
  <c r="E553" i="43"/>
  <c r="E550" i="43"/>
  <c r="K550" i="43" s="1"/>
  <c r="AD550" i="43" s="1"/>
  <c r="E549" i="43"/>
  <c r="K549" i="43" s="1"/>
  <c r="K525" i="43"/>
  <c r="E509" i="43"/>
  <c r="E511" i="43" s="1"/>
  <c r="E185" i="43"/>
  <c r="K197" i="43"/>
  <c r="AD607" i="43"/>
  <c r="K611" i="43"/>
  <c r="T143" i="43"/>
  <c r="O143" i="43"/>
  <c r="E874" i="43"/>
  <c r="K935" i="43"/>
  <c r="AD935" i="43" s="1"/>
  <c r="V16" i="43"/>
  <c r="K16" i="43"/>
  <c r="AD16" i="43" s="1"/>
  <c r="O16" i="43"/>
  <c r="V40" i="43"/>
  <c r="Y24" i="43"/>
  <c r="K40" i="43"/>
  <c r="AD40" i="43" s="1"/>
  <c r="K1127" i="43"/>
  <c r="O1127" i="43"/>
  <c r="K508" i="43"/>
  <c r="K445" i="43"/>
  <c r="AD445" i="43" s="1"/>
  <c r="E433" i="43"/>
  <c r="AD137" i="43"/>
  <c r="K145" i="43"/>
  <c r="AD145" i="43" s="1"/>
  <c r="E848" i="43"/>
  <c r="K848" i="43" s="1"/>
  <c r="AD848" i="43" s="1"/>
  <c r="K909" i="43"/>
  <c r="AD909" i="43" s="1"/>
  <c r="K1163" i="43"/>
  <c r="AD1159" i="43"/>
  <c r="E881" i="43"/>
  <c r="K881" i="43" s="1"/>
  <c r="AD881" i="43" s="1"/>
  <c r="V17" i="43"/>
  <c r="O17" i="43"/>
  <c r="K17" i="43"/>
  <c r="AD17" i="43" s="1"/>
  <c r="E77" i="43"/>
  <c r="K92" i="43"/>
  <c r="AD92" i="43" s="1"/>
  <c r="AD76" i="43"/>
  <c r="AD686" i="43"/>
  <c r="K688" i="43"/>
  <c r="AD688" i="43" s="1"/>
  <c r="E468" i="43"/>
  <c r="K468" i="43" s="1"/>
  <c r="AD468" i="43" s="1"/>
  <c r="K479" i="43"/>
  <c r="AD479" i="43" s="1"/>
  <c r="AD616" i="43"/>
  <c r="K627" i="43"/>
  <c r="T202" i="43"/>
  <c r="O202" i="43"/>
  <c r="V39" i="43"/>
  <c r="R48" i="43"/>
  <c r="Z15" i="43" s="1"/>
  <c r="K39" i="43"/>
  <c r="R23" i="43"/>
  <c r="E1109" i="43"/>
  <c r="E1131" i="43" s="1"/>
  <c r="E535" i="43"/>
  <c r="K535" i="43" s="1"/>
  <c r="AD535" i="43" s="1"/>
  <c r="AD987" i="43"/>
  <c r="T1111" i="43"/>
  <c r="O1111" i="43"/>
  <c r="O1089" i="43" s="1"/>
  <c r="AD784" i="43"/>
  <c r="R778" i="43"/>
  <c r="K303" i="43"/>
  <c r="AD303" i="43" s="1"/>
  <c r="AD299" i="43"/>
  <c r="AD475" i="43"/>
  <c r="E851" i="43"/>
  <c r="K851" i="43" s="1"/>
  <c r="AD851" i="43" s="1"/>
  <c r="K912" i="43"/>
  <c r="AD912" i="43" s="1"/>
  <c r="R779" i="43"/>
  <c r="K56" i="43"/>
  <c r="O56" i="43"/>
  <c r="AD1168" i="43"/>
  <c r="K1172" i="43"/>
  <c r="AD766" i="43"/>
  <c r="AD464" i="43"/>
  <c r="O173" i="43"/>
  <c r="T173" i="43"/>
  <c r="K703" i="43"/>
  <c r="AD697" i="43"/>
  <c r="AD179" i="43"/>
  <c r="AD736" i="43"/>
  <c r="R736" i="43"/>
  <c r="M733" i="43" s="1"/>
  <c r="AD91" i="43"/>
  <c r="T190" i="43"/>
  <c r="O190" i="43"/>
  <c r="E1122" i="43"/>
  <c r="K1122" i="43" s="1"/>
  <c r="AD1117" i="43"/>
  <c r="K1095" i="43"/>
  <c r="AD1095" i="43" s="1"/>
  <c r="AD889" i="43"/>
  <c r="O1105" i="43"/>
  <c r="K1105" i="43"/>
  <c r="AD1108" i="43"/>
  <c r="K1086" i="43"/>
  <c r="AD1086" i="43" s="1"/>
  <c r="E768" i="43"/>
  <c r="O1082" i="43"/>
  <c r="T158" i="43"/>
  <c r="O158" i="43"/>
  <c r="AD1118" i="43"/>
  <c r="K1096" i="43"/>
  <c r="AD1096" i="43" s="1"/>
  <c r="K459" i="43"/>
  <c r="AD459" i="43" s="1"/>
  <c r="AD662" i="43"/>
  <c r="K664" i="43"/>
  <c r="AD664" i="43" s="1"/>
  <c r="K1004" i="43"/>
  <c r="AD1004" i="43" s="1"/>
  <c r="O1074" i="43"/>
  <c r="R1070" i="43" s="1"/>
  <c r="O1112" i="43"/>
  <c r="O1090" i="43" s="1"/>
  <c r="T1112" i="43"/>
  <c r="E845" i="43"/>
  <c r="K845" i="43" s="1"/>
  <c r="AD845" i="43" s="1"/>
  <c r="K906" i="43"/>
  <c r="AD906" i="43" s="1"/>
  <c r="AD439" i="43"/>
  <c r="K447" i="43"/>
  <c r="AD447" i="43" s="1"/>
  <c r="O137" i="43"/>
  <c r="K55" i="43"/>
  <c r="O55" i="43"/>
  <c r="T214" i="43"/>
  <c r="O214" i="43"/>
  <c r="R185" i="43"/>
  <c r="AD1121" i="43"/>
  <c r="K1120" i="43"/>
  <c r="E79" i="43"/>
  <c r="K79" i="43" s="1"/>
  <c r="AD79" i="43" s="1"/>
  <c r="K94" i="43"/>
  <c r="AD94" i="43" s="1"/>
  <c r="E541" i="43"/>
  <c r="E540" i="43" s="1"/>
  <c r="K540" i="43" s="1"/>
  <c r="V34" i="42"/>
  <c r="M34" i="42"/>
  <c r="Q49" i="42"/>
  <c r="V49" i="42"/>
  <c r="Q21" i="42"/>
  <c r="O21" i="42" s="1"/>
  <c r="Q20" i="42"/>
  <c r="O20" i="42" s="1"/>
  <c r="Q22" i="42"/>
  <c r="O22" i="42" s="1"/>
  <c r="Q16" i="42"/>
  <c r="O16" i="42" s="1"/>
  <c r="Q15" i="42"/>
  <c r="O15" i="42" s="1"/>
  <c r="S13" i="42"/>
  <c r="O13" i="42"/>
  <c r="Q36" i="42"/>
  <c r="O36" i="42" s="1"/>
  <c r="Q25" i="42"/>
  <c r="O25" i="42" s="1"/>
  <c r="Q26" i="42"/>
  <c r="O26" i="42" s="1"/>
  <c r="Q31" i="42"/>
  <c r="O31" i="42" s="1"/>
  <c r="Q33" i="42"/>
  <c r="O33" i="42" s="1"/>
  <c r="V24" i="42"/>
  <c r="M24" i="42"/>
  <c r="S12" i="42"/>
  <c r="A23" i="42"/>
  <c r="M32" i="42"/>
  <c r="V32" i="42"/>
  <c r="Q28" i="42"/>
  <c r="O28" i="42" s="1"/>
  <c r="Q29" i="42"/>
  <c r="O29" i="42" s="1"/>
  <c r="S49" i="42"/>
  <c r="K1099" i="43" l="1"/>
  <c r="AD1099" i="43" s="1"/>
  <c r="K470" i="43"/>
  <c r="C14" i="48"/>
  <c r="I14" i="48" s="1"/>
  <c r="C14" i="39"/>
  <c r="C21" i="48"/>
  <c r="C21" i="39"/>
  <c r="K943" i="43"/>
  <c r="AD943" i="43" s="1"/>
  <c r="R17" i="43"/>
  <c r="K926" i="43"/>
  <c r="AD56" i="43"/>
  <c r="K481" i="43"/>
  <c r="AD481" i="43" s="1"/>
  <c r="K1131" i="43"/>
  <c r="AD1131" i="43" s="1"/>
  <c r="O1131" i="43"/>
  <c r="AD1122" i="43"/>
  <c r="AD39" i="43"/>
  <c r="K48" i="43"/>
  <c r="AD48" i="43" s="1"/>
  <c r="K691" i="43"/>
  <c r="K629" i="43"/>
  <c r="AD629" i="43" s="1"/>
  <c r="AD627" i="43"/>
  <c r="AD1163" i="43"/>
  <c r="R1163" i="43"/>
  <c r="AD525" i="43"/>
  <c r="K527" i="43"/>
  <c r="AD527" i="43" s="1"/>
  <c r="E551" i="43"/>
  <c r="K551" i="43" s="1"/>
  <c r="AD551" i="43" s="1"/>
  <c r="T128" i="43"/>
  <c r="O128" i="43"/>
  <c r="K77" i="43"/>
  <c r="O77" i="43"/>
  <c r="R80" i="43" s="1"/>
  <c r="M751" i="43"/>
  <c r="M739" i="43"/>
  <c r="T733" i="43"/>
  <c r="M745" i="43"/>
  <c r="O733" i="43"/>
  <c r="AD470" i="43"/>
  <c r="AD1172" i="43"/>
  <c r="R1172" i="43"/>
  <c r="M776" i="43"/>
  <c r="M780" i="43"/>
  <c r="M778" i="43"/>
  <c r="M775" i="43"/>
  <c r="M777" i="43"/>
  <c r="M779" i="43"/>
  <c r="K1006" i="43"/>
  <c r="AD1006" i="43" s="1"/>
  <c r="AD1127" i="43"/>
  <c r="K874" i="43"/>
  <c r="E884" i="43"/>
  <c r="AD611" i="43"/>
  <c r="R566" i="43"/>
  <c r="K263" i="43"/>
  <c r="AD259" i="43"/>
  <c r="K1154" i="43"/>
  <c r="AD1150" i="43"/>
  <c r="K768" i="43"/>
  <c r="AD926" i="43"/>
  <c r="K100" i="43"/>
  <c r="AD100" i="43" s="1"/>
  <c r="AD197" i="43"/>
  <c r="K199" i="43"/>
  <c r="AD199" i="43" s="1"/>
  <c r="R20" i="43"/>
  <c r="M20" i="43" s="1"/>
  <c r="E1144" i="43"/>
  <c r="K1109" i="43"/>
  <c r="K1123" i="43" s="1"/>
  <c r="AD1123" i="43" s="1"/>
  <c r="O1109" i="43"/>
  <c r="E1107" i="43"/>
  <c r="E1129" i="43" s="1"/>
  <c r="K433" i="43"/>
  <c r="R186" i="43"/>
  <c r="K185" i="43"/>
  <c r="AD549" i="43"/>
  <c r="AD15" i="43"/>
  <c r="K28" i="43"/>
  <c r="K865" i="43"/>
  <c r="AD1120" i="43"/>
  <c r="K1098" i="43"/>
  <c r="AD1098" i="43" s="1"/>
  <c r="R59" i="43"/>
  <c r="AD55" i="43"/>
  <c r="R58" i="43"/>
  <c r="K70" i="43"/>
  <c r="AD1105" i="43"/>
  <c r="K1083" i="43"/>
  <c r="AD540" i="43"/>
  <c r="K541" i="43"/>
  <c r="E1123" i="43"/>
  <c r="R1073" i="43"/>
  <c r="R1072" i="43"/>
  <c r="O1083" i="43"/>
  <c r="AD703" i="43"/>
  <c r="R701" i="43"/>
  <c r="E536" i="43"/>
  <c r="K536" i="43" s="1"/>
  <c r="E187" i="43"/>
  <c r="AD508" i="43"/>
  <c r="K509" i="43"/>
  <c r="AD509" i="43" s="1"/>
  <c r="E557" i="43"/>
  <c r="E556" i="43" s="1"/>
  <c r="K556" i="43" s="1"/>
  <c r="U23" i="43"/>
  <c r="U22" i="43"/>
  <c r="T113" i="43"/>
  <c r="O113" i="43"/>
  <c r="V22" i="42"/>
  <c r="M22" i="42"/>
  <c r="O27" i="42"/>
  <c r="M25" i="42"/>
  <c r="V25" i="42"/>
  <c r="O38" i="42"/>
  <c r="V20" i="42"/>
  <c r="O23" i="42"/>
  <c r="M20" i="42"/>
  <c r="S32" i="42"/>
  <c r="U32" i="42"/>
  <c r="A24" i="42"/>
  <c r="V33" i="42"/>
  <c r="M33" i="42"/>
  <c r="M36" i="42"/>
  <c r="V36" i="42"/>
  <c r="V15" i="42"/>
  <c r="M15" i="42"/>
  <c r="O18" i="42"/>
  <c r="M21" i="42"/>
  <c r="V21" i="42"/>
  <c r="O30" i="42"/>
  <c r="M28" i="42"/>
  <c r="V28" i="42"/>
  <c r="U24" i="42"/>
  <c r="S24" i="42"/>
  <c r="M26" i="42"/>
  <c r="V26" i="42"/>
  <c r="S34" i="42"/>
  <c r="U34" i="42"/>
  <c r="V29" i="42"/>
  <c r="M29" i="42"/>
  <c r="V31" i="42"/>
  <c r="M31" i="42"/>
  <c r="V16" i="42"/>
  <c r="M16" i="42"/>
  <c r="K945" i="43" l="1"/>
  <c r="AD945" i="43" s="1"/>
  <c r="C20" i="48"/>
  <c r="C20" i="39"/>
  <c r="C22" i="48"/>
  <c r="I22" i="48" s="1"/>
  <c r="C22" i="39"/>
  <c r="K511" i="43"/>
  <c r="R509" i="43" s="1"/>
  <c r="M67" i="42"/>
  <c r="M68" i="42" s="1"/>
  <c r="M698" i="43"/>
  <c r="M700" i="43"/>
  <c r="M697" i="43"/>
  <c r="M62" i="43"/>
  <c r="M40" i="43"/>
  <c r="T20" i="43"/>
  <c r="O20" i="43"/>
  <c r="O28" i="43" s="1"/>
  <c r="S20" i="43"/>
  <c r="AD263" i="43"/>
  <c r="R231" i="43"/>
  <c r="M818" i="43"/>
  <c r="M805" i="43"/>
  <c r="M792" i="43"/>
  <c r="T780" i="43"/>
  <c r="O779" i="43"/>
  <c r="M78" i="43"/>
  <c r="M76" i="43"/>
  <c r="M79" i="43"/>
  <c r="AD185" i="43"/>
  <c r="K187" i="43"/>
  <c r="K1144" i="43"/>
  <c r="E1145" i="43"/>
  <c r="M606" i="43"/>
  <c r="M602" i="43"/>
  <c r="M598" i="43"/>
  <c r="M597" i="43"/>
  <c r="M593" i="43"/>
  <c r="M585" i="43"/>
  <c r="M577" i="43"/>
  <c r="M572" i="43"/>
  <c r="M594" i="43"/>
  <c r="M581" i="43"/>
  <c r="M568" i="43"/>
  <c r="M589" i="43"/>
  <c r="M575" i="43"/>
  <c r="M574" i="43"/>
  <c r="M570" i="43"/>
  <c r="M591" i="43"/>
  <c r="M588" i="43"/>
  <c r="M587" i="43"/>
  <c r="M576" i="43"/>
  <c r="M567" i="43"/>
  <c r="M564" i="43"/>
  <c r="M565" i="43"/>
  <c r="M583" i="43"/>
  <c r="M604" i="43"/>
  <c r="M601" i="43"/>
  <c r="M566" i="43"/>
  <c r="M563" i="43"/>
  <c r="M579" i="43"/>
  <c r="M592" i="43"/>
  <c r="M569" i="43"/>
  <c r="M573" i="43"/>
  <c r="M584" i="43"/>
  <c r="M599" i="43"/>
  <c r="M580" i="43"/>
  <c r="M582" i="43"/>
  <c r="M586" i="43"/>
  <c r="M600" i="43"/>
  <c r="M571" i="43"/>
  <c r="M595" i="43"/>
  <c r="T778" i="43"/>
  <c r="M816" i="43"/>
  <c r="M803" i="43"/>
  <c r="M790" i="43"/>
  <c r="O777" i="43"/>
  <c r="T739" i="43"/>
  <c r="O739" i="43"/>
  <c r="E552" i="43"/>
  <c r="K552" i="43" s="1"/>
  <c r="AD552" i="43" s="1"/>
  <c r="R187" i="43"/>
  <c r="E1183" i="43"/>
  <c r="AD70" i="43"/>
  <c r="R57" i="43"/>
  <c r="AD1154" i="43"/>
  <c r="R1154" i="43"/>
  <c r="M814" i="43"/>
  <c r="M801" i="43"/>
  <c r="M788" i="43"/>
  <c r="T776" i="43"/>
  <c r="O775" i="43"/>
  <c r="M734" i="43"/>
  <c r="T751" i="43"/>
  <c r="O751" i="43"/>
  <c r="AD865" i="43"/>
  <c r="K1087" i="43"/>
  <c r="AD1087" i="43" s="1"/>
  <c r="AD1109" i="43"/>
  <c r="AD874" i="43"/>
  <c r="K882" i="43"/>
  <c r="AD882" i="43" s="1"/>
  <c r="O780" i="43"/>
  <c r="M819" i="43"/>
  <c r="M806" i="43"/>
  <c r="M793" i="43"/>
  <c r="T781" i="43"/>
  <c r="K694" i="43"/>
  <c r="AD691" i="43"/>
  <c r="AD556" i="43"/>
  <c r="K557" i="43"/>
  <c r="AD28" i="43"/>
  <c r="R16" i="43"/>
  <c r="AD433" i="43"/>
  <c r="K435" i="43"/>
  <c r="T777" i="43"/>
  <c r="O776" i="43"/>
  <c r="M815" i="43"/>
  <c r="M802" i="43"/>
  <c r="M789" i="43"/>
  <c r="AD77" i="43"/>
  <c r="K85" i="43"/>
  <c r="AD536" i="43"/>
  <c r="K537" i="43"/>
  <c r="AD537" i="43" s="1"/>
  <c r="AD541" i="43"/>
  <c r="AD1083" i="43"/>
  <c r="K553" i="43"/>
  <c r="AD553" i="43" s="1"/>
  <c r="O1087" i="43"/>
  <c r="AD768" i="43"/>
  <c r="K770" i="43"/>
  <c r="M817" i="43"/>
  <c r="M804" i="43"/>
  <c r="M791" i="43"/>
  <c r="T779" i="43"/>
  <c r="O778" i="43"/>
  <c r="T745" i="43"/>
  <c r="O745" i="43"/>
  <c r="R79" i="43"/>
  <c r="U16" i="42"/>
  <c r="S16" i="42"/>
  <c r="U29" i="42"/>
  <c r="S29" i="42"/>
  <c r="V27" i="42"/>
  <c r="Q27" i="42"/>
  <c r="U26" i="42"/>
  <c r="S26" i="42"/>
  <c r="Q18" i="42"/>
  <c r="V18" i="42"/>
  <c r="A25" i="42"/>
  <c r="V38" i="42"/>
  <c r="Q38" i="42"/>
  <c r="O39" i="42"/>
  <c r="O50" i="42"/>
  <c r="U22" i="42"/>
  <c r="S22" i="42"/>
  <c r="Q30" i="42"/>
  <c r="V30" i="42"/>
  <c r="S15" i="42"/>
  <c r="M18" i="42"/>
  <c r="S18" i="42" s="1"/>
  <c r="U15" i="42"/>
  <c r="S36" i="42"/>
  <c r="Z33" i="42"/>
  <c r="Z25" i="42"/>
  <c r="U36" i="42"/>
  <c r="M38" i="42"/>
  <c r="U20" i="42"/>
  <c r="M23" i="42"/>
  <c r="S20" i="42"/>
  <c r="S21" i="42"/>
  <c r="U21" i="42"/>
  <c r="S28" i="42"/>
  <c r="U28" i="42"/>
  <c r="M30" i="42"/>
  <c r="U31" i="42"/>
  <c r="S31" i="42"/>
  <c r="U33" i="42"/>
  <c r="S33" i="42"/>
  <c r="Q23" i="42"/>
  <c r="V23" i="42"/>
  <c r="S25" i="42"/>
  <c r="M27" i="42"/>
  <c r="U25" i="42"/>
  <c r="U27" i="42" s="1"/>
  <c r="U30" i="42" l="1"/>
  <c r="U18" i="42"/>
  <c r="AD511" i="43"/>
  <c r="S23" i="42"/>
  <c r="C12" i="48"/>
  <c r="C12" i="39"/>
  <c r="S27" i="42"/>
  <c r="C15" i="48"/>
  <c r="I15" i="48" s="1"/>
  <c r="C15" i="39"/>
  <c r="S30" i="42"/>
  <c r="C16" i="48"/>
  <c r="C16" i="39"/>
  <c r="Z26" i="42"/>
  <c r="K884" i="43"/>
  <c r="AD884" i="43" s="1"/>
  <c r="M69" i="42"/>
  <c r="M70" i="42"/>
  <c r="T789" i="43"/>
  <c r="O789" i="43"/>
  <c r="T600" i="43"/>
  <c r="O600" i="43"/>
  <c r="T592" i="43"/>
  <c r="O592" i="43"/>
  <c r="T564" i="43"/>
  <c r="O564" i="43"/>
  <c r="T575" i="43"/>
  <c r="O575" i="43"/>
  <c r="T593" i="43"/>
  <c r="O593" i="43"/>
  <c r="R19" i="43"/>
  <c r="U12" i="43"/>
  <c r="O804" i="43"/>
  <c r="T804" i="43"/>
  <c r="T802" i="43"/>
  <c r="O802" i="43"/>
  <c r="T819" i="43"/>
  <c r="O819" i="43"/>
  <c r="T788" i="43"/>
  <c r="O788" i="43"/>
  <c r="T584" i="43"/>
  <c r="O584" i="43"/>
  <c r="T604" i="43"/>
  <c r="O604" i="43"/>
  <c r="T591" i="43"/>
  <c r="O591" i="43"/>
  <c r="T572" i="43"/>
  <c r="O572" i="43"/>
  <c r="M124" i="43"/>
  <c r="M109" i="43"/>
  <c r="M94" i="43"/>
  <c r="T79" i="43"/>
  <c r="M139" i="43"/>
  <c r="M169" i="43"/>
  <c r="M154" i="43"/>
  <c r="O79" i="43"/>
  <c r="M249" i="43"/>
  <c r="M245" i="43"/>
  <c r="M229" i="43"/>
  <c r="M227" i="43"/>
  <c r="M256" i="43"/>
  <c r="M239" i="43"/>
  <c r="M235" i="43"/>
  <c r="M257" i="43"/>
  <c r="M253" i="43"/>
  <c r="M252" i="43"/>
  <c r="M241" i="43"/>
  <c r="M240" i="43"/>
  <c r="M237" i="43"/>
  <c r="M247" i="43"/>
  <c r="M236" i="43"/>
  <c r="M232" i="43"/>
  <c r="M242" i="43"/>
  <c r="M230" i="43"/>
  <c r="M246" i="43"/>
  <c r="M228" i="43"/>
  <c r="M238" i="43"/>
  <c r="M244" i="43"/>
  <c r="M248" i="43"/>
  <c r="M255" i="43"/>
  <c r="M251" i="43"/>
  <c r="M254" i="43"/>
  <c r="M234" i="43"/>
  <c r="M233" i="43"/>
  <c r="M258" i="43"/>
  <c r="T700" i="43"/>
  <c r="M727" i="43"/>
  <c r="M718" i="43"/>
  <c r="M709" i="43"/>
  <c r="O700" i="43"/>
  <c r="O817" i="43"/>
  <c r="T817" i="43"/>
  <c r="R77" i="43"/>
  <c r="AD85" i="43"/>
  <c r="T815" i="43"/>
  <c r="O815" i="43"/>
  <c r="K559" i="43"/>
  <c r="AD559" i="43" s="1"/>
  <c r="AD557" i="43"/>
  <c r="T801" i="43"/>
  <c r="O801" i="43"/>
  <c r="T790" i="43"/>
  <c r="O790" i="43"/>
  <c r="T595" i="43"/>
  <c r="O595" i="43"/>
  <c r="T582" i="43"/>
  <c r="O582" i="43"/>
  <c r="T573" i="43"/>
  <c r="O573" i="43"/>
  <c r="T563" i="43"/>
  <c r="O563" i="43"/>
  <c r="T583" i="43"/>
  <c r="O583" i="43"/>
  <c r="T576" i="43"/>
  <c r="O576" i="43"/>
  <c r="T570" i="43"/>
  <c r="O570" i="43"/>
  <c r="T568" i="43"/>
  <c r="O568" i="43"/>
  <c r="T577" i="43"/>
  <c r="O577" i="43"/>
  <c r="T598" i="43"/>
  <c r="O598" i="43"/>
  <c r="AD1144" i="43"/>
  <c r="K1100" i="43"/>
  <c r="K1145" i="43"/>
  <c r="AD1145" i="43" s="1"/>
  <c r="M136" i="43"/>
  <c r="M121" i="43"/>
  <c r="M106" i="43"/>
  <c r="M91" i="43"/>
  <c r="O76" i="43"/>
  <c r="M166" i="43"/>
  <c r="M151" i="43"/>
  <c r="T76" i="43"/>
  <c r="O792" i="43"/>
  <c r="T792" i="43"/>
  <c r="T40" i="43"/>
  <c r="O40" i="43"/>
  <c r="O48" i="43" s="1"/>
  <c r="M716" i="43"/>
  <c r="T698" i="43"/>
  <c r="M707" i="43"/>
  <c r="M725" i="43"/>
  <c r="O698" i="43"/>
  <c r="O791" i="43"/>
  <c r="T791" i="43"/>
  <c r="T806" i="43"/>
  <c r="O806" i="43"/>
  <c r="T816" i="43"/>
  <c r="O816" i="43"/>
  <c r="T599" i="43"/>
  <c r="O599" i="43"/>
  <c r="T601" i="43"/>
  <c r="O601" i="43"/>
  <c r="T588" i="43"/>
  <c r="O588" i="43"/>
  <c r="T594" i="43"/>
  <c r="O594" i="43"/>
  <c r="T606" i="43"/>
  <c r="O606" i="43"/>
  <c r="O818" i="43"/>
  <c r="T818" i="43"/>
  <c r="M724" i="43"/>
  <c r="M715" i="43"/>
  <c r="M699" i="43"/>
  <c r="M706" i="43"/>
  <c r="T697" i="43"/>
  <c r="O697" i="43"/>
  <c r="AD435" i="43"/>
  <c r="R431" i="43"/>
  <c r="M426" i="43" s="1"/>
  <c r="AD694" i="43"/>
  <c r="R620" i="43"/>
  <c r="M746" i="43"/>
  <c r="T734" i="43"/>
  <c r="M752" i="43"/>
  <c r="M740" i="43"/>
  <c r="O734" i="43"/>
  <c r="O736" i="43" s="1"/>
  <c r="R732" i="43" s="1"/>
  <c r="T586" i="43"/>
  <c r="O586" i="43"/>
  <c r="T579" i="43"/>
  <c r="O579" i="43"/>
  <c r="T567" i="43"/>
  <c r="O567" i="43"/>
  <c r="T589" i="43"/>
  <c r="O589" i="43"/>
  <c r="T597" i="43"/>
  <c r="O597" i="43"/>
  <c r="K771" i="43"/>
  <c r="AD770" i="43"/>
  <c r="K543" i="43"/>
  <c r="T793" i="43"/>
  <c r="O793" i="43"/>
  <c r="M781" i="43"/>
  <c r="T814" i="43"/>
  <c r="O814" i="43"/>
  <c r="T803" i="43"/>
  <c r="O803" i="43"/>
  <c r="T571" i="43"/>
  <c r="O571" i="43"/>
  <c r="T580" i="43"/>
  <c r="O580" i="43"/>
  <c r="T569" i="43"/>
  <c r="O569" i="43"/>
  <c r="T566" i="43"/>
  <c r="O566" i="43"/>
  <c r="T565" i="43"/>
  <c r="O565" i="43"/>
  <c r="T587" i="43"/>
  <c r="O587" i="43"/>
  <c r="T574" i="43"/>
  <c r="O574" i="43"/>
  <c r="T581" i="43"/>
  <c r="O581" i="43"/>
  <c r="T585" i="43"/>
  <c r="O585" i="43"/>
  <c r="T602" i="43"/>
  <c r="O602" i="43"/>
  <c r="AD187" i="43"/>
  <c r="R182" i="43"/>
  <c r="R183" i="43"/>
  <c r="M168" i="43"/>
  <c r="M153" i="43"/>
  <c r="O78" i="43"/>
  <c r="M138" i="43"/>
  <c r="M123" i="43"/>
  <c r="M108" i="43"/>
  <c r="M93" i="43"/>
  <c r="T78" i="43"/>
  <c r="O805" i="43"/>
  <c r="T805" i="43"/>
  <c r="T62" i="43"/>
  <c r="O62" i="43"/>
  <c r="O70" i="43" s="1"/>
  <c r="R66" i="43" s="1"/>
  <c r="Q39" i="42"/>
  <c r="V39" i="42"/>
  <c r="O51" i="42"/>
  <c r="U23" i="42"/>
  <c r="U38" i="42" s="1"/>
  <c r="U39" i="42" s="1"/>
  <c r="Q50" i="42"/>
  <c r="V50" i="42"/>
  <c r="A26" i="42"/>
  <c r="M39" i="42"/>
  <c r="S38" i="42"/>
  <c r="M50" i="42"/>
  <c r="S50" i="42" s="1"/>
  <c r="R831" i="43" l="1"/>
  <c r="R832" i="43" s="1"/>
  <c r="M858" i="43" s="1"/>
  <c r="R44" i="43"/>
  <c r="C28" i="48"/>
  <c r="C28" i="39"/>
  <c r="O85" i="43"/>
  <c r="M72" i="42"/>
  <c r="M71" i="42"/>
  <c r="T123" i="43"/>
  <c r="O123" i="43"/>
  <c r="T168" i="43"/>
  <c r="O168" i="43"/>
  <c r="AD771" i="43"/>
  <c r="R762" i="43"/>
  <c r="M758" i="43" s="1"/>
  <c r="T715" i="43"/>
  <c r="O715" i="43"/>
  <c r="T716" i="43"/>
  <c r="O716" i="43"/>
  <c r="O607" i="43"/>
  <c r="O611" i="43" s="1"/>
  <c r="T727" i="43"/>
  <c r="O727" i="43"/>
  <c r="T248" i="43"/>
  <c r="M408" i="43"/>
  <c r="M368" i="43"/>
  <c r="M328" i="43"/>
  <c r="M288" i="43"/>
  <c r="O248" i="43"/>
  <c r="M401" i="43"/>
  <c r="M361" i="43"/>
  <c r="M321" i="43"/>
  <c r="M281" i="43"/>
  <c r="O241" i="43"/>
  <c r="T241" i="43"/>
  <c r="T235" i="43"/>
  <c r="M395" i="43"/>
  <c r="M355" i="43"/>
  <c r="M315" i="43"/>
  <c r="M275" i="43"/>
  <c r="O235" i="43"/>
  <c r="T154" i="43"/>
  <c r="O154" i="43"/>
  <c r="T138" i="43"/>
  <c r="O138" i="43"/>
  <c r="T782" i="43"/>
  <c r="O781" i="43"/>
  <c r="O784" i="43" s="1"/>
  <c r="R774" i="43" s="1"/>
  <c r="M820" i="43"/>
  <c r="M807" i="43"/>
  <c r="M794" i="43"/>
  <c r="T752" i="43"/>
  <c r="O752" i="43"/>
  <c r="O754" i="43" s="1"/>
  <c r="R754" i="43" s="1"/>
  <c r="T91" i="43"/>
  <c r="O91" i="43"/>
  <c r="M334" i="43"/>
  <c r="M294" i="43"/>
  <c r="T254" i="43"/>
  <c r="M414" i="43"/>
  <c r="M374" i="43"/>
  <c r="O254" i="43"/>
  <c r="T230" i="43"/>
  <c r="M390" i="43"/>
  <c r="M350" i="43"/>
  <c r="M310" i="43"/>
  <c r="M270" i="43"/>
  <c r="O230" i="43"/>
  <c r="T252" i="43"/>
  <c r="M412" i="43"/>
  <c r="M372" i="43"/>
  <c r="M332" i="43"/>
  <c r="M292" i="43"/>
  <c r="O252" i="43"/>
  <c r="M405" i="43"/>
  <c r="M365" i="43"/>
  <c r="M325" i="43"/>
  <c r="M285" i="43"/>
  <c r="O245" i="43"/>
  <c r="T245" i="43"/>
  <c r="O169" i="43"/>
  <c r="T169" i="43"/>
  <c r="O109" i="43"/>
  <c r="T109" i="43"/>
  <c r="T93" i="43"/>
  <c r="O93" i="43"/>
  <c r="AD543" i="43"/>
  <c r="R534" i="43"/>
  <c r="M450" i="43"/>
  <c r="M438" i="43"/>
  <c r="R433" i="43"/>
  <c r="T426" i="43"/>
  <c r="O426" i="43"/>
  <c r="T706" i="43"/>
  <c r="O706" i="43"/>
  <c r="T707" i="43"/>
  <c r="O707" i="43"/>
  <c r="T151" i="43"/>
  <c r="O151" i="43"/>
  <c r="T106" i="43"/>
  <c r="O106" i="43"/>
  <c r="AD1100" i="43"/>
  <c r="K1101" i="43"/>
  <c r="K1183" i="43" s="1"/>
  <c r="AD1183" i="43" s="1"/>
  <c r="T709" i="43"/>
  <c r="O709" i="43"/>
  <c r="M418" i="43"/>
  <c r="M378" i="43"/>
  <c r="M338" i="43"/>
  <c r="M298" i="43"/>
  <c r="T258" i="43"/>
  <c r="O258" i="43"/>
  <c r="O251" i="43"/>
  <c r="M371" i="43"/>
  <c r="M331" i="43"/>
  <c r="M291" i="43"/>
  <c r="M411" i="43"/>
  <c r="T251" i="43"/>
  <c r="O238" i="43"/>
  <c r="M398" i="43"/>
  <c r="M358" i="43"/>
  <c r="M318" i="43"/>
  <c r="M278" i="43"/>
  <c r="T238" i="43"/>
  <c r="O242" i="43"/>
  <c r="T242" i="43"/>
  <c r="M402" i="43"/>
  <c r="M362" i="43"/>
  <c r="M322" i="43"/>
  <c r="M282" i="43"/>
  <c r="M397" i="43"/>
  <c r="M357" i="43"/>
  <c r="M317" i="43"/>
  <c r="M277" i="43"/>
  <c r="O237" i="43"/>
  <c r="T237" i="43"/>
  <c r="M413" i="43"/>
  <c r="M373" i="43"/>
  <c r="M333" i="43"/>
  <c r="M293" i="43"/>
  <c r="O253" i="43"/>
  <c r="T253" i="43"/>
  <c r="T256" i="43"/>
  <c r="M416" i="43"/>
  <c r="M376" i="43"/>
  <c r="M336" i="43"/>
  <c r="M296" i="43"/>
  <c r="O256" i="43"/>
  <c r="M409" i="43"/>
  <c r="M369" i="43"/>
  <c r="M329" i="43"/>
  <c r="M289" i="43"/>
  <c r="O249" i="43"/>
  <c r="T249" i="43"/>
  <c r="O139" i="43"/>
  <c r="T139" i="43"/>
  <c r="O124" i="43"/>
  <c r="T124" i="43"/>
  <c r="T740" i="43"/>
  <c r="O740" i="43"/>
  <c r="O742" i="43" s="1"/>
  <c r="R742" i="43" s="1"/>
  <c r="M679" i="43"/>
  <c r="M675" i="43"/>
  <c r="M671" i="43"/>
  <c r="M658" i="43"/>
  <c r="M654" i="43"/>
  <c r="M650" i="43"/>
  <c r="M678" i="43"/>
  <c r="M657" i="43"/>
  <c r="M646" i="43"/>
  <c r="M642" i="43"/>
  <c r="M638" i="43"/>
  <c r="M634" i="43"/>
  <c r="M623" i="43"/>
  <c r="M673" i="43"/>
  <c r="M661" i="43"/>
  <c r="M645" i="43"/>
  <c r="M637" i="43"/>
  <c r="M626" i="43"/>
  <c r="M633" i="43"/>
  <c r="M616" i="43"/>
  <c r="M641" i="43"/>
  <c r="M625" i="43"/>
  <c r="M622" i="43"/>
  <c r="M677" i="43"/>
  <c r="M682" i="43"/>
  <c r="M653" i="43"/>
  <c r="M618" i="43"/>
  <c r="M620" i="43"/>
  <c r="M685" i="43"/>
  <c r="M619" i="43"/>
  <c r="M656" i="43"/>
  <c r="M648" i="43"/>
  <c r="M683" i="43"/>
  <c r="M676" i="43"/>
  <c r="M636" i="43"/>
  <c r="M647" i="43"/>
  <c r="M644" i="43"/>
  <c r="M672" i="43"/>
  <c r="M652" i="43"/>
  <c r="M669" i="43"/>
  <c r="M680" i="43"/>
  <c r="M655" i="43"/>
  <c r="M639" i="43"/>
  <c r="M643" i="43"/>
  <c r="M668" i="43"/>
  <c r="M660" i="43"/>
  <c r="M624" i="43"/>
  <c r="M617" i="43"/>
  <c r="M649" i="43"/>
  <c r="M684" i="43"/>
  <c r="T136" i="43"/>
  <c r="O136" i="43"/>
  <c r="O145" i="43" s="1"/>
  <c r="R145" i="43" s="1"/>
  <c r="O234" i="43"/>
  <c r="T234" i="43"/>
  <c r="M314" i="43"/>
  <c r="M394" i="43"/>
  <c r="M354" i="43"/>
  <c r="M274" i="43"/>
  <c r="T246" i="43"/>
  <c r="M406" i="43"/>
  <c r="M366" i="43"/>
  <c r="O246" i="43"/>
  <c r="M326" i="43"/>
  <c r="M286" i="43"/>
  <c r="T236" i="43"/>
  <c r="M396" i="43"/>
  <c r="M356" i="43"/>
  <c r="M316" i="43"/>
  <c r="M276" i="43"/>
  <c r="O236" i="43"/>
  <c r="M389" i="43"/>
  <c r="M349" i="43"/>
  <c r="M309" i="43"/>
  <c r="M269" i="43"/>
  <c r="O229" i="43"/>
  <c r="T229" i="43"/>
  <c r="O94" i="43"/>
  <c r="T94" i="43"/>
  <c r="M182" i="43"/>
  <c r="M181" i="43"/>
  <c r="M183" i="43"/>
  <c r="M184" i="43"/>
  <c r="M179" i="43"/>
  <c r="M180" i="43"/>
  <c r="T724" i="43"/>
  <c r="O724" i="43"/>
  <c r="M844" i="43"/>
  <c r="M838" i="43"/>
  <c r="M854" i="43"/>
  <c r="M841" i="43"/>
  <c r="M851" i="43"/>
  <c r="M831" i="43"/>
  <c r="M828" i="43"/>
  <c r="M837" i="43"/>
  <c r="M845" i="43"/>
  <c r="M853" i="43"/>
  <c r="M827" i="43"/>
  <c r="M850" i="43"/>
  <c r="M832" i="43"/>
  <c r="M863" i="43"/>
  <c r="T725" i="43"/>
  <c r="O725" i="43"/>
  <c r="T244" i="43"/>
  <c r="M404" i="43"/>
  <c r="M364" i="43"/>
  <c r="M324" i="43"/>
  <c r="M284" i="43"/>
  <c r="O244" i="43"/>
  <c r="M407" i="43"/>
  <c r="M367" i="43"/>
  <c r="M327" i="43"/>
  <c r="M287" i="43"/>
  <c r="O247" i="43"/>
  <c r="T247" i="43"/>
  <c r="T239" i="43"/>
  <c r="O239" i="43"/>
  <c r="M399" i="43"/>
  <c r="M359" i="43"/>
  <c r="M319" i="43"/>
  <c r="M279" i="43"/>
  <c r="R11" i="43"/>
  <c r="T108" i="43"/>
  <c r="O108" i="43"/>
  <c r="T153" i="43"/>
  <c r="O153" i="43"/>
  <c r="R735" i="43"/>
  <c r="R734" i="43"/>
  <c r="T746" i="43"/>
  <c r="O746" i="43"/>
  <c r="O748" i="43" s="1"/>
  <c r="R748" i="43" s="1"/>
  <c r="M708" i="43"/>
  <c r="M717" i="43"/>
  <c r="T699" i="43"/>
  <c r="M726" i="43"/>
  <c r="O699" i="43"/>
  <c r="M701" i="43" s="1"/>
  <c r="T166" i="43"/>
  <c r="O166" i="43"/>
  <c r="T121" i="43"/>
  <c r="O121" i="43"/>
  <c r="T718" i="43"/>
  <c r="O718" i="43"/>
  <c r="M393" i="43"/>
  <c r="M353" i="43"/>
  <c r="M313" i="43"/>
  <c r="M273" i="43"/>
  <c r="T233" i="43"/>
  <c r="O233" i="43"/>
  <c r="M415" i="43"/>
  <c r="M375" i="43"/>
  <c r="M335" i="43"/>
  <c r="M295" i="43"/>
  <c r="O255" i="43"/>
  <c r="T255" i="43"/>
  <c r="T228" i="43"/>
  <c r="M388" i="43"/>
  <c r="M348" i="43"/>
  <c r="M308" i="43"/>
  <c r="O228" i="43"/>
  <c r="M268" i="43"/>
  <c r="M392" i="43"/>
  <c r="M352" i="43"/>
  <c r="M312" i="43"/>
  <c r="M272" i="43"/>
  <c r="O232" i="43"/>
  <c r="T232" i="43"/>
  <c r="T240" i="43"/>
  <c r="M400" i="43"/>
  <c r="M360" i="43"/>
  <c r="M320" i="43"/>
  <c r="M280" i="43"/>
  <c r="O240" i="43"/>
  <c r="M417" i="43"/>
  <c r="M377" i="43"/>
  <c r="M337" i="43"/>
  <c r="M297" i="43"/>
  <c r="O257" i="43"/>
  <c r="T257" i="43"/>
  <c r="O227" i="43"/>
  <c r="M387" i="43"/>
  <c r="M347" i="43"/>
  <c r="M307" i="43"/>
  <c r="T227" i="43"/>
  <c r="M267" i="43"/>
  <c r="A27" i="42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Q51" i="42"/>
  <c r="V51" i="42"/>
  <c r="S39" i="42"/>
  <c r="M51" i="42"/>
  <c r="S51" i="42" s="1"/>
  <c r="U50" i="42"/>
  <c r="U51" i="42" s="1"/>
  <c r="M864" i="43" l="1"/>
  <c r="M925" i="43" s="1"/>
  <c r="M857" i="43"/>
  <c r="M840" i="43"/>
  <c r="O130" i="43"/>
  <c r="R130" i="43" s="1"/>
  <c r="T417" i="43"/>
  <c r="O417" i="43"/>
  <c r="O360" i="43"/>
  <c r="T360" i="43"/>
  <c r="O313" i="43"/>
  <c r="T313" i="43"/>
  <c r="T279" i="43"/>
  <c r="O279" i="43"/>
  <c r="T287" i="43"/>
  <c r="O287" i="43"/>
  <c r="M1046" i="43"/>
  <c r="M924" i="43"/>
  <c r="O863" i="43"/>
  <c r="M985" i="43"/>
  <c r="T863" i="43"/>
  <c r="M975" i="43"/>
  <c r="M1036" i="43"/>
  <c r="O853" i="43"/>
  <c r="M914" i="43"/>
  <c r="T853" i="43"/>
  <c r="M963" i="43"/>
  <c r="M1024" i="43"/>
  <c r="M902" i="43"/>
  <c r="T841" i="43"/>
  <c r="O841" i="43"/>
  <c r="M216" i="43"/>
  <c r="M204" i="43"/>
  <c r="M192" i="43"/>
  <c r="T180" i="43"/>
  <c r="O180" i="43"/>
  <c r="T668" i="43"/>
  <c r="O668" i="43"/>
  <c r="T644" i="43"/>
  <c r="O644" i="43"/>
  <c r="T685" i="43"/>
  <c r="O685" i="43"/>
  <c r="T641" i="43"/>
  <c r="O641" i="43"/>
  <c r="T646" i="43"/>
  <c r="O646" i="43"/>
  <c r="T679" i="43"/>
  <c r="O679" i="43"/>
  <c r="T277" i="43"/>
  <c r="O277" i="43"/>
  <c r="T282" i="43"/>
  <c r="O282" i="43"/>
  <c r="T438" i="43"/>
  <c r="O438" i="43"/>
  <c r="T285" i="43"/>
  <c r="O285" i="43"/>
  <c r="T820" i="43"/>
  <c r="O820" i="43"/>
  <c r="O823" i="43" s="1"/>
  <c r="R823" i="43" s="1"/>
  <c r="O288" i="43"/>
  <c r="T288" i="43"/>
  <c r="M728" i="43"/>
  <c r="M719" i="43"/>
  <c r="M710" i="43"/>
  <c r="T701" i="43"/>
  <c r="O701" i="43"/>
  <c r="O703" i="43" s="1"/>
  <c r="T267" i="43"/>
  <c r="O267" i="43"/>
  <c r="T387" i="43"/>
  <c r="O387" i="43"/>
  <c r="T297" i="43"/>
  <c r="O297" i="43"/>
  <c r="O400" i="43"/>
  <c r="T400" i="43"/>
  <c r="O268" i="43"/>
  <c r="T268" i="43"/>
  <c r="O388" i="43"/>
  <c r="T388" i="43"/>
  <c r="T295" i="43"/>
  <c r="O295" i="43"/>
  <c r="O353" i="43"/>
  <c r="T353" i="43"/>
  <c r="T708" i="43"/>
  <c r="O708" i="43"/>
  <c r="T327" i="43"/>
  <c r="O327" i="43"/>
  <c r="O284" i="43"/>
  <c r="T284" i="43"/>
  <c r="M986" i="43"/>
  <c r="M1047" i="43"/>
  <c r="M1040" i="43"/>
  <c r="M979" i="43"/>
  <c r="M918" i="43"/>
  <c r="T857" i="43"/>
  <c r="M860" i="43"/>
  <c r="O857" i="43"/>
  <c r="M203" i="43"/>
  <c r="T179" i="43"/>
  <c r="M215" i="43"/>
  <c r="M191" i="43"/>
  <c r="O179" i="43"/>
  <c r="O356" i="43"/>
  <c r="T356" i="43"/>
  <c r="T314" i="43"/>
  <c r="O314" i="43"/>
  <c r="T643" i="43"/>
  <c r="O643" i="43"/>
  <c r="T648" i="43"/>
  <c r="O648" i="43"/>
  <c r="T677" i="43"/>
  <c r="O677" i="43"/>
  <c r="T645" i="43"/>
  <c r="O645" i="43"/>
  <c r="T657" i="43"/>
  <c r="O657" i="43"/>
  <c r="T658" i="43"/>
  <c r="O658" i="43"/>
  <c r="T338" i="43"/>
  <c r="O338" i="43"/>
  <c r="R777" i="43"/>
  <c r="R776" i="43"/>
  <c r="T315" i="43"/>
  <c r="O315" i="43"/>
  <c r="O259" i="43"/>
  <c r="O263" i="43" s="1"/>
  <c r="T337" i="43"/>
  <c r="O337" i="43"/>
  <c r="O280" i="43"/>
  <c r="T280" i="43"/>
  <c r="O312" i="43"/>
  <c r="T312" i="43"/>
  <c r="T335" i="43"/>
  <c r="O335" i="43"/>
  <c r="O393" i="43"/>
  <c r="T393" i="43"/>
  <c r="T726" i="43"/>
  <c r="O726" i="43"/>
  <c r="T359" i="43"/>
  <c r="O359" i="43"/>
  <c r="T367" i="43"/>
  <c r="O367" i="43"/>
  <c r="O324" i="43"/>
  <c r="T324" i="43"/>
  <c r="M1033" i="43"/>
  <c r="M972" i="43"/>
  <c r="M911" i="43"/>
  <c r="T850" i="43"/>
  <c r="O850" i="43"/>
  <c r="M962" i="43"/>
  <c r="M1023" i="43"/>
  <c r="M901" i="43"/>
  <c r="T840" i="43"/>
  <c r="O840" i="43"/>
  <c r="M953" i="43"/>
  <c r="M1014" i="43"/>
  <c r="M892" i="43"/>
  <c r="O831" i="43"/>
  <c r="M834" i="43"/>
  <c r="T831" i="43"/>
  <c r="M861" i="43"/>
  <c r="O858" i="43"/>
  <c r="M1041" i="43"/>
  <c r="M919" i="43"/>
  <c r="M980" i="43"/>
  <c r="T858" i="43"/>
  <c r="M220" i="43"/>
  <c r="M208" i="43"/>
  <c r="M196" i="43"/>
  <c r="T184" i="43"/>
  <c r="O184" i="43"/>
  <c r="T269" i="43"/>
  <c r="O269" i="43"/>
  <c r="O396" i="43"/>
  <c r="T396" i="43"/>
  <c r="T274" i="43"/>
  <c r="O274" i="43"/>
  <c r="R73" i="43"/>
  <c r="T624" i="43"/>
  <c r="O624" i="43"/>
  <c r="T639" i="43"/>
  <c r="O639" i="43"/>
  <c r="T652" i="43"/>
  <c r="O652" i="43"/>
  <c r="T636" i="43"/>
  <c r="O636" i="43"/>
  <c r="T656" i="43"/>
  <c r="O656" i="43"/>
  <c r="T618" i="43"/>
  <c r="O618" i="43"/>
  <c r="T622" i="43"/>
  <c r="O622" i="43"/>
  <c r="T633" i="43"/>
  <c r="O633" i="43"/>
  <c r="T661" i="43"/>
  <c r="O661" i="43"/>
  <c r="T638" i="43"/>
  <c r="O638" i="43"/>
  <c r="T678" i="43"/>
  <c r="O678" i="43"/>
  <c r="T671" i="43"/>
  <c r="O671" i="43"/>
  <c r="T289" i="43"/>
  <c r="O289" i="43"/>
  <c r="O416" i="43"/>
  <c r="T416" i="43"/>
  <c r="T293" i="43"/>
  <c r="O293" i="43"/>
  <c r="T357" i="43"/>
  <c r="O357" i="43"/>
  <c r="T362" i="43"/>
  <c r="O362" i="43"/>
  <c r="T398" i="43"/>
  <c r="O398" i="43"/>
  <c r="T291" i="43"/>
  <c r="O291" i="43"/>
  <c r="T378" i="43"/>
  <c r="O378" i="43"/>
  <c r="M532" i="43"/>
  <c r="M530" i="43"/>
  <c r="M531" i="43"/>
  <c r="T365" i="43"/>
  <c r="O365" i="43"/>
  <c r="O332" i="43"/>
  <c r="T332" i="43"/>
  <c r="T390" i="43"/>
  <c r="O390" i="43"/>
  <c r="T414" i="43"/>
  <c r="O414" i="43"/>
  <c r="O100" i="43"/>
  <c r="R100" i="43" s="1"/>
  <c r="T794" i="43"/>
  <c r="O794" i="43"/>
  <c r="O797" i="43" s="1"/>
  <c r="R797" i="43" s="1"/>
  <c r="T355" i="43"/>
  <c r="O355" i="43"/>
  <c r="O401" i="43"/>
  <c r="T401" i="43"/>
  <c r="O368" i="43"/>
  <c r="T368" i="43"/>
  <c r="O758" i="43"/>
  <c r="T758" i="43"/>
  <c r="M765" i="43"/>
  <c r="T347" i="43"/>
  <c r="O347" i="43"/>
  <c r="O392" i="43"/>
  <c r="T392" i="43"/>
  <c r="O348" i="43"/>
  <c r="T348" i="43"/>
  <c r="T415" i="43"/>
  <c r="O415" i="43"/>
  <c r="T717" i="43"/>
  <c r="O717" i="43"/>
  <c r="O404" i="43"/>
  <c r="T404" i="43"/>
  <c r="M959" i="43"/>
  <c r="M1020" i="43"/>
  <c r="M898" i="43"/>
  <c r="T837" i="43"/>
  <c r="O837" i="43"/>
  <c r="M960" i="43"/>
  <c r="M1021" i="43"/>
  <c r="O838" i="43"/>
  <c r="M899" i="43"/>
  <c r="T838" i="43"/>
  <c r="M217" i="43"/>
  <c r="M205" i="43"/>
  <c r="M193" i="43"/>
  <c r="T181" i="43"/>
  <c r="O181" i="43"/>
  <c r="T349" i="43"/>
  <c r="O349" i="43"/>
  <c r="O316" i="43"/>
  <c r="T316" i="43"/>
  <c r="T286" i="43"/>
  <c r="O286" i="43"/>
  <c r="T406" i="43"/>
  <c r="O406" i="43"/>
  <c r="T394" i="43"/>
  <c r="O394" i="43"/>
  <c r="T649" i="43"/>
  <c r="O649" i="43"/>
  <c r="T680" i="43"/>
  <c r="O680" i="43"/>
  <c r="T683" i="43"/>
  <c r="O683" i="43"/>
  <c r="T682" i="43"/>
  <c r="O682" i="43"/>
  <c r="T637" i="43"/>
  <c r="O637" i="43"/>
  <c r="T623" i="43"/>
  <c r="O623" i="43"/>
  <c r="T654" i="43"/>
  <c r="O654" i="43"/>
  <c r="T369" i="43"/>
  <c r="O369" i="43"/>
  <c r="O336" i="43"/>
  <c r="T336" i="43"/>
  <c r="T373" i="43"/>
  <c r="O373" i="43"/>
  <c r="T318" i="43"/>
  <c r="O318" i="43"/>
  <c r="T371" i="43"/>
  <c r="O371" i="43"/>
  <c r="T298" i="43"/>
  <c r="O298" i="43"/>
  <c r="O412" i="43"/>
  <c r="T412" i="43"/>
  <c r="T310" i="43"/>
  <c r="O310" i="43"/>
  <c r="T294" i="43"/>
  <c r="O294" i="43"/>
  <c r="T275" i="43"/>
  <c r="O275" i="43"/>
  <c r="O321" i="43"/>
  <c r="T321" i="43"/>
  <c r="O272" i="43"/>
  <c r="T272" i="43"/>
  <c r="T319" i="43"/>
  <c r="O319" i="43"/>
  <c r="M1015" i="43"/>
  <c r="M954" i="43"/>
  <c r="M893" i="43"/>
  <c r="T832" i="43"/>
  <c r="O832" i="43"/>
  <c r="M835" i="43"/>
  <c r="M889" i="43"/>
  <c r="O828" i="43"/>
  <c r="M950" i="43"/>
  <c r="T828" i="43"/>
  <c r="M1011" i="43"/>
  <c r="M1027" i="43"/>
  <c r="M847" i="43"/>
  <c r="O844" i="43"/>
  <c r="M905" i="43"/>
  <c r="T844" i="43"/>
  <c r="M966" i="43"/>
  <c r="O182" i="43"/>
  <c r="M218" i="43"/>
  <c r="M206" i="43"/>
  <c r="M194" i="43"/>
  <c r="T182" i="43"/>
  <c r="T389" i="43"/>
  <c r="O389" i="43"/>
  <c r="T326" i="43"/>
  <c r="O326" i="43"/>
  <c r="T617" i="43"/>
  <c r="O617" i="43"/>
  <c r="T669" i="43"/>
  <c r="O669" i="43"/>
  <c r="T647" i="43"/>
  <c r="O647" i="43"/>
  <c r="T620" i="43"/>
  <c r="O620" i="43"/>
  <c r="T616" i="43"/>
  <c r="O616" i="43"/>
  <c r="T634" i="43"/>
  <c r="O634" i="43"/>
  <c r="T409" i="43"/>
  <c r="O409" i="43"/>
  <c r="O376" i="43"/>
  <c r="T376" i="43"/>
  <c r="T413" i="43"/>
  <c r="O413" i="43"/>
  <c r="T317" i="43"/>
  <c r="O317" i="43"/>
  <c r="T322" i="43"/>
  <c r="O322" i="43"/>
  <c r="T358" i="43"/>
  <c r="O358" i="43"/>
  <c r="T411" i="43"/>
  <c r="O411" i="43"/>
  <c r="O115" i="43"/>
  <c r="R115" i="43" s="1"/>
  <c r="R432" i="43"/>
  <c r="O450" i="43"/>
  <c r="T450" i="43"/>
  <c r="T325" i="43"/>
  <c r="O325" i="43"/>
  <c r="O292" i="43"/>
  <c r="T292" i="43"/>
  <c r="T350" i="43"/>
  <c r="O350" i="43"/>
  <c r="T374" i="43"/>
  <c r="O374" i="43"/>
  <c r="T334" i="43"/>
  <c r="O334" i="43"/>
  <c r="O361" i="43"/>
  <c r="T361" i="43"/>
  <c r="O328" i="43"/>
  <c r="T328" i="43"/>
  <c r="T307" i="43"/>
  <c r="O307" i="43"/>
  <c r="T377" i="43"/>
  <c r="O377" i="43"/>
  <c r="O320" i="43"/>
  <c r="T320" i="43"/>
  <c r="O352" i="43"/>
  <c r="T352" i="43"/>
  <c r="O308" i="43"/>
  <c r="T308" i="43"/>
  <c r="T375" i="43"/>
  <c r="O375" i="43"/>
  <c r="O273" i="43"/>
  <c r="T273" i="43"/>
  <c r="O175" i="43"/>
  <c r="R175" i="43" s="1"/>
  <c r="R15" i="43"/>
  <c r="R13" i="43"/>
  <c r="T399" i="43"/>
  <c r="O399" i="43"/>
  <c r="T407" i="43"/>
  <c r="O407" i="43"/>
  <c r="O364" i="43"/>
  <c r="T364" i="43"/>
  <c r="M949" i="43"/>
  <c r="M1010" i="43"/>
  <c r="M888" i="43"/>
  <c r="T827" i="43"/>
  <c r="O827" i="43"/>
  <c r="M1028" i="43"/>
  <c r="M906" i="43"/>
  <c r="M967" i="43"/>
  <c r="M848" i="43"/>
  <c r="T845" i="43"/>
  <c r="O845" i="43"/>
  <c r="M1034" i="43"/>
  <c r="M973" i="43"/>
  <c r="T851" i="43"/>
  <c r="O851" i="43"/>
  <c r="M912" i="43"/>
  <c r="M976" i="43"/>
  <c r="M1037" i="43"/>
  <c r="M915" i="43"/>
  <c r="T854" i="43"/>
  <c r="O854" i="43"/>
  <c r="O183" i="43"/>
  <c r="M219" i="43"/>
  <c r="M207" i="43"/>
  <c r="M195" i="43"/>
  <c r="T183" i="43"/>
  <c r="T309" i="43"/>
  <c r="O309" i="43"/>
  <c r="O276" i="43"/>
  <c r="T276" i="43"/>
  <c r="T366" i="43"/>
  <c r="O366" i="43"/>
  <c r="T354" i="43"/>
  <c r="O354" i="43"/>
  <c r="T684" i="43"/>
  <c r="O684" i="43"/>
  <c r="T660" i="43"/>
  <c r="O660" i="43"/>
  <c r="T655" i="43"/>
  <c r="O655" i="43"/>
  <c r="T672" i="43"/>
  <c r="O672" i="43"/>
  <c r="T676" i="43"/>
  <c r="O676" i="43"/>
  <c r="T619" i="43"/>
  <c r="O619" i="43"/>
  <c r="T653" i="43"/>
  <c r="O653" i="43"/>
  <c r="T625" i="43"/>
  <c r="O625" i="43"/>
  <c r="T626" i="43"/>
  <c r="O626" i="43"/>
  <c r="T673" i="43"/>
  <c r="O673" i="43"/>
  <c r="T642" i="43"/>
  <c r="O642" i="43"/>
  <c r="T650" i="43"/>
  <c r="O650" i="43"/>
  <c r="T675" i="43"/>
  <c r="O675" i="43"/>
  <c r="T329" i="43"/>
  <c r="O329" i="43"/>
  <c r="O296" i="43"/>
  <c r="T296" i="43"/>
  <c r="T333" i="43"/>
  <c r="O333" i="43"/>
  <c r="O397" i="43"/>
  <c r="T397" i="43"/>
  <c r="T402" i="43"/>
  <c r="O402" i="43"/>
  <c r="T278" i="43"/>
  <c r="O278" i="43"/>
  <c r="T331" i="43"/>
  <c r="O331" i="43"/>
  <c r="T418" i="43"/>
  <c r="O418" i="43"/>
  <c r="AD1101" i="43"/>
  <c r="R463" i="43"/>
  <c r="R475" i="43"/>
  <c r="O160" i="43"/>
  <c r="R160" i="43" s="1"/>
  <c r="T405" i="43"/>
  <c r="O405" i="43"/>
  <c r="O372" i="43"/>
  <c r="T372" i="43"/>
  <c r="T270" i="43"/>
  <c r="O270" i="43"/>
  <c r="T807" i="43"/>
  <c r="O807" i="43"/>
  <c r="O810" i="43" s="1"/>
  <c r="R810" i="43" s="1"/>
  <c r="T395" i="43"/>
  <c r="O395" i="43"/>
  <c r="O281" i="43"/>
  <c r="T281" i="43"/>
  <c r="O408" i="43"/>
  <c r="T408" i="43"/>
  <c r="R611" i="43"/>
  <c r="R567" i="43"/>
  <c r="R562" i="43"/>
  <c r="T864" i="43" l="1"/>
  <c r="O864" i="43"/>
  <c r="R702" i="43"/>
  <c r="R697" i="43"/>
  <c r="O1037" i="43"/>
  <c r="T1037" i="43"/>
  <c r="M1030" i="43"/>
  <c r="M969" i="43"/>
  <c r="M908" i="43"/>
  <c r="T847" i="43"/>
  <c r="O847" i="43"/>
  <c r="M546" i="43"/>
  <c r="O530" i="43"/>
  <c r="T530" i="43"/>
  <c r="T208" i="43"/>
  <c r="O208" i="43"/>
  <c r="M983" i="43"/>
  <c r="M1044" i="43"/>
  <c r="M922" i="43"/>
  <c r="T861" i="43"/>
  <c r="O861" i="43"/>
  <c r="T1033" i="43"/>
  <c r="O1033" i="43"/>
  <c r="O215" i="43"/>
  <c r="T215" i="43"/>
  <c r="T902" i="43"/>
  <c r="O902" i="43"/>
  <c r="O195" i="43"/>
  <c r="T195" i="43"/>
  <c r="O627" i="43"/>
  <c r="T206" i="43"/>
  <c r="O206" i="43"/>
  <c r="T193" i="43"/>
  <c r="O193" i="43"/>
  <c r="T899" i="43"/>
  <c r="O899" i="43"/>
  <c r="T959" i="43"/>
  <c r="O959" i="43"/>
  <c r="T220" i="43"/>
  <c r="O220" i="43"/>
  <c r="O919" i="43"/>
  <c r="T919" i="43"/>
  <c r="O1014" i="43"/>
  <c r="T1014" i="43"/>
  <c r="T985" i="43"/>
  <c r="O985" i="43"/>
  <c r="O207" i="43"/>
  <c r="T207" i="43"/>
  <c r="T912" i="43"/>
  <c r="O912" i="43"/>
  <c r="O1034" i="43"/>
  <c r="T1034" i="43"/>
  <c r="T967" i="43"/>
  <c r="O967" i="43"/>
  <c r="M431" i="43"/>
  <c r="M427" i="43"/>
  <c r="M429" i="43"/>
  <c r="M428" i="43"/>
  <c r="M430" i="43"/>
  <c r="M432" i="43"/>
  <c r="T218" i="43"/>
  <c r="O218" i="43"/>
  <c r="T905" i="43"/>
  <c r="O905" i="43"/>
  <c r="T1011" i="43"/>
  <c r="O1011" i="43"/>
  <c r="T889" i="43"/>
  <c r="O889" i="43"/>
  <c r="T893" i="43"/>
  <c r="O893" i="43"/>
  <c r="T205" i="43"/>
  <c r="O205" i="43"/>
  <c r="T765" i="43"/>
  <c r="O765" i="43"/>
  <c r="O662" i="43"/>
  <c r="O664" i="43" s="1"/>
  <c r="R664" i="43" s="1"/>
  <c r="R76" i="43"/>
  <c r="R75" i="43"/>
  <c r="T1041" i="43"/>
  <c r="O1041" i="43"/>
  <c r="M956" i="43"/>
  <c r="M1017" i="43"/>
  <c r="M895" i="43"/>
  <c r="T834" i="43"/>
  <c r="O834" i="43"/>
  <c r="T953" i="43"/>
  <c r="O953" i="43"/>
  <c r="O1023" i="43"/>
  <c r="T1023" i="43"/>
  <c r="O911" i="43"/>
  <c r="T911" i="43"/>
  <c r="M185" i="43"/>
  <c r="O203" i="43"/>
  <c r="T203" i="43"/>
  <c r="T918" i="43"/>
  <c r="O918" i="43"/>
  <c r="O299" i="43"/>
  <c r="O303" i="43" s="1"/>
  <c r="T710" i="43"/>
  <c r="O710" i="43"/>
  <c r="O712" i="43" s="1"/>
  <c r="R712" i="43" s="1"/>
  <c r="T963" i="43"/>
  <c r="O963" i="43"/>
  <c r="T1036" i="43"/>
  <c r="O1036" i="43"/>
  <c r="O1028" i="43"/>
  <c r="T1028" i="43"/>
  <c r="T1010" i="43"/>
  <c r="O1010" i="43"/>
  <c r="T194" i="43"/>
  <c r="O194" i="43"/>
  <c r="T966" i="43"/>
  <c r="O966" i="43"/>
  <c r="T950" i="43"/>
  <c r="O950" i="43"/>
  <c r="T1015" i="43"/>
  <c r="O1015" i="43"/>
  <c r="O960" i="43"/>
  <c r="T960" i="43"/>
  <c r="O1020" i="43"/>
  <c r="T1020" i="43"/>
  <c r="O379" i="43"/>
  <c r="O383" i="43" s="1"/>
  <c r="R763" i="43"/>
  <c r="T980" i="43"/>
  <c r="O980" i="43"/>
  <c r="O892" i="43"/>
  <c r="T892" i="43"/>
  <c r="M982" i="43"/>
  <c r="M1043" i="43"/>
  <c r="M921" i="43"/>
  <c r="O860" i="43"/>
  <c r="T860" i="43"/>
  <c r="T1040" i="43"/>
  <c r="O1040" i="43"/>
  <c r="O1047" i="43"/>
  <c r="T1047" i="43"/>
  <c r="O419" i="43"/>
  <c r="O423" i="43" s="1"/>
  <c r="T728" i="43"/>
  <c r="O728" i="43"/>
  <c r="O730" i="43" s="1"/>
  <c r="R730" i="43" s="1"/>
  <c r="T204" i="43"/>
  <c r="O204" i="43"/>
  <c r="T914" i="43"/>
  <c r="O914" i="43"/>
  <c r="T1046" i="43"/>
  <c r="O1046" i="43"/>
  <c r="T976" i="43"/>
  <c r="O976" i="43"/>
  <c r="T973" i="43"/>
  <c r="O973" i="43"/>
  <c r="M1031" i="43"/>
  <c r="M909" i="43"/>
  <c r="T848" i="43"/>
  <c r="M970" i="43"/>
  <c r="O848" i="43"/>
  <c r="T949" i="43"/>
  <c r="O949" i="43"/>
  <c r="T1027" i="43"/>
  <c r="O1027" i="43"/>
  <c r="O532" i="43"/>
  <c r="M539" i="43"/>
  <c r="M548" i="43"/>
  <c r="T532" i="43"/>
  <c r="T901" i="43"/>
  <c r="O901" i="43"/>
  <c r="T986" i="43"/>
  <c r="O986" i="43"/>
  <c r="T216" i="43"/>
  <c r="O216" i="43"/>
  <c r="O1024" i="43"/>
  <c r="T1024" i="43"/>
  <c r="R565" i="43"/>
  <c r="R564" i="43"/>
  <c r="R466" i="43"/>
  <c r="M462" i="43" s="1"/>
  <c r="O219" i="43"/>
  <c r="T219" i="43"/>
  <c r="T915" i="43"/>
  <c r="O915" i="43"/>
  <c r="O906" i="43"/>
  <c r="T906" i="43"/>
  <c r="T888" i="43"/>
  <c r="O888" i="43"/>
  <c r="O339" i="43"/>
  <c r="O343" i="43" s="1"/>
  <c r="M957" i="43"/>
  <c r="T835" i="43"/>
  <c r="O835" i="43"/>
  <c r="M1018" i="43"/>
  <c r="M896" i="43"/>
  <c r="O954" i="43"/>
  <c r="T954" i="43"/>
  <c r="T217" i="43"/>
  <c r="O217" i="43"/>
  <c r="T1021" i="43"/>
  <c r="O1021" i="43"/>
  <c r="O898" i="43"/>
  <c r="T898" i="43"/>
  <c r="T531" i="43"/>
  <c r="O531" i="43"/>
  <c r="M547" i="43"/>
  <c r="O196" i="43"/>
  <c r="T196" i="43"/>
  <c r="T962" i="43"/>
  <c r="O962" i="43"/>
  <c r="T972" i="43"/>
  <c r="O972" i="43"/>
  <c r="R233" i="43"/>
  <c r="R227" i="43"/>
  <c r="O191" i="43"/>
  <c r="T191" i="43"/>
  <c r="T979" i="43"/>
  <c r="O979" i="43"/>
  <c r="O925" i="43"/>
  <c r="T925" i="43"/>
  <c r="T719" i="43"/>
  <c r="O719" i="43"/>
  <c r="O721" i="43" s="1"/>
  <c r="R721" i="43" s="1"/>
  <c r="O686" i="43"/>
  <c r="O688" i="43" s="1"/>
  <c r="R688" i="43" s="1"/>
  <c r="T192" i="43"/>
  <c r="O192" i="43"/>
  <c r="O975" i="43"/>
  <c r="T975" i="43"/>
  <c r="T924" i="43"/>
  <c r="O924" i="43"/>
  <c r="O865" i="43" l="1"/>
  <c r="R865" i="43" s="1"/>
  <c r="R700" i="43"/>
  <c r="R699" i="43"/>
  <c r="T896" i="43"/>
  <c r="O896" i="43"/>
  <c r="O957" i="43"/>
  <c r="T957" i="43"/>
  <c r="O548" i="43"/>
  <c r="T548" i="43"/>
  <c r="T970" i="43"/>
  <c r="O970" i="43"/>
  <c r="O1043" i="43"/>
  <c r="T1043" i="43"/>
  <c r="O1017" i="43"/>
  <c r="T1017" i="43"/>
  <c r="M870" i="43"/>
  <c r="M453" i="43"/>
  <c r="M441" i="43"/>
  <c r="O429" i="43"/>
  <c r="T429" i="43"/>
  <c r="T1044" i="43"/>
  <c r="O1044" i="43"/>
  <c r="M484" i="43"/>
  <c r="M506" i="43"/>
  <c r="M495" i="43"/>
  <c r="T462" i="43"/>
  <c r="O462" i="43"/>
  <c r="R468" i="43"/>
  <c r="M473" i="43"/>
  <c r="O909" i="43"/>
  <c r="T909" i="43"/>
  <c r="M760" i="43"/>
  <c r="M761" i="43"/>
  <c r="M759" i="43"/>
  <c r="M767" i="43"/>
  <c r="M871" i="43"/>
  <c r="M454" i="43"/>
  <c r="M442" i="43"/>
  <c r="T430" i="43"/>
  <c r="O430" i="43"/>
  <c r="M872" i="43"/>
  <c r="O431" i="43"/>
  <c r="M455" i="43"/>
  <c r="T431" i="43"/>
  <c r="M443" i="43"/>
  <c r="T546" i="43"/>
  <c r="O546" i="43"/>
  <c r="T969" i="43"/>
  <c r="O969" i="43"/>
  <c r="O1031" i="43"/>
  <c r="T1031" i="43"/>
  <c r="O921" i="43"/>
  <c r="T921" i="43"/>
  <c r="O895" i="43"/>
  <c r="T895" i="43"/>
  <c r="M869" i="43"/>
  <c r="T428" i="43"/>
  <c r="O428" i="43"/>
  <c r="M452" i="43"/>
  <c r="M440" i="43"/>
  <c r="O691" i="43"/>
  <c r="O694" i="43" s="1"/>
  <c r="O629" i="43"/>
  <c r="R629" i="43" s="1"/>
  <c r="O922" i="43"/>
  <c r="T922" i="43"/>
  <c r="T1030" i="43"/>
  <c r="O1030" i="43"/>
  <c r="R230" i="43"/>
  <c r="R229" i="43"/>
  <c r="T547" i="43"/>
  <c r="O547" i="43"/>
  <c r="T1018" i="43"/>
  <c r="O1018" i="43"/>
  <c r="M555" i="43"/>
  <c r="T539" i="43"/>
  <c r="O539" i="43"/>
  <c r="O982" i="43"/>
  <c r="T982" i="43"/>
  <c r="T185" i="43"/>
  <c r="O185" i="43"/>
  <c r="O187" i="43" s="1"/>
  <c r="M209" i="43"/>
  <c r="M197" i="43"/>
  <c r="M221" i="43"/>
  <c r="T956" i="43"/>
  <c r="O956" i="43"/>
  <c r="M873" i="43"/>
  <c r="T432" i="43"/>
  <c r="M444" i="43"/>
  <c r="O432" i="43"/>
  <c r="M456" i="43"/>
  <c r="M868" i="43"/>
  <c r="O427" i="43"/>
  <c r="T427" i="43"/>
  <c r="M439" i="43"/>
  <c r="M451" i="43"/>
  <c r="O983" i="43"/>
  <c r="O987" i="43" s="1"/>
  <c r="T983" i="43"/>
  <c r="O908" i="43"/>
  <c r="T908" i="43"/>
  <c r="O926" i="43" l="1"/>
  <c r="R926" i="43" s="1"/>
  <c r="O1048" i="43"/>
  <c r="R1048" i="43" s="1"/>
  <c r="R987" i="43"/>
  <c r="T444" i="43"/>
  <c r="O444" i="43"/>
  <c r="R178" i="43"/>
  <c r="M522" i="43"/>
  <c r="O506" i="43"/>
  <c r="M514" i="43"/>
  <c r="O514" i="43" s="1"/>
  <c r="T506" i="43"/>
  <c r="T443" i="43"/>
  <c r="O443" i="43"/>
  <c r="O442" i="43"/>
  <c r="T442" i="43"/>
  <c r="O484" i="43"/>
  <c r="T484" i="43"/>
  <c r="M992" i="43"/>
  <c r="M1053" i="43"/>
  <c r="O870" i="43"/>
  <c r="T870" i="43"/>
  <c r="M931" i="43"/>
  <c r="T456" i="43"/>
  <c r="O456" i="43"/>
  <c r="M994" i="43"/>
  <c r="M1055" i="43"/>
  <c r="M933" i="43"/>
  <c r="T872" i="43"/>
  <c r="O872" i="43"/>
  <c r="T454" i="43"/>
  <c r="O454" i="43"/>
  <c r="T759" i="43"/>
  <c r="M766" i="43"/>
  <c r="O759" i="43"/>
  <c r="M433" i="43"/>
  <c r="T440" i="43"/>
  <c r="O440" i="43"/>
  <c r="M991" i="43"/>
  <c r="M1052" i="43"/>
  <c r="M930" i="43"/>
  <c r="T869" i="43"/>
  <c r="O869" i="43"/>
  <c r="O760" i="43"/>
  <c r="T760" i="43"/>
  <c r="O453" i="43"/>
  <c r="T453" i="43"/>
  <c r="T451" i="43"/>
  <c r="O451" i="43"/>
  <c r="M990" i="43"/>
  <c r="M1051" i="43"/>
  <c r="M929" i="43"/>
  <c r="T868" i="43"/>
  <c r="O868" i="43"/>
  <c r="O221" i="43"/>
  <c r="O223" i="43" s="1"/>
  <c r="R223" i="43" s="1"/>
  <c r="T221" i="43"/>
  <c r="T452" i="43"/>
  <c r="O452" i="43"/>
  <c r="T767" i="43"/>
  <c r="O767" i="43"/>
  <c r="R467" i="43"/>
  <c r="T439" i="43"/>
  <c r="O439" i="43"/>
  <c r="M995" i="43"/>
  <c r="M1056" i="43"/>
  <c r="M934" i="43"/>
  <c r="T873" i="43"/>
  <c r="O873" i="43"/>
  <c r="T197" i="43"/>
  <c r="O197" i="43"/>
  <c r="O199" i="43" s="1"/>
  <c r="R199" i="43" s="1"/>
  <c r="O209" i="43"/>
  <c r="O211" i="43" s="1"/>
  <c r="R211" i="43" s="1"/>
  <c r="T209" i="43"/>
  <c r="O555" i="43"/>
  <c r="T555" i="43"/>
  <c r="R616" i="43"/>
  <c r="R621" i="43"/>
  <c r="R694" i="43"/>
  <c r="T455" i="43"/>
  <c r="O455" i="43"/>
  <c r="M993" i="43"/>
  <c r="M1054" i="43"/>
  <c r="M932" i="43"/>
  <c r="T871" i="43"/>
  <c r="O871" i="43"/>
  <c r="T761" i="43"/>
  <c r="O761" i="43"/>
  <c r="O473" i="43"/>
  <c r="T473" i="43"/>
  <c r="O495" i="43"/>
  <c r="T495" i="43"/>
  <c r="O441" i="43"/>
  <c r="T441" i="43"/>
  <c r="T932" i="43" l="1"/>
  <c r="O932" i="43"/>
  <c r="O934" i="43"/>
  <c r="T934" i="43"/>
  <c r="R511" i="43"/>
  <c r="R536" i="43"/>
  <c r="O1056" i="43"/>
  <c r="T1056" i="43"/>
  <c r="T990" i="43"/>
  <c r="O990" i="43"/>
  <c r="O763" i="43"/>
  <c r="O1055" i="43"/>
  <c r="T1055" i="43"/>
  <c r="O1053" i="43"/>
  <c r="T1053" i="43"/>
  <c r="T522" i="43"/>
  <c r="O522" i="43"/>
  <c r="T993" i="43"/>
  <c r="O993" i="43"/>
  <c r="T995" i="43"/>
  <c r="O995" i="43"/>
  <c r="T930" i="43"/>
  <c r="O930" i="43"/>
  <c r="O766" i="43"/>
  <c r="T766" i="43"/>
  <c r="T994" i="43"/>
  <c r="O994" i="43"/>
  <c r="T931" i="43"/>
  <c r="O931" i="43"/>
  <c r="T992" i="43"/>
  <c r="O992" i="43"/>
  <c r="O1051" i="43"/>
  <c r="T1051" i="43"/>
  <c r="T991" i="43"/>
  <c r="O991" i="43"/>
  <c r="O933" i="43"/>
  <c r="T933" i="43"/>
  <c r="O1054" i="43"/>
  <c r="T1054" i="43"/>
  <c r="M467" i="43"/>
  <c r="M463" i="43"/>
  <c r="M465" i="43"/>
  <c r="M464" i="43"/>
  <c r="M468" i="43"/>
  <c r="M466" i="43"/>
  <c r="R619" i="43"/>
  <c r="R618" i="43"/>
  <c r="O929" i="43"/>
  <c r="T929" i="43"/>
  <c r="O1052" i="43"/>
  <c r="T1052" i="43"/>
  <c r="M874" i="43"/>
  <c r="M457" i="43"/>
  <c r="M445" i="43"/>
  <c r="O433" i="43"/>
  <c r="O435" i="43" s="1"/>
  <c r="T433" i="43"/>
  <c r="T435" i="43"/>
  <c r="R181" i="43"/>
  <c r="R180" i="43"/>
  <c r="M1144" i="43" l="1"/>
  <c r="M881" i="43"/>
  <c r="M479" i="43"/>
  <c r="T468" i="43"/>
  <c r="M501" i="43"/>
  <c r="M490" i="43"/>
  <c r="O468" i="43"/>
  <c r="O457" i="43"/>
  <c r="O459" i="43" s="1"/>
  <c r="R459" i="43" s="1"/>
  <c r="T457" i="43"/>
  <c r="M536" i="43"/>
  <c r="M535" i="43"/>
  <c r="M534" i="43"/>
  <c r="M551" i="43"/>
  <c r="M533" i="43"/>
  <c r="M540" i="43"/>
  <c r="M996" i="43"/>
  <c r="M1057" i="43"/>
  <c r="O874" i="43"/>
  <c r="T874" i="43"/>
  <c r="M935" i="43"/>
  <c r="M1140" i="43"/>
  <c r="M878" i="43"/>
  <c r="M487" i="43"/>
  <c r="M476" i="43"/>
  <c r="O465" i="43"/>
  <c r="T465" i="43"/>
  <c r="M498" i="43"/>
  <c r="O445" i="43"/>
  <c r="O447" i="43" s="1"/>
  <c r="R447" i="43" s="1"/>
  <c r="T445" i="43"/>
  <c r="M1143" i="43"/>
  <c r="M880" i="43"/>
  <c r="M500" i="43"/>
  <c r="O467" i="43"/>
  <c r="M489" i="43"/>
  <c r="M478" i="43"/>
  <c r="T467" i="43"/>
  <c r="M1139" i="43"/>
  <c r="M877" i="43"/>
  <c r="T464" i="43"/>
  <c r="M497" i="43"/>
  <c r="M486" i="43"/>
  <c r="O464" i="43"/>
  <c r="M475" i="43"/>
  <c r="R427" i="43"/>
  <c r="R434" i="43"/>
  <c r="M1142" i="43"/>
  <c r="M879" i="43"/>
  <c r="M488" i="43"/>
  <c r="M499" i="43"/>
  <c r="T466" i="43"/>
  <c r="O466" i="43"/>
  <c r="M477" i="43"/>
  <c r="M876" i="43"/>
  <c r="M496" i="43"/>
  <c r="M474" i="43"/>
  <c r="O463" i="43"/>
  <c r="T463" i="43"/>
  <c r="M507" i="43"/>
  <c r="M485" i="43"/>
  <c r="M768" i="43"/>
  <c r="M523" i="43" l="1"/>
  <c r="T507" i="43"/>
  <c r="M515" i="43"/>
  <c r="O515" i="43" s="1"/>
  <c r="O507" i="43"/>
  <c r="O496" i="43"/>
  <c r="T496" i="43"/>
  <c r="T1142" i="43"/>
  <c r="O1142" i="43"/>
  <c r="M1120" i="43"/>
  <c r="T486" i="43"/>
  <c r="O486" i="43"/>
  <c r="O1139" i="43"/>
  <c r="M1117" i="43"/>
  <c r="T1139" i="43"/>
  <c r="M1118" i="43"/>
  <c r="T1140" i="43"/>
  <c r="O1140" i="43"/>
  <c r="M549" i="43"/>
  <c r="T533" i="43"/>
  <c r="O533" i="43"/>
  <c r="M1059" i="43"/>
  <c r="T876" i="43"/>
  <c r="M998" i="43"/>
  <c r="M937" i="43"/>
  <c r="O876" i="43"/>
  <c r="O499" i="43"/>
  <c r="T499" i="43"/>
  <c r="O476" i="43"/>
  <c r="T476" i="43"/>
  <c r="O1057" i="43"/>
  <c r="T1057" i="43"/>
  <c r="O479" i="43"/>
  <c r="T479" i="43"/>
  <c r="T768" i="43"/>
  <c r="O768" i="43"/>
  <c r="O770" i="43" s="1"/>
  <c r="O771" i="43" s="1"/>
  <c r="O470" i="43"/>
  <c r="T477" i="43"/>
  <c r="O477" i="43"/>
  <c r="T488" i="43"/>
  <c r="O488" i="43"/>
  <c r="T475" i="43"/>
  <c r="O475" i="43"/>
  <c r="T478" i="43"/>
  <c r="O478" i="43"/>
  <c r="M1063" i="43"/>
  <c r="M1002" i="43"/>
  <c r="T880" i="43"/>
  <c r="M941" i="43"/>
  <c r="O880" i="43"/>
  <c r="T498" i="43"/>
  <c r="O498" i="43"/>
  <c r="O487" i="43"/>
  <c r="T487" i="43"/>
  <c r="T935" i="43"/>
  <c r="O935" i="43"/>
  <c r="T996" i="43"/>
  <c r="O996" i="43"/>
  <c r="O534" i="43"/>
  <c r="T534" i="43"/>
  <c r="M550" i="43"/>
  <c r="T490" i="43"/>
  <c r="O490" i="43"/>
  <c r="M1003" i="43"/>
  <c r="T881" i="43"/>
  <c r="O881" i="43"/>
  <c r="M942" i="43"/>
  <c r="M1064" i="43"/>
  <c r="O536" i="43"/>
  <c r="T536" i="43"/>
  <c r="T497" i="43"/>
  <c r="O497" i="43"/>
  <c r="O500" i="43"/>
  <c r="T500" i="43"/>
  <c r="T551" i="43"/>
  <c r="O551" i="43"/>
  <c r="T485" i="43"/>
  <c r="O485" i="43"/>
  <c r="O474" i="43"/>
  <c r="T474" i="43"/>
  <c r="M1062" i="43"/>
  <c r="T879" i="43"/>
  <c r="M1001" i="43"/>
  <c r="O879" i="43"/>
  <c r="M940" i="43"/>
  <c r="R430" i="43"/>
  <c r="R429" i="43"/>
  <c r="M999" i="43"/>
  <c r="T877" i="43"/>
  <c r="O877" i="43"/>
  <c r="M938" i="43"/>
  <c r="M1060" i="43"/>
  <c r="T489" i="43"/>
  <c r="O489" i="43"/>
  <c r="O1143" i="43"/>
  <c r="M1121" i="43"/>
  <c r="T1143" i="43"/>
  <c r="M1061" i="43"/>
  <c r="M1000" i="43"/>
  <c r="O878" i="43"/>
  <c r="O882" i="43" s="1"/>
  <c r="M939" i="43"/>
  <c r="T878" i="43"/>
  <c r="M556" i="43"/>
  <c r="T540" i="43"/>
  <c r="O540" i="43"/>
  <c r="O541" i="43" s="1"/>
  <c r="T535" i="43"/>
  <c r="O535" i="43"/>
  <c r="T501" i="43"/>
  <c r="O501" i="43"/>
  <c r="M1122" i="43"/>
  <c r="T1144" i="43"/>
  <c r="O1144" i="43"/>
  <c r="O1145" i="43" l="1"/>
  <c r="R1145" i="43" s="1"/>
  <c r="O537" i="43"/>
  <c r="R882" i="43"/>
  <c r="O884" i="43"/>
  <c r="T550" i="43"/>
  <c r="O550" i="43"/>
  <c r="T941" i="43"/>
  <c r="O941" i="43"/>
  <c r="O556" i="43"/>
  <c r="O557" i="43" s="1"/>
  <c r="T556" i="43"/>
  <c r="T1000" i="43"/>
  <c r="O1000" i="43"/>
  <c r="O481" i="43"/>
  <c r="R481" i="43" s="1"/>
  <c r="T1064" i="43"/>
  <c r="O1064" i="43"/>
  <c r="O1003" i="43"/>
  <c r="T1003" i="43"/>
  <c r="O1122" i="43"/>
  <c r="O1100" i="43" s="1"/>
  <c r="T1122" i="43"/>
  <c r="T1061" i="43"/>
  <c r="O1061" i="43"/>
  <c r="O492" i="43"/>
  <c r="R492" i="43" s="1"/>
  <c r="T942" i="43"/>
  <c r="O942" i="43"/>
  <c r="T1002" i="43"/>
  <c r="O1002" i="43"/>
  <c r="T549" i="43"/>
  <c r="O549" i="43"/>
  <c r="T1121" i="43"/>
  <c r="O1121" i="43"/>
  <c r="O1099" i="43" s="1"/>
  <c r="T1060" i="43"/>
  <c r="O1060" i="43"/>
  <c r="O999" i="43"/>
  <c r="T999" i="43"/>
  <c r="R469" i="43"/>
  <c r="T937" i="43"/>
  <c r="O937" i="43"/>
  <c r="R510" i="43"/>
  <c r="M508" i="43" s="1"/>
  <c r="T938" i="43"/>
  <c r="O938" i="43"/>
  <c r="T1001" i="43"/>
  <c r="O1001" i="43"/>
  <c r="R771" i="43"/>
  <c r="R764" i="43"/>
  <c r="R758" i="43"/>
  <c r="T998" i="43"/>
  <c r="O998" i="43"/>
  <c r="O1118" i="43"/>
  <c r="O1096" i="43" s="1"/>
  <c r="T1118" i="43"/>
  <c r="O543" i="43"/>
  <c r="T939" i="43"/>
  <c r="O939" i="43"/>
  <c r="T940" i="43"/>
  <c r="O940" i="43"/>
  <c r="O1062" i="43"/>
  <c r="T1062" i="43"/>
  <c r="T1063" i="43"/>
  <c r="O1063" i="43"/>
  <c r="T1059" i="43"/>
  <c r="O1059" i="43"/>
  <c r="T1117" i="43"/>
  <c r="O1117" i="43"/>
  <c r="T1120" i="43"/>
  <c r="O1120" i="43"/>
  <c r="O1098" i="43" s="1"/>
  <c r="O503" i="43"/>
  <c r="R503" i="43" s="1"/>
  <c r="T523" i="43"/>
  <c r="O523" i="43"/>
  <c r="O1065" i="43" l="1"/>
  <c r="O1004" i="43"/>
  <c r="O943" i="43"/>
  <c r="R943" i="43" s="1"/>
  <c r="R1065" i="43"/>
  <c r="O1067" i="43"/>
  <c r="R1067" i="43" s="1"/>
  <c r="R761" i="43"/>
  <c r="R760" i="43"/>
  <c r="O508" i="43"/>
  <c r="M524" i="43"/>
  <c r="T508" i="43"/>
  <c r="M516" i="43"/>
  <c r="O516" i="43" s="1"/>
  <c r="R884" i="43"/>
  <c r="R827" i="43"/>
  <c r="O1095" i="43"/>
  <c r="O1123" i="43"/>
  <c r="R1123" i="43" s="1"/>
  <c r="R543" i="43"/>
  <c r="R537" i="43"/>
  <c r="M552" i="43"/>
  <c r="R1004" i="43"/>
  <c r="O1006" i="43"/>
  <c r="R1006" i="43" s="1"/>
  <c r="O945" i="43" l="1"/>
  <c r="R945" i="43" s="1"/>
  <c r="O552" i="43"/>
  <c r="O553" i="43" s="1"/>
  <c r="O559" i="43" s="1"/>
  <c r="T552" i="43"/>
  <c r="M509" i="43"/>
  <c r="O1101" i="43"/>
  <c r="R462" i="43"/>
  <c r="R830" i="43"/>
  <c r="R829" i="43"/>
  <c r="T524" i="43"/>
  <c r="O524" i="43"/>
  <c r="R465" i="43" l="1"/>
  <c r="R464" i="43"/>
  <c r="T509" i="43"/>
  <c r="M525" i="43"/>
  <c r="M517" i="43"/>
  <c r="O517" i="43" s="1"/>
  <c r="O519" i="43" s="1"/>
  <c r="R519" i="43" s="1"/>
  <c r="O509" i="43"/>
  <c r="O511" i="43" s="1"/>
  <c r="R1126" i="43"/>
  <c r="R1101" i="43"/>
  <c r="R471" i="43"/>
  <c r="R559" i="43"/>
  <c r="R531" i="43"/>
  <c r="R505" i="43" l="1"/>
  <c r="O1183" i="43"/>
  <c r="R1183" i="43" s="1"/>
  <c r="R535" i="43"/>
  <c r="R533" i="43"/>
  <c r="R1129" i="43"/>
  <c r="R1128" i="43"/>
  <c r="R476" i="43"/>
  <c r="R473" i="43"/>
  <c r="O525" i="43"/>
  <c r="O527" i="43" s="1"/>
  <c r="R527" i="43" s="1"/>
  <c r="T525" i="43"/>
  <c r="R508" i="43" l="1"/>
  <c r="R507" i="43"/>
  <c r="E22" i="34" l="1"/>
  <c r="E21" i="34"/>
  <c r="D22" i="34"/>
  <c r="D21" i="34"/>
  <c r="E23" i="34" l="1"/>
  <c r="J22" i="34"/>
  <c r="J21" i="34"/>
  <c r="B29" i="48" l="1"/>
  <c r="B29" i="39"/>
  <c r="G22" i="34"/>
  <c r="G21" i="34"/>
  <c r="H23" i="34" s="1"/>
  <c r="E18" i="39"/>
  <c r="E13" i="39"/>
  <c r="H15" i="39"/>
  <c r="I15" i="39" s="1"/>
  <c r="H14" i="39"/>
  <c r="E12" i="39"/>
  <c r="B9" i="39"/>
  <c r="C9" i="39" s="1"/>
  <c r="D9" i="39" s="1"/>
  <c r="H22" i="39"/>
  <c r="I22" i="39" s="1"/>
  <c r="E14" i="39"/>
  <c r="E15" i="39"/>
  <c r="E16" i="39"/>
  <c r="E17" i="39"/>
  <c r="E19" i="39"/>
  <c r="E20" i="39"/>
  <c r="E21" i="39"/>
  <c r="E22" i="39"/>
  <c r="F21" i="34"/>
  <c r="F22" i="34"/>
  <c r="D123" i="17"/>
  <c r="D129" i="17" s="1"/>
  <c r="D117" i="17"/>
  <c r="D72" i="17"/>
  <c r="D78" i="17"/>
  <c r="D82" i="17"/>
  <c r="D88" i="17"/>
  <c r="D93" i="17"/>
  <c r="D98" i="17"/>
  <c r="D40" i="17"/>
  <c r="D46" i="17"/>
  <c r="D50" i="17"/>
  <c r="D56" i="17"/>
  <c r="D62" i="17"/>
  <c r="D19" i="17"/>
  <c r="D23" i="17"/>
  <c r="D30" i="17"/>
  <c r="D34" i="17" s="1"/>
  <c r="G15" i="17"/>
  <c r="L15" i="17"/>
  <c r="M15" i="17" s="1"/>
  <c r="G16" i="17"/>
  <c r="L16" i="17"/>
  <c r="M16" i="17" s="1"/>
  <c r="G17" i="17"/>
  <c r="L17" i="17"/>
  <c r="M17" i="17" s="1"/>
  <c r="G18" i="17"/>
  <c r="L18" i="17"/>
  <c r="M18" i="17" s="1"/>
  <c r="E19" i="17"/>
  <c r="F19" i="17"/>
  <c r="H19" i="17"/>
  <c r="I19" i="17"/>
  <c r="J19" i="17"/>
  <c r="K19" i="17"/>
  <c r="G21" i="17"/>
  <c r="L21" i="17"/>
  <c r="M21" i="17" s="1"/>
  <c r="G22" i="17"/>
  <c r="L22" i="17"/>
  <c r="M22" i="17" s="1"/>
  <c r="E23" i="17"/>
  <c r="F23" i="17"/>
  <c r="H23" i="17"/>
  <c r="I23" i="17"/>
  <c r="J23" i="17"/>
  <c r="K23" i="17"/>
  <c r="K34" i="17" s="1"/>
  <c r="L25" i="17"/>
  <c r="M25" i="17" s="1"/>
  <c r="L26" i="17"/>
  <c r="M26" i="17"/>
  <c r="L27" i="17"/>
  <c r="M27" i="17" s="1"/>
  <c r="L28" i="17"/>
  <c r="M28" i="17" s="1"/>
  <c r="L29" i="17"/>
  <c r="M29" i="17" s="1"/>
  <c r="E30" i="17"/>
  <c r="F30" i="17"/>
  <c r="G30" i="17"/>
  <c r="H30" i="17"/>
  <c r="I30" i="17"/>
  <c r="J30" i="17"/>
  <c r="K30" i="17"/>
  <c r="G32" i="17"/>
  <c r="L32" i="17"/>
  <c r="M32" i="17" s="1"/>
  <c r="L33" i="17"/>
  <c r="M33" i="17" s="1"/>
  <c r="E34" i="17"/>
  <c r="G37" i="17"/>
  <c r="L37" i="17"/>
  <c r="M37" i="17"/>
  <c r="G38" i="17"/>
  <c r="G40" i="17" s="1"/>
  <c r="L38" i="17"/>
  <c r="M38" i="17" s="1"/>
  <c r="G39" i="17"/>
  <c r="L39" i="17"/>
  <c r="M39" i="17" s="1"/>
  <c r="E40" i="17"/>
  <c r="F40" i="17"/>
  <c r="H40" i="17"/>
  <c r="I40" i="17"/>
  <c r="J40" i="17"/>
  <c r="K40" i="17"/>
  <c r="G42" i="17"/>
  <c r="L42" i="17"/>
  <c r="M42" i="17" s="1"/>
  <c r="G44" i="17"/>
  <c r="L44" i="17"/>
  <c r="M44" i="17" s="1"/>
  <c r="G45" i="17"/>
  <c r="L45" i="17"/>
  <c r="M45" i="17" s="1"/>
  <c r="E46" i="17"/>
  <c r="F46" i="17"/>
  <c r="H46" i="17"/>
  <c r="I46" i="17"/>
  <c r="J46" i="17"/>
  <c r="K46" i="17"/>
  <c r="G48" i="17"/>
  <c r="L48" i="17"/>
  <c r="M48" i="17" s="1"/>
  <c r="G49" i="17"/>
  <c r="L49" i="17"/>
  <c r="M49" i="17" s="1"/>
  <c r="E50" i="17"/>
  <c r="F50" i="17"/>
  <c r="H50" i="17"/>
  <c r="I50" i="17"/>
  <c r="J50" i="17"/>
  <c r="K50" i="17"/>
  <c r="G52" i="17"/>
  <c r="L52" i="17"/>
  <c r="M52" i="17" s="1"/>
  <c r="G53" i="17"/>
  <c r="L53" i="17"/>
  <c r="M53" i="17" s="1"/>
  <c r="G54" i="17"/>
  <c r="L54" i="17"/>
  <c r="M54" i="17" s="1"/>
  <c r="G55" i="17"/>
  <c r="L55" i="17"/>
  <c r="M55" i="17" s="1"/>
  <c r="E56" i="17"/>
  <c r="F56" i="17"/>
  <c r="H56" i="17"/>
  <c r="I56" i="17"/>
  <c r="J56" i="17"/>
  <c r="K56" i="17"/>
  <c r="L58" i="17"/>
  <c r="M58" i="17" s="1"/>
  <c r="L59" i="17"/>
  <c r="M59" i="17" s="1"/>
  <c r="L60" i="17"/>
  <c r="M60" i="17" s="1"/>
  <c r="L61" i="17"/>
  <c r="M61" i="17" s="1"/>
  <c r="E62" i="17"/>
  <c r="F62" i="17"/>
  <c r="G62" i="17"/>
  <c r="H62" i="17"/>
  <c r="I62" i="17"/>
  <c r="J62" i="17"/>
  <c r="K62" i="17"/>
  <c r="G64" i="17"/>
  <c r="L64" i="17"/>
  <c r="M64" i="17" s="1"/>
  <c r="L65" i="17"/>
  <c r="M65" i="17" s="1"/>
  <c r="G69" i="17"/>
  <c r="L69" i="17"/>
  <c r="M69" i="17" s="1"/>
  <c r="G70" i="17"/>
  <c r="L70" i="17"/>
  <c r="M70" i="17" s="1"/>
  <c r="G71" i="17"/>
  <c r="L71" i="17"/>
  <c r="M71" i="17" s="1"/>
  <c r="E72" i="17"/>
  <c r="F72" i="17"/>
  <c r="H72" i="17"/>
  <c r="I72" i="17"/>
  <c r="J72" i="17"/>
  <c r="K72" i="17"/>
  <c r="G74" i="17"/>
  <c r="L74" i="17"/>
  <c r="M74" i="17"/>
  <c r="G76" i="17"/>
  <c r="L76" i="17"/>
  <c r="M76" i="17" s="1"/>
  <c r="G77" i="17"/>
  <c r="L77" i="17"/>
  <c r="M77" i="17" s="1"/>
  <c r="E78" i="17"/>
  <c r="F78" i="17"/>
  <c r="H78" i="17"/>
  <c r="I78" i="17"/>
  <c r="J78" i="17"/>
  <c r="K78" i="17"/>
  <c r="G80" i="17"/>
  <c r="L80" i="17"/>
  <c r="M80" i="17" s="1"/>
  <c r="G81" i="17"/>
  <c r="L81" i="17"/>
  <c r="M81" i="17" s="1"/>
  <c r="E82" i="17"/>
  <c r="F82" i="17"/>
  <c r="H82" i="17"/>
  <c r="I82" i="17"/>
  <c r="J82" i="17"/>
  <c r="K82" i="17"/>
  <c r="G84" i="17"/>
  <c r="G88" i="17" s="1"/>
  <c r="L84" i="17"/>
  <c r="M84" i="17" s="1"/>
  <c r="G85" i="17"/>
  <c r="L85" i="17"/>
  <c r="M85" i="17"/>
  <c r="G86" i="17"/>
  <c r="L86" i="17"/>
  <c r="M86" i="17" s="1"/>
  <c r="G87" i="17"/>
  <c r="L87" i="17"/>
  <c r="M87" i="17" s="1"/>
  <c r="E88" i="17"/>
  <c r="F88" i="17"/>
  <c r="H88" i="17"/>
  <c r="I88" i="17"/>
  <c r="J88" i="17"/>
  <c r="K88" i="17"/>
  <c r="G90" i="17"/>
  <c r="L90" i="17"/>
  <c r="M90" i="17" s="1"/>
  <c r="G91" i="17"/>
  <c r="L91" i="17"/>
  <c r="M91" i="17" s="1"/>
  <c r="G92" i="17"/>
  <c r="L92" i="17"/>
  <c r="M92" i="17" s="1"/>
  <c r="E93" i="17"/>
  <c r="F93" i="17"/>
  <c r="H93" i="17"/>
  <c r="I93" i="17"/>
  <c r="J93" i="17"/>
  <c r="K93" i="17"/>
  <c r="L95" i="17"/>
  <c r="M95" i="17" s="1"/>
  <c r="L96" i="17"/>
  <c r="M96" i="17" s="1"/>
  <c r="L97" i="17"/>
  <c r="M97" i="17" s="1"/>
  <c r="E98" i="17"/>
  <c r="F98" i="17"/>
  <c r="G98" i="17"/>
  <c r="H98" i="17"/>
  <c r="I98" i="17"/>
  <c r="J98" i="17"/>
  <c r="K98" i="17"/>
  <c r="G100" i="17"/>
  <c r="L100" i="17"/>
  <c r="M100" i="17" s="1"/>
  <c r="L101" i="17"/>
  <c r="M101" i="17" s="1"/>
  <c r="G105" i="17"/>
  <c r="L105" i="17"/>
  <c r="M105" i="17" s="1"/>
  <c r="G106" i="17"/>
  <c r="L106" i="17"/>
  <c r="M106" i="17" s="1"/>
  <c r="G107" i="17"/>
  <c r="L107" i="17"/>
  <c r="M107" i="17" s="1"/>
  <c r="G108" i="17"/>
  <c r="L108" i="17"/>
  <c r="M108" i="17" s="1"/>
  <c r="G109" i="17"/>
  <c r="L109" i="17"/>
  <c r="M109" i="17" s="1"/>
  <c r="G110" i="17"/>
  <c r="L110" i="17"/>
  <c r="M110" i="17" s="1"/>
  <c r="G111" i="17"/>
  <c r="L111" i="17"/>
  <c r="M111" i="17" s="1"/>
  <c r="G112" i="17"/>
  <c r="L112" i="17"/>
  <c r="M112" i="17" s="1"/>
  <c r="G113" i="17"/>
  <c r="L113" i="17"/>
  <c r="M113" i="17" s="1"/>
  <c r="G115" i="17"/>
  <c r="L115" i="17"/>
  <c r="M115" i="17" s="1"/>
  <c r="L116" i="17"/>
  <c r="M116" i="17"/>
  <c r="E117" i="17"/>
  <c r="F117" i="17"/>
  <c r="H117" i="17"/>
  <c r="I117" i="17"/>
  <c r="J117" i="17"/>
  <c r="K117" i="17"/>
  <c r="G120" i="17"/>
  <c r="L120" i="17"/>
  <c r="M120" i="17" s="1"/>
  <c r="G121" i="17"/>
  <c r="L121" i="17"/>
  <c r="M121" i="17" s="1"/>
  <c r="G122" i="17"/>
  <c r="L122" i="17"/>
  <c r="M122" i="17" s="1"/>
  <c r="E123" i="17"/>
  <c r="F123" i="17"/>
  <c r="F129" i="17" s="1"/>
  <c r="H123" i="17"/>
  <c r="H129" i="17" s="1"/>
  <c r="I123" i="17"/>
  <c r="I129" i="17" s="1"/>
  <c r="J123" i="17"/>
  <c r="J129" i="17" s="1"/>
  <c r="K123" i="17"/>
  <c r="K129" i="17" s="1"/>
  <c r="G125" i="17"/>
  <c r="L125" i="17"/>
  <c r="M125" i="17" s="1"/>
  <c r="G127" i="17"/>
  <c r="L127" i="17"/>
  <c r="M127" i="17" s="1"/>
  <c r="L128" i="17"/>
  <c r="M128" i="17" s="1"/>
  <c r="E129" i="17"/>
  <c r="G13" i="16"/>
  <c r="G14" i="16"/>
  <c r="G15" i="16" s="1"/>
  <c r="C13" i="16"/>
  <c r="D13" i="16"/>
  <c r="H13" i="16"/>
  <c r="D14" i="16"/>
  <c r="H14" i="16"/>
  <c r="H15" i="16" s="1"/>
  <c r="E18" i="16"/>
  <c r="E19" i="16"/>
  <c r="G27" i="16"/>
  <c r="G28" i="16"/>
  <c r="G30" i="16" s="1"/>
  <c r="G29" i="16"/>
  <c r="G33" i="16"/>
  <c r="G34" i="16"/>
  <c r="D25" i="16"/>
  <c r="G35" i="16"/>
  <c r="G38" i="16"/>
  <c r="G25" i="16"/>
  <c r="G39" i="16"/>
  <c r="D30" i="16"/>
  <c r="D20" i="16"/>
  <c r="G40" i="16"/>
  <c r="G43" i="16"/>
  <c r="G44" i="16"/>
  <c r="D36" i="16"/>
  <c r="G45" i="16"/>
  <c r="G48" i="16"/>
  <c r="G49" i="16"/>
  <c r="D41" i="16"/>
  <c r="G50" i="16"/>
  <c r="E15" i="16"/>
  <c r="F15" i="16"/>
  <c r="F20" i="16"/>
  <c r="G20" i="16"/>
  <c r="H20" i="16"/>
  <c r="E25" i="16"/>
  <c r="F25" i="16"/>
  <c r="H25" i="16"/>
  <c r="E30" i="16"/>
  <c r="F30" i="16"/>
  <c r="E36" i="16"/>
  <c r="F36" i="16"/>
  <c r="E41" i="16"/>
  <c r="F41" i="16"/>
  <c r="D47" i="16"/>
  <c r="E47" i="16"/>
  <c r="F47" i="16"/>
  <c r="D51" i="16"/>
  <c r="D52" i="16"/>
  <c r="E51" i="16"/>
  <c r="F51" i="16"/>
  <c r="I111" i="16"/>
  <c r="I112" i="16"/>
  <c r="E113" i="16"/>
  <c r="F113" i="16"/>
  <c r="G113" i="16"/>
  <c r="I113" i="16"/>
  <c r="I116" i="16"/>
  <c r="I117" i="16"/>
  <c r="I118" i="16"/>
  <c r="F156" i="16"/>
  <c r="G198" i="16"/>
  <c r="G208" i="16"/>
  <c r="G213" i="16"/>
  <c r="H219" i="16"/>
  <c r="H220" i="16"/>
  <c r="H221" i="16"/>
  <c r="G222" i="16"/>
  <c r="H222" i="16"/>
  <c r="I222" i="16"/>
  <c r="G225" i="16"/>
  <c r="H225" i="16"/>
  <c r="I225" i="16"/>
  <c r="G226" i="16"/>
  <c r="H226" i="16"/>
  <c r="I226" i="16"/>
  <c r="G227" i="16"/>
  <c r="H227" i="16"/>
  <c r="I227" i="16"/>
  <c r="G230" i="16"/>
  <c r="H230" i="16"/>
  <c r="I230" i="16"/>
  <c r="G231" i="16"/>
  <c r="H231" i="16"/>
  <c r="I231" i="16"/>
  <c r="G232" i="16"/>
  <c r="H232" i="16"/>
  <c r="I232" i="16"/>
  <c r="H235" i="16"/>
  <c r="H236" i="16"/>
  <c r="H237" i="16"/>
  <c r="D240" i="16"/>
  <c r="F240" i="16"/>
  <c r="H240" i="16"/>
  <c r="D241" i="16"/>
  <c r="F241" i="16"/>
  <c r="H241" i="16"/>
  <c r="D242" i="16"/>
  <c r="F242" i="16"/>
  <c r="H242" i="16"/>
  <c r="D245" i="16"/>
  <c r="F245" i="16"/>
  <c r="H245" i="16"/>
  <c r="D246" i="16"/>
  <c r="F246" i="16"/>
  <c r="H246" i="16"/>
  <c r="D247" i="16"/>
  <c r="F247" i="16"/>
  <c r="H247" i="16"/>
  <c r="H259" i="16"/>
  <c r="H260" i="16"/>
  <c r="E261" i="16"/>
  <c r="G261" i="16"/>
  <c r="H261" i="16"/>
  <c r="H264" i="16"/>
  <c r="H265" i="16"/>
  <c r="H266" i="16"/>
  <c r="H269" i="16"/>
  <c r="H270" i="16"/>
  <c r="H271" i="16"/>
  <c r="D274" i="16"/>
  <c r="H274" i="16"/>
  <c r="D275" i="16"/>
  <c r="H275" i="16"/>
  <c r="D276" i="16"/>
  <c r="H276" i="16"/>
  <c r="H279" i="16"/>
  <c r="H280" i="16"/>
  <c r="D281" i="16"/>
  <c r="H281" i="16"/>
  <c r="F284" i="16"/>
  <c r="H284" i="16"/>
  <c r="F285" i="16"/>
  <c r="H285" i="16"/>
  <c r="F286" i="16"/>
  <c r="H286" i="16"/>
  <c r="H289" i="16"/>
  <c r="D290" i="16"/>
  <c r="H290" i="16"/>
  <c r="D291" i="16"/>
  <c r="H291" i="16"/>
  <c r="D294" i="16"/>
  <c r="F294" i="16"/>
  <c r="H294" i="16"/>
  <c r="D295" i="16"/>
  <c r="F295" i="16"/>
  <c r="H295" i="16"/>
  <c r="D296" i="16"/>
  <c r="F296" i="16"/>
  <c r="H296" i="16"/>
  <c r="D299" i="16"/>
  <c r="H299" i="16"/>
  <c r="D300" i="16"/>
  <c r="H300" i="16"/>
  <c r="D301" i="16"/>
  <c r="F301" i="16"/>
  <c r="H301" i="16"/>
  <c r="H304" i="16"/>
  <c r="H305" i="16"/>
  <c r="H306" i="16"/>
  <c r="H312" i="16"/>
  <c r="H313" i="16"/>
  <c r="H314" i="16"/>
  <c r="H317" i="16"/>
  <c r="H318" i="16"/>
  <c r="H319" i="16"/>
  <c r="H322" i="16"/>
  <c r="H323" i="16"/>
  <c r="H324" i="16"/>
  <c r="H327" i="16"/>
  <c r="H328" i="16"/>
  <c r="C329" i="16"/>
  <c r="H329" i="16"/>
  <c r="D332" i="16"/>
  <c r="E332" i="16"/>
  <c r="F332" i="16"/>
  <c r="H332" i="16"/>
  <c r="I332" i="16"/>
  <c r="D333" i="16"/>
  <c r="E333" i="16"/>
  <c r="F333" i="16"/>
  <c r="H333" i="16"/>
  <c r="I333" i="16"/>
  <c r="D334" i="16"/>
  <c r="E334" i="16"/>
  <c r="F334" i="16"/>
  <c r="H334" i="16"/>
  <c r="I334" i="16"/>
  <c r="H337" i="16"/>
  <c r="H338" i="16"/>
  <c r="H339" i="16"/>
  <c r="D344" i="16"/>
  <c r="F344" i="16"/>
  <c r="D345" i="16"/>
  <c r="F345" i="16"/>
  <c r="D346" i="16"/>
  <c r="F346" i="16"/>
  <c r="C347" i="16"/>
  <c r="D347" i="16"/>
  <c r="E347" i="16"/>
  <c r="F347" i="16"/>
  <c r="C350" i="16"/>
  <c r="D350" i="16"/>
  <c r="E350" i="16"/>
  <c r="F350" i="16"/>
  <c r="C351" i="16"/>
  <c r="D351" i="16"/>
  <c r="E351" i="16"/>
  <c r="F351" i="16"/>
  <c r="C352" i="16"/>
  <c r="D352" i="16"/>
  <c r="E352" i="16"/>
  <c r="F352" i="16"/>
  <c r="C355" i="16"/>
  <c r="D355" i="16"/>
  <c r="E355" i="16"/>
  <c r="F355" i="16"/>
  <c r="C356" i="16"/>
  <c r="D356" i="16"/>
  <c r="E356" i="16"/>
  <c r="F356" i="16"/>
  <c r="C357" i="16"/>
  <c r="D357" i="16"/>
  <c r="E357" i="16"/>
  <c r="F357" i="16"/>
  <c r="D359" i="16"/>
  <c r="F359" i="16"/>
  <c r="D360" i="16"/>
  <c r="F360" i="16"/>
  <c r="D361" i="16"/>
  <c r="F361" i="16"/>
  <c r="D364" i="16"/>
  <c r="F364" i="16"/>
  <c r="D365" i="16"/>
  <c r="F365" i="16"/>
  <c r="D366" i="16"/>
  <c r="F366" i="16"/>
  <c r="D372" i="16"/>
  <c r="D373" i="16"/>
  <c r="E373" i="16"/>
  <c r="D374" i="16"/>
  <c r="D402" i="16"/>
  <c r="F402" i="16"/>
  <c r="D403" i="16"/>
  <c r="F403" i="16"/>
  <c r="D404" i="16"/>
  <c r="F404" i="16"/>
  <c r="D407" i="16"/>
  <c r="F407" i="16"/>
  <c r="D408" i="16"/>
  <c r="F408" i="16"/>
  <c r="D409" i="16"/>
  <c r="F409" i="16"/>
  <c r="D412" i="16"/>
  <c r="F412" i="16"/>
  <c r="D413" i="16"/>
  <c r="F413" i="16"/>
  <c r="D414" i="16"/>
  <c r="D417" i="16"/>
  <c r="F417" i="16"/>
  <c r="D418" i="16"/>
  <c r="F418" i="16"/>
  <c r="D419" i="16"/>
  <c r="F419" i="16"/>
  <c r="D422" i="16"/>
  <c r="F422" i="16"/>
  <c r="D423" i="16"/>
  <c r="F423" i="16"/>
  <c r="D424" i="16"/>
  <c r="F424" i="16"/>
  <c r="D440" i="16"/>
  <c r="F440" i="16"/>
  <c r="D441" i="16"/>
  <c r="F441" i="16"/>
  <c r="D442" i="16"/>
  <c r="F442" i="16"/>
  <c r="D450" i="16"/>
  <c r="E450" i="16"/>
  <c r="F450" i="16"/>
  <c r="D451" i="16"/>
  <c r="F451" i="16"/>
  <c r="D452" i="16"/>
  <c r="F452" i="16"/>
  <c r="D455" i="16"/>
  <c r="F455" i="16"/>
  <c r="D456" i="16"/>
  <c r="F456" i="16"/>
  <c r="D457" i="16"/>
  <c r="F457" i="16"/>
  <c r="D460" i="16"/>
  <c r="E460" i="16"/>
  <c r="F460" i="16"/>
  <c r="D461" i="16"/>
  <c r="E461" i="16"/>
  <c r="F461" i="16"/>
  <c r="D462" i="16"/>
  <c r="E462" i="16"/>
  <c r="F462" i="16"/>
  <c r="C41" i="15"/>
  <c r="C40" i="15"/>
  <c r="C39" i="15"/>
  <c r="H39" i="15" s="1"/>
  <c r="C38" i="15"/>
  <c r="C37" i="15"/>
  <c r="C36" i="15"/>
  <c r="H36" i="15" s="1"/>
  <c r="C35" i="15"/>
  <c r="H35" i="15" s="1"/>
  <c r="C34" i="15"/>
  <c r="C33" i="15"/>
  <c r="C32" i="15"/>
  <c r="B32" i="15"/>
  <c r="I25" i="12"/>
  <c r="B3" i="15" s="1"/>
  <c r="B6" i="15"/>
  <c r="B11" i="15"/>
  <c r="B23" i="15"/>
  <c r="C23" i="15" s="1"/>
  <c r="S35" i="15"/>
  <c r="S36" i="15"/>
  <c r="S37" i="15"/>
  <c r="S38" i="15"/>
  <c r="S39" i="15"/>
  <c r="S40" i="15"/>
  <c r="S41" i="15"/>
  <c r="S42" i="15"/>
  <c r="S43" i="15"/>
  <c r="S44" i="15"/>
  <c r="S45" i="15"/>
  <c r="H32" i="15"/>
  <c r="B33" i="15"/>
  <c r="E33" i="15" s="1"/>
  <c r="F33" i="15" s="1"/>
  <c r="H33" i="15"/>
  <c r="B34" i="15"/>
  <c r="H34" i="15"/>
  <c r="B35" i="15"/>
  <c r="B36" i="15"/>
  <c r="B37" i="15"/>
  <c r="E37" i="15" s="1"/>
  <c r="F37" i="15" s="1"/>
  <c r="H37" i="15"/>
  <c r="B38" i="15"/>
  <c r="H38" i="15"/>
  <c r="B39" i="15"/>
  <c r="B40" i="15"/>
  <c r="E40" i="15" s="1"/>
  <c r="F40" i="15" s="1"/>
  <c r="H40" i="15"/>
  <c r="B41" i="15"/>
  <c r="E41" i="15" s="1"/>
  <c r="F41" i="15" s="1"/>
  <c r="H41" i="15"/>
  <c r="H25" i="12"/>
  <c r="H26" i="12" s="1"/>
  <c r="G25" i="12"/>
  <c r="G26" i="12"/>
  <c r="F25" i="12"/>
  <c r="F26" i="12" s="1"/>
  <c r="E25" i="12"/>
  <c r="E26" i="12" s="1"/>
  <c r="D25" i="12"/>
  <c r="D26" i="12" s="1"/>
  <c r="C25" i="12"/>
  <c r="C26" i="12" s="1"/>
  <c r="I24" i="12"/>
  <c r="H24" i="12"/>
  <c r="G24" i="12"/>
  <c r="F24" i="12"/>
  <c r="E24" i="12"/>
  <c r="D24" i="12"/>
  <c r="C24" i="12"/>
  <c r="C31" i="15"/>
  <c r="C42" i="15" s="1"/>
  <c r="B31" i="15"/>
  <c r="B42" i="15" s="1"/>
  <c r="S34" i="15"/>
  <c r="S46" i="15" s="1"/>
  <c r="L82" i="17"/>
  <c r="G47" i="16" l="1"/>
  <c r="F66" i="17"/>
  <c r="G56" i="17"/>
  <c r="E36" i="15"/>
  <c r="F36" i="15" s="1"/>
  <c r="G36" i="16"/>
  <c r="J102" i="17"/>
  <c r="F102" i="17"/>
  <c r="G50" i="17"/>
  <c r="G66" i="17" s="1"/>
  <c r="I34" i="17"/>
  <c r="H66" i="17"/>
  <c r="L19" i="17"/>
  <c r="E102" i="17"/>
  <c r="J34" i="17"/>
  <c r="H29" i="39"/>
  <c r="H27" i="39" s="1"/>
  <c r="E29" i="39"/>
  <c r="B11" i="39"/>
  <c r="C29" i="39"/>
  <c r="C11" i="39" s="1"/>
  <c r="L56" i="17"/>
  <c r="B25" i="15"/>
  <c r="E29" i="48"/>
  <c r="H33" i="48" s="1"/>
  <c r="H34" i="48" s="1"/>
  <c r="H27" i="48" s="1"/>
  <c r="B11" i="48"/>
  <c r="C29" i="48"/>
  <c r="C11" i="48" s="1"/>
  <c r="C24" i="48" s="1"/>
  <c r="M30" i="17"/>
  <c r="I26" i="12"/>
  <c r="M82" i="17"/>
  <c r="L62" i="17"/>
  <c r="L23" i="17"/>
  <c r="L40" i="17"/>
  <c r="L98" i="17"/>
  <c r="E20" i="16"/>
  <c r="E31" i="16" s="1"/>
  <c r="D15" i="16"/>
  <c r="D31" i="16" s="1"/>
  <c r="H102" i="17"/>
  <c r="G82" i="17"/>
  <c r="G78" i="17"/>
  <c r="L30" i="17"/>
  <c r="E38" i="15"/>
  <c r="F38" i="15" s="1"/>
  <c r="L46" i="17"/>
  <c r="E39" i="15"/>
  <c r="F39" i="15" s="1"/>
  <c r="E35" i="15"/>
  <c r="F35" i="15" s="1"/>
  <c r="J66" i="17"/>
  <c r="J131" i="17" s="1"/>
  <c r="G19" i="17"/>
  <c r="F23" i="34"/>
  <c r="G23" i="34"/>
  <c r="G51" i="16"/>
  <c r="G31" i="16"/>
  <c r="I14" i="39"/>
  <c r="D11" i="15"/>
  <c r="B18" i="15" s="1"/>
  <c r="D18" i="15" s="1"/>
  <c r="N14" i="15"/>
  <c r="D20" i="15" s="1"/>
  <c r="E20" i="15" s="1"/>
  <c r="D12" i="15"/>
  <c r="C18" i="15" s="1"/>
  <c r="E18" i="15" s="1"/>
  <c r="D13" i="15"/>
  <c r="B19" i="15" s="1"/>
  <c r="C19" i="15" s="1"/>
  <c r="B5" i="15"/>
  <c r="B24" i="15" s="1"/>
  <c r="D14" i="15"/>
  <c r="B20" i="15" s="1"/>
  <c r="C20" i="15" s="1"/>
  <c r="C25" i="15"/>
  <c r="D23" i="15"/>
  <c r="E9" i="39"/>
  <c r="G9" i="39" s="1"/>
  <c r="E10" i="39"/>
  <c r="F52" i="16"/>
  <c r="E52" i="16"/>
  <c r="F31" i="16"/>
  <c r="G93" i="17"/>
  <c r="M72" i="17"/>
  <c r="M62" i="17"/>
  <c r="E66" i="17"/>
  <c r="E131" i="17" s="1"/>
  <c r="I66" i="17"/>
  <c r="M40" i="17"/>
  <c r="H34" i="17"/>
  <c r="M23" i="17"/>
  <c r="M19" i="17"/>
  <c r="M34" i="17" s="1"/>
  <c r="D102" i="17"/>
  <c r="E34" i="15"/>
  <c r="F34" i="15" s="1"/>
  <c r="E32" i="15"/>
  <c r="F32" i="15" s="1"/>
  <c r="I13" i="16"/>
  <c r="C14" i="16" s="1"/>
  <c r="I14" i="16" s="1"/>
  <c r="C17" i="16" s="1"/>
  <c r="I17" i="16" s="1"/>
  <c r="C18" i="16" s="1"/>
  <c r="I18" i="16" s="1"/>
  <c r="C19" i="16" s="1"/>
  <c r="I19" i="16" s="1"/>
  <c r="C22" i="16" s="1"/>
  <c r="I22" i="16" s="1"/>
  <c r="C23" i="16" s="1"/>
  <c r="I23" i="16" s="1"/>
  <c r="C24" i="16" s="1"/>
  <c r="I24" i="16" s="1"/>
  <c r="M123" i="17"/>
  <c r="G123" i="17"/>
  <c r="G129" i="17" s="1"/>
  <c r="G117" i="17"/>
  <c r="K102" i="17"/>
  <c r="K131" i="17" s="1"/>
  <c r="I102" i="17"/>
  <c r="L93" i="17"/>
  <c r="L78" i="17"/>
  <c r="G72" i="17"/>
  <c r="G102" i="17" s="1"/>
  <c r="L50" i="17"/>
  <c r="K66" i="17"/>
  <c r="M46" i="17"/>
  <c r="G46" i="17"/>
  <c r="F34" i="17"/>
  <c r="F131" i="17" s="1"/>
  <c r="G23" i="17"/>
  <c r="D66" i="17"/>
  <c r="D32" i="15"/>
  <c r="D34" i="15"/>
  <c r="D36" i="15"/>
  <c r="D38" i="15"/>
  <c r="D40" i="15"/>
  <c r="D31" i="15"/>
  <c r="D33" i="15"/>
  <c r="D35" i="15"/>
  <c r="D37" i="15"/>
  <c r="D39" i="15"/>
  <c r="D41" i="15"/>
  <c r="H31" i="15"/>
  <c r="H42" i="15" s="1"/>
  <c r="E31" i="15"/>
  <c r="F31" i="15" s="1"/>
  <c r="G41" i="16"/>
  <c r="G52" i="16" s="1"/>
  <c r="M78" i="17"/>
  <c r="M50" i="17"/>
  <c r="D24" i="15"/>
  <c r="E24" i="15" s="1"/>
  <c r="C24" i="15"/>
  <c r="T35" i="15"/>
  <c r="T39" i="15"/>
  <c r="T43" i="15"/>
  <c r="T38" i="15"/>
  <c r="T42" i="15"/>
  <c r="T37" i="15"/>
  <c r="T41" i="15"/>
  <c r="T45" i="15"/>
  <c r="T36" i="15"/>
  <c r="T40" i="15"/>
  <c r="T44" i="15"/>
  <c r="M129" i="17"/>
  <c r="M117" i="17"/>
  <c r="M98" i="17"/>
  <c r="M93" i="17"/>
  <c r="M88" i="17"/>
  <c r="M56" i="17"/>
  <c r="L123" i="17"/>
  <c r="L129" i="17" s="1"/>
  <c r="L117" i="17"/>
  <c r="L88" i="17"/>
  <c r="L72" i="17"/>
  <c r="T34" i="15"/>
  <c r="L34" i="17" l="1"/>
  <c r="D131" i="17"/>
  <c r="D132" i="17" s="1"/>
  <c r="E11" i="48"/>
  <c r="B24" i="48"/>
  <c r="H30" i="48"/>
  <c r="H24" i="48"/>
  <c r="I131" i="17"/>
  <c r="L66" i="17"/>
  <c r="G34" i="17"/>
  <c r="H131" i="17"/>
  <c r="B21" i="15"/>
  <c r="D19" i="15"/>
  <c r="E19" i="15" s="1"/>
  <c r="E21" i="15" s="1"/>
  <c r="C21" i="15"/>
  <c r="G40" i="15" s="1"/>
  <c r="I40" i="15" s="1"/>
  <c r="J40" i="15" s="1"/>
  <c r="D21" i="15"/>
  <c r="H9" i="39"/>
  <c r="H10" i="39"/>
  <c r="G131" i="17"/>
  <c r="M102" i="17"/>
  <c r="E23" i="15"/>
  <c r="E25" i="15" s="1"/>
  <c r="D25" i="15"/>
  <c r="M66" i="17"/>
  <c r="M131" i="17" s="1"/>
  <c r="C27" i="16"/>
  <c r="B28" i="15"/>
  <c r="B27" i="15"/>
  <c r="L102" i="17"/>
  <c r="J24" i="16"/>
  <c r="K24" i="16" s="1"/>
  <c r="L131" i="17" l="1"/>
  <c r="C27" i="15"/>
  <c r="E24" i="48"/>
  <c r="E27" i="48" s="1"/>
  <c r="E30" i="48" s="1"/>
  <c r="I11" i="48"/>
  <c r="H11" i="48" s="1"/>
  <c r="G11" i="48" s="1"/>
  <c r="I24" i="48"/>
  <c r="G31" i="15"/>
  <c r="G42" i="15" s="1"/>
  <c r="I42" i="15" s="1"/>
  <c r="G35" i="15"/>
  <c r="I35" i="15" s="1"/>
  <c r="J35" i="15" s="1"/>
  <c r="G36" i="15"/>
  <c r="I36" i="15" s="1"/>
  <c r="J36" i="15" s="1"/>
  <c r="G34" i="15"/>
  <c r="I34" i="15" s="1"/>
  <c r="J34" i="15" s="1"/>
  <c r="G33" i="15"/>
  <c r="I33" i="15" s="1"/>
  <c r="J33" i="15" s="1"/>
  <c r="G39" i="15"/>
  <c r="I39" i="15" s="1"/>
  <c r="J39" i="15" s="1"/>
  <c r="C28" i="15"/>
  <c r="G41" i="15"/>
  <c r="I41" i="15" s="1"/>
  <c r="J41" i="15" s="1"/>
  <c r="G38" i="15"/>
  <c r="I38" i="15" s="1"/>
  <c r="J38" i="15" s="1"/>
  <c r="G37" i="15"/>
  <c r="I37" i="15" s="1"/>
  <c r="J37" i="15" s="1"/>
  <c r="G32" i="15"/>
  <c r="I32" i="15" s="1"/>
  <c r="J32" i="15" s="1"/>
  <c r="D28" i="15"/>
  <c r="E28" i="15"/>
  <c r="E27" i="15"/>
  <c r="D27" i="15"/>
  <c r="I9" i="39"/>
  <c r="I10" i="39"/>
  <c r="I31" i="15"/>
  <c r="J31" i="15" s="1"/>
  <c r="J27" i="16"/>
  <c r="K27" i="16" s="1"/>
  <c r="H27" i="16" s="1"/>
  <c r="I19" i="48" l="1"/>
  <c r="H19" i="48" s="1"/>
  <c r="G19" i="48" s="1"/>
  <c r="I13" i="48"/>
  <c r="H13" i="48" s="1"/>
  <c r="G13" i="48" s="1"/>
  <c r="I20" i="48"/>
  <c r="H20" i="48" s="1"/>
  <c r="G20" i="48" s="1"/>
  <c r="I17" i="48"/>
  <c r="H17" i="48" s="1"/>
  <c r="G17" i="48" s="1"/>
  <c r="I18" i="48"/>
  <c r="H18" i="48" s="1"/>
  <c r="G18" i="48" s="1"/>
  <c r="I12" i="48"/>
  <c r="H12" i="48" s="1"/>
  <c r="G12" i="48" s="1"/>
  <c r="I21" i="48"/>
  <c r="H21" i="48" s="1"/>
  <c r="G21" i="48" s="1"/>
  <c r="I16" i="48"/>
  <c r="H16" i="48" s="1"/>
  <c r="G16" i="48" s="1"/>
  <c r="H24" i="39"/>
  <c r="I11" i="39" s="1"/>
  <c r="E11" i="39"/>
  <c r="E24" i="39" s="1"/>
  <c r="K24" i="39" s="1"/>
  <c r="I27" i="16"/>
  <c r="H30" i="39" l="1"/>
  <c r="E27" i="39"/>
  <c r="E30" i="39" s="1"/>
  <c r="H32" i="39"/>
  <c r="B24" i="39"/>
  <c r="C24" i="39"/>
  <c r="I24" i="39" s="1"/>
  <c r="C28" i="16"/>
  <c r="J28" i="16" s="1"/>
  <c r="K28" i="16" s="1"/>
  <c r="H28" i="16" s="1"/>
  <c r="I28" i="16" l="1"/>
  <c r="I16" i="39"/>
  <c r="H16" i="39" s="1"/>
  <c r="I20" i="39"/>
  <c r="H20" i="39" s="1"/>
  <c r="I17" i="39"/>
  <c r="H17" i="39" s="1"/>
  <c r="I21" i="39"/>
  <c r="H21" i="39" s="1"/>
  <c r="I12" i="39"/>
  <c r="H12" i="39" s="1"/>
  <c r="I18" i="39"/>
  <c r="H18" i="39" s="1"/>
  <c r="I19" i="39"/>
  <c r="H19" i="39" s="1"/>
  <c r="I13" i="39"/>
  <c r="H13" i="39" s="1"/>
  <c r="H11" i="39"/>
  <c r="G13" i="39" l="1"/>
  <c r="G18" i="39"/>
  <c r="G21" i="39"/>
  <c r="G20" i="39"/>
  <c r="C29" i="16"/>
  <c r="J29" i="16" s="1"/>
  <c r="K29" i="16" s="1"/>
  <c r="H29" i="16" s="1"/>
  <c r="H30" i="16" s="1"/>
  <c r="H31" i="16" s="1"/>
  <c r="G11" i="39"/>
  <c r="G19" i="39"/>
  <c r="G12" i="39"/>
  <c r="G17" i="39"/>
  <c r="G16" i="39"/>
  <c r="I29" i="16" l="1"/>
  <c r="C33" i="16" l="1"/>
  <c r="J33" i="16" s="1"/>
  <c r="K33" i="16" s="1"/>
  <c r="H33" i="16" s="1"/>
  <c r="I33" i="16" l="1"/>
  <c r="C34" i="16" l="1"/>
  <c r="J34" i="16" s="1"/>
  <c r="K34" i="16" s="1"/>
  <c r="H34" i="16" s="1"/>
  <c r="I34" i="16" l="1"/>
  <c r="C35" i="16" l="1"/>
  <c r="J35" i="16" s="1"/>
  <c r="K35" i="16" s="1"/>
  <c r="H35" i="16" s="1"/>
  <c r="H36" i="16" s="1"/>
  <c r="I35" i="16" l="1"/>
  <c r="C38" i="16" s="1"/>
  <c r="J38" i="16" l="1"/>
  <c r="K38" i="16" s="1"/>
  <c r="H38" i="16" s="1"/>
  <c r="I38" i="16" s="1"/>
  <c r="C39" i="16" l="1"/>
  <c r="J39" i="16"/>
  <c r="K39" i="16" s="1"/>
  <c r="H39" i="16" s="1"/>
  <c r="I39" i="16" l="1"/>
  <c r="C40" i="16" l="1"/>
  <c r="J40" i="16" s="1"/>
  <c r="K40" i="16" s="1"/>
  <c r="H40" i="16" s="1"/>
  <c r="H41" i="16" s="1"/>
  <c r="I40" i="16" l="1"/>
  <c r="C43" i="16" s="1"/>
  <c r="J43" i="16" l="1"/>
  <c r="K43" i="16" s="1"/>
  <c r="H43" i="16" s="1"/>
  <c r="I43" i="16" s="1"/>
  <c r="C44" i="16" l="1"/>
  <c r="J44" i="16"/>
  <c r="K44" i="16" s="1"/>
  <c r="H44" i="16" s="1"/>
  <c r="I44" i="16" l="1"/>
  <c r="C45" i="16" l="1"/>
  <c r="J45" i="16"/>
  <c r="K45" i="16" s="1"/>
  <c r="H45" i="16" s="1"/>
  <c r="H47" i="16" s="1"/>
  <c r="I45" i="16" l="1"/>
  <c r="C48" i="16" s="1"/>
  <c r="J48" i="16" l="1"/>
  <c r="K48" i="16" s="1"/>
  <c r="H48" i="16" s="1"/>
  <c r="I48" i="16" s="1"/>
  <c r="C49" i="16" l="1"/>
  <c r="J49" i="16"/>
  <c r="K49" i="16" s="1"/>
  <c r="H49" i="16" s="1"/>
  <c r="I49" i="16" l="1"/>
  <c r="C50" i="16" l="1"/>
  <c r="J50" i="16"/>
  <c r="K50" i="16" s="1"/>
  <c r="H50" i="16" s="1"/>
  <c r="H51" i="16" s="1"/>
  <c r="H52" i="16" s="1"/>
  <c r="I50" i="16" l="1"/>
</calcChain>
</file>

<file path=xl/comments1.xml><?xml version="1.0" encoding="utf-8"?>
<comments xmlns="http://schemas.openxmlformats.org/spreadsheetml/2006/main">
  <authors>
    <author>p74618</author>
  </authors>
  <commentList>
    <comment ref="Q54" authorId="0" shapeId="0">
      <text>
        <r>
          <rPr>
            <sz val="12"/>
            <color indexed="81"/>
            <rFont val="Times New Roman"/>
            <family val="1"/>
          </rPr>
          <t>Change this number to get the target revenue requirement</t>
        </r>
      </text>
    </comment>
  </commentList>
</comments>
</file>

<file path=xl/comments2.xml><?xml version="1.0" encoding="utf-8"?>
<comments xmlns="http://schemas.openxmlformats.org/spreadsheetml/2006/main">
  <authors>
    <author>James Zhang</author>
    <author>p74618</author>
  </authors>
  <commentList>
    <comment ref="Q21" authorId="0" shape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Q22" authorId="0" shape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Q23" authorId="0" shape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Q626" authorId="1" shapeId="0">
      <text>
        <r>
          <rPr>
            <sz val="12"/>
            <color indexed="81"/>
            <rFont val="Tahoma"/>
            <family val="2"/>
          </rPr>
          <t>Present</t>
        </r>
      </text>
    </comment>
    <comment ref="R626" authorId="1" shapeId="0">
      <text>
        <r>
          <rPr>
            <sz val="12"/>
            <color indexed="81"/>
            <rFont val="Tahoma"/>
            <family val="2"/>
          </rPr>
          <t>Proposed</t>
        </r>
      </text>
    </comment>
    <comment ref="Q627" authorId="1" shapeId="0">
      <text>
        <r>
          <rPr>
            <sz val="12"/>
            <color indexed="81"/>
            <rFont val="Tahoma"/>
            <family val="2"/>
          </rPr>
          <t>Change %</t>
        </r>
      </text>
    </comment>
    <comment ref="R627" authorId="1" shapeId="0">
      <text>
        <r>
          <rPr>
            <sz val="12"/>
            <color indexed="81"/>
            <rFont val="Tahoma"/>
            <family val="2"/>
          </rPr>
          <t>Change $</t>
        </r>
      </text>
    </comment>
    <comment ref="R781" authorId="0" shapeId="0">
      <text>
        <r>
          <rPr>
            <sz val="12"/>
            <color indexed="81"/>
            <rFont val="Tahoma"/>
            <family val="2"/>
          </rPr>
          <t>Using Sch23 and 8 To make the Table A Increase match the Total Utah Revenue Requirement</t>
        </r>
      </text>
    </comment>
    <comment ref="R782" authorId="0" shapeId="0">
      <text>
        <r>
          <rPr>
            <sz val="12"/>
            <color indexed="81"/>
            <rFont val="Tahoma"/>
            <family val="2"/>
          </rPr>
          <t>Using Sch23 and 8 To make the Table A Increase match the Total Utah Revenue Requirement</t>
        </r>
      </text>
    </comment>
  </commentList>
</comments>
</file>

<file path=xl/comments3.xml><?xml version="1.0" encoding="utf-8"?>
<comments xmlns="http://schemas.openxmlformats.org/spreadsheetml/2006/main">
  <authors>
    <author>Lyle Bankhead</author>
  </authors>
  <commentList>
    <comment ref="E69" authorId="0" shapeId="0">
      <text>
        <r>
          <rPr>
            <b/>
            <sz val="8"/>
            <color indexed="81"/>
            <rFont val="Tahoma"/>
            <family val="2"/>
          </rPr>
          <t>Lyle Bankhead:</t>
        </r>
        <r>
          <rPr>
            <sz val="8"/>
            <color indexed="81"/>
            <rFont val="Tahoma"/>
            <family val="2"/>
          </rPr>
          <t xml:space="preserve">
part of a one time credit allowed each customer of record.  Total to equal $1,800,000.</t>
        </r>
      </text>
    </comment>
    <comment ref="I72" authorId="0" shapeId="0">
      <text>
        <r>
          <rPr>
            <b/>
            <sz val="8"/>
            <color indexed="81"/>
            <rFont val="Tahoma"/>
            <family val="2"/>
          </rPr>
          <t>Lyle Bankhead:</t>
        </r>
        <r>
          <rPr>
            <sz val="8"/>
            <color indexed="81"/>
            <rFont val="Tahoma"/>
            <family val="2"/>
          </rPr>
          <t xml:space="preserve">
actual interest adj for Feb 06 interest calc error of 19.15.  See note at bottom of worksheet.</t>
        </r>
      </text>
    </comment>
  </commentList>
</comments>
</file>

<file path=xl/comments4.xml><?xml version="1.0" encoding="utf-8"?>
<comments xmlns="http://schemas.openxmlformats.org/spreadsheetml/2006/main">
  <authors>
    <author>Ben Ho</author>
    <author>PacifiCorp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Overbilling of $457.80 not refelcted in RVN 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Overbilled $9366.69 not flected in RVN
See Doc# 103655090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Overbilled COMPEQ $594.88 not reflected in RVN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Overbilling not refelcted in RVN $602.82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Overbilling of Holt Farms Inc. $2656.42 not reflected in RVN 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Overbilling of $168.57 not refected in RVN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Overbilling $156.18 not reflected in RVN
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</rPr>
          <t>Ben Ho:</t>
        </r>
        <r>
          <rPr>
            <sz val="8"/>
            <color indexed="81"/>
            <rFont val="Tahoma"/>
            <family val="2"/>
          </rPr>
          <t xml:space="preserve">
Correction of over billing posted to G/L but not reflected in RVN due to missing charging component.
</t>
        </r>
      </text>
    </comment>
    <comment ref="D232" authorId="1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Included the 550700 &amp; 550701 of the Credit section.
</t>
        </r>
      </text>
    </comment>
  </commentList>
</comments>
</file>

<file path=xl/comments5.xml><?xml version="1.0" encoding="utf-8"?>
<comments xmlns="http://schemas.openxmlformats.org/spreadsheetml/2006/main">
  <authors>
    <author>PacifiCorp</author>
    <author>James Zhang</author>
  </authors>
  <commentList>
    <comment ref="B15" authorId="0" shapeId="0">
      <text>
        <r>
          <rPr>
            <sz val="10"/>
            <color indexed="81"/>
            <rFont val="Tahoma"/>
            <family val="2"/>
          </rPr>
          <t>Includes 08RESD0150 AND NETMETERING</t>
        </r>
      </text>
    </comment>
    <comment ref="B42" authorId="1" shapeId="0">
      <text>
        <r>
          <rPr>
            <sz val="12"/>
            <color indexed="81"/>
            <rFont val="Tahoma"/>
            <family val="2"/>
          </rPr>
          <t>Include 6T</t>
        </r>
      </text>
    </comment>
    <comment ref="B74" authorId="1" shapeId="0">
      <text>
        <r>
          <rPr>
            <sz val="12"/>
            <color indexed="81"/>
            <rFont val="Tahoma"/>
            <family val="2"/>
          </rPr>
          <t>Include 6T</t>
        </r>
      </text>
    </comment>
  </commentList>
</comments>
</file>

<file path=xl/comments6.xml><?xml version="1.0" encoding="utf-8"?>
<comments xmlns="http://schemas.openxmlformats.org/spreadsheetml/2006/main">
  <authors>
    <author>johnw</author>
  </authors>
  <commentList>
    <comment ref="O14" authorId="0" shapeId="0">
      <text>
        <r>
          <rPr>
            <b/>
            <sz val="8"/>
            <color indexed="81"/>
            <rFont val="Tahoma"/>
            <family val="2"/>
          </rPr>
          <t>johnw:</t>
        </r>
        <r>
          <rPr>
            <sz val="8"/>
            <color indexed="81"/>
            <rFont val="Tahoma"/>
            <family val="2"/>
          </rPr>
          <t xml:space="preserve">
As Specified in final report page IV-10 ($1,460 per move)</t>
        </r>
      </text>
    </comment>
  </commentList>
</comments>
</file>

<file path=xl/sharedStrings.xml><?xml version="1.0" encoding="utf-8"?>
<sst xmlns="http://schemas.openxmlformats.org/spreadsheetml/2006/main" count="3533" uniqueCount="744">
  <si>
    <t>Program Benefits</t>
  </si>
  <si>
    <t>Per Participant</t>
  </si>
  <si>
    <t>Program</t>
  </si>
  <si>
    <t>Cost of Collections</t>
  </si>
  <si>
    <t>Mobility</t>
  </si>
  <si>
    <t xml:space="preserve"> Benefits </t>
  </si>
  <si>
    <t>Surcharge</t>
  </si>
  <si>
    <t>Reduction in Arrears</t>
  </si>
  <si>
    <t>Reduction in Notices</t>
  </si>
  <si>
    <t>Reduction in Mobility</t>
  </si>
  <si>
    <t>Total Benefits</t>
  </si>
  <si>
    <t>Costs</t>
  </si>
  <si>
    <t>Total Costs</t>
  </si>
  <si>
    <t>B/C Ratios</t>
  </si>
  <si>
    <t>NPV</t>
  </si>
  <si>
    <t>Cost</t>
  </si>
  <si>
    <t xml:space="preserve">   Credit</t>
  </si>
  <si>
    <t xml:space="preserve">   Admin</t>
  </si>
  <si>
    <t xml:space="preserve">   Evaluation</t>
  </si>
  <si>
    <t>HELP Only</t>
  </si>
  <si>
    <t>Arrears Reduction (HELP+ HEAT)</t>
  </si>
  <si>
    <t>HEAT&amp;HELP</t>
  </si>
  <si>
    <t>Arrears Reduction (HELP Only)</t>
  </si>
  <si>
    <t>No. of moves</t>
  </si>
  <si>
    <t>Cost per move</t>
  </si>
  <si>
    <t>Ratepayers</t>
  </si>
  <si>
    <t>Administration</t>
  </si>
  <si>
    <t>Average</t>
  </si>
  <si>
    <t>No. of</t>
  </si>
  <si>
    <t>Customer</t>
  </si>
  <si>
    <t>Revenue</t>
  </si>
  <si>
    <t xml:space="preserve">Residential-Sch. 1,2,3 &amp; 25 </t>
  </si>
  <si>
    <t>Schedules 6, 6A &amp; 6B</t>
  </si>
  <si>
    <t>Schedule 7</t>
  </si>
  <si>
    <t>Schedule 8</t>
  </si>
  <si>
    <t>Schedules 9, 9A &amp; 9B</t>
  </si>
  <si>
    <t>Schedule 10</t>
  </si>
  <si>
    <t>Schedule 11</t>
  </si>
  <si>
    <t>Schedule 12 &amp; 13</t>
  </si>
  <si>
    <t>Schedule 21</t>
  </si>
  <si>
    <t>Schedules 23 &amp; 23B</t>
  </si>
  <si>
    <t>Schedule 31</t>
  </si>
  <si>
    <t xml:space="preserve">Amt needed by schedule </t>
  </si>
  <si>
    <t>Annually</t>
  </si>
  <si>
    <t>PacifiCorp</t>
  </si>
  <si>
    <t>Rocky Mountain Power</t>
  </si>
  <si>
    <t xml:space="preserve">Utah Low Income Lifeline Program Recipients </t>
  </si>
  <si>
    <t>For the Period 2000 - 2007 (est.)</t>
  </si>
  <si>
    <t>Low Income Recipients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</si>
  <si>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</si>
  <si>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</si>
  <si>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</si>
  <si>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</si>
  <si>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</si>
  <si>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</si>
  <si>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</si>
  <si>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</si>
  <si>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</si>
  <si>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</si>
  <si>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</si>
  <si>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</si>
  <si>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Average Monthly Recipients </t>
  </si>
  <si>
    <t>Total Year Recipients</t>
  </si>
  <si>
    <t>Total Credit @$8 per Recipient</t>
  </si>
  <si>
    <t>Number of Participant-Months</t>
  </si>
  <si>
    <t xml:space="preserve">Utah Low Income Lifeline Program Reporting </t>
  </si>
  <si>
    <t xml:space="preserve"> </t>
  </si>
  <si>
    <t>Proposed</t>
  </si>
  <si>
    <t>Surcharge Available to Recipients</t>
  </si>
  <si>
    <t>Monthly</t>
  </si>
  <si>
    <t>Credit per Customer</t>
  </si>
  <si>
    <t>Schedule</t>
  </si>
  <si>
    <t>Percent of Total</t>
  </si>
  <si>
    <t>last year</t>
  </si>
  <si>
    <t>Number of Customers</t>
  </si>
  <si>
    <t>Per Customer Per Month (Cents)</t>
  </si>
  <si>
    <t>Reduction</t>
  </si>
  <si>
    <t>Benefit (HELP &amp; Heat)</t>
  </si>
  <si>
    <t xml:space="preserve">G/L Acct. #248200 Utah Lifeline Account Monthly Activity </t>
  </si>
  <si>
    <t>Beg. Acct.</t>
  </si>
  <si>
    <t>Credit</t>
  </si>
  <si>
    <t>End. Acct.</t>
  </si>
  <si>
    <t xml:space="preserve">Year </t>
  </si>
  <si>
    <t>Month</t>
  </si>
  <si>
    <t>Balance</t>
  </si>
  <si>
    <t>YTD 2000</t>
  </si>
  <si>
    <t>1st Qtr. 2001</t>
  </si>
  <si>
    <t>2nd Qtr. 2001</t>
  </si>
  <si>
    <t>3rd Qtr. 2001</t>
  </si>
  <si>
    <t>4th Qtr. 2001</t>
  </si>
  <si>
    <t>1st Qtr. 2002</t>
  </si>
  <si>
    <t>2nd Qtr. 2002</t>
  </si>
  <si>
    <t>3rd Qtr. 2002</t>
  </si>
  <si>
    <t>4th Qtr. 2002</t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</si>
  <si>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</si>
  <si>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</si>
  <si>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</si>
  <si>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</si>
  <si>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</si>
  <si>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</si>
  <si>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</si>
  <si>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</si>
  <si>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</si>
  <si>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</si>
  <si>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</si>
  <si>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</si>
  <si>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For the Period January 2006 - December 2007</t>
  </si>
  <si>
    <t>Collection</t>
  </si>
  <si>
    <t>Pacificorp</t>
  </si>
  <si>
    <t>D.C.E.D.</t>
  </si>
  <si>
    <t>Granted</t>
  </si>
  <si>
    <t>Interest*</t>
  </si>
  <si>
    <t>Recipients</t>
  </si>
  <si>
    <t>1st Qtr. 2006</t>
  </si>
  <si>
    <t>2nd Qtr. 2006</t>
  </si>
  <si>
    <t>Est</t>
  </si>
  <si>
    <t>3rd Qtr. 2006</t>
  </si>
  <si>
    <t>4th Qtr. 2006</t>
  </si>
  <si>
    <t>Total for Year</t>
  </si>
  <si>
    <t>1st Qtr. 2007</t>
  </si>
  <si>
    <t>2nd Qtr. 2007</t>
  </si>
  <si>
    <t>3rd Qtr. 2007</t>
  </si>
  <si>
    <t>4th Qtr. 2007</t>
  </si>
  <si>
    <t xml:space="preserve">(1) A positive balance represents an under-collection in the account. </t>
  </si>
  <si>
    <t>* Interest Rate @ 7.231% per filing</t>
  </si>
  <si>
    <t xml:space="preserve">Additional Reporting Required Information  </t>
  </si>
  <si>
    <t>Notices</t>
  </si>
  <si>
    <t>Schedule 3</t>
  </si>
  <si>
    <t>Schedule 1</t>
  </si>
  <si>
    <t>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</si>
  <si>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</si>
  <si>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</si>
  <si>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</si>
  <si>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</si>
  <si>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</si>
  <si>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t>** Disconnects from September 2000 to current have been revised. Disconnects are now all disconnects versus the net of disconnects and reconnects.</t>
  </si>
  <si>
    <r>
      <t>Balance</t>
    </r>
    <r>
      <rPr>
        <b/>
        <vertAlign val="superscript"/>
        <sz val="12"/>
        <rFont val="Arial Narrow"/>
        <family val="2"/>
      </rPr>
      <t>(1)</t>
    </r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</si>
  <si>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</si>
  <si>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</si>
  <si>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</si>
  <si>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</si>
  <si>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</si>
  <si>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</si>
  <si>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</si>
  <si>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</si>
  <si>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</si>
  <si>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2006 *</t>
  </si>
  <si>
    <t>2007 *</t>
  </si>
  <si>
    <t xml:space="preserve">   *  October 2006 through December 2007 are estimated</t>
  </si>
  <si>
    <t>Table B</t>
  </si>
  <si>
    <t>Table C</t>
  </si>
  <si>
    <t>Table D</t>
  </si>
  <si>
    <t>TRC/Societal</t>
  </si>
  <si>
    <t>Table 2</t>
  </si>
  <si>
    <t>State of Utah</t>
  </si>
  <si>
    <t>Customer, kWh, and Revenue Adjustments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</si>
  <si>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</si>
  <si>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</si>
  <si>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</si>
  <si>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</si>
  <si>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</si>
  <si>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</si>
  <si>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</si>
  <si>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</si>
  <si>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</si>
  <si>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</si>
  <si>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Adjusted</t>
  </si>
  <si>
    <t>Booked</t>
  </si>
  <si>
    <t>Type 1</t>
  </si>
  <si>
    <t>Actual</t>
  </si>
  <si>
    <t>Type 2</t>
  </si>
  <si>
    <t>Type 3</t>
  </si>
  <si>
    <t>Total</t>
  </si>
  <si>
    <t>Customers</t>
  </si>
  <si>
    <t>kWh</t>
  </si>
  <si>
    <t>Revenues</t>
  </si>
  <si>
    <t>Adjustments</t>
  </si>
  <si>
    <t>Residential</t>
  </si>
  <si>
    <t>08RESD0001</t>
  </si>
  <si>
    <t>08RESD0002</t>
  </si>
  <si>
    <t>08RESD0003</t>
  </si>
  <si>
    <t>08MHTP0025</t>
  </si>
  <si>
    <t>Subtotal</t>
  </si>
  <si>
    <t>08OALT007R</t>
  </si>
  <si>
    <t>08PTLD000R</t>
  </si>
  <si>
    <t>08BLSKY01R</t>
  </si>
  <si>
    <t>08RFND1999</t>
  </si>
  <si>
    <t>08ZZMERGCR</t>
  </si>
  <si>
    <t xml:space="preserve">08COOLKPRR </t>
  </si>
  <si>
    <t>SMUD REVENUE IMPUTATIONS</t>
  </si>
  <si>
    <t>Unbilled</t>
  </si>
  <si>
    <t>AGA/Revenue Credit</t>
  </si>
  <si>
    <t>Commercial</t>
  </si>
  <si>
    <t>08GNSV0006/M/MN</t>
  </si>
  <si>
    <t>08GNSV006A/AM</t>
  </si>
  <si>
    <t>08GNSV006B/BM</t>
  </si>
  <si>
    <t>08GNSV0008/M</t>
  </si>
  <si>
    <t>08GNSV0009/M</t>
  </si>
  <si>
    <t>08GNSV009A/AM/LM</t>
  </si>
  <si>
    <t>08GNSV0023/M/F/NET</t>
  </si>
  <si>
    <t>08PRSV031M</t>
  </si>
  <si>
    <t>08OALT007N</t>
  </si>
  <si>
    <t>08SLCU1202/F</t>
  </si>
  <si>
    <t>08SLCU1203</t>
  </si>
  <si>
    <t>08PTLD000N</t>
  </si>
  <si>
    <t>08BLSKY01N/M</t>
  </si>
  <si>
    <t>08COOLKPRN</t>
  </si>
  <si>
    <t>Industrial</t>
  </si>
  <si>
    <t>08GNSV006B</t>
  </si>
  <si>
    <t>08GNSV009A/AM</t>
  </si>
  <si>
    <t>08APSV0010</t>
  </si>
  <si>
    <t>08APSV10NS</t>
  </si>
  <si>
    <t>08EFOP0021/M</t>
  </si>
  <si>
    <t>08GNSV0023/F</t>
  </si>
  <si>
    <t>08SPCL (1,2,3,5)</t>
  </si>
  <si>
    <t>08SLCU1202</t>
  </si>
  <si>
    <t>08BLSKY01N</t>
  </si>
  <si>
    <t>Public Street &amp; Highway Lighting</t>
  </si>
  <si>
    <t>08SLCO0011</t>
  </si>
  <si>
    <t>08SLCU121A/B</t>
  </si>
  <si>
    <t>08SLD13 E/M/F S1</t>
  </si>
  <si>
    <t>08SLD13 E/M/F S2</t>
  </si>
  <si>
    <t>08HAXT0060</t>
  </si>
  <si>
    <t>08THIK0077</t>
  </si>
  <si>
    <t>Other Sales to Public Authorities</t>
  </si>
  <si>
    <t>08GNSV0006</t>
  </si>
  <si>
    <t>08GNSV0009/9M</t>
  </si>
  <si>
    <t>08GNSV0023</t>
  </si>
  <si>
    <t>Source:</t>
  </si>
  <si>
    <t>305 Report</t>
  </si>
  <si>
    <t>Temperature and</t>
  </si>
  <si>
    <t>B + C</t>
  </si>
  <si>
    <t>Table 3</t>
  </si>
  <si>
    <t>F + G + H</t>
  </si>
  <si>
    <t>E + I</t>
  </si>
  <si>
    <t>Table 4 Situs</t>
  </si>
  <si>
    <t>1.  Type 1 adjustment on kWh's includes weather normalization, special contract normalization and pass-through kWhs.</t>
  </si>
  <si>
    <t>2.  Type 1 adjustment on revenue includes weather normalization, removal of Merge Credit, Blue Sky, Cool Keeper, SMUD and, special contract normalization and pass-through revenues.</t>
  </si>
  <si>
    <t>3.  Type 2 adjustment on revenues includes annualization of changes in rates.</t>
  </si>
  <si>
    <t>4.  Type 3 adjustment on revenues includes proforma adjustments due to rate change.</t>
  </si>
  <si>
    <r>
      <t xml:space="preserve">Adjustments </t>
    </r>
    <r>
      <rPr>
        <vertAlign val="superscript"/>
        <sz val="12"/>
        <rFont val="Times New Roman"/>
        <family val="1"/>
      </rPr>
      <t>1</t>
    </r>
  </si>
  <si>
    <r>
      <t xml:space="preserve">Adjustments </t>
    </r>
    <r>
      <rPr>
        <vertAlign val="superscript"/>
        <sz val="12"/>
        <rFont val="Times New Roman"/>
        <family val="1"/>
      </rPr>
      <t>2</t>
    </r>
  </si>
  <si>
    <r>
      <t xml:space="preserve">Adjustments </t>
    </r>
    <r>
      <rPr>
        <vertAlign val="superscript"/>
        <sz val="12"/>
        <rFont val="Times New Roman"/>
        <family val="1"/>
      </rPr>
      <t>3</t>
    </r>
  </si>
  <si>
    <r>
      <t>Adjustments</t>
    </r>
    <r>
      <rPr>
        <vertAlign val="superscript"/>
        <sz val="12"/>
        <rFont val="Times New Roman"/>
        <family val="1"/>
      </rPr>
      <t>4</t>
    </r>
  </si>
  <si>
    <t>Irrigation</t>
  </si>
  <si>
    <t>June</t>
  </si>
  <si>
    <t>July</t>
  </si>
  <si>
    <t>Rate</t>
  </si>
  <si>
    <t>Totals</t>
  </si>
  <si>
    <t>Historical 12 Months Ended June 2008</t>
  </si>
  <si>
    <t>Forecast</t>
  </si>
  <si>
    <t>%</t>
  </si>
  <si>
    <t>Estimated Effect of Proposed Changes</t>
  </si>
  <si>
    <t>on Revenues from Electric Sales to Ultimate Consumers in Utah</t>
  </si>
  <si>
    <t xml:space="preserve">Present </t>
  </si>
  <si>
    <t>Line</t>
  </si>
  <si>
    <t>Sch</t>
  </si>
  <si>
    <t>MWh</t>
  </si>
  <si>
    <t>Change</t>
  </si>
  <si>
    <t xml:space="preserve">Avg </t>
  </si>
  <si>
    <t>No.</t>
  </si>
  <si>
    <t>Description</t>
  </si>
  <si>
    <t>($000)</t>
  </si>
  <si>
    <t>(%)</t>
  </si>
  <si>
    <t>¢/kWh</t>
  </si>
  <si>
    <t>1,3</t>
  </si>
  <si>
    <t>Residential-Optional TOD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</si>
  <si>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</si>
  <si>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</si>
  <si>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</si>
  <si>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</si>
  <si>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</si>
  <si>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</si>
  <si>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</si>
  <si>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</si>
  <si>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</si>
  <si>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</si>
  <si>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</si>
  <si>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</si>
  <si>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</si>
  <si>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</si>
  <si>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</si>
  <si>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</si>
  <si>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</si>
  <si>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</si>
  <si>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</si>
  <si>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</si>
  <si>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</si>
  <si>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</si>
  <si>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</si>
  <si>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</si>
  <si>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</si>
  <si>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Subtotal Public Street Lighting</t>
  </si>
  <si>
    <t>Security Area Lighting-Contracts (PTL)</t>
  </si>
  <si>
    <t>Total Public Street Lighting</t>
  </si>
  <si>
    <t>Total Sales to Ultimate Customers</t>
  </si>
  <si>
    <t>Rocky Mountain Power - State of Utah</t>
  </si>
  <si>
    <t>Forecasted</t>
  </si>
  <si>
    <t>Actual Units</t>
  </si>
  <si>
    <t>Units</t>
  </si>
  <si>
    <t>Price</t>
  </si>
  <si>
    <t>Dollars</t>
  </si>
  <si>
    <t>Schedule No. 1- Residential Service</t>
  </si>
  <si>
    <t xml:space="preserve">  Customer Charge</t>
  </si>
  <si>
    <t xml:space="preserve">  First 400 kWh (May-Sept)</t>
  </si>
  <si>
    <t>¢</t>
  </si>
  <si>
    <t xml:space="preserve">  Next 600 kWh (May-Sept)</t>
  </si>
  <si>
    <t xml:space="preserve">  All add'l kWh (May-Sept)</t>
  </si>
  <si>
    <t xml:space="preserve">  All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</si>
  <si>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</si>
  <si>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</si>
  <si>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</si>
  <si>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</si>
  <si>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Unbilled</t>
  </si>
  <si>
    <t xml:space="preserve">  Total</t>
  </si>
  <si>
    <t xml:space="preserve">  On-Peak kWh (May - Sept)</t>
  </si>
  <si>
    <t xml:space="preserve">  Off-Peak kWh (May - Sept)</t>
  </si>
  <si>
    <t xml:space="preserve">  All kWh</t>
  </si>
  <si>
    <t>Schedules 9&amp; 9A</t>
  </si>
  <si>
    <t>Schedule 12</t>
  </si>
  <si>
    <t>Schedule 15</t>
  </si>
  <si>
    <t>Present</t>
  </si>
  <si>
    <t>$/month</t>
  </si>
  <si>
    <t>Current Sch 91</t>
  </si>
  <si>
    <t>Balance Adjustment</t>
  </si>
  <si>
    <t>Proposed Sch 91 - $50 CAP</t>
  </si>
  <si>
    <t>Sch 91 &amp; 3 Differentials</t>
  </si>
  <si>
    <t xml:space="preserve">Schedules. 1,2 &amp; 25 </t>
  </si>
  <si>
    <t>Schedule 23</t>
  </si>
  <si>
    <t>Administrative Fee</t>
  </si>
  <si>
    <t>Proposed Changes to Low Income Lifeline Program</t>
  </si>
  <si>
    <t>August</t>
  </si>
  <si>
    <t>September</t>
  </si>
  <si>
    <t>October</t>
  </si>
  <si>
    <t>November</t>
  </si>
  <si>
    <t>December</t>
  </si>
  <si>
    <t>Adj Sch 1 (125%)</t>
  </si>
  <si>
    <t>GRC Forecast</t>
  </si>
  <si>
    <t>Forecast 2010 (125%)</t>
  </si>
  <si>
    <t>Total Utah DSM</t>
  </si>
  <si>
    <t>Metered Outdoor Lighting</t>
  </si>
  <si>
    <t>Traffic Signal Systems</t>
  </si>
  <si>
    <t xml:space="preserve">  Customer Charge - 1 Phase</t>
  </si>
  <si>
    <t xml:space="preserve">  Customer Charge - 3 Phase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</si>
  <si>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</si>
  <si>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</si>
  <si>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</si>
  <si>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</si>
  <si>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</si>
  <si>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</si>
  <si>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</si>
  <si>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</si>
  <si>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</si>
  <si>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</si>
  <si>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</si>
  <si>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</si>
  <si>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</si>
  <si>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</si>
  <si>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</si>
  <si>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Schedule No. 6B - Demand Time-of-Day Option - Commercial</t>
  </si>
  <si>
    <t xml:space="preserve">  All On-peak kW (May - Sept)</t>
  </si>
  <si>
    <t xml:space="preserve">  All On-peak kW (Oct - Apr)</t>
  </si>
  <si>
    <t>Schedule No. 6B - Demand Time-of-Day Option - Industrial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</si>
  <si>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</si>
  <si>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</si>
  <si>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</si>
  <si>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</si>
  <si>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</si>
  <si>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</si>
  <si>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</si>
  <si>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</si>
  <si>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</si>
  <si>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</si>
  <si>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</si>
  <si>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</si>
  <si>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</si>
  <si>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</si>
  <si>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</si>
  <si>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</si>
  <si>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</si>
  <si>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</si>
  <si>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</si>
  <si>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</si>
  <si>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</si>
  <si>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</si>
  <si>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</si>
  <si>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</si>
  <si>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</si>
  <si>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</si>
  <si>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</si>
  <si>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</si>
  <si>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</si>
  <si>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</si>
  <si>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</si>
  <si>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</si>
  <si>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 xml:space="preserve">  kWh Included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</si>
  <si>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</si>
  <si>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</si>
  <si>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</si>
  <si>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</si>
  <si>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</si>
  <si>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</si>
  <si>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</si>
  <si>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</si>
  <si>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</si>
  <si>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>Schedule No. 9A - Energy TOD - Commercial</t>
  </si>
  <si>
    <t xml:space="preserve">  Facilities Charge per kW</t>
  </si>
  <si>
    <t xml:space="preserve">  On-Peak kWh</t>
  </si>
  <si>
    <t>Schedule No. 9A - Energy TOD - Industrial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</si>
  <si>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</si>
  <si>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</si>
  <si>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</si>
  <si>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</si>
  <si>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</si>
  <si>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</si>
  <si>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</si>
  <si>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</si>
  <si>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</si>
  <si>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</si>
  <si>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</si>
  <si>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</si>
  <si>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</si>
  <si>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</si>
  <si>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</si>
  <si>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</si>
  <si>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</si>
  <si>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</si>
  <si>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</si>
  <si>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</si>
  <si>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</si>
  <si>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</si>
  <si>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</si>
  <si>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</si>
  <si>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</si>
  <si>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</si>
  <si>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</si>
  <si>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</si>
  <si>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</si>
  <si>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</si>
  <si>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</si>
  <si>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</si>
  <si>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</si>
  <si>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</si>
  <si>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</si>
  <si>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</si>
  <si>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</si>
  <si>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</si>
  <si>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</si>
  <si>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</si>
  <si>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</si>
  <si>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</si>
  <si>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</si>
  <si>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</si>
  <si>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</si>
  <si>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</si>
  <si>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</si>
  <si>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</si>
  <si>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</si>
  <si>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</si>
  <si>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</si>
  <si>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</si>
  <si>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</si>
  <si>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</si>
  <si>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</si>
  <si>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</si>
  <si>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</si>
  <si>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</si>
  <si>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</si>
  <si>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</si>
  <si>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</si>
  <si>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</si>
  <si>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</si>
  <si>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</si>
  <si>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</si>
  <si>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</si>
  <si>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</si>
  <si>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</si>
  <si>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</si>
  <si>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</si>
  <si>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</si>
  <si>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</si>
  <si>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</si>
  <si>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</si>
  <si>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</si>
  <si>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</si>
  <si>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</si>
  <si>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</si>
  <si>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</si>
  <si>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</si>
  <si>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</si>
  <si>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</si>
  <si>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</si>
  <si>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</si>
  <si>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</si>
  <si>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</si>
  <si>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</si>
  <si>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</si>
  <si>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</si>
  <si>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</si>
  <si>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</si>
  <si>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</si>
  <si>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</si>
  <si>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</si>
  <si>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</si>
  <si>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</si>
  <si>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</si>
  <si>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</si>
  <si>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</si>
  <si>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</si>
  <si>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</si>
  <si>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</si>
  <si>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</si>
  <si>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</si>
  <si>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</si>
  <si>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</si>
  <si>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</si>
  <si>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</si>
  <si>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</si>
  <si>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</si>
  <si>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</si>
  <si>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</si>
  <si>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</si>
  <si>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</si>
  <si>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</si>
  <si>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</si>
  <si>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</si>
  <si>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</si>
  <si>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</si>
  <si>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</si>
  <si>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</si>
  <si>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</si>
  <si>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</si>
  <si>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</si>
  <si>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</si>
  <si>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</si>
  <si>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</si>
  <si>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</si>
  <si>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</si>
  <si>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</si>
  <si>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</si>
  <si>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</si>
  <si>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</si>
  <si>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</si>
  <si>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</si>
  <si>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</si>
  <si>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</si>
  <si>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</si>
  <si>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</si>
  <si>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</si>
  <si>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</si>
  <si>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</si>
  <si>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Contract 1</t>
  </si>
  <si>
    <t>Contract 2</t>
  </si>
  <si>
    <t>Contract 3</t>
  </si>
  <si>
    <t>Schedule 3 Low Income Recipients</t>
  </si>
  <si>
    <t>Monthly Average</t>
  </si>
  <si>
    <t>% Increase over Previous Year</t>
  </si>
  <si>
    <t xml:space="preserve">Current </t>
  </si>
  <si>
    <t>Projection</t>
  </si>
  <si>
    <t>Proposed Avg Sch 3</t>
  </si>
  <si>
    <t>GRC Forecasted Sch 3</t>
  </si>
  <si>
    <t>TABLE  A</t>
  </si>
  <si>
    <t>Step 1 - 9/1/2014</t>
  </si>
  <si>
    <t>Diff</t>
  </si>
  <si>
    <t>Table A</t>
  </si>
  <si>
    <t>Total Commercial &amp; Industrial 
(excluding Contracts 2, AGA)</t>
  </si>
  <si>
    <t>Total Sales to Ultimate Customers 
(excluding Contract 2, AGA)</t>
  </si>
  <si>
    <t>Rate Spread Rules and Assumptions</t>
  </si>
  <si>
    <t>Target Increase ($000)</t>
  </si>
  <si>
    <t>Using the +/- percentage points off of the baseline from other parties' offer.</t>
  </si>
  <si>
    <t>Total Utah Overall (baseline)</t>
  </si>
  <si>
    <t>Adding a small adjustment to the above rate spread to get the revenue requirement.</t>
  </si>
  <si>
    <t>Overall Sch with changes</t>
  </si>
  <si>
    <t xml:space="preserve">The increase for Contract 1 is set to the overall Utah average increase based on </t>
  </si>
  <si>
    <t>Res 1, 2, 3</t>
  </si>
  <si>
    <t>the terms of the contract.</t>
  </si>
  <si>
    <t>6</t>
  </si>
  <si>
    <t>The increase for Contract 2 is set to zero based on the terms of the contract.</t>
  </si>
  <si>
    <t>8</t>
  </si>
  <si>
    <t>No increase for all lighting schedules.</t>
  </si>
  <si>
    <t>9, 21, 31, Contract 3</t>
  </si>
  <si>
    <t>For schedules not in COS Study, the increase is set same as Schedule 9.</t>
  </si>
  <si>
    <t>15T</t>
  </si>
  <si>
    <t>23</t>
  </si>
  <si>
    <t>7,11,12,15M</t>
  </si>
  <si>
    <t>Blocking Based on Adjusted Actuals and Forecasted Loads</t>
  </si>
  <si>
    <t>Step 2 - 9/1/2015</t>
  </si>
  <si>
    <t>rounding</t>
  </si>
  <si>
    <t xml:space="preserve">  Total Customer</t>
  </si>
  <si>
    <t>In Rate</t>
  </si>
  <si>
    <t>Cust rev %</t>
  </si>
  <si>
    <t>Min bill %</t>
  </si>
  <si>
    <t>Average Usage</t>
  </si>
  <si>
    <t>Target</t>
  </si>
  <si>
    <t>Summer</t>
  </si>
  <si>
    <t>Winter</t>
  </si>
  <si>
    <t>Annual</t>
  </si>
  <si>
    <t>Sch 1</t>
  </si>
  <si>
    <t xml:space="preserve">  Net Metering Facilities Charge</t>
  </si>
  <si>
    <t>Block Ratio</t>
  </si>
  <si>
    <t>Sch 2</t>
  </si>
  <si>
    <t>In Rate Change</t>
  </si>
  <si>
    <t>Sch 3</t>
  </si>
  <si>
    <t>Target Change</t>
  </si>
  <si>
    <t>Energy %</t>
  </si>
  <si>
    <t>Basic Charge</t>
  </si>
  <si>
    <t>Minimum kWh</t>
  </si>
  <si>
    <t xml:space="preserve">      First 400 kWh (Oct-Apr)</t>
  </si>
  <si>
    <t xml:space="preserve">      All add'l kWh (Oct-Apr)</t>
  </si>
  <si>
    <t>Winter 2nd</t>
  </si>
  <si>
    <t>1 Phase</t>
  </si>
  <si>
    <t xml:space="preserve">Annual Avg Usage </t>
  </si>
  <si>
    <t>3 Phase</t>
  </si>
  <si>
    <t xml:space="preserve">Summer Avg Usage </t>
  </si>
  <si>
    <t xml:space="preserve">Winter Avg Usage </t>
  </si>
  <si>
    <t>NMFC</t>
  </si>
  <si>
    <t>Adj</t>
  </si>
  <si>
    <t>¢/Winter 2nd kWh</t>
  </si>
  <si>
    <t xml:space="preserve">      kWh in Minimum - Summer</t>
  </si>
  <si>
    <t xml:space="preserve">      kWh in Minimum - Winter</t>
  </si>
  <si>
    <t>Avg Usage - A</t>
  </si>
  <si>
    <t>Avg Usage - S</t>
  </si>
  <si>
    <t>Avg Usage - W</t>
  </si>
  <si>
    <t>Schedule No. 3- Residential Service - Low Income Lifeline Program</t>
  </si>
  <si>
    <t>Schedule No. 2 - Residential Service - Optional Time-of-Day</t>
  </si>
  <si>
    <t>Non-Basic Change</t>
  </si>
  <si>
    <t>kW Change</t>
  </si>
  <si>
    <t>Schedule No. 6 - Commercial</t>
  </si>
  <si>
    <t>Schedule No. 6 - Industrial</t>
  </si>
  <si>
    <t>Schedule No. 6 - Residential</t>
  </si>
  <si>
    <t>Schedule No. 6B - Demand Time-of-Day Option - Composite</t>
  </si>
  <si>
    <t>Summer Ratio</t>
  </si>
  <si>
    <t>Winter Ratio</t>
  </si>
  <si>
    <t>Avg Usage</t>
  </si>
  <si>
    <t>Schedule No. 6A - Energy Time-of-Day Option - Commercial</t>
  </si>
  <si>
    <t>Schedule No. 6A - Energy Time-of-Day Option - Industrial</t>
  </si>
  <si>
    <t>Schedule No. 6A - Energy Time-of-Day Option - Residential</t>
  </si>
  <si>
    <t>Schedule No. 7 - Security Area Lighting - Composite</t>
  </si>
  <si>
    <t>Rate Change</t>
  </si>
  <si>
    <t>Schedule No. 7 - Security Area Lighting - Commercial</t>
  </si>
  <si>
    <t>Schedule No. 7 - Security Area Lighting - Industrial</t>
  </si>
  <si>
    <t>Schedule No. 7 - Security Area Lighting - Public Street Lighting</t>
  </si>
  <si>
    <t>Schedule No. 7 - Security Area Lighting - Residential</t>
  </si>
  <si>
    <t>Net Change</t>
  </si>
  <si>
    <r>
      <t xml:space="preserve">Summer Price </t>
    </r>
    <r>
      <rPr>
        <sz val="12"/>
        <rFont val="Symbol"/>
        <family val="1"/>
        <charset val="2"/>
      </rPr>
      <t>D</t>
    </r>
  </si>
  <si>
    <t>Schedule No. 8 - Commercial</t>
  </si>
  <si>
    <t>Schedule No. 8 - Industrial</t>
  </si>
  <si>
    <t>Sch 9/Contracts 3</t>
  </si>
  <si>
    <t>Sch 9, 31, Contract 3</t>
  </si>
  <si>
    <t>Schedule No. 9 - Commercial</t>
  </si>
  <si>
    <t>Schedule No. 9 - Industrial</t>
  </si>
  <si>
    <t>Schedule No. 9 - OSPA</t>
  </si>
  <si>
    <t>Schedule No. 9A - Energy TOD - Composite</t>
  </si>
  <si>
    <t>Sch 10, 10TOD</t>
  </si>
  <si>
    <t xml:space="preserve">   Customer Charge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</si>
  <si>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</si>
  <si>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</si>
  <si>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</si>
  <si>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</si>
  <si>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</si>
  <si>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Burn Hours</t>
  </si>
  <si>
    <t>Schedule 15.1 - Metered Outdoor Nighttime Lighting - Composite</t>
  </si>
  <si>
    <t>Schedule 15.1 - Metered Outdoor Nighttime Lighting - Commercial</t>
  </si>
  <si>
    <t>Schedule 15.1 - Metered Outdoor Nighttime Lighting - Industrial</t>
  </si>
  <si>
    <t>Schedule 15.1 - Metered Outdoor Nighttime Lighting - Public Street Lighting</t>
  </si>
  <si>
    <t>Schedule 15.2 - Traffic Signal Systems - Composite</t>
  </si>
  <si>
    <t>Schedule 15.2 - Traffic Signal Systems - Commercial</t>
  </si>
  <si>
    <t>Schedule 15.2 - Traffic Signal Systems - Industrial</t>
  </si>
  <si>
    <t>Schedule 15.2 - Traffic Signal Systems - Public Street Lighting</t>
  </si>
  <si>
    <t>Schedule No. 23 - Composite</t>
  </si>
  <si>
    <t>Adj (Sch 23)</t>
  </si>
  <si>
    <t>Adj (Sch 8)</t>
  </si>
  <si>
    <t>Schedule No. 23 - Commercial</t>
  </si>
  <si>
    <t>Schedule No. 23 - Industrial</t>
  </si>
  <si>
    <t>Schedule No. 23 - Residential</t>
  </si>
  <si>
    <t>Schedule No.31 - Composite</t>
  </si>
  <si>
    <t>Sch 31</t>
  </si>
  <si>
    <t xml:space="preserve">              May - Sept</t>
  </si>
  <si>
    <t xml:space="preserve">              Oct - Apr</t>
  </si>
  <si>
    <t>Non-Sup</t>
  </si>
  <si>
    <t>Rounding</t>
  </si>
  <si>
    <t>Schedule No.31 - Commercial</t>
  </si>
  <si>
    <t>Schedule No. 31 - Industrial</t>
  </si>
  <si>
    <t>Schedule No. 31 - OSP</t>
  </si>
  <si>
    <t xml:space="preserve">  Interruptible kWh</t>
  </si>
  <si>
    <t xml:space="preserve">  Facilities Charge per kW - Back-Up</t>
  </si>
  <si>
    <t>Contract 3-Current Contract</t>
  </si>
  <si>
    <t>Contract 3-New Contract</t>
  </si>
  <si>
    <t>Lighting Contract - Post Top Lighting - Composite</t>
  </si>
  <si>
    <t>Lighting Contract - Post Top Lighting - Commercial</t>
  </si>
  <si>
    <t>Lighting Contract - Post Top Lighting - Residential</t>
  </si>
  <si>
    <t>Forecasted 12 Months Ending June 2015 as In Docket 13-035-184</t>
  </si>
  <si>
    <t>Account 288122</t>
  </si>
  <si>
    <t>Monthly rate</t>
  </si>
  <si>
    <t>APR Rate</t>
  </si>
  <si>
    <t>Year</t>
  </si>
  <si>
    <t>Begin Bal</t>
  </si>
  <si>
    <t>Collected per Recap of RVN</t>
  </si>
  <si>
    <t>Billing Adj. Booked in SAP but not in RVN</t>
  </si>
  <si>
    <t>Pacificorp and Admin Cost</t>
  </si>
  <si>
    <t xml:space="preserve"> DCED/DES Costs</t>
  </si>
  <si>
    <t>Credit granted per Recap of RVN</t>
  </si>
  <si>
    <t>Interest</t>
  </si>
  <si>
    <t>End Bal</t>
  </si>
  <si>
    <t>Basis for Interest Calculation = Prior month end balance + current month net activities before current interest / 2</t>
  </si>
  <si>
    <t>Interest calculated at APR .07231 or Monthly Rate .006026</t>
  </si>
  <si>
    <t xml:space="preserve">Jan </t>
  </si>
  <si>
    <t>Sept</t>
  </si>
  <si>
    <t>Projections</t>
  </si>
  <si>
    <t>Pacificorp dba Utah Power and Light</t>
  </si>
  <si>
    <t>Utah Life Line Activities</t>
  </si>
  <si>
    <t>Source: Bart's recap run which separated the credit granted and collections.</t>
  </si>
  <si>
    <t>(RES)</t>
  </si>
  <si>
    <t>(COM)</t>
  </si>
  <si>
    <t>(IND)</t>
  </si>
  <si>
    <t>(IRG)</t>
  </si>
  <si>
    <t>(PSH)</t>
  </si>
  <si>
    <t>(OSP)</t>
  </si>
  <si>
    <t>St  Lite &amp; Hwy</t>
  </si>
  <si>
    <t>Public Auth.</t>
  </si>
  <si>
    <t>ICU</t>
  </si>
  <si>
    <t>[a=sum(b:g)]</t>
  </si>
  <si>
    <t>[b]</t>
  </si>
  <si>
    <t>[c]</t>
  </si>
  <si>
    <t>[d]</t>
  </si>
  <si>
    <t>[e]</t>
  </si>
  <si>
    <t>[f]</t>
  </si>
  <si>
    <t>[g]</t>
  </si>
  <si>
    <t>Amount collected via billing:</t>
  </si>
  <si>
    <t>Total Yr.</t>
  </si>
  <si>
    <t xml:space="preserve">Nov </t>
  </si>
  <si>
    <t>Net amount written-off:</t>
  </si>
  <si>
    <t>Amount of assistance granted:</t>
  </si>
  <si>
    <t>From Inception</t>
  </si>
  <si>
    <t>Number of customer received assistance:</t>
  </si>
  <si>
    <t>Average $/Cust</t>
  </si>
  <si>
    <t>3-Month Reserve</t>
  </si>
  <si>
    <t>Increase/-Decrease over Current Collections</t>
  </si>
  <si>
    <t>Current Balance in account (September 2014)</t>
  </si>
  <si>
    <t>One-Time Credit</t>
  </si>
  <si>
    <t>Proposed One Time Credit to Low Income Lifeline Program</t>
  </si>
  <si>
    <t>$/customer</t>
  </si>
  <si>
    <t>Proposed Sch 92 One Time Credit</t>
  </si>
  <si>
    <t>% of Sch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</si>
</sst>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&quot;$&quot;* #,##0.000_);_(&quot;$&quot;* \(#,##0.000\);_(&quot;$&quot;* &quot;-&quot;??_);_(@_)"/>
    <numFmt numFmtId="168" formatCode="&quot;$&quot;#,##0"/>
    <numFmt numFmtId="169" formatCode="0.0000%"/>
    <numFmt numFmtId="170" formatCode="General_)"/>
    <numFmt numFmtId="171" formatCode="&quot;$&quot;#,##0.00"/>
    <numFmt numFmtId="172" formatCode="0.0%"/>
    <numFmt numFmtId="173" formatCode="0.0000_);[Red]\(0.0000\)"/>
    <numFmt numFmtId="174" formatCode="0.0000_)"/>
    <numFmt numFmtId="175" formatCode="#,##0.0000_);\(#,##0.0000\)"/>
    <numFmt numFmtId="176" formatCode="&quot;$&quot;#,##0.0000_);\(&quot;$&quot;#,##0.0000\)"/>
    <numFmt numFmtId="177" formatCode="0_);\(0\)"/>
    <numFmt numFmtId="178" formatCode="#,##0.00000_);\(#,##0.00000\)"/>
    <numFmt numFmtId="179" formatCode="#,##0.000_);\(#,##0.000\)"/>
    <numFmt numFmtId="180" formatCode="#,##0.0000"/>
    <numFmt numFmtId="181" formatCode="0.0000"/>
    <numFmt numFmtId="182" formatCode="_(* #,##0.0000_);_(* \(#,##0.0000\);_(* &quot;-&quot;??_);_(@_)"/>
    <numFmt numFmtId="183" formatCode="#,##0.0_);\(#,##0.0\)"/>
    <numFmt numFmtId="184" formatCode="0.000%"/>
    <numFmt numFmtId="185" formatCode="&quot;$&quot;###0;[Red]\(&quot;$&quot;###0\)"/>
    <numFmt numFmtId="186" formatCode="0.0"/>
    <numFmt numFmtId="187" formatCode="mmm\ dd\,\ yyyy"/>
    <numFmt numFmtId="188" formatCode="&quot;$&quot;#,##0.000_);\(&quot;$&quot;#,##0.000\)"/>
    <numFmt numFmtId="189" formatCode="_(* #,##0.0_);_(* \(#,##0.0\);_(* &quot;-&quot;?_);_(@_)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8"/>
      <name val="Arial Narrow"/>
      <family val="2"/>
    </font>
    <font>
      <b/>
      <u/>
      <sz val="12"/>
      <name val="Arial Narrow"/>
      <family val="2"/>
    </font>
    <font>
      <b/>
      <vertAlign val="superscript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u val="singleAccounting"/>
      <sz val="12"/>
      <name val="Times New Roman"/>
      <family val="1"/>
    </font>
    <font>
      <u val="double"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sz val="10"/>
      <color indexed="10"/>
      <name val="Arial"/>
      <family val="2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name val="Calibri"/>
      <family val="2"/>
    </font>
    <font>
      <sz val="12"/>
      <color rgb="FF0000FF"/>
      <name val="Times New Roman"/>
      <family val="1"/>
    </font>
    <font>
      <sz val="12"/>
      <color indexed="81"/>
      <name val="Times New Roman"/>
      <family val="1"/>
    </font>
    <font>
      <sz val="10"/>
      <name val="MS Sans Serif"/>
      <family val="2"/>
    </font>
    <font>
      <sz val="8"/>
      <name val="Helv"/>
    </font>
    <font>
      <b/>
      <sz val="8"/>
      <name val="Arial"/>
      <family val="2"/>
    </font>
    <font>
      <sz val="12"/>
      <name val="Arial MT"/>
    </font>
    <font>
      <sz val="10"/>
      <name val="Courier"/>
      <family val="3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8"/>
      <color indexed="12"/>
      <name val="Arial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Symbol"/>
      <family val="1"/>
      <charset val="2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sz val="12"/>
      <color indexed="8"/>
      <name val="Arial"/>
      <family val="2"/>
    </font>
    <font>
      <sz val="12"/>
      <color rgb="FFC00000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9"/>
      <color indexed="10"/>
      <name val="Arial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u val="singleAccounting"/>
      <sz val="9"/>
      <name val="Arial Narrow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9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5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164" fontId="22" fillId="0" borderId="0" applyFont="0" applyAlignment="0" applyProtection="0"/>
    <xf numFmtId="0" fontId="3" fillId="0" borderId="0"/>
    <xf numFmtId="170" fontId="30" fillId="0" borderId="0"/>
    <xf numFmtId="0" fontId="51" fillId="0" borderId="0"/>
    <xf numFmtId="0" fontId="8" fillId="0" borderId="0"/>
    <xf numFmtId="0" fontId="8" fillId="0" borderId="0"/>
    <xf numFmtId="0" fontId="3" fillId="0" borderId="0"/>
    <xf numFmtId="0" fontId="30" fillId="0" borderId="0"/>
    <xf numFmtId="0" fontId="51" fillId="23" borderId="7" applyNumberFormat="0" applyFont="0" applyAlignment="0" applyProtection="0"/>
    <xf numFmtId="0" fontId="64" fillId="20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0" fontId="23" fillId="0" borderId="0">
      <alignment horizontal="left"/>
    </xf>
    <xf numFmtId="0" fontId="67" fillId="0" borderId="0" applyNumberFormat="0" applyFill="0" applyBorder="0" applyAlignment="0" applyProtection="0"/>
    <xf numFmtId="0" fontId="6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1" fontId="70" fillId="0" borderId="0" applyFont="0" applyFill="0" applyBorder="0" applyAlignment="0" applyProtection="0"/>
    <xf numFmtId="171" fontId="71" fillId="0" borderId="0"/>
    <xf numFmtId="0" fontId="7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5" fillId="0" borderId="0"/>
    <xf numFmtId="17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0" fillId="0" borderId="0" applyFont="0" applyFill="0" applyBorder="0" applyProtection="0">
      <alignment horizontal="right"/>
    </xf>
    <xf numFmtId="186" fontId="81" fillId="0" borderId="0" applyNumberFormat="0" applyFill="0" applyBorder="0" applyAlignment="0" applyProtection="0"/>
    <xf numFmtId="0" fontId="18" fillId="0" borderId="41" applyNumberFormat="0" applyBorder="0" applyAlignment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1" fillId="0" borderId="0"/>
    <xf numFmtId="170" fontId="83" fillId="0" borderId="0"/>
    <xf numFmtId="0" fontId="79" fillId="0" borderId="0"/>
    <xf numFmtId="0" fontId="1" fillId="0" borderId="0"/>
    <xf numFmtId="0" fontId="1" fillId="0" borderId="0"/>
    <xf numFmtId="41" fontId="7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9" fillId="0" borderId="0"/>
    <xf numFmtId="170" fontId="5" fillId="0" borderId="0"/>
    <xf numFmtId="0" fontId="9" fillId="0" borderId="0"/>
    <xf numFmtId="0" fontId="1" fillId="39" borderId="42" applyNumberFormat="0" applyFont="0" applyAlignment="0" applyProtection="0"/>
    <xf numFmtId="0" fontId="1" fillId="39" borderId="42" applyNumberFormat="0" applyFont="0" applyAlignment="0" applyProtection="0"/>
    <xf numFmtId="12" fontId="16" fillId="40" borderId="22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4" fontId="85" fillId="22" borderId="43" applyNumberFormat="0" applyProtection="0">
      <alignment vertical="center"/>
    </xf>
    <xf numFmtId="4" fontId="86" fillId="41" borderId="43" applyNumberFormat="0" applyProtection="0">
      <alignment vertical="center"/>
    </xf>
    <xf numFmtId="4" fontId="85" fillId="41" borderId="43" applyNumberFormat="0" applyProtection="0">
      <alignment vertical="center"/>
    </xf>
    <xf numFmtId="0" fontId="85" fillId="41" borderId="43" applyNumberFormat="0" applyProtection="0">
      <alignment horizontal="left" vertical="top" indent="1"/>
    </xf>
    <xf numFmtId="4" fontId="85" fillId="42" borderId="0" applyNumberFormat="0" applyProtection="0">
      <alignment horizontal="left" vertical="center" indent="1"/>
    </xf>
    <xf numFmtId="4" fontId="87" fillId="3" borderId="43" applyNumberFormat="0" applyProtection="0">
      <alignment horizontal="right" vertical="center"/>
    </xf>
    <xf numFmtId="4" fontId="87" fillId="9" borderId="43" applyNumberFormat="0" applyProtection="0">
      <alignment horizontal="right" vertical="center"/>
    </xf>
    <xf numFmtId="4" fontId="87" fillId="17" borderId="43" applyNumberFormat="0" applyProtection="0">
      <alignment horizontal="right" vertical="center"/>
    </xf>
    <xf numFmtId="4" fontId="87" fillId="11" borderId="43" applyNumberFormat="0" applyProtection="0">
      <alignment horizontal="right" vertical="center"/>
    </xf>
    <xf numFmtId="4" fontId="87" fillId="15" borderId="43" applyNumberFormat="0" applyProtection="0">
      <alignment horizontal="right" vertical="center"/>
    </xf>
    <xf numFmtId="4" fontId="87" fillId="19" borderId="43" applyNumberFormat="0" applyProtection="0">
      <alignment horizontal="right" vertical="center"/>
    </xf>
    <xf numFmtId="4" fontId="87" fillId="18" borderId="43" applyNumberFormat="0" applyProtection="0">
      <alignment horizontal="right" vertical="center"/>
    </xf>
    <xf numFmtId="4" fontId="87" fillId="43" borderId="43" applyNumberFormat="0" applyProtection="0">
      <alignment horizontal="right" vertical="center"/>
    </xf>
    <xf numFmtId="4" fontId="87" fillId="10" borderId="43" applyNumberFormat="0" applyProtection="0">
      <alignment horizontal="right" vertical="center"/>
    </xf>
    <xf numFmtId="4" fontId="85" fillId="44" borderId="44" applyNumberFormat="0" applyProtection="0">
      <alignment horizontal="left" vertical="center" indent="1"/>
    </xf>
    <xf numFmtId="4" fontId="87" fillId="45" borderId="0" applyNumberFormat="0" applyProtection="0">
      <alignment horizontal="left" vertical="center" indent="1"/>
    </xf>
    <xf numFmtId="4" fontId="88" fillId="46" borderId="0" applyNumberFormat="0" applyProtection="0">
      <alignment horizontal="left" vertical="center" indent="1"/>
    </xf>
    <xf numFmtId="4" fontId="87" fillId="47" borderId="43" applyNumberFormat="0" applyProtection="0">
      <alignment horizontal="right" vertical="center"/>
    </xf>
    <xf numFmtId="4" fontId="89" fillId="0" borderId="0" applyNumberFormat="0" applyProtection="0">
      <alignment horizontal="left" vertical="center" indent="1"/>
    </xf>
    <xf numFmtId="4" fontId="90" fillId="0" borderId="0" applyNumberFormat="0" applyProtection="0">
      <alignment horizontal="left" vertical="center" indent="1"/>
    </xf>
    <xf numFmtId="0" fontId="3" fillId="46" borderId="43" applyNumberFormat="0" applyProtection="0">
      <alignment horizontal="left" vertical="center" indent="1"/>
    </xf>
    <xf numFmtId="0" fontId="3" fillId="46" borderId="43" applyNumberFormat="0" applyProtection="0">
      <alignment horizontal="left" vertical="top" indent="1"/>
    </xf>
    <xf numFmtId="0" fontId="3" fillId="42" borderId="43" applyNumberFormat="0" applyProtection="0">
      <alignment horizontal="left" vertical="center" indent="1"/>
    </xf>
    <xf numFmtId="0" fontId="3" fillId="42" borderId="43" applyNumberFormat="0" applyProtection="0">
      <alignment horizontal="left" vertical="top" indent="1"/>
    </xf>
    <xf numFmtId="0" fontId="3" fillId="48" borderId="43" applyNumberFormat="0" applyProtection="0">
      <alignment horizontal="left" vertical="center" indent="1"/>
    </xf>
    <xf numFmtId="0" fontId="3" fillId="48" borderId="43" applyNumberFormat="0" applyProtection="0">
      <alignment horizontal="left" vertical="top" indent="1"/>
    </xf>
    <xf numFmtId="0" fontId="3" fillId="49" borderId="43" applyNumberFormat="0" applyProtection="0">
      <alignment horizontal="left" vertical="center" indent="1"/>
    </xf>
    <xf numFmtId="0" fontId="3" fillId="49" borderId="43" applyNumberFormat="0" applyProtection="0">
      <alignment horizontal="left" vertical="top" indent="1"/>
    </xf>
    <xf numFmtId="4" fontId="87" fillId="50" borderId="43" applyNumberFormat="0" applyProtection="0">
      <alignment vertical="center"/>
    </xf>
    <xf numFmtId="4" fontId="91" fillId="50" borderId="43" applyNumberFormat="0" applyProtection="0">
      <alignment vertical="center"/>
    </xf>
    <xf numFmtId="4" fontId="87" fillId="50" borderId="43" applyNumberFormat="0" applyProtection="0">
      <alignment horizontal="left" vertical="center" indent="1"/>
    </xf>
    <xf numFmtId="0" fontId="87" fillId="50" borderId="43" applyNumberFormat="0" applyProtection="0">
      <alignment horizontal="left" vertical="top" indent="1"/>
    </xf>
    <xf numFmtId="4" fontId="87" fillId="51" borderId="45" applyNumberFormat="0" applyProtection="0">
      <alignment horizontal="right" vertical="center"/>
    </xf>
    <xf numFmtId="4" fontId="91" fillId="45" borderId="43" applyNumberFormat="0" applyProtection="0">
      <alignment horizontal="right" vertical="center"/>
    </xf>
    <xf numFmtId="4" fontId="87" fillId="51" borderId="43" applyNumberFormat="0" applyProtection="0">
      <alignment horizontal="left" vertical="center" indent="1"/>
    </xf>
    <xf numFmtId="0" fontId="87" fillId="42" borderId="43" applyNumberFormat="0" applyProtection="0">
      <alignment horizontal="center" vertical="top"/>
    </xf>
    <xf numFmtId="4" fontId="92" fillId="0" borderId="0" applyNumberFormat="0" applyProtection="0">
      <alignment horizontal="left" vertical="center"/>
    </xf>
    <xf numFmtId="4" fontId="45" fillId="45" borderId="43" applyNumberFormat="0" applyProtection="0">
      <alignment horizontal="right" vertical="center"/>
    </xf>
    <xf numFmtId="187" fontId="3" fillId="0" borderId="0" applyFill="0" applyBorder="0" applyAlignment="0" applyProtection="0">
      <alignment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37" fontId="18" fillId="41" borderId="0" applyNumberFormat="0" applyBorder="0" applyAlignment="0" applyProtection="0"/>
    <xf numFmtId="37" fontId="18" fillId="0" borderId="0"/>
    <xf numFmtId="3" fontId="93" fillId="52" borderId="46" applyProtection="0"/>
    <xf numFmtId="170" fontId="5" fillId="0" borderId="0"/>
    <xf numFmtId="0" fontId="8" fillId="0" borderId="0"/>
  </cellStyleXfs>
  <cellXfs count="862">
    <xf numFmtId="0" fontId="0" fillId="0" borderId="0" xfId="0"/>
    <xf numFmtId="0" fontId="0" fillId="0" borderId="10" xfId="0" applyBorder="1"/>
    <xf numFmtId="0" fontId="0" fillId="24" borderId="10" xfId="0" applyFill="1" applyBorder="1"/>
    <xf numFmtId="4" fontId="9" fillId="0" borderId="0" xfId="0" applyNumberFormat="1" applyFont="1"/>
    <xf numFmtId="3" fontId="9" fillId="0" borderId="0" xfId="0" applyNumberFormat="1" applyFont="1"/>
    <xf numFmtId="165" fontId="3" fillId="0" borderId="0" xfId="29" applyNumberFormat="1" applyFont="1"/>
    <xf numFmtId="165" fontId="0" fillId="0" borderId="0" xfId="0" applyNumberFormat="1"/>
    <xf numFmtId="164" fontId="3" fillId="0" borderId="0" xfId="28" applyNumberFormat="1" applyFont="1"/>
    <xf numFmtId="0" fontId="10" fillId="25" borderId="10" xfId="0" applyFont="1" applyFill="1" applyBorder="1"/>
    <xf numFmtId="0" fontId="10" fillId="25" borderId="11" xfId="0" applyFont="1" applyFill="1" applyBorder="1" applyAlignment="1">
      <alignment horizontal="center"/>
    </xf>
    <xf numFmtId="0" fontId="0" fillId="0" borderId="12" xfId="0" applyBorder="1"/>
    <xf numFmtId="165" fontId="0" fillId="0" borderId="13" xfId="0" applyNumberFormat="1" applyFill="1" applyBorder="1"/>
    <xf numFmtId="43" fontId="0" fillId="0" borderId="0" xfId="0" applyNumberFormat="1"/>
    <xf numFmtId="0" fontId="0" fillId="0" borderId="0" xfId="0" applyBorder="1"/>
    <xf numFmtId="0" fontId="0" fillId="0" borderId="14" xfId="0" applyBorder="1"/>
    <xf numFmtId="0" fontId="0" fillId="0" borderId="0" xfId="0" quotePrefix="1" applyNumberFormat="1"/>
    <xf numFmtId="0" fontId="0" fillId="0" borderId="0" xfId="0" applyNumberFormat="1"/>
    <xf numFmtId="164" fontId="3" fillId="0" borderId="0" xfId="28" quotePrefix="1" applyNumberFormat="1" applyFont="1"/>
    <xf numFmtId="0" fontId="0" fillId="0" borderId="15" xfId="0" applyBorder="1"/>
    <xf numFmtId="44" fontId="0" fillId="0" borderId="0" xfId="0" applyNumberFormat="1"/>
    <xf numFmtId="0" fontId="0" fillId="0" borderId="16" xfId="0" applyBorder="1"/>
    <xf numFmtId="164" fontId="0" fillId="0" borderId="0" xfId="0" applyNumberFormat="1"/>
    <xf numFmtId="0" fontId="0" fillId="0" borderId="10" xfId="0" applyFill="1" applyBorder="1"/>
    <xf numFmtId="164" fontId="3" fillId="0" borderId="11" xfId="28" applyNumberFormat="1" applyFont="1" applyBorder="1"/>
    <xf numFmtId="0" fontId="0" fillId="0" borderId="13" xfId="0" applyBorder="1"/>
    <xf numFmtId="0" fontId="0" fillId="0" borderId="17" xfId="0" applyBorder="1"/>
    <xf numFmtId="165" fontId="0" fillId="0" borderId="0" xfId="0" applyNumberFormat="1" applyFill="1" applyBorder="1"/>
    <xf numFmtId="0" fontId="0" fillId="0" borderId="15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Fill="1" applyBorder="1"/>
    <xf numFmtId="165" fontId="3" fillId="0" borderId="0" xfId="29" applyNumberFormat="1" applyFont="1" applyFill="1" applyBorder="1"/>
    <xf numFmtId="165" fontId="5" fillId="0" borderId="11" xfId="29" applyNumberFormat="1" applyFont="1" applyBorder="1"/>
    <xf numFmtId="6" fontId="6" fillId="0" borderId="0" xfId="0" applyNumberFormat="1" applyFont="1" applyFill="1" applyBorder="1" applyAlignment="1">
      <alignment horizontal="right"/>
    </xf>
    <xf numFmtId="6" fontId="0" fillId="0" borderId="0" xfId="0" applyNumberFormat="1" applyFill="1" applyBorder="1"/>
    <xf numFmtId="8" fontId="6" fillId="0" borderId="0" xfId="0" applyNumberFormat="1" applyFont="1" applyFill="1" applyBorder="1" applyAlignment="1">
      <alignment horizontal="right"/>
    </xf>
    <xf numFmtId="8" fontId="0" fillId="0" borderId="0" xfId="0" applyNumberFormat="1" applyFill="1" applyBorder="1"/>
    <xf numFmtId="165" fontId="6" fillId="0" borderId="0" xfId="29" applyNumberFormat="1" applyFont="1" applyFill="1" applyBorder="1" applyAlignment="1">
      <alignment horizontal="right"/>
    </xf>
    <xf numFmtId="0" fontId="5" fillId="0" borderId="0" xfId="0" applyFont="1" applyFill="1" applyBorder="1"/>
    <xf numFmtId="165" fontId="0" fillId="24" borderId="11" xfId="0" applyNumberFormat="1" applyFill="1" applyBorder="1"/>
    <xf numFmtId="0" fontId="11" fillId="0" borderId="15" xfId="0" applyFont="1" applyBorder="1"/>
    <xf numFmtId="0" fontId="11" fillId="0" borderId="14" xfId="0" applyFont="1" applyFill="1" applyBorder="1" applyAlignment="1">
      <alignment horizontal="center"/>
    </xf>
    <xf numFmtId="0" fontId="12" fillId="0" borderId="15" xfId="0" applyFont="1" applyBorder="1"/>
    <xf numFmtId="165" fontId="6" fillId="0" borderId="14" xfId="0" applyNumberFormat="1" applyFont="1" applyFill="1" applyBorder="1" applyAlignment="1">
      <alignment horizontal="center"/>
    </xf>
    <xf numFmtId="0" fontId="12" fillId="0" borderId="12" xfId="0" applyFont="1" applyBorder="1"/>
    <xf numFmtId="165" fontId="6" fillId="0" borderId="13" xfId="0" applyNumberFormat="1" applyFont="1" applyFill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4" fontId="3" fillId="0" borderId="20" xfId="29" applyNumberFormat="1" applyFont="1" applyBorder="1"/>
    <xf numFmtId="0" fontId="0" fillId="0" borderId="20" xfId="0" applyBorder="1"/>
    <xf numFmtId="165" fontId="3" fillId="0" borderId="21" xfId="29" applyNumberFormat="1" applyFont="1" applyBorder="1"/>
    <xf numFmtId="0" fontId="0" fillId="0" borderId="22" xfId="0" applyBorder="1"/>
    <xf numFmtId="165" fontId="3" fillId="0" borderId="23" xfId="29" applyNumberFormat="1" applyFont="1" applyBorder="1"/>
    <xf numFmtId="0" fontId="0" fillId="0" borderId="24" xfId="0" applyFill="1" applyBorder="1"/>
    <xf numFmtId="0" fontId="0" fillId="0" borderId="11" xfId="0" applyFill="1" applyBorder="1"/>
    <xf numFmtId="44" fontId="3" fillId="0" borderId="0" xfId="29" applyNumberFormat="1" applyFont="1" applyBorder="1"/>
    <xf numFmtId="43" fontId="3" fillId="0" borderId="0" xfId="28" applyFont="1" applyBorder="1"/>
    <xf numFmtId="0" fontId="0" fillId="0" borderId="0" xfId="0" applyAlignment="1">
      <alignment horizontal="center"/>
    </xf>
    <xf numFmtId="0" fontId="0" fillId="24" borderId="0" xfId="0" applyFill="1" applyBorder="1"/>
    <xf numFmtId="43" fontId="0" fillId="0" borderId="0" xfId="0" quotePrefix="1" applyNumberFormat="1"/>
    <xf numFmtId="0" fontId="11" fillId="0" borderId="0" xfId="46" applyFont="1"/>
    <xf numFmtId="37" fontId="0" fillId="0" borderId="0" xfId="0" applyNumberFormat="1"/>
    <xf numFmtId="0" fontId="7" fillId="0" borderId="0" xfId="45" applyFont="1" applyAlignment="1">
      <alignment horizontal="center"/>
    </xf>
    <xf numFmtId="5" fontId="0" fillId="0" borderId="0" xfId="0" applyNumberFormat="1"/>
    <xf numFmtId="164" fontId="0" fillId="0" borderId="0" xfId="0" quotePrefix="1" applyNumberFormat="1"/>
    <xf numFmtId="0" fontId="13" fillId="0" borderId="0" xfId="45" applyFont="1" applyAlignment="1"/>
    <xf numFmtId="0" fontId="8" fillId="0" borderId="0" xfId="45"/>
    <xf numFmtId="0" fontId="14" fillId="0" borderId="0" xfId="45" applyFont="1"/>
    <xf numFmtId="0" fontId="14" fillId="0" borderId="0" xfId="45" applyFont="1" applyAlignment="1">
      <alignment horizontal="center"/>
    </xf>
    <xf numFmtId="164" fontId="14" fillId="0" borderId="0" xfId="28" applyNumberFormat="1" applyFont="1" applyAlignment="1">
      <alignment horizontal="center"/>
    </xf>
    <xf numFmtId="164" fontId="14" fillId="0" borderId="0" xfId="28" applyNumberFormat="1" applyFont="1" applyBorder="1" applyAlignment="1">
      <alignment horizontal="center"/>
    </xf>
    <xf numFmtId="164" fontId="14" fillId="0" borderId="0" xfId="28" applyNumberFormat="1" applyFont="1" applyFill="1" applyBorder="1" applyAlignment="1">
      <alignment horizontal="center"/>
    </xf>
    <xf numFmtId="164" fontId="14" fillId="24" borderId="0" xfId="28" applyNumberFormat="1" applyFont="1" applyFill="1" applyBorder="1" applyAlignment="1">
      <alignment horizontal="center"/>
    </xf>
    <xf numFmtId="43" fontId="8" fillId="0" borderId="0" xfId="28" applyFont="1"/>
    <xf numFmtId="5" fontId="15" fillId="0" borderId="0" xfId="28" applyNumberFormat="1" applyFont="1"/>
    <xf numFmtId="3" fontId="5" fillId="0" borderId="0" xfId="0" applyNumberFormat="1" applyFont="1" applyFill="1"/>
    <xf numFmtId="2" fontId="0" fillId="0" borderId="0" xfId="0" applyNumberFormat="1" applyFill="1"/>
    <xf numFmtId="0" fontId="3" fillId="0" borderId="0" xfId="46"/>
    <xf numFmtId="17" fontId="16" fillId="0" borderId="0" xfId="46" quotePrefix="1" applyNumberFormat="1" applyFont="1"/>
    <xf numFmtId="0" fontId="11" fillId="0" borderId="0" xfId="46" applyFont="1" applyAlignment="1">
      <alignment horizontal="center"/>
    </xf>
    <xf numFmtId="0" fontId="11" fillId="0" borderId="25" xfId="46" applyFont="1" applyBorder="1" applyAlignment="1">
      <alignment horizontal="center"/>
    </xf>
    <xf numFmtId="0" fontId="11" fillId="0" borderId="0" xfId="46" applyFont="1" applyBorder="1" applyAlignment="1">
      <alignment horizontal="center"/>
    </xf>
    <xf numFmtId="164" fontId="3" fillId="0" borderId="0" xfId="46" applyNumberFormat="1"/>
    <xf numFmtId="168" fontId="3" fillId="0" borderId="0" xfId="29" applyNumberFormat="1" applyFont="1"/>
    <xf numFmtId="43" fontId="3" fillId="0" borderId="0" xfId="28" applyFont="1"/>
    <xf numFmtId="168" fontId="17" fillId="0" borderId="0" xfId="29" applyNumberFormat="1" applyFont="1"/>
    <xf numFmtId="0" fontId="3" fillId="0" borderId="0" xfId="46" applyFont="1"/>
    <xf numFmtId="168" fontId="3" fillId="0" borderId="25" xfId="29" applyNumberFormat="1" applyFont="1" applyBorder="1"/>
    <xf numFmtId="0" fontId="3" fillId="0" borderId="0" xfId="46" quotePrefix="1" applyFont="1"/>
    <xf numFmtId="165" fontId="0" fillId="0" borderId="21" xfId="0" applyNumberFormat="1" applyBorder="1"/>
    <xf numFmtId="165" fontId="0" fillId="0" borderId="23" xfId="0" applyNumberFormat="1" applyBorder="1"/>
    <xf numFmtId="167" fontId="6" fillId="0" borderId="0" xfId="29" applyNumberFormat="1" applyFont="1" applyBorder="1" applyAlignment="1">
      <alignment horizontal="right"/>
    </xf>
    <xf numFmtId="167" fontId="6" fillId="0" borderId="0" xfId="29" applyNumberFormat="1" applyFont="1" applyFill="1" applyBorder="1" applyAlignment="1">
      <alignment horizontal="right"/>
    </xf>
    <xf numFmtId="167" fontId="5" fillId="0" borderId="0" xfId="29" applyNumberFormat="1" applyFont="1" applyFill="1" applyBorder="1"/>
    <xf numFmtId="44" fontId="0" fillId="0" borderId="0" xfId="0" applyNumberFormat="1" applyFill="1" applyBorder="1"/>
    <xf numFmtId="0" fontId="0" fillId="0" borderId="0" xfId="0" applyAlignment="1">
      <alignment wrapText="1"/>
    </xf>
    <xf numFmtId="0" fontId="11" fillId="24" borderId="11" xfId="46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11" fillId="24" borderId="26" xfId="0" applyFont="1" applyFill="1" applyBorder="1" applyAlignment="1">
      <alignment wrapText="1"/>
    </xf>
    <xf numFmtId="0" fontId="11" fillId="24" borderId="11" xfId="0" applyFont="1" applyFill="1" applyBorder="1" applyAlignment="1">
      <alignment wrapText="1"/>
    </xf>
    <xf numFmtId="167" fontId="11" fillId="24" borderId="11" xfId="29" applyNumberFormat="1" applyFont="1" applyFill="1" applyBorder="1" applyAlignment="1">
      <alignment wrapText="1"/>
    </xf>
    <xf numFmtId="0" fontId="11" fillId="0" borderId="13" xfId="46" applyFont="1" applyBorder="1"/>
    <xf numFmtId="0" fontId="11" fillId="0" borderId="17" xfId="46" applyFont="1" applyBorder="1"/>
    <xf numFmtId="37" fontId="0" fillId="0" borderId="12" xfId="0" applyNumberFormat="1" applyBorder="1"/>
    <xf numFmtId="37" fontId="0" fillId="0" borderId="16" xfId="0" applyNumberFormat="1" applyBorder="1"/>
    <xf numFmtId="37" fontId="0" fillId="0" borderId="11" xfId="0" applyNumberFormat="1" applyBorder="1"/>
    <xf numFmtId="165" fontId="0" fillId="0" borderId="10" xfId="0" applyNumberFormat="1" applyBorder="1"/>
    <xf numFmtId="165" fontId="0" fillId="0" borderId="26" xfId="0" applyNumberFormat="1" applyBorder="1"/>
    <xf numFmtId="165" fontId="0" fillId="0" borderId="11" xfId="0" applyNumberFormat="1" applyBorder="1"/>
    <xf numFmtId="0" fontId="0" fillId="0" borderId="27" xfId="0" applyBorder="1" applyAlignment="1">
      <alignment horizontal="center"/>
    </xf>
    <xf numFmtId="165" fontId="3" fillId="0" borderId="14" xfId="29" applyNumberFormat="1" applyFont="1" applyBorder="1"/>
    <xf numFmtId="44" fontId="3" fillId="0" borderId="0" xfId="29" applyFont="1" applyFill="1"/>
    <xf numFmtId="165" fontId="3" fillId="0" borderId="13" xfId="29" applyNumberFormat="1" applyFont="1" applyBorder="1"/>
    <xf numFmtId="165" fontId="3" fillId="0" borderId="17" xfId="29" applyNumberFormat="1" applyFont="1" applyBorder="1"/>
    <xf numFmtId="44" fontId="3" fillId="0" borderId="22" xfId="29" applyNumberFormat="1" applyFont="1" applyBorder="1"/>
    <xf numFmtId="167" fontId="3" fillId="0" borderId="0" xfId="29" applyNumberFormat="1" applyFont="1" applyFill="1" applyBorder="1"/>
    <xf numFmtId="167" fontId="3" fillId="0" borderId="0" xfId="29" applyNumberFormat="1" applyFont="1"/>
    <xf numFmtId="44" fontId="3" fillId="0" borderId="0" xfId="29" applyFont="1"/>
    <xf numFmtId="167" fontId="3" fillId="0" borderId="0" xfId="29" applyNumberFormat="1" applyFont="1" applyBorder="1"/>
    <xf numFmtId="165" fontId="3" fillId="0" borderId="0" xfId="29" applyNumberFormat="1" applyFont="1" applyBorder="1"/>
    <xf numFmtId="165" fontId="3" fillId="0" borderId="17" xfId="29" applyNumberFormat="1" applyFont="1" applyBorder="1" applyAlignment="1">
      <alignment horizontal="center"/>
    </xf>
    <xf numFmtId="9" fontId="3" fillId="0" borderId="21" xfId="50" applyFont="1" applyBorder="1"/>
    <xf numFmtId="44" fontId="3" fillId="0" borderId="12" xfId="29" applyFont="1" applyBorder="1"/>
    <xf numFmtId="44" fontId="3" fillId="0" borderId="21" xfId="29" applyFont="1" applyBorder="1"/>
    <xf numFmtId="165" fontId="3" fillId="0" borderId="12" xfId="29" applyNumberFormat="1" applyFont="1" applyBorder="1"/>
    <xf numFmtId="43" fontId="3" fillId="24" borderId="14" xfId="28" applyFont="1" applyFill="1" applyBorder="1"/>
    <xf numFmtId="43" fontId="3" fillId="24" borderId="13" xfId="28" applyFont="1" applyFill="1" applyBorder="1"/>
    <xf numFmtId="9" fontId="3" fillId="0" borderId="0" xfId="50" applyFont="1"/>
    <xf numFmtId="9" fontId="3" fillId="0" borderId="23" xfId="50" applyFont="1" applyBorder="1"/>
    <xf numFmtId="44" fontId="3" fillId="0" borderId="16" xfId="29" applyFont="1" applyBorder="1"/>
    <xf numFmtId="44" fontId="3" fillId="0" borderId="23" xfId="29" applyFont="1" applyBorder="1"/>
    <xf numFmtId="165" fontId="3" fillId="0" borderId="16" xfId="29" applyNumberFormat="1" applyFont="1" applyBorder="1"/>
    <xf numFmtId="43" fontId="3" fillId="24" borderId="17" xfId="28" applyFont="1" applyFill="1" applyBorder="1"/>
    <xf numFmtId="165" fontId="3" fillId="0" borderId="11" xfId="29" applyNumberFormat="1" applyFont="1" applyBorder="1"/>
    <xf numFmtId="0" fontId="7" fillId="0" borderId="0" xfId="44" applyFont="1" applyAlignment="1">
      <alignment horizontal="center"/>
    </xf>
    <xf numFmtId="0" fontId="7" fillId="0" borderId="0" xfId="44" applyFont="1" applyAlignment="1"/>
    <xf numFmtId="0" fontId="8" fillId="0" borderId="0" xfId="44"/>
    <xf numFmtId="0" fontId="25" fillId="0" borderId="0" xfId="44" applyFont="1"/>
    <xf numFmtId="0" fontId="14" fillId="0" borderId="0" xfId="44" applyFont="1"/>
    <xf numFmtId="43" fontId="14" fillId="0" borderId="0" xfId="28" applyFont="1"/>
    <xf numFmtId="43" fontId="13" fillId="0" borderId="0" xfId="28" applyFont="1" applyAlignment="1">
      <alignment horizontal="center" wrapText="1"/>
    </xf>
    <xf numFmtId="0" fontId="13" fillId="0" borderId="0" xfId="44" applyFont="1"/>
    <xf numFmtId="0" fontId="13" fillId="0" borderId="0" xfId="28" applyNumberFormat="1" applyFont="1" applyAlignment="1">
      <alignment horizontal="center"/>
    </xf>
    <xf numFmtId="0" fontId="13" fillId="0" borderId="0" xfId="28" applyNumberFormat="1" applyFont="1" applyAlignment="1">
      <alignment horizontal="center" wrapText="1"/>
    </xf>
    <xf numFmtId="0" fontId="14" fillId="0" borderId="0" xfId="44" applyFont="1" applyAlignment="1">
      <alignment horizontal="center"/>
    </xf>
    <xf numFmtId="43" fontId="14" fillId="0" borderId="0" xfId="28" applyFont="1" applyAlignment="1">
      <alignment horizontal="center"/>
    </xf>
    <xf numFmtId="43" fontId="14" fillId="0" borderId="0" xfId="28" applyFont="1" applyAlignment="1">
      <alignment horizontal="right"/>
    </xf>
    <xf numFmtId="43" fontId="13" fillId="0" borderId="0" xfId="28" applyFont="1" applyBorder="1"/>
    <xf numFmtId="43" fontId="14" fillId="0" borderId="0" xfId="28" applyFont="1" applyBorder="1"/>
    <xf numFmtId="43" fontId="14" fillId="0" borderId="0" xfId="28" applyFont="1" applyBorder="1" applyAlignment="1">
      <alignment horizontal="center"/>
    </xf>
    <xf numFmtId="164" fontId="14" fillId="0" borderId="0" xfId="28" applyNumberFormat="1" applyFont="1"/>
    <xf numFmtId="0" fontId="13" fillId="0" borderId="0" xfId="44" quotePrefix="1" applyFont="1"/>
    <xf numFmtId="166" fontId="14" fillId="0" borderId="0" xfId="28" quotePrefix="1" applyNumberFormat="1" applyFont="1"/>
    <xf numFmtId="166" fontId="14" fillId="0" borderId="22" xfId="28" quotePrefix="1" applyNumberFormat="1" applyFont="1" applyBorder="1"/>
    <xf numFmtId="0" fontId="14" fillId="0" borderId="22" xfId="44" applyFont="1" applyBorder="1"/>
    <xf numFmtId="43" fontId="14" fillId="0" borderId="22" xfId="28" applyFont="1" applyBorder="1"/>
    <xf numFmtId="0" fontId="28" fillId="0" borderId="0" xfId="28" applyNumberFormat="1" applyFont="1" applyAlignment="1">
      <alignment horizontal="center"/>
    </xf>
    <xf numFmtId="43" fontId="13" fillId="0" borderId="0" xfId="28" applyFont="1" applyAlignment="1">
      <alignment horizontal="center"/>
    </xf>
    <xf numFmtId="164" fontId="14" fillId="0" borderId="0" xfId="28" applyNumberFormat="1" applyFont="1" applyAlignment="1"/>
    <xf numFmtId="5" fontId="14" fillId="0" borderId="0" xfId="28" applyNumberFormat="1" applyFont="1" applyAlignment="1">
      <alignment horizontal="center"/>
    </xf>
    <xf numFmtId="3" fontId="14" fillId="0" borderId="0" xfId="28" applyNumberFormat="1" applyFont="1" applyAlignment="1">
      <alignment horizontal="center"/>
    </xf>
    <xf numFmtId="164" fontId="14" fillId="0" borderId="0" xfId="28" applyNumberFormat="1" applyFont="1" applyBorder="1"/>
    <xf numFmtId="3" fontId="14" fillId="0" borderId="0" xfId="28" applyNumberFormat="1" applyFont="1" applyBorder="1" applyAlignment="1">
      <alignment horizontal="center"/>
    </xf>
    <xf numFmtId="0" fontId="14" fillId="0" borderId="0" xfId="44" quotePrefix="1" applyFont="1"/>
    <xf numFmtId="164" fontId="13" fillId="0" borderId="0" xfId="28" applyNumberFormat="1" applyFont="1"/>
    <xf numFmtId="0" fontId="14" fillId="0" borderId="0" xfId="44" applyFont="1" applyFill="1"/>
    <xf numFmtId="164" fontId="14" fillId="0" borderId="0" xfId="28" applyNumberFormat="1" applyFont="1" applyFill="1" applyBorder="1"/>
    <xf numFmtId="164" fontId="14" fillId="0" borderId="0" xfId="28" applyNumberFormat="1" applyFont="1" applyFill="1" applyAlignment="1">
      <alignment horizontal="center"/>
    </xf>
    <xf numFmtId="3" fontId="14" fillId="0" borderId="0" xfId="28" applyNumberFormat="1" applyFont="1" applyFill="1" applyBorder="1" applyAlignment="1">
      <alignment horizontal="center"/>
    </xf>
    <xf numFmtId="164" fontId="14" fillId="0" borderId="0" xfId="28" applyNumberFormat="1" applyFont="1" applyFill="1"/>
    <xf numFmtId="5" fontId="14" fillId="0" borderId="0" xfId="28" applyNumberFormat="1" applyFont="1" applyFill="1" applyAlignment="1">
      <alignment horizontal="center"/>
    </xf>
    <xf numFmtId="4" fontId="14" fillId="0" borderId="0" xfId="28" applyNumberFormat="1" applyFont="1" applyBorder="1" applyAlignment="1">
      <alignment horizontal="center"/>
    </xf>
    <xf numFmtId="3" fontId="14" fillId="0" borderId="0" xfId="28" applyNumberFormat="1" applyFont="1" applyFill="1" applyAlignment="1">
      <alignment horizontal="center"/>
    </xf>
    <xf numFmtId="0" fontId="29" fillId="0" borderId="0" xfId="28" quotePrefix="1" applyNumberFormat="1" applyFont="1"/>
    <xf numFmtId="0" fontId="14" fillId="24" borderId="0" xfId="44" applyFont="1" applyFill="1"/>
    <xf numFmtId="43" fontId="14" fillId="24" borderId="0" xfId="28" applyFont="1" applyFill="1"/>
    <xf numFmtId="43" fontId="14" fillId="24" borderId="0" xfId="28" applyFont="1" applyFill="1" applyBorder="1"/>
    <xf numFmtId="43" fontId="14" fillId="24" borderId="0" xfId="28" applyFont="1" applyFill="1" applyBorder="1" applyAlignment="1">
      <alignment horizontal="center"/>
    </xf>
    <xf numFmtId="43" fontId="14" fillId="24" borderId="0" xfId="28" applyFont="1" applyFill="1" applyAlignment="1">
      <alignment horizontal="right"/>
    </xf>
    <xf numFmtId="0" fontId="13" fillId="24" borderId="0" xfId="44" applyFont="1" applyFill="1"/>
    <xf numFmtId="43" fontId="13" fillId="24" borderId="0" xfId="28" applyFont="1" applyFill="1" applyBorder="1"/>
    <xf numFmtId="164" fontId="14" fillId="24" borderId="0" xfId="28" applyNumberFormat="1" applyFont="1" applyFill="1" applyBorder="1" applyAlignment="1">
      <alignment horizontal="right"/>
    </xf>
    <xf numFmtId="0" fontId="14" fillId="24" borderId="0" xfId="45" applyFont="1" applyFill="1"/>
    <xf numFmtId="0" fontId="0" fillId="24" borderId="0" xfId="0" applyFill="1"/>
    <xf numFmtId="0" fontId="5" fillId="0" borderId="25" xfId="47" applyFont="1" applyFill="1" applyBorder="1" applyAlignment="1">
      <alignment horizontal="center"/>
    </xf>
    <xf numFmtId="0" fontId="5" fillId="0" borderId="28" xfId="47" applyFont="1" applyFill="1" applyBorder="1" applyAlignment="1">
      <alignment horizontal="center"/>
    </xf>
    <xf numFmtId="0" fontId="32" fillId="0" borderId="0" xfId="47" applyFont="1" applyFill="1" applyAlignment="1" applyProtection="1">
      <alignment horizontal="centerContinuous"/>
    </xf>
    <xf numFmtId="0" fontId="33" fillId="0" borderId="0" xfId="47" applyFont="1" applyFill="1" applyAlignment="1" applyProtection="1">
      <alignment horizontal="centerContinuous"/>
    </xf>
    <xf numFmtId="0" fontId="30" fillId="0" borderId="0" xfId="47" applyFill="1"/>
    <xf numFmtId="0" fontId="32" fillId="0" borderId="0" xfId="47" applyFont="1" applyFill="1" applyAlignment="1" applyProtection="1">
      <alignment horizontal="center"/>
    </xf>
    <xf numFmtId="0" fontId="33" fillId="0" borderId="0" xfId="47" applyFont="1" applyFill="1" applyAlignment="1" applyProtection="1">
      <alignment horizontal="center"/>
    </xf>
    <xf numFmtId="0" fontId="34" fillId="0" borderId="0" xfId="47" applyFont="1" applyFill="1" applyAlignment="1" applyProtection="1">
      <alignment horizontal="center"/>
    </xf>
    <xf numFmtId="0" fontId="30" fillId="0" borderId="0" xfId="47" applyFill="1" applyAlignment="1">
      <alignment horizontal="center"/>
    </xf>
    <xf numFmtId="0" fontId="33" fillId="0" borderId="29" xfId="47" applyFont="1" applyFill="1" applyBorder="1" applyAlignment="1" applyProtection="1">
      <alignment horizontal="center"/>
    </xf>
    <xf numFmtId="0" fontId="33" fillId="0" borderId="0" xfId="47" applyFont="1" applyFill="1" applyBorder="1" applyAlignment="1" applyProtection="1">
      <alignment horizontal="center"/>
    </xf>
    <xf numFmtId="0" fontId="33" fillId="0" borderId="30" xfId="47" applyFont="1" applyFill="1" applyBorder="1" applyAlignment="1" applyProtection="1">
      <alignment horizontal="center"/>
    </xf>
    <xf numFmtId="0" fontId="5" fillId="0" borderId="30" xfId="47" applyFont="1" applyFill="1" applyBorder="1" applyAlignment="1">
      <alignment horizontal="center"/>
    </xf>
    <xf numFmtId="0" fontId="5" fillId="0" borderId="0" xfId="47" applyFont="1" applyFill="1"/>
    <xf numFmtId="0" fontId="35" fillId="0" borderId="0" xfId="47" applyFont="1" applyFill="1"/>
    <xf numFmtId="0" fontId="5" fillId="0" borderId="0" xfId="47" applyFont="1" applyFill="1" applyBorder="1"/>
    <xf numFmtId="0" fontId="5" fillId="0" borderId="31" xfId="47" applyFont="1" applyFill="1" applyBorder="1" applyAlignment="1">
      <alignment horizontal="center"/>
    </xf>
    <xf numFmtId="164" fontId="5" fillId="0" borderId="0" xfId="47" applyNumberFormat="1" applyFont="1" applyFill="1" applyBorder="1"/>
    <xf numFmtId="164" fontId="5" fillId="0" borderId="29" xfId="47" applyNumberFormat="1" applyFont="1" applyFill="1" applyBorder="1"/>
    <xf numFmtId="164" fontId="5" fillId="0" borderId="30" xfId="47" applyNumberFormat="1" applyFont="1" applyFill="1" applyBorder="1"/>
    <xf numFmtId="0" fontId="5" fillId="0" borderId="30" xfId="47" applyFont="1" applyFill="1" applyBorder="1"/>
    <xf numFmtId="0" fontId="37" fillId="0" borderId="0" xfId="47" applyFont="1" applyFill="1"/>
    <xf numFmtId="164" fontId="37" fillId="0" borderId="0" xfId="47" applyNumberFormat="1" applyFont="1" applyFill="1" applyBorder="1"/>
    <xf numFmtId="164" fontId="37" fillId="0" borderId="29" xfId="47" applyNumberFormat="1" applyFont="1" applyFill="1" applyBorder="1"/>
    <xf numFmtId="164" fontId="37" fillId="0" borderId="30" xfId="47" applyNumberFormat="1" applyFont="1" applyFill="1" applyBorder="1"/>
    <xf numFmtId="0" fontId="38" fillId="0" borderId="0" xfId="41" applyFont="1"/>
    <xf numFmtId="164" fontId="39" fillId="0" borderId="0" xfId="47" applyNumberFormat="1" applyFont="1" applyFill="1" applyBorder="1"/>
    <xf numFmtId="164" fontId="5" fillId="0" borderId="25" xfId="47" applyNumberFormat="1" applyFont="1" applyFill="1" applyBorder="1"/>
    <xf numFmtId="164" fontId="5" fillId="0" borderId="28" xfId="47" applyNumberFormat="1" applyFont="1" applyFill="1" applyBorder="1"/>
    <xf numFmtId="164" fontId="5" fillId="0" borderId="31" xfId="47" applyNumberFormat="1" applyFont="1" applyFill="1" applyBorder="1"/>
    <xf numFmtId="164" fontId="5" fillId="0" borderId="0" xfId="47" applyNumberFormat="1" applyFont="1" applyFill="1"/>
    <xf numFmtId="0" fontId="5" fillId="0" borderId="29" xfId="47" applyFont="1" applyFill="1" applyBorder="1"/>
    <xf numFmtId="164" fontId="37" fillId="0" borderId="0" xfId="47" applyNumberFormat="1" applyFont="1" applyFill="1"/>
    <xf numFmtId="10" fontId="5" fillId="0" borderId="30" xfId="50" applyNumberFormat="1" applyFont="1" applyFill="1" applyBorder="1"/>
    <xf numFmtId="0" fontId="5" fillId="0" borderId="32" xfId="47" applyFont="1" applyFill="1" applyBorder="1"/>
    <xf numFmtId="0" fontId="35" fillId="0" borderId="32" xfId="47" applyFont="1" applyFill="1" applyBorder="1"/>
    <xf numFmtId="164" fontId="5" fillId="0" borderId="32" xfId="47" applyNumberFormat="1" applyFont="1" applyFill="1" applyBorder="1"/>
    <xf numFmtId="0" fontId="40" fillId="0" borderId="0" xfId="47" applyFont="1" applyFill="1"/>
    <xf numFmtId="3" fontId="5" fillId="0" borderId="0" xfId="47" applyNumberFormat="1" applyFont="1" applyFill="1" applyBorder="1"/>
    <xf numFmtId="169" fontId="5" fillId="0" borderId="0" xfId="50" applyNumberFormat="1" applyFont="1" applyFill="1" applyBorder="1"/>
    <xf numFmtId="0" fontId="30" fillId="0" borderId="0" xfId="47" applyFill="1" applyBorder="1" applyAlignment="1">
      <alignment horizontal="center"/>
    </xf>
    <xf numFmtId="0" fontId="5" fillId="0" borderId="0" xfId="47" applyFont="1" applyFill="1" applyBorder="1" applyAlignment="1">
      <alignment horizontal="center"/>
    </xf>
    <xf numFmtId="0" fontId="30" fillId="0" borderId="0" xfId="47" applyFill="1" applyBorder="1"/>
    <xf numFmtId="0" fontId="41" fillId="0" borderId="0" xfId="47" applyFont="1" applyFill="1" applyAlignment="1" applyProtection="1">
      <alignment horizontal="left"/>
    </xf>
    <xf numFmtId="0" fontId="42" fillId="0" borderId="0" xfId="47" applyFont="1" applyFill="1" applyAlignment="1">
      <alignment horizontal="left"/>
    </xf>
    <xf numFmtId="0" fontId="11" fillId="0" borderId="0" xfId="0" applyFont="1"/>
    <xf numFmtId="171" fontId="3" fillId="0" borderId="0" xfId="29" applyNumberFormat="1" applyFont="1"/>
    <xf numFmtId="0" fontId="11" fillId="0" borderId="0" xfId="46" applyFont="1" applyFill="1" applyBorder="1" applyAlignment="1">
      <alignment horizontal="center"/>
    </xf>
    <xf numFmtId="0" fontId="3" fillId="0" borderId="0" xfId="46" applyFont="1" applyAlignment="1">
      <alignment horizontal="left"/>
    </xf>
    <xf numFmtId="170" fontId="30" fillId="0" borderId="0" xfId="42"/>
    <xf numFmtId="170" fontId="30" fillId="0" borderId="0" xfId="42" applyFill="1"/>
    <xf numFmtId="170" fontId="47" fillId="0" borderId="0" xfId="42" applyFont="1"/>
    <xf numFmtId="170" fontId="47" fillId="0" borderId="0" xfId="42" applyFont="1" applyFill="1"/>
    <xf numFmtId="170" fontId="47" fillId="0" borderId="0" xfId="42" applyFont="1" applyAlignment="1">
      <alignment horizontal="right"/>
    </xf>
    <xf numFmtId="164" fontId="47" fillId="0" borderId="0" xfId="28" applyNumberFormat="1" applyFont="1" applyFill="1"/>
    <xf numFmtId="168" fontId="11" fillId="0" borderId="0" xfId="29" applyNumberFormat="1" applyFont="1"/>
    <xf numFmtId="164" fontId="6" fillId="0" borderId="25" xfId="46" applyNumberFormat="1" applyFont="1" applyBorder="1"/>
    <xf numFmtId="168" fontId="6" fillId="0" borderId="25" xfId="29" applyNumberFormat="1" applyFont="1" applyBorder="1"/>
    <xf numFmtId="6" fontId="11" fillId="0" borderId="25" xfId="46" quotePrefix="1" applyNumberFormat="1" applyFont="1" applyBorder="1" applyAlignment="1">
      <alignment horizontal="center"/>
    </xf>
    <xf numFmtId="6" fontId="11" fillId="0" borderId="0" xfId="46" quotePrefix="1" applyNumberFormat="1" applyFont="1" applyBorder="1" applyAlignment="1">
      <alignment horizontal="center"/>
    </xf>
    <xf numFmtId="0" fontId="11" fillId="0" borderId="0" xfId="46" quotePrefix="1" applyFont="1" applyBorder="1" applyAlignment="1">
      <alignment horizontal="center"/>
    </xf>
    <xf numFmtId="0" fontId="11" fillId="0" borderId="25" xfId="46" applyFont="1" applyBorder="1" applyAlignment="1">
      <alignment horizontal="centerContinuous"/>
    </xf>
    <xf numFmtId="177" fontId="11" fillId="0" borderId="0" xfId="46" applyNumberFormat="1" applyFont="1" applyAlignment="1">
      <alignment horizontal="center"/>
    </xf>
    <xf numFmtId="177" fontId="11" fillId="0" borderId="0" xfId="46" applyNumberFormat="1" applyFont="1" applyBorder="1" applyAlignment="1">
      <alignment horizontal="center"/>
    </xf>
    <xf numFmtId="7" fontId="3" fillId="0" borderId="0" xfId="46" applyNumberFormat="1"/>
    <xf numFmtId="7" fontId="6" fillId="0" borderId="25" xfId="46" applyNumberFormat="1" applyFont="1" applyBorder="1"/>
    <xf numFmtId="10" fontId="3" fillId="0" borderId="0" xfId="29" applyNumberFormat="1" applyFont="1"/>
    <xf numFmtId="10" fontId="3" fillId="0" borderId="25" xfId="29" applyNumberFormat="1" applyFont="1" applyBorder="1"/>
    <xf numFmtId="0" fontId="48" fillId="0" borderId="0" xfId="46" applyFont="1"/>
    <xf numFmtId="164" fontId="48" fillId="0" borderId="0" xfId="46" applyNumberFormat="1" applyFont="1"/>
    <xf numFmtId="5" fontId="48" fillId="0" borderId="0" xfId="46" applyNumberFormat="1" applyFont="1"/>
    <xf numFmtId="7" fontId="48" fillId="0" borderId="0" xfId="46" applyNumberFormat="1" applyFont="1"/>
    <xf numFmtId="168" fontId="48" fillId="0" borderId="0" xfId="29" applyNumberFormat="1" applyFont="1"/>
    <xf numFmtId="0" fontId="48" fillId="0" borderId="0" xfId="0" applyFont="1"/>
    <xf numFmtId="168" fontId="48" fillId="0" borderId="0" xfId="29" applyNumberFormat="1" applyFont="1" applyBorder="1"/>
    <xf numFmtId="0" fontId="11" fillId="0" borderId="25" xfId="46" applyFont="1" applyBorder="1"/>
    <xf numFmtId="0" fontId="48" fillId="0" borderId="0" xfId="46" applyFont="1" applyBorder="1"/>
    <xf numFmtId="7" fontId="49" fillId="0" borderId="0" xfId="46" applyNumberFormat="1" applyFont="1"/>
    <xf numFmtId="168" fontId="49" fillId="0" borderId="0" xfId="29" applyNumberFormat="1" applyFont="1"/>
    <xf numFmtId="10" fontId="49" fillId="0" borderId="0" xfId="29" applyNumberFormat="1" applyFont="1"/>
    <xf numFmtId="38" fontId="30" fillId="0" borderId="0" xfId="42" applyNumberFormat="1" applyFill="1"/>
    <xf numFmtId="168" fontId="50" fillId="0" borderId="0" xfId="29" applyNumberFormat="1" applyFont="1" applyBorder="1"/>
    <xf numFmtId="7" fontId="50" fillId="0" borderId="0" xfId="46" applyNumberFormat="1" applyFont="1"/>
    <xf numFmtId="0" fontId="11" fillId="0" borderId="35" xfId="46" applyFont="1" applyBorder="1" applyAlignment="1">
      <alignment horizontal="centerContinuous"/>
    </xf>
    <xf numFmtId="7" fontId="3" fillId="0" borderId="25" xfId="46" applyNumberFormat="1" applyBorder="1"/>
    <xf numFmtId="0" fontId="11" fillId="0" borderId="32" xfId="46" applyFont="1" applyBorder="1"/>
    <xf numFmtId="0" fontId="3" fillId="0" borderId="32" xfId="46" applyBorder="1"/>
    <xf numFmtId="168" fontId="3" fillId="0" borderId="32" xfId="29" applyNumberFormat="1" applyFont="1" applyBorder="1"/>
    <xf numFmtId="0" fontId="7" fillId="0" borderId="0" xfId="45" applyFont="1" applyAlignment="1">
      <alignment horizontal="centerContinuous"/>
    </xf>
    <xf numFmtId="0" fontId="0" fillId="0" borderId="0" xfId="0" applyAlignment="1">
      <alignment horizontal="centerContinuous"/>
    </xf>
    <xf numFmtId="10" fontId="45" fillId="0" borderId="0" xfId="29" applyNumberFormat="1" applyFont="1"/>
    <xf numFmtId="6" fontId="48" fillId="0" borderId="0" xfId="29" applyNumberFormat="1" applyFont="1"/>
    <xf numFmtId="0" fontId="51" fillId="0" borderId="0" xfId="43"/>
    <xf numFmtId="0" fontId="51" fillId="0" borderId="0" xfId="43" applyAlignment="1">
      <alignment horizontal="center"/>
    </xf>
    <xf numFmtId="3" fontId="51" fillId="0" borderId="0" xfId="43" applyNumberFormat="1"/>
    <xf numFmtId="38" fontId="47" fillId="0" borderId="0" xfId="42" applyNumberFormat="1" applyFont="1" applyFill="1"/>
    <xf numFmtId="172" fontId="0" fillId="0" borderId="0" xfId="0" applyNumberFormat="1"/>
    <xf numFmtId="0" fontId="11" fillId="0" borderId="0" xfId="46" applyFont="1" applyBorder="1"/>
    <xf numFmtId="184" fontId="0" fillId="0" borderId="0" xfId="0" applyNumberFormat="1"/>
    <xf numFmtId="3" fontId="75" fillId="0" borderId="0" xfId="43" applyNumberFormat="1" applyFont="1"/>
    <xf numFmtId="3" fontId="76" fillId="0" borderId="0" xfId="43" applyNumberFormat="1" applyFont="1"/>
    <xf numFmtId="10" fontId="51" fillId="0" borderId="0" xfId="50" applyNumberFormat="1" applyFont="1"/>
    <xf numFmtId="0" fontId="3" fillId="0" borderId="0" xfId="46" applyBorder="1"/>
    <xf numFmtId="168" fontId="3" fillId="0" borderId="0" xfId="29" applyNumberFormat="1" applyFont="1" applyBorder="1"/>
    <xf numFmtId="9" fontId="3" fillId="0" borderId="0" xfId="50" applyNumberFormat="1" applyFont="1"/>
    <xf numFmtId="172" fontId="51" fillId="0" borderId="0" xfId="50" applyNumberFormat="1" applyFont="1"/>
    <xf numFmtId="9" fontId="0" fillId="0" borderId="0" xfId="50" applyFont="1"/>
    <xf numFmtId="37" fontId="51" fillId="0" borderId="0" xfId="43" applyNumberFormat="1"/>
    <xf numFmtId="170" fontId="35" fillId="0" borderId="0" xfId="69" applyFont="1" applyAlignment="1">
      <alignment horizontal="centerContinuous"/>
    </xf>
    <xf numFmtId="170" fontId="35" fillId="0" borderId="0" xfId="69" applyFont="1" applyFill="1" applyAlignment="1">
      <alignment horizontal="centerContinuous"/>
    </xf>
    <xf numFmtId="170" fontId="5" fillId="0" borderId="0" xfId="69" applyFill="1" applyAlignment="1">
      <alignment horizontal="centerContinuous"/>
    </xf>
    <xf numFmtId="10" fontId="5" fillId="0" borderId="0" xfId="69" applyNumberFormat="1" applyFill="1" applyAlignment="1">
      <alignment horizontal="centerContinuous"/>
    </xf>
    <xf numFmtId="2" fontId="5" fillId="0" borderId="0" xfId="69" applyNumberFormat="1" applyFill="1" applyAlignment="1">
      <alignment horizontal="centerContinuous"/>
    </xf>
    <xf numFmtId="170" fontId="5" fillId="0" borderId="0" xfId="69"/>
    <xf numFmtId="0" fontId="5" fillId="0" borderId="0" xfId="58" applyAlignment="1">
      <alignment horizontal="centerContinuous"/>
    </xf>
    <xf numFmtId="0" fontId="5" fillId="0" borderId="0" xfId="58" applyAlignment="1"/>
    <xf numFmtId="170" fontId="5" fillId="0" borderId="0" xfId="69" applyAlignment="1">
      <alignment horizontal="centerContinuous"/>
    </xf>
    <xf numFmtId="170" fontId="35" fillId="0" borderId="25" xfId="70" applyFont="1" applyFill="1" applyBorder="1" applyAlignment="1">
      <alignment horizontal="centerContinuous"/>
    </xf>
    <xf numFmtId="10" fontId="35" fillId="0" borderId="25" xfId="70" applyNumberFormat="1" applyFont="1" applyFill="1" applyBorder="1" applyAlignment="1">
      <alignment horizontal="centerContinuous"/>
    </xf>
    <xf numFmtId="2" fontId="35" fillId="0" borderId="25" xfId="70" applyNumberFormat="1" applyFont="1" applyFill="1" applyBorder="1" applyAlignment="1">
      <alignment horizontal="centerContinuous"/>
    </xf>
    <xf numFmtId="170" fontId="35" fillId="0" borderId="0" xfId="69" applyFont="1" applyFill="1" applyAlignment="1">
      <alignment horizontal="center"/>
    </xf>
    <xf numFmtId="170" fontId="35" fillId="0" borderId="0" xfId="69" applyFont="1" applyAlignment="1">
      <alignment horizontal="center"/>
    </xf>
    <xf numFmtId="170" fontId="35" fillId="0" borderId="0" xfId="69" applyFont="1" applyFill="1" applyBorder="1" applyAlignment="1">
      <alignment horizontal="center"/>
    </xf>
    <xf numFmtId="170" fontId="35" fillId="0" borderId="0" xfId="69" applyFont="1" applyFill="1" applyBorder="1" applyAlignment="1">
      <alignment horizontal="centerContinuous"/>
    </xf>
    <xf numFmtId="2" fontId="5" fillId="0" borderId="0" xfId="69" applyNumberFormat="1" applyFill="1" applyBorder="1" applyAlignment="1">
      <alignment horizontal="centerContinuous"/>
    </xf>
    <xf numFmtId="170" fontId="35" fillId="0" borderId="0" xfId="69" applyFont="1"/>
    <xf numFmtId="10" fontId="35" fillId="0" borderId="0" xfId="69" applyNumberFormat="1" applyFont="1" applyFill="1" applyBorder="1" applyAlignment="1">
      <alignment horizontal="centerContinuous"/>
    </xf>
    <xf numFmtId="2" fontId="35" fillId="0" borderId="0" xfId="69" applyNumberFormat="1" applyFont="1" applyFill="1" applyBorder="1" applyAlignment="1">
      <alignment horizontal="center"/>
    </xf>
    <xf numFmtId="170" fontId="35" fillId="0" borderId="25" xfId="69" applyFont="1" applyBorder="1" applyAlignment="1">
      <alignment horizontal="center"/>
    </xf>
    <xf numFmtId="170" fontId="35" fillId="0" borderId="25" xfId="69" applyFont="1" applyFill="1" applyBorder="1" applyAlignment="1">
      <alignment horizontal="center"/>
    </xf>
    <xf numFmtId="170" fontId="35" fillId="0" borderId="25" xfId="69" quotePrefix="1" applyFont="1" applyFill="1" applyBorder="1" applyAlignment="1">
      <alignment horizontal="center"/>
    </xf>
    <xf numFmtId="10" fontId="35" fillId="0" borderId="25" xfId="69" applyNumberFormat="1" applyFont="1" applyFill="1" applyBorder="1" applyAlignment="1">
      <alignment horizontal="center"/>
    </xf>
    <xf numFmtId="2" fontId="35" fillId="0" borderId="25" xfId="69" applyNumberFormat="1" applyFont="1" applyFill="1" applyBorder="1" applyAlignment="1">
      <alignment horizontal="center"/>
    </xf>
    <xf numFmtId="37" fontId="35" fillId="0" borderId="0" xfId="69" quotePrefix="1" applyNumberFormat="1" applyFont="1" applyAlignment="1">
      <alignment horizontal="center"/>
    </xf>
    <xf numFmtId="37" fontId="35" fillId="0" borderId="0" xfId="69" quotePrefix="1" applyNumberFormat="1" applyFont="1" applyFill="1" applyAlignment="1">
      <alignment horizontal="center"/>
    </xf>
    <xf numFmtId="170" fontId="35" fillId="0" borderId="0" xfId="69" applyFont="1" applyFill="1"/>
    <xf numFmtId="170" fontId="5" fillId="0" borderId="0" xfId="69" applyFill="1"/>
    <xf numFmtId="10" fontId="5" fillId="0" borderId="0" xfId="69" applyNumberFormat="1" applyFill="1"/>
    <xf numFmtId="2" fontId="5" fillId="0" borderId="0" xfId="69" applyNumberFormat="1" applyFill="1"/>
    <xf numFmtId="170" fontId="5" fillId="0" borderId="0" xfId="69" applyFont="1" applyAlignment="1">
      <alignment horizontal="right"/>
    </xf>
    <xf numFmtId="164" fontId="5" fillId="0" borderId="0" xfId="71" applyNumberFormat="1" applyFont="1" applyFill="1"/>
    <xf numFmtId="5" fontId="5" fillId="0" borderId="0" xfId="72" applyNumberFormat="1" applyFont="1" applyFill="1"/>
    <xf numFmtId="5" fontId="5" fillId="0" borderId="0" xfId="69" applyNumberFormat="1" applyFill="1"/>
    <xf numFmtId="170" fontId="5" fillId="0" borderId="0" xfId="70" applyFill="1"/>
    <xf numFmtId="10" fontId="73" fillId="0" borderId="0" xfId="72" applyNumberFormat="1" applyFont="1" applyFill="1"/>
    <xf numFmtId="8" fontId="5" fillId="0" borderId="0" xfId="69" applyNumberFormat="1"/>
    <xf numFmtId="10" fontId="22" fillId="0" borderId="0" xfId="72" applyNumberFormat="1" applyFont="1" applyFill="1"/>
    <xf numFmtId="170" fontId="5" fillId="0" borderId="0" xfId="69" applyAlignment="1">
      <alignment horizontal="right"/>
    </xf>
    <xf numFmtId="170" fontId="5" fillId="0" borderId="0" xfId="69" applyFont="1"/>
    <xf numFmtId="170" fontId="5" fillId="0" borderId="0" xfId="69" applyBorder="1" applyAlignment="1">
      <alignment horizontal="right"/>
    </xf>
    <xf numFmtId="170" fontId="5" fillId="0" borderId="25" xfId="69" applyFill="1" applyBorder="1" applyAlignment="1">
      <alignment horizontal="right"/>
    </xf>
    <xf numFmtId="5" fontId="5" fillId="0" borderId="25" xfId="72" applyNumberFormat="1" applyFont="1" applyFill="1" applyBorder="1"/>
    <xf numFmtId="5" fontId="22" fillId="0" borderId="25" xfId="72" applyNumberFormat="1" applyFont="1" applyFill="1" applyBorder="1"/>
    <xf numFmtId="10" fontId="77" fillId="0" borderId="25" xfId="72" applyNumberFormat="1" applyFont="1" applyFill="1" applyBorder="1"/>
    <xf numFmtId="2" fontId="5" fillId="0" borderId="25" xfId="69" applyNumberFormat="1" applyFill="1" applyBorder="1"/>
    <xf numFmtId="8" fontId="5" fillId="0" borderId="25" xfId="69" applyNumberFormat="1" applyBorder="1"/>
    <xf numFmtId="10" fontId="5" fillId="0" borderId="0" xfId="72" applyNumberFormat="1" applyFont="1" applyFill="1"/>
    <xf numFmtId="170" fontId="5" fillId="0" borderId="0" xfId="69" quotePrefix="1" applyAlignment="1">
      <alignment horizontal="right"/>
    </xf>
    <xf numFmtId="164" fontId="5" fillId="0" borderId="25" xfId="71" applyNumberFormat="1" applyFont="1" applyFill="1" applyBorder="1"/>
    <xf numFmtId="10" fontId="73" fillId="0" borderId="25" xfId="72" applyNumberFormat="1" applyFont="1" applyFill="1" applyBorder="1"/>
    <xf numFmtId="170" fontId="46" fillId="0" borderId="0" xfId="69" applyFont="1"/>
    <xf numFmtId="170" fontId="5" fillId="0" borderId="25" xfId="69" applyFont="1" applyBorder="1" applyAlignment="1">
      <alignment horizontal="center"/>
    </xf>
    <xf numFmtId="5" fontId="33" fillId="0" borderId="0" xfId="72" applyNumberFormat="1" applyFont="1" applyFill="1"/>
    <xf numFmtId="10" fontId="77" fillId="0" borderId="0" xfId="72" applyNumberFormat="1" applyFont="1" applyFill="1"/>
    <xf numFmtId="5" fontId="77" fillId="0" borderId="25" xfId="72" applyNumberFormat="1" applyFont="1" applyFill="1" applyBorder="1"/>
    <xf numFmtId="170" fontId="77" fillId="0" borderId="0" xfId="69" applyFont="1" applyFill="1"/>
    <xf numFmtId="170" fontId="35" fillId="0" borderId="0" xfId="69" applyFont="1" applyAlignment="1">
      <alignment wrapText="1"/>
    </xf>
    <xf numFmtId="3" fontId="5" fillId="0" borderId="0" xfId="69" applyNumberFormat="1" applyFill="1"/>
    <xf numFmtId="5" fontId="5" fillId="0" borderId="0" xfId="69" applyNumberFormat="1" applyFill="1" applyBorder="1"/>
    <xf numFmtId="5" fontId="5" fillId="0" borderId="0" xfId="72" applyNumberFormat="1" applyFont="1" applyFill="1" applyBorder="1"/>
    <xf numFmtId="170" fontId="5" fillId="0" borderId="0" xfId="69" applyFill="1" applyBorder="1"/>
    <xf numFmtId="10" fontId="73" fillId="0" borderId="0" xfId="72" applyNumberFormat="1" applyFont="1" applyFill="1" applyBorder="1"/>
    <xf numFmtId="2" fontId="5" fillId="0" borderId="0" xfId="69" applyNumberFormat="1" applyFill="1" applyBorder="1"/>
    <xf numFmtId="165" fontId="5" fillId="0" borderId="0" xfId="72" applyNumberFormat="1" applyFont="1" applyFill="1"/>
    <xf numFmtId="5" fontId="77" fillId="0" borderId="0" xfId="72" applyNumberFormat="1" applyFont="1" applyFill="1"/>
    <xf numFmtId="165" fontId="5" fillId="0" borderId="0" xfId="69" applyNumberFormat="1" applyFill="1"/>
    <xf numFmtId="164" fontId="5" fillId="0" borderId="25" xfId="71" applyNumberFormat="1" applyFont="1" applyFill="1" applyBorder="1" applyAlignment="1">
      <alignment horizontal="right"/>
    </xf>
    <xf numFmtId="165" fontId="77" fillId="0" borderId="0" xfId="69" applyNumberFormat="1" applyFont="1" applyFill="1"/>
    <xf numFmtId="170" fontId="5" fillId="0" borderId="0" xfId="69" applyBorder="1"/>
    <xf numFmtId="5" fontId="5" fillId="0" borderId="25" xfId="71" applyNumberFormat="1" applyFont="1" applyFill="1" applyBorder="1"/>
    <xf numFmtId="164" fontId="5" fillId="0" borderId="32" xfId="71" applyNumberFormat="1" applyFont="1" applyFill="1" applyBorder="1"/>
    <xf numFmtId="5" fontId="5" fillId="0" borderId="32" xfId="72" applyNumberFormat="1" applyFont="1" applyFill="1" applyBorder="1"/>
    <xf numFmtId="10" fontId="73" fillId="0" borderId="32" xfId="72" applyNumberFormat="1" applyFont="1" applyFill="1" applyBorder="1"/>
    <xf numFmtId="2" fontId="5" fillId="0" borderId="32" xfId="69" applyNumberFormat="1" applyFill="1" applyBorder="1"/>
    <xf numFmtId="8" fontId="5" fillId="0" borderId="32" xfId="69" applyNumberFormat="1" applyBorder="1"/>
    <xf numFmtId="170" fontId="35" fillId="0" borderId="0" xfId="69" applyFont="1" applyAlignment="1">
      <alignment horizontal="left" wrapText="1"/>
    </xf>
    <xf numFmtId="170" fontId="5" fillId="0" borderId="0" xfId="70"/>
    <xf numFmtId="170" fontId="35" fillId="0" borderId="0" xfId="70" applyFont="1"/>
    <xf numFmtId="170" fontId="5" fillId="0" borderId="0" xfId="70" applyBorder="1"/>
    <xf numFmtId="10" fontId="5" fillId="0" borderId="0" xfId="70" applyNumberFormat="1" applyFill="1"/>
    <xf numFmtId="2" fontId="5" fillId="0" borderId="0" xfId="70" applyNumberFormat="1" applyFill="1"/>
    <xf numFmtId="170" fontId="35" fillId="0" borderId="25" xfId="70" applyFont="1" applyBorder="1"/>
    <xf numFmtId="170" fontId="5" fillId="0" borderId="25" xfId="70" applyBorder="1"/>
    <xf numFmtId="170" fontId="5" fillId="0" borderId="0" xfId="70" applyFill="1" applyBorder="1"/>
    <xf numFmtId="170" fontId="5" fillId="0" borderId="39" xfId="70" applyFill="1" applyBorder="1"/>
    <xf numFmtId="5" fontId="77" fillId="0" borderId="39" xfId="72" applyNumberFormat="1" applyFont="1" applyFill="1" applyBorder="1"/>
    <xf numFmtId="170" fontId="5" fillId="0" borderId="40" xfId="70" applyFont="1" applyFill="1" applyBorder="1"/>
    <xf numFmtId="170" fontId="5" fillId="0" borderId="0" xfId="70" applyFont="1"/>
    <xf numFmtId="10" fontId="73" fillId="0" borderId="0" xfId="70" applyNumberFormat="1" applyFont="1" applyFill="1" applyBorder="1"/>
    <xf numFmtId="10" fontId="77" fillId="26" borderId="30" xfId="70" quotePrefix="1" applyNumberFormat="1" applyFont="1" applyFill="1" applyBorder="1"/>
    <xf numFmtId="172" fontId="77" fillId="0" borderId="30" xfId="70" quotePrefix="1" applyNumberFormat="1" applyFont="1" applyFill="1" applyBorder="1"/>
    <xf numFmtId="10" fontId="77" fillId="0" borderId="0" xfId="70" applyNumberFormat="1" applyFont="1" applyFill="1" applyBorder="1"/>
    <xf numFmtId="170" fontId="5" fillId="0" borderId="25" xfId="70" applyFill="1" applyBorder="1"/>
    <xf numFmtId="10" fontId="77" fillId="0" borderId="25" xfId="70" applyNumberFormat="1" applyFont="1" applyFill="1" applyBorder="1"/>
    <xf numFmtId="172" fontId="77" fillId="0" borderId="31" xfId="70" quotePrefix="1" applyNumberFormat="1" applyFont="1" applyFill="1" applyBorder="1"/>
    <xf numFmtId="170" fontId="77" fillId="0" borderId="0" xfId="70" applyFont="1" applyFill="1"/>
    <xf numFmtId="10" fontId="77" fillId="0" borderId="0" xfId="70" quotePrefix="1" applyNumberFormat="1" applyFont="1" applyFill="1"/>
    <xf numFmtId="10" fontId="5" fillId="0" borderId="0" xfId="70" applyNumberFormat="1" applyFont="1" applyFill="1"/>
    <xf numFmtId="3" fontId="94" fillId="0" borderId="0" xfId="140" applyNumberFormat="1" applyFont="1" applyAlignment="1">
      <alignment horizontal="centerContinuous"/>
    </xf>
    <xf numFmtId="170" fontId="95" fillId="0" borderId="0" xfId="189" applyFont="1" applyFill="1" applyAlignment="1">
      <alignment horizontal="centerContinuous"/>
    </xf>
    <xf numFmtId="170" fontId="95" fillId="0" borderId="0" xfId="189" applyFont="1" applyFill="1" applyBorder="1" applyAlignment="1">
      <alignment horizontal="centerContinuous"/>
    </xf>
    <xf numFmtId="170" fontId="32" fillId="0" borderId="0" xfId="189" applyFont="1" applyFill="1" applyAlignment="1">
      <alignment horizontal="centerContinuous"/>
    </xf>
    <xf numFmtId="170" fontId="5" fillId="0" borderId="0" xfId="189" applyFill="1" applyAlignment="1">
      <alignment horizontal="centerContinuous"/>
    </xf>
    <xf numFmtId="170" fontId="95" fillId="0" borderId="0" xfId="189" applyFont="1" applyFill="1" applyBorder="1" applyAlignment="1">
      <alignment horizontal="center"/>
    </xf>
    <xf numFmtId="170" fontId="35" fillId="0" borderId="0" xfId="189" applyFont="1" applyFill="1" applyBorder="1" applyAlignment="1">
      <alignment horizontal="right"/>
    </xf>
    <xf numFmtId="9" fontId="35" fillId="0" borderId="0" xfId="189" applyNumberFormat="1" applyFont="1" applyBorder="1" applyAlignment="1">
      <alignment horizontal="right"/>
    </xf>
    <xf numFmtId="170" fontId="5" fillId="0" borderId="0" xfId="189" applyAlignment="1">
      <alignment horizontal="centerContinuous"/>
    </xf>
    <xf numFmtId="170" fontId="5" fillId="0" borderId="0" xfId="189"/>
    <xf numFmtId="170" fontId="35" fillId="0" borderId="0" xfId="189" applyFont="1" applyFill="1" applyBorder="1" applyAlignment="1">
      <alignment horizontal="center"/>
    </xf>
    <xf numFmtId="170" fontId="35" fillId="0" borderId="0" xfId="189" applyFont="1" applyFill="1" applyBorder="1" applyAlignment="1">
      <alignment horizontal="left"/>
    </xf>
    <xf numFmtId="168" fontId="35" fillId="0" borderId="0" xfId="189" applyNumberFormat="1" applyFont="1" applyBorder="1" applyAlignment="1">
      <alignment horizontal="right"/>
    </xf>
    <xf numFmtId="170" fontId="33" fillId="0" borderId="0" xfId="189" applyFont="1" applyFill="1"/>
    <xf numFmtId="170" fontId="5" fillId="0" borderId="0" xfId="189" applyFill="1"/>
    <xf numFmtId="37" fontId="5" fillId="0" borderId="0" xfId="189" applyNumberFormat="1" applyFill="1" applyProtection="1"/>
    <xf numFmtId="170" fontId="5" fillId="0" borderId="0" xfId="189" applyFill="1" applyBorder="1"/>
    <xf numFmtId="170" fontId="35" fillId="0" borderId="0" xfId="189" applyFont="1" applyFill="1" applyBorder="1"/>
    <xf numFmtId="168" fontId="35" fillId="0" borderId="0" xfId="189" applyNumberFormat="1" applyFont="1" applyBorder="1"/>
    <xf numFmtId="37" fontId="35" fillId="0" borderId="0" xfId="189" applyNumberFormat="1" applyFont="1" applyFill="1" applyProtection="1"/>
    <xf numFmtId="170" fontId="35" fillId="0" borderId="0" xfId="189" applyFont="1" applyFill="1" applyAlignment="1">
      <alignment horizontal="center"/>
    </xf>
    <xf numFmtId="37" fontId="35" fillId="0" borderId="0" xfId="189" applyNumberFormat="1" applyFont="1" applyFill="1" applyAlignment="1" applyProtection="1">
      <alignment horizontal="center"/>
    </xf>
    <xf numFmtId="170" fontId="35" fillId="0" borderId="25" xfId="267" applyFont="1" applyFill="1" applyBorder="1" applyAlignment="1">
      <alignment horizontal="centerContinuous"/>
    </xf>
    <xf numFmtId="170" fontId="5" fillId="0" borderId="25" xfId="267" applyFill="1" applyBorder="1" applyAlignment="1">
      <alignment horizontal="centerContinuous"/>
    </xf>
    <xf numFmtId="170" fontId="5" fillId="0" borderId="0" xfId="267" applyFill="1" applyBorder="1"/>
    <xf numFmtId="170" fontId="5" fillId="0" borderId="0" xfId="189" applyFont="1" applyFill="1"/>
    <xf numFmtId="5" fontId="5" fillId="0" borderId="0" xfId="189" applyNumberFormat="1" applyFill="1" applyProtection="1"/>
    <xf numFmtId="37" fontId="35" fillId="0" borderId="0" xfId="189" applyNumberFormat="1" applyFont="1" applyFill="1" applyBorder="1" applyAlignment="1" applyProtection="1">
      <alignment horizontal="center"/>
    </xf>
    <xf numFmtId="170" fontId="96" fillId="0" borderId="0" xfId="189" applyFont="1" applyFill="1" applyAlignment="1">
      <alignment horizontal="center"/>
    </xf>
    <xf numFmtId="10" fontId="77" fillId="0" borderId="0" xfId="189" applyNumberFormat="1" applyFont="1" applyFill="1"/>
    <xf numFmtId="170" fontId="77" fillId="0" borderId="0" xfId="189" applyFont="1" applyFill="1"/>
    <xf numFmtId="37" fontId="35" fillId="0" borderId="25" xfId="189" quotePrefix="1" applyNumberFormat="1" applyFont="1" applyFill="1" applyBorder="1" applyAlignment="1" applyProtection="1">
      <alignment horizontal="center"/>
    </xf>
    <xf numFmtId="170" fontId="96" fillId="0" borderId="33" xfId="189" quotePrefix="1" applyFont="1" applyFill="1" applyBorder="1" applyAlignment="1">
      <alignment horizontal="center"/>
    </xf>
    <xf numFmtId="170" fontId="35" fillId="0" borderId="33" xfId="189" applyFont="1" applyFill="1" applyBorder="1" applyAlignment="1">
      <alignment horizontal="center"/>
    </xf>
    <xf numFmtId="10" fontId="22" fillId="0" borderId="0" xfId="196" quotePrefix="1" applyNumberFormat="1" applyFont="1" applyFill="1"/>
    <xf numFmtId="37" fontId="22" fillId="0" borderId="0" xfId="189" applyNumberFormat="1" applyFont="1" applyFill="1" applyProtection="1">
      <protection locked="0"/>
    </xf>
    <xf numFmtId="10" fontId="22" fillId="0" borderId="0" xfId="196" applyNumberFormat="1" applyFont="1" applyFill="1"/>
    <xf numFmtId="170" fontId="96" fillId="0" borderId="0" xfId="189" applyFont="1" applyFill="1" applyAlignment="1">
      <alignment horizontal="left"/>
    </xf>
    <xf numFmtId="179" fontId="5" fillId="0" borderId="0" xfId="189" applyNumberFormat="1" applyFill="1" applyProtection="1"/>
    <xf numFmtId="170" fontId="5" fillId="0" borderId="47" xfId="189" applyFont="1" applyFill="1" applyBorder="1"/>
    <xf numFmtId="170" fontId="5" fillId="0" borderId="48" xfId="189" applyBorder="1"/>
    <xf numFmtId="170" fontId="33" fillId="0" borderId="0" xfId="189" applyFont="1" applyFill="1" applyAlignment="1">
      <alignment horizontal="left"/>
    </xf>
    <xf numFmtId="37" fontId="22" fillId="0" borderId="0" xfId="189" applyNumberFormat="1" applyFont="1" applyFill="1" applyProtection="1"/>
    <xf numFmtId="7" fontId="33" fillId="0" borderId="0" xfId="189" applyNumberFormat="1" applyFont="1" applyFill="1" applyProtection="1">
      <protection locked="0"/>
    </xf>
    <xf numFmtId="7" fontId="22" fillId="0" borderId="0" xfId="189" applyNumberFormat="1" applyFont="1" applyFill="1" applyBorder="1" applyProtection="1">
      <protection locked="0"/>
    </xf>
    <xf numFmtId="7" fontId="22" fillId="0" borderId="0" xfId="189" applyNumberFormat="1" applyFont="1" applyFill="1" applyProtection="1">
      <protection locked="0"/>
    </xf>
    <xf numFmtId="170" fontId="5" fillId="0" borderId="38" xfId="189" applyFont="1" applyBorder="1"/>
    <xf numFmtId="5" fontId="5" fillId="0" borderId="40" xfId="189" applyNumberFormat="1" applyFill="1" applyBorder="1" applyProtection="1"/>
    <xf numFmtId="172" fontId="5" fillId="0" borderId="0" xfId="196" applyNumberFormat="1" applyFont="1" applyBorder="1"/>
    <xf numFmtId="170" fontId="5" fillId="0" borderId="0" xfId="189" applyFont="1"/>
    <xf numFmtId="170" fontId="5" fillId="0" borderId="25" xfId="189" applyFont="1" applyBorder="1" applyAlignment="1">
      <alignment horizontal="centerContinuous"/>
    </xf>
    <xf numFmtId="170" fontId="5" fillId="0" borderId="25" xfId="189" applyBorder="1" applyAlignment="1">
      <alignment horizontal="centerContinuous"/>
    </xf>
    <xf numFmtId="37" fontId="73" fillId="0" borderId="0" xfId="189" applyNumberFormat="1" applyFont="1" applyFill="1" applyBorder="1" applyProtection="1"/>
    <xf numFmtId="170" fontId="5" fillId="0" borderId="29" xfId="189" applyFont="1" applyBorder="1"/>
    <xf numFmtId="5" fontId="5" fillId="0" borderId="30" xfId="189" applyNumberFormat="1" applyFill="1" applyBorder="1" applyProtection="1"/>
    <xf numFmtId="10" fontId="5" fillId="0" borderId="0" xfId="196" applyNumberFormat="1" applyFont="1" applyBorder="1"/>
    <xf numFmtId="170" fontId="5" fillId="0" borderId="35" xfId="189" applyFont="1" applyBorder="1"/>
    <xf numFmtId="170" fontId="5" fillId="0" borderId="35" xfId="189" applyFont="1" applyBorder="1" applyAlignment="1">
      <alignment horizontal="center"/>
    </xf>
    <xf numFmtId="7" fontId="73" fillId="0" borderId="0" xfId="189" applyNumberFormat="1" applyFont="1" applyFill="1" applyProtection="1">
      <protection locked="0"/>
    </xf>
    <xf numFmtId="170" fontId="97" fillId="0" borderId="28" xfId="189" applyFont="1" applyBorder="1"/>
    <xf numFmtId="5" fontId="5" fillId="0" borderId="31" xfId="189" applyNumberFormat="1" applyFill="1" applyBorder="1" applyProtection="1"/>
    <xf numFmtId="170" fontId="5" fillId="0" borderId="0" xfId="189" applyFont="1" applyBorder="1" applyAlignment="1">
      <alignment horizontal="centerContinuous"/>
    </xf>
    <xf numFmtId="3" fontId="5" fillId="0" borderId="0" xfId="196" applyNumberFormat="1" applyFont="1" applyBorder="1" applyAlignment="1">
      <alignment horizontal="centerContinuous"/>
    </xf>
    <xf numFmtId="3" fontId="5" fillId="0" borderId="0" xfId="189" applyNumberFormat="1" applyBorder="1"/>
    <xf numFmtId="170" fontId="5" fillId="0" borderId="0" xfId="189" applyBorder="1"/>
    <xf numFmtId="7" fontId="77" fillId="0" borderId="0" xfId="189" applyNumberFormat="1" applyFont="1" applyFill="1" applyProtection="1">
      <protection locked="0"/>
    </xf>
    <xf numFmtId="9" fontId="5" fillId="0" borderId="0" xfId="189" applyNumberFormat="1"/>
    <xf numFmtId="170" fontId="77" fillId="0" borderId="0" xfId="189" applyFont="1" applyAlignment="1">
      <alignment horizontal="center"/>
    </xf>
    <xf numFmtId="37" fontId="22" fillId="0" borderId="0" xfId="189" applyNumberFormat="1" applyFont="1" applyFill="1" applyBorder="1" applyProtection="1"/>
    <xf numFmtId="37" fontId="73" fillId="0" borderId="0" xfId="189" applyNumberFormat="1" applyFont="1" applyFill="1" applyProtection="1">
      <protection locked="0"/>
    </xf>
    <xf numFmtId="173" fontId="33" fillId="0" borderId="0" xfId="189" applyNumberFormat="1" applyFont="1" applyFill="1" applyProtection="1">
      <protection locked="0"/>
    </xf>
    <xf numFmtId="0" fontId="5" fillId="0" borderId="0" xfId="140" applyBorder="1"/>
    <xf numFmtId="170" fontId="5" fillId="0" borderId="38" xfId="189" applyFont="1" applyFill="1" applyBorder="1"/>
    <xf numFmtId="172" fontId="5" fillId="0" borderId="40" xfId="189" applyNumberFormat="1" applyBorder="1"/>
    <xf numFmtId="172" fontId="5" fillId="0" borderId="0" xfId="189" applyNumberFormat="1" applyBorder="1"/>
    <xf numFmtId="172" fontId="77" fillId="0" borderId="0" xfId="189" applyNumberFormat="1" applyFont="1"/>
    <xf numFmtId="172" fontId="5" fillId="0" borderId="0" xfId="189" applyNumberFormat="1"/>
    <xf numFmtId="3" fontId="5" fillId="0" borderId="25" xfId="196" applyNumberFormat="1" applyFont="1" applyBorder="1" applyAlignment="1">
      <alignment horizontal="centerContinuous"/>
    </xf>
    <xf numFmtId="3" fontId="5" fillId="0" borderId="25" xfId="189" applyNumberFormat="1" applyBorder="1"/>
    <xf numFmtId="170" fontId="5" fillId="0" borderId="25" xfId="189" applyBorder="1"/>
    <xf numFmtId="170" fontId="5" fillId="0" borderId="29" xfId="189" applyFont="1" applyFill="1" applyBorder="1"/>
    <xf numFmtId="172" fontId="5" fillId="0" borderId="30" xfId="189" applyNumberFormat="1" applyBorder="1"/>
    <xf numFmtId="10" fontId="98" fillId="0" borderId="30" xfId="85" applyNumberFormat="1" applyFont="1" applyBorder="1"/>
    <xf numFmtId="172" fontId="98" fillId="0" borderId="0" xfId="85" applyNumberFormat="1" applyFont="1" applyBorder="1"/>
    <xf numFmtId="174" fontId="33" fillId="0" borderId="0" xfId="189" applyNumberFormat="1" applyFont="1" applyFill="1" applyProtection="1">
      <protection locked="0"/>
    </xf>
    <xf numFmtId="174" fontId="99" fillId="0" borderId="0" xfId="189" applyNumberFormat="1" applyFont="1" applyFill="1" applyProtection="1">
      <protection locked="0"/>
    </xf>
    <xf numFmtId="9" fontId="5" fillId="0" borderId="30" xfId="189" applyNumberFormat="1" applyBorder="1"/>
    <xf numFmtId="170" fontId="77" fillId="0" borderId="0" xfId="189" applyFont="1"/>
    <xf numFmtId="170" fontId="5" fillId="0" borderId="0" xfId="189" applyAlignment="1">
      <alignment horizontal="left"/>
    </xf>
    <xf numFmtId="170" fontId="100" fillId="0" borderId="0" xfId="189" applyFont="1" applyFill="1" applyAlignment="1">
      <alignment horizontal="left"/>
    </xf>
    <xf numFmtId="170" fontId="46" fillId="0" borderId="0" xfId="189" applyFont="1" applyFill="1"/>
    <xf numFmtId="170" fontId="74" fillId="0" borderId="0" xfId="189" applyFont="1" applyFill="1" applyBorder="1"/>
    <xf numFmtId="170" fontId="46" fillId="0" borderId="0" xfId="189" applyFont="1" applyFill="1" applyBorder="1"/>
    <xf numFmtId="0" fontId="46" fillId="0" borderId="0" xfId="140" applyFont="1" applyBorder="1"/>
    <xf numFmtId="5" fontId="46" fillId="0" borderId="0" xfId="189" applyNumberFormat="1" applyFont="1" applyFill="1" applyProtection="1"/>
    <xf numFmtId="170" fontId="5" fillId="0" borderId="35" xfId="189" applyBorder="1"/>
    <xf numFmtId="173" fontId="99" fillId="0" borderId="0" xfId="189" applyNumberFormat="1" applyFont="1" applyFill="1" applyProtection="1">
      <protection locked="0"/>
    </xf>
    <xf numFmtId="170" fontId="5" fillId="0" borderId="28" xfId="189" applyFont="1" applyFill="1" applyBorder="1"/>
    <xf numFmtId="172" fontId="5" fillId="0" borderId="31" xfId="189" applyNumberFormat="1" applyBorder="1"/>
    <xf numFmtId="170" fontId="5" fillId="0" borderId="0" xfId="189" quotePrefix="1" applyFont="1"/>
    <xf numFmtId="3" fontId="5" fillId="0" borderId="40" xfId="140" applyNumberFormat="1" applyBorder="1"/>
    <xf numFmtId="7" fontId="5" fillId="0" borderId="0" xfId="189" applyNumberFormat="1" applyFont="1" applyFill="1" applyBorder="1" applyProtection="1"/>
    <xf numFmtId="3" fontId="5" fillId="0" borderId="30" xfId="140" applyNumberFormat="1" applyBorder="1"/>
    <xf numFmtId="3" fontId="5" fillId="0" borderId="0" xfId="140" applyNumberFormat="1"/>
    <xf numFmtId="7" fontId="22" fillId="0" borderId="0" xfId="189" applyNumberFormat="1" applyFont="1" applyFill="1" applyBorder="1" applyProtection="1"/>
    <xf numFmtId="7" fontId="33" fillId="0" borderId="0" xfId="189" applyNumberFormat="1" applyFont="1" applyFill="1" applyProtection="1"/>
    <xf numFmtId="5" fontId="5" fillId="0" borderId="0" xfId="189" applyNumberFormat="1" applyFill="1" applyBorder="1" applyProtection="1"/>
    <xf numFmtId="3" fontId="5" fillId="0" borderId="31" xfId="140" applyNumberFormat="1" applyBorder="1"/>
    <xf numFmtId="170" fontId="33" fillId="0" borderId="0" xfId="189" applyFont="1" applyFill="1" applyBorder="1" applyAlignment="1">
      <alignment horizontal="left"/>
    </xf>
    <xf numFmtId="37" fontId="33" fillId="0" borderId="0" xfId="189" applyNumberFormat="1" applyFont="1" applyFill="1" applyBorder="1" applyProtection="1"/>
    <xf numFmtId="180" fontId="22" fillId="0" borderId="31" xfId="189" applyNumberFormat="1" applyFont="1" applyBorder="1"/>
    <xf numFmtId="0" fontId="5" fillId="0" borderId="0" xfId="140"/>
    <xf numFmtId="170" fontId="77" fillId="0" borderId="0" xfId="189" applyFont="1" applyBorder="1"/>
    <xf numFmtId="37" fontId="22" fillId="0" borderId="33" xfId="189" applyNumberFormat="1" applyFont="1" applyFill="1" applyBorder="1" applyProtection="1"/>
    <xf numFmtId="37" fontId="73" fillId="0" borderId="33" xfId="189" applyNumberFormat="1" applyFont="1" applyFill="1" applyBorder="1" applyProtection="1"/>
    <xf numFmtId="5" fontId="5" fillId="0" borderId="33" xfId="189" applyNumberFormat="1" applyFill="1" applyBorder="1" applyProtection="1"/>
    <xf numFmtId="5" fontId="22" fillId="0" borderId="33" xfId="189" applyNumberFormat="1" applyFont="1" applyFill="1" applyBorder="1" applyProtection="1"/>
    <xf numFmtId="37" fontId="5" fillId="0" borderId="32" xfId="189" applyNumberFormat="1" applyFill="1" applyBorder="1" applyProtection="1"/>
    <xf numFmtId="37" fontId="5" fillId="0" borderId="32" xfId="189" applyNumberFormat="1" applyFont="1" applyFill="1" applyBorder="1" applyProtection="1"/>
    <xf numFmtId="170" fontId="33" fillId="0" borderId="32" xfId="189" applyFont="1" applyFill="1" applyBorder="1"/>
    <xf numFmtId="5" fontId="5" fillId="0" borderId="32" xfId="189" applyNumberFormat="1" applyFill="1" applyBorder="1" applyProtection="1"/>
    <xf numFmtId="170" fontId="5" fillId="0" borderId="32" xfId="189" applyFill="1" applyBorder="1"/>
    <xf numFmtId="178" fontId="5" fillId="0" borderId="0" xfId="189" applyNumberFormat="1" applyFill="1" applyProtection="1"/>
    <xf numFmtId="164" fontId="5" fillId="0" borderId="0" xfId="85" applyNumberFormat="1" applyFont="1"/>
    <xf numFmtId="7" fontId="5" fillId="0" borderId="0" xfId="189" applyNumberFormat="1" applyFont="1" applyFill="1" applyBorder="1" applyProtection="1">
      <protection locked="0"/>
    </xf>
    <xf numFmtId="7" fontId="5" fillId="0" borderId="0" xfId="189" applyNumberFormat="1" applyFont="1" applyFill="1" applyProtection="1">
      <protection locked="0"/>
    </xf>
    <xf numFmtId="37" fontId="77" fillId="0" borderId="0" xfId="189" applyNumberFormat="1" applyFont="1" applyFill="1" applyBorder="1" applyProtection="1"/>
    <xf numFmtId="10" fontId="5" fillId="0" borderId="0" xfId="189" applyNumberFormat="1"/>
    <xf numFmtId="174" fontId="5" fillId="0" borderId="0" xfId="189" applyNumberFormat="1" applyFont="1" applyFill="1" applyProtection="1">
      <protection locked="0"/>
    </xf>
    <xf numFmtId="174" fontId="46" fillId="0" borderId="0" xfId="189" applyNumberFormat="1" applyFont="1" applyFill="1" applyProtection="1">
      <protection locked="0"/>
    </xf>
    <xf numFmtId="170" fontId="5" fillId="0" borderId="0" xfId="189" applyFont="1" applyFill="1" applyBorder="1"/>
    <xf numFmtId="172" fontId="22" fillId="0" borderId="0" xfId="189" applyNumberFormat="1" applyFont="1" applyBorder="1"/>
    <xf numFmtId="170" fontId="33" fillId="0" borderId="0" xfId="189" applyFont="1" applyFill="1" applyBorder="1"/>
    <xf numFmtId="174" fontId="33" fillId="0" borderId="0" xfId="189" applyNumberFormat="1" applyFont="1" applyFill="1" applyBorder="1" applyProtection="1">
      <protection locked="0"/>
    </xf>
    <xf numFmtId="37" fontId="77" fillId="0" borderId="32" xfId="189" applyNumberFormat="1" applyFont="1" applyFill="1" applyBorder="1" applyProtection="1"/>
    <xf numFmtId="175" fontId="33" fillId="0" borderId="0" xfId="189" applyNumberFormat="1" applyFont="1" applyFill="1" applyProtection="1">
      <protection locked="0"/>
    </xf>
    <xf numFmtId="175" fontId="73" fillId="0" borderId="0" xfId="189" applyNumberFormat="1" applyFont="1" applyFill="1" applyProtection="1">
      <protection locked="0"/>
    </xf>
    <xf numFmtId="172" fontId="77" fillId="0" borderId="0" xfId="196" applyNumberFormat="1" applyFont="1" applyBorder="1"/>
    <xf numFmtId="5" fontId="5" fillId="0" borderId="0" xfId="140" applyNumberFormat="1"/>
    <xf numFmtId="5" fontId="5" fillId="0" borderId="0" xfId="189" applyNumberFormat="1" applyFont="1" applyFill="1" applyProtection="1"/>
    <xf numFmtId="174" fontId="5" fillId="0" borderId="0" xfId="189" applyNumberFormat="1" applyFont="1" applyFill="1" applyBorder="1" applyProtection="1">
      <protection locked="0"/>
    </xf>
    <xf numFmtId="170" fontId="33" fillId="0" borderId="34" xfId="189" applyFont="1" applyFill="1" applyBorder="1"/>
    <xf numFmtId="5" fontId="5" fillId="0" borderId="34" xfId="189" applyNumberFormat="1" applyFill="1" applyBorder="1" applyProtection="1"/>
    <xf numFmtId="170" fontId="5" fillId="0" borderId="34" xfId="189" applyFill="1" applyBorder="1"/>
    <xf numFmtId="9" fontId="5" fillId="0" borderId="0" xfId="196" applyFont="1"/>
    <xf numFmtId="10" fontId="5" fillId="0" borderId="40" xfId="189" applyNumberFormat="1" applyBorder="1"/>
    <xf numFmtId="37" fontId="46" fillId="0" borderId="0" xfId="189" applyNumberFormat="1" applyFont="1" applyFill="1" applyProtection="1"/>
    <xf numFmtId="7" fontId="100" fillId="0" borderId="0" xfId="189" applyNumberFormat="1" applyFont="1" applyFill="1" applyProtection="1">
      <protection locked="0"/>
    </xf>
    <xf numFmtId="7" fontId="101" fillId="0" borderId="0" xfId="189" applyNumberFormat="1" applyFont="1" applyFill="1" applyBorder="1" applyProtection="1">
      <protection locked="0"/>
    </xf>
    <xf numFmtId="10" fontId="5" fillId="0" borderId="30" xfId="189" applyNumberFormat="1" applyBorder="1"/>
    <xf numFmtId="170" fontId="46" fillId="0" borderId="0" xfId="189" applyFont="1"/>
    <xf numFmtId="5" fontId="46" fillId="0" borderId="0" xfId="189" applyNumberFormat="1" applyFont="1" applyFill="1" applyBorder="1" applyProtection="1"/>
    <xf numFmtId="172" fontId="46" fillId="0" borderId="0" xfId="196" applyNumberFormat="1" applyFont="1" applyBorder="1"/>
    <xf numFmtId="10" fontId="5" fillId="0" borderId="31" xfId="189" applyNumberFormat="1" applyBorder="1"/>
    <xf numFmtId="0" fontId="46" fillId="0" borderId="0" xfId="140" applyFont="1"/>
    <xf numFmtId="10" fontId="5" fillId="0" borderId="48" xfId="189" applyNumberFormat="1" applyBorder="1"/>
    <xf numFmtId="174" fontId="33" fillId="0" borderId="0" xfId="189" applyNumberFormat="1" applyFont="1" applyFill="1" applyProtection="1"/>
    <xf numFmtId="37" fontId="5" fillId="0" borderId="33" xfId="189" applyNumberFormat="1" applyFont="1" applyFill="1" applyBorder="1" applyProtection="1"/>
    <xf numFmtId="37" fontId="5" fillId="0" borderId="34" xfId="189" applyNumberFormat="1" applyFill="1" applyBorder="1" applyProtection="1"/>
    <xf numFmtId="37" fontId="77" fillId="0" borderId="0" xfId="189" applyNumberFormat="1" applyFont="1" applyFill="1" applyProtection="1"/>
    <xf numFmtId="7" fontId="5" fillId="0" borderId="0" xfId="189" applyNumberFormat="1" applyFill="1" applyBorder="1" applyProtection="1"/>
    <xf numFmtId="7" fontId="5" fillId="0" borderId="0" xfId="189" applyNumberFormat="1" applyFill="1" applyProtection="1"/>
    <xf numFmtId="37" fontId="101" fillId="0" borderId="0" xfId="189" applyNumberFormat="1" applyFont="1" applyFill="1" applyProtection="1"/>
    <xf numFmtId="7" fontId="100" fillId="0" borderId="0" xfId="189" applyNumberFormat="1" applyFont="1" applyFill="1" applyProtection="1"/>
    <xf numFmtId="7" fontId="46" fillId="0" borderId="0" xfId="189" applyNumberFormat="1" applyFont="1" applyFill="1" applyBorder="1" applyProtection="1"/>
    <xf numFmtId="7" fontId="46" fillId="0" borderId="0" xfId="189" applyNumberFormat="1" applyFont="1" applyFill="1" applyProtection="1"/>
    <xf numFmtId="37" fontId="33" fillId="0" borderId="0" xfId="189" applyNumberFormat="1" applyFont="1" applyFill="1" applyProtection="1"/>
    <xf numFmtId="174" fontId="5" fillId="0" borderId="0" xfId="189" applyNumberFormat="1" applyFill="1" applyProtection="1"/>
    <xf numFmtId="37" fontId="77" fillId="0" borderId="34" xfId="189" applyNumberFormat="1" applyFont="1" applyFill="1" applyBorder="1" applyProtection="1"/>
    <xf numFmtId="182" fontId="5" fillId="0" borderId="0" xfId="85" applyNumberFormat="1" applyFont="1"/>
    <xf numFmtId="37" fontId="73" fillId="0" borderId="0" xfId="189" applyNumberFormat="1" applyFont="1" applyFill="1" applyProtection="1"/>
    <xf numFmtId="170" fontId="73" fillId="0" borderId="0" xfId="189" applyFont="1" applyFill="1" applyBorder="1"/>
    <xf numFmtId="7" fontId="33" fillId="0" borderId="0" xfId="189" applyNumberFormat="1" applyFont="1" applyFill="1" applyBorder="1" applyProtection="1">
      <protection locked="0"/>
    </xf>
    <xf numFmtId="37" fontId="74" fillId="0" borderId="0" xfId="189" applyNumberFormat="1" applyFont="1" applyFill="1" applyProtection="1"/>
    <xf numFmtId="7" fontId="100" fillId="0" borderId="0" xfId="189" applyNumberFormat="1" applyFont="1" applyFill="1" applyBorder="1" applyProtection="1">
      <protection locked="0"/>
    </xf>
    <xf numFmtId="182" fontId="46" fillId="0" borderId="0" xfId="85" applyNumberFormat="1" applyFont="1"/>
    <xf numFmtId="7" fontId="73" fillId="0" borderId="0" xfId="189" applyNumberFormat="1" applyFont="1" applyFill="1" applyBorder="1" applyProtection="1"/>
    <xf numFmtId="10" fontId="5" fillId="0" borderId="0" xfId="189" applyNumberFormat="1" applyBorder="1"/>
    <xf numFmtId="49" fontId="33" fillId="0" borderId="0" xfId="189" applyNumberFormat="1" applyFont="1" applyFill="1" applyAlignment="1">
      <alignment horizontal="left"/>
    </xf>
    <xf numFmtId="10" fontId="5" fillId="0" borderId="0" xfId="196" applyNumberFormat="1" applyFont="1"/>
    <xf numFmtId="10" fontId="5" fillId="0" borderId="0" xfId="196" applyNumberFormat="1" applyFont="1" applyFill="1"/>
    <xf numFmtId="174" fontId="5" fillId="0" borderId="0" xfId="189" applyNumberFormat="1" applyFill="1" applyBorder="1" applyProtection="1"/>
    <xf numFmtId="170" fontId="33" fillId="0" borderId="38" xfId="189" applyFont="1" applyFill="1" applyBorder="1"/>
    <xf numFmtId="175" fontId="98" fillId="0" borderId="0" xfId="189" applyNumberFormat="1" applyFont="1" applyFill="1" applyProtection="1">
      <protection locked="0"/>
    </xf>
    <xf numFmtId="37" fontId="5" fillId="0" borderId="31" xfId="189" applyNumberFormat="1" applyFill="1" applyBorder="1" applyProtection="1"/>
    <xf numFmtId="175" fontId="33" fillId="0" borderId="0" xfId="189" applyNumberFormat="1" applyFont="1" applyFill="1" applyProtection="1"/>
    <xf numFmtId="175" fontId="5" fillId="0" borderId="0" xfId="189" applyNumberFormat="1" applyFill="1" applyProtection="1"/>
    <xf numFmtId="170" fontId="33" fillId="0" borderId="47" xfId="189" applyFont="1" applyFill="1" applyBorder="1"/>
    <xf numFmtId="5" fontId="5" fillId="0" borderId="0" xfId="189" applyNumberFormat="1" applyFont="1" applyFill="1" applyBorder="1" applyProtection="1"/>
    <xf numFmtId="0" fontId="9" fillId="0" borderId="0" xfId="190"/>
    <xf numFmtId="37" fontId="5" fillId="0" borderId="0" xfId="189" applyNumberFormat="1" applyFont="1" applyFill="1" applyProtection="1"/>
    <xf numFmtId="37" fontId="22" fillId="0" borderId="25" xfId="189" applyNumberFormat="1" applyFont="1" applyFill="1" applyBorder="1" applyProtection="1">
      <protection locked="0"/>
    </xf>
    <xf numFmtId="37" fontId="73" fillId="0" borderId="25" xfId="189" applyNumberFormat="1" applyFont="1" applyFill="1" applyBorder="1" applyProtection="1">
      <protection locked="0"/>
    </xf>
    <xf numFmtId="170" fontId="33" fillId="0" borderId="25" xfId="189" applyFont="1" applyFill="1" applyBorder="1"/>
    <xf numFmtId="5" fontId="5" fillId="0" borderId="25" xfId="189" applyNumberFormat="1" applyFont="1" applyFill="1" applyBorder="1" applyProtection="1"/>
    <xf numFmtId="37" fontId="5" fillId="0" borderId="32" xfId="189" applyNumberFormat="1" applyFont="1" applyFill="1" applyBorder="1" applyProtection="1">
      <protection locked="0"/>
    </xf>
    <xf numFmtId="37" fontId="73" fillId="0" borderId="32" xfId="189" applyNumberFormat="1" applyFont="1" applyFill="1" applyBorder="1" applyProtection="1">
      <protection locked="0"/>
    </xf>
    <xf numFmtId="5" fontId="5" fillId="0" borderId="32" xfId="189" applyNumberFormat="1" applyFont="1" applyFill="1" applyBorder="1" applyProtection="1"/>
    <xf numFmtId="170" fontId="5" fillId="0" borderId="0" xfId="189" applyFont="1" applyBorder="1"/>
    <xf numFmtId="170" fontId="97" fillId="0" borderId="0" xfId="189" applyFont="1" applyBorder="1"/>
    <xf numFmtId="37" fontId="33" fillId="0" borderId="0" xfId="189" applyNumberFormat="1" applyFont="1" applyFill="1" applyProtection="1">
      <protection locked="0"/>
    </xf>
    <xf numFmtId="37" fontId="77" fillId="0" borderId="32" xfId="189" applyNumberFormat="1" applyFont="1" applyFill="1" applyBorder="1" applyProtection="1">
      <protection locked="0"/>
    </xf>
    <xf numFmtId="180" fontId="33" fillId="0" borderId="0" xfId="189" applyNumberFormat="1" applyFont="1" applyFill="1" applyProtection="1">
      <protection locked="0"/>
    </xf>
    <xf numFmtId="180" fontId="99" fillId="0" borderId="0" xfId="189" applyNumberFormat="1" applyFont="1" applyFill="1" applyProtection="1">
      <protection locked="0"/>
    </xf>
    <xf numFmtId="37" fontId="5" fillId="0" borderId="34" xfId="189" applyNumberFormat="1" applyFont="1" applyFill="1" applyBorder="1" applyProtection="1"/>
    <xf numFmtId="170" fontId="73" fillId="0" borderId="48" xfId="189" applyFont="1" applyBorder="1"/>
    <xf numFmtId="174" fontId="22" fillId="0" borderId="0" xfId="189" applyNumberFormat="1" applyFont="1" applyFill="1" applyProtection="1"/>
    <xf numFmtId="170" fontId="22" fillId="0" borderId="0" xfId="189" applyFont="1" applyFill="1" applyBorder="1"/>
    <xf numFmtId="170" fontId="22" fillId="0" borderId="0" xfId="189" applyFont="1" applyFill="1"/>
    <xf numFmtId="0" fontId="102" fillId="0" borderId="0" xfId="190" applyFont="1"/>
    <xf numFmtId="0" fontId="9" fillId="0" borderId="0" xfId="190" applyFill="1"/>
    <xf numFmtId="0" fontId="9" fillId="0" borderId="0" xfId="190" applyBorder="1"/>
    <xf numFmtId="170" fontId="33" fillId="0" borderId="0" xfId="189" applyNumberFormat="1" applyFont="1" applyFill="1" applyProtection="1">
      <protection locked="0"/>
    </xf>
    <xf numFmtId="10" fontId="103" fillId="0" borderId="30" xfId="189" applyNumberFormat="1" applyFont="1" applyBorder="1"/>
    <xf numFmtId="181" fontId="33" fillId="0" borderId="0" xfId="189" applyNumberFormat="1" applyFont="1" applyFill="1" applyProtection="1">
      <protection locked="0"/>
    </xf>
    <xf numFmtId="10" fontId="22" fillId="0" borderId="31" xfId="189" applyNumberFormat="1" applyFont="1" applyBorder="1"/>
    <xf numFmtId="170" fontId="22" fillId="0" borderId="0" xfId="189" applyFont="1" applyBorder="1"/>
    <xf numFmtId="169" fontId="77" fillId="0" borderId="40" xfId="189" applyNumberFormat="1" applyFont="1" applyBorder="1"/>
    <xf numFmtId="10" fontId="22" fillId="0" borderId="0" xfId="189" applyNumberFormat="1" applyFont="1" applyBorder="1"/>
    <xf numFmtId="170" fontId="5" fillId="0" borderId="30" xfId="189" applyBorder="1"/>
    <xf numFmtId="170" fontId="5" fillId="0" borderId="31" xfId="189" applyNumberFormat="1" applyFill="1" applyBorder="1" applyProtection="1"/>
    <xf numFmtId="175" fontId="99" fillId="0" borderId="0" xfId="189" applyNumberFormat="1" applyFont="1" applyFill="1" applyProtection="1">
      <protection locked="0"/>
    </xf>
    <xf numFmtId="168" fontId="5" fillId="0" borderId="31" xfId="189" applyNumberFormat="1" applyFill="1" applyBorder="1" applyProtection="1"/>
    <xf numFmtId="37" fontId="5" fillId="0" borderId="33" xfId="189" applyNumberFormat="1" applyFill="1" applyBorder="1" applyProtection="1"/>
    <xf numFmtId="37" fontId="5" fillId="0" borderId="36" xfId="189" applyNumberFormat="1" applyFont="1" applyFill="1" applyBorder="1" applyProtection="1"/>
    <xf numFmtId="170" fontId="33" fillId="0" borderId="33" xfId="189" applyFont="1" applyFill="1" applyBorder="1"/>
    <xf numFmtId="37" fontId="5" fillId="0" borderId="0" xfId="189" applyNumberFormat="1" applyFont="1" applyFill="1" applyBorder="1" applyProtection="1"/>
    <xf numFmtId="7" fontId="33" fillId="0" borderId="0" xfId="189" applyNumberFormat="1" applyFont="1" applyFill="1" applyBorder="1" applyProtection="1"/>
    <xf numFmtId="5" fontId="5" fillId="0" borderId="25" xfId="189" applyNumberFormat="1" applyFill="1" applyBorder="1" applyProtection="1"/>
    <xf numFmtId="170" fontId="5" fillId="0" borderId="33" xfId="189" applyFill="1" applyBorder="1"/>
    <xf numFmtId="37" fontId="5" fillId="0" borderId="0" xfId="189" applyNumberFormat="1" applyFill="1" applyBorder="1" applyProtection="1"/>
    <xf numFmtId="170" fontId="33" fillId="0" borderId="0" xfId="189" applyFont="1"/>
    <xf numFmtId="186" fontId="33" fillId="0" borderId="0" xfId="189" applyNumberFormat="1" applyFont="1"/>
    <xf numFmtId="5" fontId="33" fillId="0" borderId="0" xfId="189" applyNumberFormat="1" applyFont="1" applyFill="1" applyBorder="1" applyProtection="1"/>
    <xf numFmtId="5" fontId="33" fillId="0" borderId="0" xfId="189" applyNumberFormat="1" applyFont="1" applyFill="1" applyProtection="1"/>
    <xf numFmtId="186" fontId="33" fillId="0" borderId="0" xfId="189" applyNumberFormat="1" applyFont="1" applyFill="1"/>
    <xf numFmtId="37" fontId="33" fillId="0" borderId="33" xfId="189" applyNumberFormat="1" applyFont="1" applyFill="1" applyBorder="1" applyProtection="1"/>
    <xf numFmtId="5" fontId="33" fillId="0" borderId="33" xfId="189" applyNumberFormat="1" applyFont="1" applyFill="1" applyBorder="1" applyProtection="1"/>
    <xf numFmtId="0" fontId="33" fillId="0" borderId="0" xfId="140" applyFont="1"/>
    <xf numFmtId="37" fontId="77" fillId="0" borderId="34" xfId="189" applyNumberFormat="1" applyFont="1" applyFill="1" applyBorder="1" applyProtection="1">
      <protection locked="0"/>
    </xf>
    <xf numFmtId="37" fontId="77" fillId="0" borderId="0" xfId="189" applyNumberFormat="1" applyFont="1" applyFill="1" applyProtection="1">
      <protection locked="0"/>
    </xf>
    <xf numFmtId="37" fontId="77" fillId="0" borderId="33" xfId="189" applyNumberFormat="1" applyFont="1" applyFill="1" applyBorder="1" applyProtection="1">
      <protection locked="0"/>
    </xf>
    <xf numFmtId="37" fontId="33" fillId="0" borderId="34" xfId="189" applyNumberFormat="1" applyFont="1" applyFill="1" applyBorder="1" applyProtection="1">
      <protection locked="0"/>
    </xf>
    <xf numFmtId="168" fontId="33" fillId="0" borderId="34" xfId="85" applyNumberFormat="1" applyFont="1" applyFill="1" applyBorder="1"/>
    <xf numFmtId="168" fontId="33" fillId="0" borderId="0" xfId="85" applyNumberFormat="1" applyFont="1" applyFill="1" applyBorder="1"/>
    <xf numFmtId="170" fontId="104" fillId="0" borderId="0" xfId="189" applyFont="1" applyFill="1" applyAlignment="1">
      <alignment horizontal="left"/>
    </xf>
    <xf numFmtId="172" fontId="5" fillId="0" borderId="48" xfId="189" applyNumberFormat="1" applyBorder="1"/>
    <xf numFmtId="186" fontId="33" fillId="0" borderId="0" xfId="189" applyNumberFormat="1" applyFont="1" applyAlignment="1">
      <alignment horizontal="centerContinuous"/>
    </xf>
    <xf numFmtId="182" fontId="33" fillId="0" borderId="0" xfId="85" applyNumberFormat="1" applyFont="1" applyFill="1" applyBorder="1" applyProtection="1">
      <protection locked="0"/>
    </xf>
    <xf numFmtId="1" fontId="33" fillId="0" borderId="0" xfId="189" applyNumberFormat="1" applyFont="1"/>
    <xf numFmtId="0" fontId="33" fillId="0" borderId="0" xfId="140" applyFont="1" applyBorder="1"/>
    <xf numFmtId="37" fontId="77" fillId="0" borderId="33" xfId="189" applyNumberFormat="1" applyFont="1" applyFill="1" applyBorder="1" applyProtection="1"/>
    <xf numFmtId="49" fontId="96" fillId="0" borderId="0" xfId="189" applyNumberFormat="1" applyFont="1" applyFill="1"/>
    <xf numFmtId="37" fontId="33" fillId="0" borderId="33" xfId="189" applyNumberFormat="1" applyFont="1" applyFill="1" applyBorder="1" applyProtection="1">
      <protection locked="0"/>
    </xf>
    <xf numFmtId="37" fontId="33" fillId="0" borderId="0" xfId="189" applyNumberFormat="1" applyFont="1" applyFill="1" applyBorder="1" applyProtection="1">
      <protection locked="0"/>
    </xf>
    <xf numFmtId="183" fontId="33" fillId="0" borderId="0" xfId="189" applyNumberFormat="1" applyFont="1" applyFill="1" applyProtection="1"/>
    <xf numFmtId="37" fontId="33" fillId="0" borderId="34" xfId="189" applyNumberFormat="1" applyFont="1" applyFill="1" applyBorder="1" applyProtection="1"/>
    <xf numFmtId="5" fontId="33" fillId="0" borderId="34" xfId="189" applyNumberFormat="1" applyFont="1" applyFill="1" applyBorder="1" applyProtection="1"/>
    <xf numFmtId="10" fontId="33" fillId="0" borderId="0" xfId="189" applyNumberFormat="1" applyFont="1"/>
    <xf numFmtId="183" fontId="77" fillId="0" borderId="0" xfId="189" applyNumberFormat="1" applyFont="1" applyFill="1" applyProtection="1"/>
    <xf numFmtId="186" fontId="33" fillId="0" borderId="0" xfId="189" applyNumberFormat="1" applyFont="1" applyBorder="1"/>
    <xf numFmtId="37" fontId="33" fillId="0" borderId="25" xfId="189" applyNumberFormat="1" applyFont="1" applyFill="1" applyBorder="1" applyProtection="1"/>
    <xf numFmtId="37" fontId="77" fillId="0" borderId="25" xfId="189" applyNumberFormat="1" applyFont="1" applyFill="1" applyBorder="1" applyProtection="1"/>
    <xf numFmtId="10" fontId="33" fillId="0" borderId="0" xfId="196" applyNumberFormat="1" applyFont="1" applyFill="1"/>
    <xf numFmtId="10" fontId="33" fillId="0" borderId="0" xfId="196" applyNumberFormat="1" applyFont="1" applyFill="1" applyBorder="1"/>
    <xf numFmtId="170" fontId="105" fillId="0" borderId="0" xfId="189" applyFont="1" applyFill="1" applyAlignment="1">
      <alignment horizontal="left"/>
    </xf>
    <xf numFmtId="182" fontId="33" fillId="0" borderId="0" xfId="85" applyNumberFormat="1" applyFont="1" applyFill="1" applyProtection="1">
      <protection locked="0"/>
    </xf>
    <xf numFmtId="182" fontId="22" fillId="0" borderId="0" xfId="85" applyNumberFormat="1" applyFont="1" applyFill="1" applyBorder="1" applyProtection="1">
      <protection locked="0"/>
    </xf>
    <xf numFmtId="9" fontId="5" fillId="0" borderId="0" xfId="196" applyNumberFormat="1" applyFont="1"/>
    <xf numFmtId="182" fontId="5" fillId="0" borderId="0" xfId="85" applyNumberFormat="1" applyFont="1" applyFill="1" applyBorder="1" applyProtection="1">
      <protection locked="0"/>
    </xf>
    <xf numFmtId="39" fontId="5" fillId="0" borderId="0" xfId="189" applyNumberFormat="1" applyFill="1" applyProtection="1"/>
    <xf numFmtId="170" fontId="98" fillId="53" borderId="47" xfId="189" applyFont="1" applyFill="1" applyBorder="1"/>
    <xf numFmtId="170" fontId="98" fillId="53" borderId="48" xfId="189" applyFont="1" applyFill="1" applyBorder="1"/>
    <xf numFmtId="188" fontId="5" fillId="0" borderId="40" xfId="189" applyNumberFormat="1" applyFill="1" applyBorder="1" applyProtection="1"/>
    <xf numFmtId="188" fontId="5" fillId="0" borderId="30" xfId="189" applyNumberFormat="1" applyFill="1" applyBorder="1" applyProtection="1"/>
    <xf numFmtId="170" fontId="35" fillId="0" borderId="0" xfId="189" applyFont="1" applyFill="1"/>
    <xf numFmtId="9" fontId="5" fillId="0" borderId="0" xfId="196" applyNumberFormat="1" applyFont="1" applyProtection="1"/>
    <xf numFmtId="176" fontId="33" fillId="0" borderId="0" xfId="189" applyNumberFormat="1" applyFont="1" applyFill="1" applyProtection="1">
      <protection locked="0"/>
    </xf>
    <xf numFmtId="176" fontId="22" fillId="0" borderId="0" xfId="189" applyNumberFormat="1" applyFont="1" applyFill="1" applyBorder="1" applyProtection="1">
      <protection locked="0"/>
    </xf>
    <xf numFmtId="176" fontId="5" fillId="0" borderId="0" xfId="189" applyNumberFormat="1" applyFill="1" applyBorder="1" applyProtection="1"/>
    <xf numFmtId="188" fontId="33" fillId="0" borderId="0" xfId="189" applyNumberFormat="1" applyFont="1" applyFill="1" applyProtection="1">
      <protection locked="0"/>
    </xf>
    <xf numFmtId="176" fontId="5" fillId="0" borderId="0" xfId="189" applyNumberFormat="1" applyFont="1" applyFill="1" applyProtection="1">
      <protection locked="0"/>
    </xf>
    <xf numFmtId="37" fontId="73" fillId="0" borderId="33" xfId="189" applyNumberFormat="1" applyFont="1" applyFill="1" applyBorder="1" applyProtection="1">
      <protection locked="0"/>
    </xf>
    <xf numFmtId="170" fontId="73" fillId="0" borderId="0" xfId="189" applyFont="1" applyFill="1"/>
    <xf numFmtId="37" fontId="73" fillId="0" borderId="25" xfId="189" applyNumberFormat="1" applyFont="1" applyFill="1" applyBorder="1" applyProtection="1"/>
    <xf numFmtId="175" fontId="33" fillId="0" borderId="25" xfId="189" applyNumberFormat="1" applyFont="1" applyFill="1" applyBorder="1" applyProtection="1"/>
    <xf numFmtId="175" fontId="5" fillId="0" borderId="25" xfId="189" applyNumberFormat="1" applyFill="1" applyBorder="1" applyProtection="1"/>
    <xf numFmtId="175" fontId="33" fillId="0" borderId="0" xfId="189" applyNumberFormat="1" applyFont="1" applyFill="1" applyBorder="1" applyProtection="1"/>
    <xf numFmtId="175" fontId="5" fillId="0" borderId="0" xfId="189" applyNumberFormat="1" applyFill="1" applyBorder="1" applyProtection="1"/>
    <xf numFmtId="37" fontId="73" fillId="0" borderId="34" xfId="189" applyNumberFormat="1" applyFont="1" applyFill="1" applyBorder="1" applyProtection="1"/>
    <xf numFmtId="37" fontId="22" fillId="0" borderId="33" xfId="189" applyNumberFormat="1" applyFont="1" applyFill="1" applyBorder="1" applyProtection="1">
      <protection locked="0"/>
    </xf>
    <xf numFmtId="37" fontId="22" fillId="0" borderId="25" xfId="189" applyNumberFormat="1" applyFont="1" applyFill="1" applyBorder="1" applyProtection="1"/>
    <xf numFmtId="37" fontId="5" fillId="0" borderId="25" xfId="189" applyNumberFormat="1" applyFill="1" applyBorder="1" applyProtection="1"/>
    <xf numFmtId="5" fontId="5" fillId="0" borderId="0" xfId="189" applyNumberFormat="1" applyFont="1" applyFill="1" applyProtection="1">
      <protection locked="0"/>
    </xf>
    <xf numFmtId="5" fontId="22" fillId="0" borderId="0" xfId="189" applyNumberFormat="1" applyFont="1" applyFill="1" applyProtection="1">
      <protection locked="0"/>
    </xf>
    <xf numFmtId="170" fontId="33" fillId="0" borderId="0" xfId="189" applyNumberFormat="1" applyFont="1" applyFill="1" applyProtection="1"/>
    <xf numFmtId="170" fontId="5" fillId="0" borderId="0" xfId="189" applyNumberFormat="1" applyFill="1" applyBorder="1" applyProtection="1"/>
    <xf numFmtId="170" fontId="5" fillId="0" borderId="0" xfId="189" applyNumberFormat="1" applyFill="1" applyProtection="1"/>
    <xf numFmtId="170" fontId="97" fillId="0" borderId="29" xfId="189" applyFont="1" applyBorder="1"/>
    <xf numFmtId="5" fontId="22" fillId="0" borderId="25" xfId="189" applyNumberFormat="1" applyFont="1" applyFill="1" applyBorder="1" applyProtection="1">
      <protection locked="0"/>
    </xf>
    <xf numFmtId="5" fontId="5" fillId="0" borderId="33" xfId="189" applyNumberFormat="1" applyFont="1" applyFill="1" applyBorder="1" applyProtection="1"/>
    <xf numFmtId="174" fontId="33" fillId="0" borderId="34" xfId="189" applyNumberFormat="1" applyFont="1" applyFill="1" applyBorder="1" applyProtection="1"/>
    <xf numFmtId="5" fontId="5" fillId="0" borderId="34" xfId="189" applyNumberFormat="1" applyFont="1" applyFill="1" applyBorder="1" applyProtection="1"/>
    <xf numFmtId="174" fontId="5" fillId="0" borderId="34" xfId="189" applyNumberFormat="1" applyFill="1" applyBorder="1" applyProtection="1"/>
    <xf numFmtId="174" fontId="5" fillId="0" borderId="0" xfId="189" applyNumberFormat="1" applyFont="1" applyFill="1" applyProtection="1"/>
    <xf numFmtId="170" fontId="96" fillId="0" borderId="0" xfId="189" applyFont="1" applyFill="1" applyBorder="1" applyAlignment="1">
      <alignment horizontal="left"/>
    </xf>
    <xf numFmtId="182" fontId="33" fillId="0" borderId="0" xfId="85" applyNumberFormat="1" applyFont="1" applyFill="1" applyProtection="1"/>
    <xf numFmtId="182" fontId="22" fillId="0" borderId="0" xfId="85" applyNumberFormat="1" applyFont="1" applyFill="1" applyBorder="1" applyProtection="1"/>
    <xf numFmtId="5" fontId="22" fillId="0" borderId="25" xfId="189" applyNumberFormat="1" applyFont="1" applyFill="1" applyBorder="1" applyProtection="1"/>
    <xf numFmtId="182" fontId="22" fillId="0" borderId="0" xfId="85" applyNumberFormat="1" applyFont="1" applyFill="1" applyProtection="1"/>
    <xf numFmtId="37" fontId="5" fillId="0" borderId="37" xfId="189" applyNumberFormat="1" applyFill="1" applyBorder="1" applyProtection="1"/>
    <xf numFmtId="174" fontId="33" fillId="0" borderId="32" xfId="189" applyNumberFormat="1" applyFont="1" applyFill="1" applyBorder="1" applyProtection="1"/>
    <xf numFmtId="5" fontId="5" fillId="0" borderId="37" xfId="189" applyNumberFormat="1" applyFill="1" applyBorder="1" applyProtection="1"/>
    <xf numFmtId="174" fontId="5" fillId="0" borderId="32" xfId="189" applyNumberFormat="1" applyFill="1" applyBorder="1" applyProtection="1"/>
    <xf numFmtId="10" fontId="22" fillId="0" borderId="0" xfId="196" applyNumberFormat="1" applyFont="1" applyFill="1" applyBorder="1"/>
    <xf numFmtId="170" fontId="22" fillId="0" borderId="0" xfId="189" applyNumberFormat="1" applyFont="1" applyFill="1" applyBorder="1" applyProtection="1">
      <protection locked="0"/>
    </xf>
    <xf numFmtId="170" fontId="33" fillId="0" borderId="0" xfId="189" applyNumberFormat="1" applyFont="1" applyFill="1" applyBorder="1" applyProtection="1">
      <protection locked="0"/>
    </xf>
    <xf numFmtId="37" fontId="5" fillId="0" borderId="25" xfId="189" applyNumberFormat="1" applyFont="1" applyFill="1" applyBorder="1" applyProtection="1"/>
    <xf numFmtId="5" fontId="22" fillId="0" borderId="0" xfId="189" applyNumberFormat="1" applyFont="1" applyFill="1" applyBorder="1" applyProtection="1">
      <protection locked="0"/>
    </xf>
    <xf numFmtId="7" fontId="77" fillId="0" borderId="0" xfId="189" applyNumberFormat="1" applyFont="1" applyFill="1" applyProtection="1"/>
    <xf numFmtId="176" fontId="77" fillId="0" borderId="0" xfId="189" applyNumberFormat="1" applyFont="1" applyFill="1" applyProtection="1">
      <protection locked="0"/>
    </xf>
    <xf numFmtId="168" fontId="5" fillId="0" borderId="0" xfId="85" applyNumberFormat="1" applyFont="1" applyFill="1" applyBorder="1"/>
    <xf numFmtId="176" fontId="33" fillId="0" borderId="0" xfId="189" applyNumberFormat="1" applyFont="1" applyFill="1" applyBorder="1" applyProtection="1"/>
    <xf numFmtId="37" fontId="22" fillId="0" borderId="0" xfId="189" applyNumberFormat="1" applyFont="1" applyFill="1" applyBorder="1" applyProtection="1">
      <protection locked="0"/>
    </xf>
    <xf numFmtId="37" fontId="5" fillId="0" borderId="34" xfId="189" applyNumberFormat="1" applyFont="1" applyFill="1" applyBorder="1" applyProtection="1">
      <protection locked="0"/>
    </xf>
    <xf numFmtId="168" fontId="5" fillId="0" borderId="34" xfId="85" applyNumberFormat="1" applyFont="1" applyFill="1" applyBorder="1"/>
    <xf numFmtId="37" fontId="5" fillId="0" borderId="0" xfId="189" applyNumberFormat="1" applyFont="1" applyFill="1" applyBorder="1" applyProtection="1">
      <protection locked="0"/>
    </xf>
    <xf numFmtId="37" fontId="77" fillId="0" borderId="0" xfId="189" applyNumberFormat="1" applyFont="1" applyFill="1" applyBorder="1" applyProtection="1">
      <protection locked="0"/>
    </xf>
    <xf numFmtId="174" fontId="5" fillId="0" borderId="0" xfId="189" applyNumberFormat="1" applyProtection="1"/>
    <xf numFmtId="164" fontId="5" fillId="0" borderId="0" xfId="85" applyNumberFormat="1" applyFont="1" applyFill="1"/>
    <xf numFmtId="164" fontId="5" fillId="0" borderId="32" xfId="85" applyNumberFormat="1" applyFont="1" applyFill="1" applyBorder="1"/>
    <xf numFmtId="5" fontId="5" fillId="0" borderId="0" xfId="189" applyNumberFormat="1" applyProtection="1"/>
    <xf numFmtId="170" fontId="35" fillId="54" borderId="0" xfId="69" applyFont="1" applyFill="1" applyAlignment="1">
      <alignment horizontal="centerContinuous"/>
    </xf>
    <xf numFmtId="0" fontId="5" fillId="54" borderId="0" xfId="58" applyFill="1" applyAlignment="1">
      <alignment horizontal="centerContinuous"/>
    </xf>
    <xf numFmtId="170" fontId="35" fillId="54" borderId="0" xfId="69" applyFont="1" applyFill="1" applyAlignment="1">
      <alignment horizontal="center"/>
    </xf>
    <xf numFmtId="170" fontId="35" fillId="54" borderId="0" xfId="69" applyFont="1" applyFill="1" applyBorder="1" applyAlignment="1">
      <alignment horizontal="center"/>
    </xf>
    <xf numFmtId="170" fontId="35" fillId="54" borderId="25" xfId="69" applyFont="1" applyFill="1" applyBorder="1" applyAlignment="1">
      <alignment horizontal="center"/>
    </xf>
    <xf numFmtId="37" fontId="35" fillId="54" borderId="0" xfId="69" quotePrefix="1" applyNumberFormat="1" applyFont="1" applyFill="1" applyAlignment="1">
      <alignment horizontal="center"/>
    </xf>
    <xf numFmtId="170" fontId="35" fillId="54" borderId="0" xfId="69" applyFont="1" applyFill="1"/>
    <xf numFmtId="170" fontId="5" fillId="54" borderId="0" xfId="69" applyFill="1"/>
    <xf numFmtId="164" fontId="5" fillId="54" borderId="0" xfId="71" applyNumberFormat="1" applyFont="1" applyFill="1"/>
    <xf numFmtId="170" fontId="5" fillId="54" borderId="25" xfId="69" applyFill="1" applyBorder="1" applyAlignment="1">
      <alignment horizontal="right"/>
    </xf>
    <xf numFmtId="164" fontId="5" fillId="54" borderId="25" xfId="71" applyNumberFormat="1" applyFont="1" applyFill="1" applyBorder="1"/>
    <xf numFmtId="164" fontId="5" fillId="54" borderId="25" xfId="71" applyNumberFormat="1" applyFont="1" applyFill="1" applyBorder="1" applyAlignment="1">
      <alignment horizontal="right"/>
    </xf>
    <xf numFmtId="164" fontId="5" fillId="54" borderId="32" xfId="71" applyNumberFormat="1" applyFont="1" applyFill="1" applyBorder="1"/>
    <xf numFmtId="170" fontId="5" fillId="54" borderId="0" xfId="70" applyFill="1"/>
    <xf numFmtId="170" fontId="5" fillId="54" borderId="0" xfId="69" applyFill="1" applyAlignment="1">
      <alignment horizontal="centerContinuous"/>
    </xf>
    <xf numFmtId="170" fontId="35" fillId="54" borderId="25" xfId="69" quotePrefix="1" applyFont="1" applyFill="1" applyBorder="1" applyAlignment="1">
      <alignment horizontal="center"/>
    </xf>
    <xf numFmtId="5" fontId="5" fillId="54" borderId="0" xfId="72" applyNumberFormat="1" applyFont="1" applyFill="1"/>
    <xf numFmtId="5" fontId="5" fillId="54" borderId="25" xfId="72" applyNumberFormat="1" applyFont="1" applyFill="1" applyBorder="1"/>
    <xf numFmtId="5" fontId="5" fillId="54" borderId="32" xfId="72" applyNumberFormat="1" applyFont="1" applyFill="1" applyBorder="1"/>
    <xf numFmtId="0" fontId="5" fillId="0" borderId="0" xfId="58" applyFill="1" applyAlignment="1">
      <alignment horizontal="centerContinuous"/>
    </xf>
    <xf numFmtId="176" fontId="5" fillId="0" borderId="0" xfId="72" applyNumberFormat="1" applyFont="1" applyFill="1"/>
    <xf numFmtId="170" fontId="5" fillId="0" borderId="38" xfId="70" applyFill="1" applyBorder="1"/>
    <xf numFmtId="170" fontId="5" fillId="0" borderId="29" xfId="70" applyFill="1" applyBorder="1"/>
    <xf numFmtId="170" fontId="5" fillId="0" borderId="28" xfId="70" applyFill="1" applyBorder="1"/>
    <xf numFmtId="170" fontId="35" fillId="54" borderId="25" xfId="70" applyFont="1" applyFill="1" applyBorder="1" applyAlignment="1">
      <alignment horizontal="centerContinuous"/>
    </xf>
    <xf numFmtId="5" fontId="5" fillId="54" borderId="0" xfId="72" applyNumberFormat="1" applyFont="1" applyFill="1" applyBorder="1"/>
    <xf numFmtId="5" fontId="5" fillId="54" borderId="25" xfId="71" applyNumberFormat="1" applyFont="1" applyFill="1" applyBorder="1"/>
    <xf numFmtId="170" fontId="5" fillId="54" borderId="39" xfId="70" applyFont="1" applyFill="1" applyBorder="1" applyAlignment="1">
      <alignment horizontal="right"/>
    </xf>
    <xf numFmtId="170" fontId="5" fillId="54" borderId="0" xfId="70" applyFont="1" applyFill="1" applyBorder="1" applyAlignment="1">
      <alignment horizontal="right"/>
    </xf>
    <xf numFmtId="10" fontId="0" fillId="54" borderId="0" xfId="70" applyNumberFormat="1" applyFont="1" applyFill="1" applyBorder="1" applyAlignment="1">
      <alignment horizontal="right"/>
    </xf>
    <xf numFmtId="10" fontId="5" fillId="54" borderId="0" xfId="70" quotePrefix="1" applyNumberFormat="1" applyFont="1" applyFill="1" applyBorder="1" applyAlignment="1">
      <alignment horizontal="right"/>
    </xf>
    <xf numFmtId="10" fontId="5" fillId="54" borderId="0" xfId="70" applyNumberFormat="1" applyFont="1" applyFill="1" applyBorder="1" applyAlignment="1">
      <alignment horizontal="right"/>
    </xf>
    <xf numFmtId="170" fontId="5" fillId="54" borderId="25" xfId="70" applyFont="1" applyFill="1" applyBorder="1" applyAlignment="1">
      <alignment horizontal="right"/>
    </xf>
    <xf numFmtId="170" fontId="5" fillId="54" borderId="0" xfId="70" applyFont="1" applyFill="1" applyAlignment="1">
      <alignment horizontal="right"/>
    </xf>
    <xf numFmtId="5" fontId="47" fillId="54" borderId="0" xfId="29" applyNumberFormat="1" applyFont="1" applyFill="1"/>
    <xf numFmtId="0" fontId="3" fillId="0" borderId="0" xfId="183"/>
    <xf numFmtId="0" fontId="3" fillId="0" borderId="0" xfId="183" applyAlignment="1">
      <alignment horizontal="right"/>
    </xf>
    <xf numFmtId="0" fontId="12" fillId="0" borderId="0" xfId="183" applyFont="1"/>
    <xf numFmtId="0" fontId="3" fillId="0" borderId="38" xfId="183" applyBorder="1" applyAlignment="1">
      <alignment horizontal="center"/>
    </xf>
    <xf numFmtId="0" fontId="3" fillId="0" borderId="40" xfId="183" applyBorder="1"/>
    <xf numFmtId="0" fontId="3" fillId="0" borderId="28" xfId="183" applyBorder="1" applyAlignment="1">
      <alignment horizontal="center"/>
    </xf>
    <xf numFmtId="0" fontId="3" fillId="0" borderId="31" xfId="183" applyBorder="1"/>
    <xf numFmtId="0" fontId="3" fillId="0" borderId="49" xfId="183" applyBorder="1" applyAlignment="1">
      <alignment horizontal="center" vertical="top"/>
    </xf>
    <xf numFmtId="0" fontId="3" fillId="0" borderId="49" xfId="183" applyBorder="1" applyAlignment="1">
      <alignment horizontal="center" vertical="top" wrapText="1"/>
    </xf>
    <xf numFmtId="0" fontId="11" fillId="0" borderId="49" xfId="183" applyFont="1" applyBorder="1" applyAlignment="1">
      <alignment horizontal="center" vertical="top"/>
    </xf>
    <xf numFmtId="0" fontId="3" fillId="0" borderId="0" xfId="183" applyBorder="1" applyAlignment="1">
      <alignment horizontal="center" vertical="top"/>
    </xf>
    <xf numFmtId="0" fontId="18" fillId="0" borderId="0" xfId="183" applyFont="1" applyBorder="1" applyAlignment="1">
      <alignment horizontal="center" vertical="top" wrapText="1"/>
    </xf>
    <xf numFmtId="0" fontId="12" fillId="0" borderId="0" xfId="183" applyFont="1" applyAlignment="1">
      <alignment horizontal="center" vertical="top" wrapText="1"/>
    </xf>
    <xf numFmtId="0" fontId="3" fillId="0" borderId="0" xfId="183" applyAlignment="1">
      <alignment horizontal="center" vertical="top" wrapText="1"/>
    </xf>
    <xf numFmtId="0" fontId="3" fillId="0" borderId="0" xfId="183" applyAlignment="1">
      <alignment horizontal="center"/>
    </xf>
    <xf numFmtId="0" fontId="3" fillId="0" borderId="49" xfId="183" applyBorder="1"/>
    <xf numFmtId="43" fontId="3" fillId="0" borderId="49" xfId="183" applyNumberFormat="1" applyBorder="1" applyAlignment="1">
      <alignment horizontal="right"/>
    </xf>
    <xf numFmtId="43" fontId="3" fillId="0" borderId="49" xfId="183" applyNumberFormat="1" applyBorder="1"/>
    <xf numFmtId="43" fontId="3" fillId="0" borderId="0" xfId="183" applyNumberFormat="1" applyBorder="1"/>
    <xf numFmtId="43" fontId="12" fillId="0" borderId="0" xfId="183" applyNumberFormat="1" applyFont="1" applyBorder="1"/>
    <xf numFmtId="43" fontId="12" fillId="0" borderId="0" xfId="183" applyNumberFormat="1" applyFont="1"/>
    <xf numFmtId="43" fontId="3" fillId="0" borderId="0" xfId="183" applyNumberFormat="1"/>
    <xf numFmtId="43" fontId="3" fillId="0" borderId="49" xfId="183" applyNumberFormat="1" applyFont="1" applyBorder="1"/>
    <xf numFmtId="43" fontId="106" fillId="0" borderId="0" xfId="183" applyNumberFormat="1" applyFont="1"/>
    <xf numFmtId="0" fontId="3" fillId="0" borderId="50" xfId="183" applyBorder="1"/>
    <xf numFmtId="43" fontId="3" fillId="0" borderId="49" xfId="183" applyNumberFormat="1" applyFill="1" applyBorder="1"/>
    <xf numFmtId="0" fontId="3" fillId="0" borderId="49" xfId="183" applyFont="1" applyBorder="1"/>
    <xf numFmtId="0" fontId="45" fillId="0" borderId="0" xfId="183" applyFont="1"/>
    <xf numFmtId="43" fontId="3" fillId="0" borderId="49" xfId="183" applyNumberFormat="1" applyFont="1" applyFill="1" applyBorder="1"/>
    <xf numFmtId="0" fontId="3" fillId="0" borderId="22" xfId="183" applyBorder="1"/>
    <xf numFmtId="0" fontId="3" fillId="0" borderId="51" xfId="183" applyFont="1" applyBorder="1"/>
    <xf numFmtId="43" fontId="3" fillId="0" borderId="51" xfId="183" applyNumberFormat="1" applyBorder="1" applyAlignment="1">
      <alignment horizontal="right"/>
    </xf>
    <xf numFmtId="43" fontId="3" fillId="0" borderId="51" xfId="183" applyNumberFormat="1" applyFill="1" applyBorder="1"/>
    <xf numFmtId="43" fontId="3" fillId="0" borderId="51" xfId="183" applyNumberFormat="1" applyFont="1" applyFill="1" applyBorder="1"/>
    <xf numFmtId="43" fontId="3" fillId="0" borderId="51" xfId="183" applyNumberFormat="1" applyBorder="1"/>
    <xf numFmtId="43" fontId="3" fillId="0" borderId="22" xfId="183" applyNumberFormat="1" applyBorder="1"/>
    <xf numFmtId="43" fontId="12" fillId="0" borderId="22" xfId="183" applyNumberFormat="1" applyFont="1" applyBorder="1"/>
    <xf numFmtId="43" fontId="106" fillId="0" borderId="22" xfId="183" applyNumberFormat="1" applyFont="1" applyBorder="1"/>
    <xf numFmtId="0" fontId="45" fillId="0" borderId="22" xfId="183" applyFont="1" applyBorder="1"/>
    <xf numFmtId="0" fontId="3" fillId="0" borderId="52" xfId="183" applyFont="1" applyBorder="1"/>
    <xf numFmtId="43" fontId="3" fillId="0" borderId="52" xfId="183" applyNumberFormat="1" applyBorder="1" applyAlignment="1">
      <alignment horizontal="right"/>
    </xf>
    <xf numFmtId="43" fontId="3" fillId="0" borderId="52" xfId="183" applyNumberFormat="1" applyFill="1" applyBorder="1"/>
    <xf numFmtId="43" fontId="3" fillId="0" borderId="52" xfId="183" applyNumberFormat="1" applyFont="1" applyFill="1" applyBorder="1"/>
    <xf numFmtId="43" fontId="3" fillId="0" borderId="52" xfId="183" applyNumberFormat="1" applyBorder="1"/>
    <xf numFmtId="43" fontId="3" fillId="54" borderId="49" xfId="183" applyNumberFormat="1" applyFill="1" applyBorder="1"/>
    <xf numFmtId="0" fontId="3" fillId="0" borderId="0" xfId="183" applyBorder="1"/>
    <xf numFmtId="43" fontId="3" fillId="0" borderId="0" xfId="183" applyNumberFormat="1" applyBorder="1" applyAlignment="1">
      <alignment horizontal="right"/>
    </xf>
    <xf numFmtId="189" fontId="3" fillId="0" borderId="0" xfId="183" applyNumberFormat="1" applyBorder="1"/>
    <xf numFmtId="0" fontId="3" fillId="0" borderId="0" xfId="183" quotePrefix="1"/>
    <xf numFmtId="4" fontId="3" fillId="0" borderId="0" xfId="183" applyNumberFormat="1"/>
    <xf numFmtId="0" fontId="11" fillId="0" borderId="0" xfId="183" applyFont="1"/>
    <xf numFmtId="0" fontId="13" fillId="0" borderId="0" xfId="268" applyFont="1"/>
    <xf numFmtId="0" fontId="8" fillId="0" borderId="0" xfId="268"/>
    <xf numFmtId="43" fontId="8" fillId="0" borderId="0" xfId="85" applyFont="1"/>
    <xf numFmtId="43" fontId="8" fillId="0" borderId="0" xfId="85" applyFont="1" applyAlignment="1">
      <alignment horizontal="center"/>
    </xf>
    <xf numFmtId="0" fontId="107" fillId="0" borderId="0" xfId="268" applyFont="1" applyAlignment="1">
      <alignment horizontal="center"/>
    </xf>
    <xf numFmtId="43" fontId="107" fillId="0" borderId="0" xfId="85" applyFont="1" applyAlignment="1">
      <alignment horizontal="center"/>
    </xf>
    <xf numFmtId="0" fontId="107" fillId="0" borderId="0" xfId="268" applyFont="1"/>
    <xf numFmtId="0" fontId="8" fillId="0" borderId="0" xfId="268" applyAlignment="1">
      <alignment horizontal="center"/>
    </xf>
    <xf numFmtId="44" fontId="108" fillId="0" borderId="0" xfId="85" applyNumberFormat="1" applyFont="1"/>
    <xf numFmtId="44" fontId="108" fillId="0" borderId="25" xfId="85" applyNumberFormat="1" applyFont="1" applyBorder="1"/>
    <xf numFmtId="43" fontId="8" fillId="0" borderId="25" xfId="85" applyFont="1" applyBorder="1"/>
    <xf numFmtId="0" fontId="8" fillId="0" borderId="25" xfId="268" applyBorder="1"/>
    <xf numFmtId="0" fontId="8" fillId="0" borderId="0" xfId="268" applyFont="1"/>
    <xf numFmtId="44" fontId="108" fillId="0" borderId="0" xfId="85" applyNumberFormat="1" applyFont="1" applyBorder="1"/>
    <xf numFmtId="43" fontId="8" fillId="0" borderId="0" xfId="85" applyFont="1" applyBorder="1"/>
    <xf numFmtId="43" fontId="8" fillId="0" borderId="0" xfId="85" applyNumberFormat="1" applyFont="1" applyBorder="1"/>
    <xf numFmtId="44" fontId="108" fillId="0" borderId="0" xfId="268" applyNumberFormat="1" applyFont="1"/>
    <xf numFmtId="44" fontId="8" fillId="0" borderId="0" xfId="268" applyNumberFormat="1" applyFont="1"/>
    <xf numFmtId="44" fontId="8" fillId="0" borderId="25" xfId="85" applyNumberFormat="1" applyFont="1" applyBorder="1"/>
    <xf numFmtId="44" fontId="8" fillId="0" borderId="25" xfId="268" applyNumberFormat="1" applyFont="1" applyBorder="1"/>
    <xf numFmtId="43" fontId="8" fillId="0" borderId="0" xfId="268" applyNumberFormat="1"/>
    <xf numFmtId="0" fontId="8" fillId="0" borderId="0" xfId="268" applyFont="1" applyAlignment="1">
      <alignment horizontal="left"/>
    </xf>
    <xf numFmtId="44" fontId="108" fillId="0" borderId="25" xfId="85" applyNumberFormat="1" applyFont="1" applyBorder="1" applyAlignment="1">
      <alignment horizontal="left"/>
    </xf>
    <xf numFmtId="43" fontId="8" fillId="0" borderId="25" xfId="85" applyFont="1" applyBorder="1" applyAlignment="1">
      <alignment horizontal="left"/>
    </xf>
    <xf numFmtId="43" fontId="109" fillId="0" borderId="0" xfId="85" applyFont="1"/>
    <xf numFmtId="43" fontId="8" fillId="0" borderId="0" xfId="85" applyFont="1" applyBorder="1" applyAlignment="1"/>
    <xf numFmtId="43" fontId="8" fillId="0" borderId="0" xfId="85" applyFont="1" applyBorder="1" applyAlignment="1">
      <alignment horizontal="right"/>
    </xf>
    <xf numFmtId="164" fontId="8" fillId="0" borderId="0" xfId="85" applyNumberFormat="1" applyFont="1"/>
    <xf numFmtId="43" fontId="109" fillId="0" borderId="0" xfId="85" applyFont="1" applyAlignment="1">
      <alignment horizontal="center"/>
    </xf>
    <xf numFmtId="164" fontId="108" fillId="0" borderId="0" xfId="85" applyNumberFormat="1" applyFont="1"/>
    <xf numFmtId="164" fontId="108" fillId="0" borderId="0" xfId="268" applyNumberFormat="1" applyFont="1"/>
    <xf numFmtId="41" fontId="108" fillId="0" borderId="0" xfId="85" applyNumberFormat="1" applyFont="1"/>
    <xf numFmtId="164" fontId="8" fillId="0" borderId="0" xfId="85" applyNumberFormat="1" applyFont="1" applyAlignment="1">
      <alignment horizontal="left" indent="2"/>
    </xf>
    <xf numFmtId="37" fontId="8" fillId="0" borderId="0" xfId="85" applyNumberFormat="1" applyFont="1"/>
    <xf numFmtId="41" fontId="8" fillId="0" borderId="0" xfId="85" applyNumberFormat="1" applyFont="1"/>
    <xf numFmtId="2" fontId="8" fillId="0" borderId="0" xfId="85" applyNumberFormat="1" applyFont="1"/>
    <xf numFmtId="37" fontId="108" fillId="0" borderId="0" xfId="85" applyNumberFormat="1" applyFont="1"/>
    <xf numFmtId="4" fontId="8" fillId="0" borderId="0" xfId="85" applyNumberFormat="1" applyFont="1"/>
    <xf numFmtId="3" fontId="8" fillId="0" borderId="0" xfId="85" applyNumberFormat="1" applyFont="1"/>
    <xf numFmtId="0" fontId="3" fillId="0" borderId="0" xfId="0" applyFont="1"/>
    <xf numFmtId="171" fontId="11" fillId="0" borderId="0" xfId="29" applyNumberFormat="1" applyFont="1"/>
    <xf numFmtId="43" fontId="14" fillId="0" borderId="49" xfId="28" applyFont="1" applyFill="1" applyBorder="1"/>
    <xf numFmtId="44" fontId="108" fillId="0" borderId="0" xfId="28" applyNumberFormat="1" applyFont="1" applyBorder="1"/>
    <xf numFmtId="43" fontId="8" fillId="0" borderId="0" xfId="28" applyFont="1" applyBorder="1"/>
    <xf numFmtId="10" fontId="0" fillId="0" borderId="0" xfId="50" applyNumberFormat="1" applyFont="1"/>
    <xf numFmtId="168" fontId="0" fillId="0" borderId="0" xfId="0" applyNumberFormat="1"/>
    <xf numFmtId="0" fontId="7" fillId="0" borderId="0" xfId="45" applyFont="1" applyAlignment="1">
      <alignment horizontal="center"/>
    </xf>
    <xf numFmtId="0" fontId="28" fillId="0" borderId="0" xfId="28" applyNumberFormat="1" applyFont="1" applyAlignment="1">
      <alignment horizontal="center"/>
    </xf>
    <xf numFmtId="0" fontId="28" fillId="0" borderId="0" xfId="28" quotePrefix="1" applyNumberFormat="1" applyFont="1" applyAlignment="1">
      <alignment horizontal="center"/>
    </xf>
    <xf numFmtId="0" fontId="7" fillId="0" borderId="0" xfId="44" applyFont="1" applyAlignment="1">
      <alignment horizontal="center"/>
    </xf>
    <xf numFmtId="0" fontId="10" fillId="25" borderId="10" xfId="0" applyFont="1" applyFill="1" applyBorder="1" applyAlignment="1">
      <alignment horizontal="center" wrapText="1"/>
    </xf>
    <xf numFmtId="0" fontId="10" fillId="25" borderId="27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269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1" xfId="85"/>
    <cellStyle name="Comma 19" xfId="86"/>
    <cellStyle name="Comma 2" xfId="56"/>
    <cellStyle name="Comma 2 10" xfId="87"/>
    <cellStyle name="Comma 2 11" xfId="88"/>
    <cellStyle name="Comma 2 12" xfId="89"/>
    <cellStyle name="Comma 2 13" xfId="90"/>
    <cellStyle name="Comma 2 14" xfId="91"/>
    <cellStyle name="Comma 2 15" xfId="92"/>
    <cellStyle name="Comma 2 16" xfId="93"/>
    <cellStyle name="Comma 2 17" xfId="94"/>
    <cellStyle name="Comma 2 18" xfId="95"/>
    <cellStyle name="Comma 2 19" xfId="96"/>
    <cellStyle name="Comma 2 2" xfId="97"/>
    <cellStyle name="Comma 2 20" xfId="98"/>
    <cellStyle name="Comma 2 21" xfId="99"/>
    <cellStyle name="Comma 2 3" xfId="100"/>
    <cellStyle name="Comma 2 4" xfId="101"/>
    <cellStyle name="Comma 2 5" xfId="102"/>
    <cellStyle name="Comma 2 6" xfId="103"/>
    <cellStyle name="Comma 2 7" xfId="104"/>
    <cellStyle name="Comma 2 8" xfId="105"/>
    <cellStyle name="Comma 2 9" xfId="106"/>
    <cellStyle name="Comma 21" xfId="107"/>
    <cellStyle name="Comma 22" xfId="108"/>
    <cellStyle name="Comma 3" xfId="71"/>
    <cellStyle name="Comma 4" xfId="109"/>
    <cellStyle name="Comma 5" xfId="110"/>
    <cellStyle name="Comma 6" xfId="111"/>
    <cellStyle name="Comma 6 2" xfId="112"/>
    <cellStyle name="Currency" xfId="29" builtinId="4"/>
    <cellStyle name="Currency 2" xfId="57"/>
    <cellStyle name="Currency 2 10" xfId="113"/>
    <cellStyle name="Currency 2 11" xfId="114"/>
    <cellStyle name="Currency 2 12" xfId="115"/>
    <cellStyle name="Currency 2 13" xfId="116"/>
    <cellStyle name="Currency 2 14" xfId="117"/>
    <cellStyle name="Currency 2 15" xfId="118"/>
    <cellStyle name="Currency 2 16" xfId="119"/>
    <cellStyle name="Currency 2 17" xfId="120"/>
    <cellStyle name="Currency 2 18" xfId="121"/>
    <cellStyle name="Currency 2 19" xfId="122"/>
    <cellStyle name="Currency 2 2" xfId="123"/>
    <cellStyle name="Currency 2 20" xfId="124"/>
    <cellStyle name="Currency 2 21" xfId="125"/>
    <cellStyle name="Currency 2 3" xfId="126"/>
    <cellStyle name="Currency 2 4" xfId="127"/>
    <cellStyle name="Currency 2 5" xfId="128"/>
    <cellStyle name="Currency 2 6" xfId="129"/>
    <cellStyle name="Currency 2 7" xfId="130"/>
    <cellStyle name="Currency 2 8" xfId="131"/>
    <cellStyle name="Currency 2 9" xfId="132"/>
    <cellStyle name="Currency 3" xfId="72"/>
    <cellStyle name="Currency 4" xfId="133"/>
    <cellStyle name="Currency 5" xfId="134"/>
    <cellStyle name="Currency No Comma" xfId="135"/>
    <cellStyle name="Explanatory Text" xfId="30" builtinId="53" customBuiltin="1"/>
    <cellStyle name="General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MCP" xfId="136"/>
    <cellStyle name="Neutral" xfId="39" builtinId="28" customBuiltin="1"/>
    <cellStyle name="nONE" xfId="40"/>
    <cellStyle name="noninput" xfId="137"/>
    <cellStyle name="Normal" xfId="0" builtinId="0"/>
    <cellStyle name="Normal 10" xfId="138"/>
    <cellStyle name="Normal 11" xfId="139"/>
    <cellStyle name="Normal 11 2" xfId="140"/>
    <cellStyle name="Normal 12" xfId="141"/>
    <cellStyle name="Normal 13" xfId="142"/>
    <cellStyle name="Normal 14" xfId="143"/>
    <cellStyle name="Normal 15" xfId="144"/>
    <cellStyle name="Normal 16" xfId="145"/>
    <cellStyle name="Normal 17" xfId="146"/>
    <cellStyle name="Normal 18" xfId="147"/>
    <cellStyle name="Normal 19" xfId="148"/>
    <cellStyle name="Normal 2" xfId="55"/>
    <cellStyle name="Normal 2 10" xfId="149"/>
    <cellStyle name="Normal 2 11" xfId="150"/>
    <cellStyle name="Normal 2 12" xfId="151"/>
    <cellStyle name="Normal 2 13" xfId="152"/>
    <cellStyle name="Normal 2 14" xfId="153"/>
    <cellStyle name="Normal 2 15" xfId="154"/>
    <cellStyle name="Normal 2 16" xfId="155"/>
    <cellStyle name="Normal 2 17" xfId="156"/>
    <cellStyle name="Normal 2 18" xfId="157"/>
    <cellStyle name="Normal 2 19" xfId="158"/>
    <cellStyle name="Normal 2 2" xfId="159"/>
    <cellStyle name="Normal 2 20" xfId="160"/>
    <cellStyle name="Normal 2 21" xfId="161"/>
    <cellStyle name="Normal 2 22" xfId="162"/>
    <cellStyle name="Normal 2 3" xfId="163"/>
    <cellStyle name="Normal 2 4" xfId="164"/>
    <cellStyle name="Normal 2 5" xfId="165"/>
    <cellStyle name="Normal 2 6" xfId="166"/>
    <cellStyle name="Normal 2 7" xfId="167"/>
    <cellStyle name="Normal 2 8" xfId="168"/>
    <cellStyle name="Normal 2 9" xfId="169"/>
    <cellStyle name="Normal 2_Book1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5 2" xfId="177"/>
    <cellStyle name="Normal 26" xfId="178"/>
    <cellStyle name="Normal 27" xfId="179"/>
    <cellStyle name="Normal 28" xfId="180"/>
    <cellStyle name="Normal 29" xfId="181"/>
    <cellStyle name="Normal 3" xfId="58"/>
    <cellStyle name="Normal 3 2" xfId="59"/>
    <cellStyle name="Normal 30" xfId="182"/>
    <cellStyle name="Normal 31" xfId="183"/>
    <cellStyle name="Normal 32" xfId="184"/>
    <cellStyle name="Normal 4" xfId="60"/>
    <cellStyle name="Normal 4 2" xfId="185"/>
    <cellStyle name="Normal 5" xfId="61"/>
    <cellStyle name="Normal 5 2" xfId="186"/>
    <cellStyle name="Normal 6" xfId="62"/>
    <cellStyle name="Normal 7" xfId="63"/>
    <cellStyle name="Normal 8" xfId="187"/>
    <cellStyle name="Normal 9" xfId="188"/>
    <cellStyle name="Normal_305F_UT_Sep03" xfId="41"/>
    <cellStyle name="Normal_Ben'sBalancefwd" xfId="268"/>
    <cellStyle name="Normal_Blocking 03-01" xfId="42"/>
    <cellStyle name="Normal_Blocking 03-01 2 2" xfId="70"/>
    <cellStyle name="Normal_Blocking 03-01 3" xfId="69"/>
    <cellStyle name="Normal_Blocking 09-00" xfId="189"/>
    <cellStyle name="Normal_Blocking 09-00 2 2" xfId="267"/>
    <cellStyle name="Normal_Book4" xfId="190"/>
    <cellStyle name="Normal_BWProjectedHELPParticipants" xfId="43"/>
    <cellStyle name="Normal_Low Income Acct August2006" xfId="44"/>
    <cellStyle name="Normal_Low Income Acct August2006 (2)" xfId="45"/>
    <cellStyle name="Normal_Utah low income 2000" xfId="46"/>
    <cellStyle name="Normal_UTJUNE2008" xfId="47"/>
    <cellStyle name="Note" xfId="48" builtinId="10" customBuiltin="1"/>
    <cellStyle name="Note 2" xfId="191"/>
    <cellStyle name="Note 3" xfId="192"/>
    <cellStyle name="Output" xfId="49" builtinId="21" customBuiltin="1"/>
    <cellStyle name="Password" xfId="193"/>
    <cellStyle name="Percent" xfId="50" builtinId="5"/>
    <cellStyle name="Percent 10" xfId="194"/>
    <cellStyle name="Percent 11" xfId="195"/>
    <cellStyle name="Percent 13" xfId="196"/>
    <cellStyle name="Percent 19" xfId="197"/>
    <cellStyle name="Percent 2" xfId="64"/>
    <cellStyle name="Percent 2 10" xfId="198"/>
    <cellStyle name="Percent 2 11" xfId="199"/>
    <cellStyle name="Percent 2 12" xfId="200"/>
    <cellStyle name="Percent 2 13" xfId="201"/>
    <cellStyle name="Percent 2 14" xfId="202"/>
    <cellStyle name="Percent 2 15" xfId="203"/>
    <cellStyle name="Percent 2 16" xfId="204"/>
    <cellStyle name="Percent 2 17" xfId="205"/>
    <cellStyle name="Percent 2 18" xfId="206"/>
    <cellStyle name="Percent 2 19" xfId="207"/>
    <cellStyle name="Percent 2 2" xfId="65"/>
    <cellStyle name="Percent 2 20" xfId="208"/>
    <cellStyle name="Percent 2 21" xfId="209"/>
    <cellStyle name="Percent 2 3" xfId="210"/>
    <cellStyle name="Percent 2 4" xfId="211"/>
    <cellStyle name="Percent 2 5" xfId="212"/>
    <cellStyle name="Percent 2 6" xfId="213"/>
    <cellStyle name="Percent 2 7" xfId="214"/>
    <cellStyle name="Percent 2 8" xfId="215"/>
    <cellStyle name="Percent 2 9" xfId="216"/>
    <cellStyle name="Percent 22" xfId="217"/>
    <cellStyle name="Percent 3" xfId="66"/>
    <cellStyle name="Percent 4" xfId="67"/>
    <cellStyle name="Percent 5" xfId="68"/>
    <cellStyle name="Percent 6" xfId="218"/>
    <cellStyle name="Percent 7" xfId="219"/>
    <cellStyle name="Percent 8" xfId="220"/>
    <cellStyle name="Percent 8 2" xfId="221"/>
    <cellStyle name="Percent 9" xfId="222"/>
    <cellStyle name="SAPBEXaggData" xfId="223"/>
    <cellStyle name="SAPBEXaggDataEmph" xfId="224"/>
    <cellStyle name="SAPBEXaggItem" xfId="225"/>
    <cellStyle name="SAPBEXaggItemX" xfId="226"/>
    <cellStyle name="SAPBEXchaText" xfId="227"/>
    <cellStyle name="SAPBEXexcBad7" xfId="228"/>
    <cellStyle name="SAPBEXexcBad8" xfId="229"/>
    <cellStyle name="SAPBEXexcBad9" xfId="230"/>
    <cellStyle name="SAPBEXexcCritical4" xfId="231"/>
    <cellStyle name="SAPBEXexcCritical5" xfId="232"/>
    <cellStyle name="SAPBEXexcCritical6" xfId="233"/>
    <cellStyle name="SAPBEXexcGood1" xfId="234"/>
    <cellStyle name="SAPBEXexcGood2" xfId="235"/>
    <cellStyle name="SAPBEXexcGood3" xfId="236"/>
    <cellStyle name="SAPBEXfilterDrill" xfId="237"/>
    <cellStyle name="SAPBEXfilterItem" xfId="238"/>
    <cellStyle name="SAPBEXfilterText" xfId="239"/>
    <cellStyle name="SAPBEXformats" xfId="240"/>
    <cellStyle name="SAPBEXheaderItem" xfId="241"/>
    <cellStyle name="SAPBEXheaderText" xfId="242"/>
    <cellStyle name="SAPBEXHLevel0" xfId="243"/>
    <cellStyle name="SAPBEXHLevel0X" xfId="244"/>
    <cellStyle name="SAPBEXHLevel1" xfId="245"/>
    <cellStyle name="SAPBEXHLevel1X" xfId="246"/>
    <cellStyle name="SAPBEXHLevel2" xfId="247"/>
    <cellStyle name="SAPBEXHLevel2X" xfId="248"/>
    <cellStyle name="SAPBEXHLevel3" xfId="249"/>
    <cellStyle name="SAPBEXHLevel3X" xfId="250"/>
    <cellStyle name="SAPBEXresData" xfId="251"/>
    <cellStyle name="SAPBEXresDataEmph" xfId="252"/>
    <cellStyle name="SAPBEXresItem" xfId="253"/>
    <cellStyle name="SAPBEXresItemX" xfId="254"/>
    <cellStyle name="SAPBEXstdData" xfId="255"/>
    <cellStyle name="SAPBEXstdDataEmph" xfId="256"/>
    <cellStyle name="SAPBEXstdItem" xfId="257"/>
    <cellStyle name="SAPBEXstdItemX" xfId="258"/>
    <cellStyle name="SAPBEXtitle" xfId="259"/>
    <cellStyle name="SAPBEXundefined" xfId="260"/>
    <cellStyle name="Style 27" xfId="261"/>
    <cellStyle name="Style 35" xfId="262"/>
    <cellStyle name="Style 36" xfId="263"/>
    <cellStyle name="Title" xfId="51" builtinId="15" customBuiltin="1"/>
    <cellStyle name="Total" xfId="52" builtinId="25" customBuiltin="1"/>
    <cellStyle name="TRANSMISSION RELIABILITY PORTION OF PROJECT" xfId="53"/>
    <cellStyle name="Unprot" xfId="264"/>
    <cellStyle name="Unprot$" xfId="265"/>
    <cellStyle name="Unprotect" xfId="266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Utah%202014\Settlement\UT%20GRC2014%20Settlement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DX2\ACCTNG\RegulatoryAcctg-Rptg\REGULATORY%20ACCOUNTING\Reconciliations\Lewis\288122%20Utah%20Home%20Energy%20Lifeline%20Pg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"/>
      <sheetName val="Table A2-Class"/>
      <sheetName val="Sch31-Bill Example"/>
      <sheetName val="Blocking2"/>
      <sheetName val="Sch31-1"/>
      <sheetName val="Sch6(EBA-REC)"/>
      <sheetName val="Blocking1"/>
      <sheetName val="NM-kW Rate"/>
      <sheetName val="Settlement Terms"/>
      <sheetName val="RateSpread1"/>
      <sheetName val="RateSpread2"/>
      <sheetName val="Sch1-Step1"/>
      <sheetName val="Sch6-Step1"/>
      <sheetName val="Sch8-Step1"/>
      <sheetName val="Sch9-Step1"/>
      <sheetName val="Sch10-Step1"/>
      <sheetName val="Sch23-Step1"/>
      <sheetName val="Sch1-Step2"/>
      <sheetName val="Sch6-Step2"/>
      <sheetName val="Sch8-Step2"/>
      <sheetName val="Sch9-Step2"/>
      <sheetName val="Sch10-Step2"/>
      <sheetName val="Sch23-Step2"/>
      <sheetName val="Table A1"/>
      <sheetName val="Table A2"/>
      <sheetName val="Sch31-2"/>
      <sheetName val="123"/>
      <sheetName val="23"/>
      <sheetName val="Sch1-Sch3"/>
      <sheetName val="UnitCOS"/>
      <sheetName val="Kennecott"/>
      <sheetName val="ResRate"/>
      <sheetName val="ResBasic"/>
      <sheetName val="Comparison"/>
      <sheetName val="Table 1 Revn"/>
      <sheetName val="Table 1 MWh"/>
      <sheetName val="Table 2"/>
      <sheetName val="Table 3"/>
      <sheetName val="Table 4"/>
      <sheetName val="Energy"/>
      <sheetName val="TempRev"/>
      <sheetName val="TempMWH"/>
      <sheetName val="Target"/>
      <sheetName val="BlockRatio"/>
      <sheetName val="305"/>
      <sheetName val="305vsCognos"/>
      <sheetName val="Curtail"/>
      <sheetName val="Annual"/>
      <sheetName val="6"/>
      <sheetName val="6A"/>
      <sheetName val="7"/>
      <sheetName val="8"/>
      <sheetName val="9"/>
      <sheetName val="9A"/>
      <sheetName val="10"/>
      <sheetName val="11"/>
      <sheetName val="12E"/>
      <sheetName val="12F"/>
      <sheetName val="12P"/>
      <sheetName val="15M"/>
      <sheetName val="15T"/>
      <sheetName val="21"/>
      <sheetName val="31"/>
      <sheetName val="PTL"/>
      <sheetName val="77"/>
      <sheetName val="Test Period"/>
      <sheetName val="Sch1"/>
      <sheetName val="Nucor"/>
      <sheetName val="USMag"/>
      <sheetName val="305 SUM"/>
      <sheetName val="ACTvsFOR"/>
      <sheetName val="RevByClass"/>
      <sheetName val="Checking-T"/>
      <sheetName val="Table A1-Class"/>
      <sheetName val="OnPeakDay"/>
    </sheetNames>
    <sheetDataSet>
      <sheetData sheetId="0">
        <row r="5">
          <cell r="P5">
            <v>8487868.0101599023</v>
          </cell>
        </row>
        <row r="6">
          <cell r="P6">
            <v>4179</v>
          </cell>
        </row>
        <row r="7">
          <cell r="P7">
            <v>370465</v>
          </cell>
        </row>
        <row r="8">
          <cell r="P8">
            <v>2689</v>
          </cell>
        </row>
        <row r="9">
          <cell r="P9">
            <v>247</v>
          </cell>
        </row>
        <row r="10">
          <cell r="P10">
            <v>36950</v>
          </cell>
        </row>
        <row r="11">
          <cell r="P11">
            <v>146847.33754468188</v>
          </cell>
        </row>
        <row r="12">
          <cell r="P12">
            <v>36</v>
          </cell>
        </row>
        <row r="13">
          <cell r="P13">
            <v>25116.652295416021</v>
          </cell>
          <cell r="R13">
            <v>0.95282698741494154</v>
          </cell>
        </row>
        <row r="17">
          <cell r="P17">
            <v>140896</v>
          </cell>
        </row>
        <row r="18">
          <cell r="P18">
            <v>23820</v>
          </cell>
        </row>
        <row r="19">
          <cell r="P19">
            <v>414</v>
          </cell>
        </row>
        <row r="20">
          <cell r="P20">
            <v>54154</v>
          </cell>
        </row>
        <row r="21">
          <cell r="P21">
            <v>1991</v>
          </cell>
        </row>
        <row r="22">
          <cell r="P22">
            <v>408</v>
          </cell>
        </row>
        <row r="23">
          <cell r="P23">
            <v>24</v>
          </cell>
        </row>
        <row r="24">
          <cell r="P24">
            <v>273</v>
          </cell>
        </row>
        <row r="25">
          <cell r="P25">
            <v>9780</v>
          </cell>
        </row>
        <row r="26">
          <cell r="P26">
            <v>5378</v>
          </cell>
        </row>
        <row r="27">
          <cell r="P27">
            <v>806483</v>
          </cell>
        </row>
        <row r="28">
          <cell r="P28">
            <v>24</v>
          </cell>
        </row>
        <row r="29">
          <cell r="P29">
            <v>24</v>
          </cell>
        </row>
        <row r="33">
          <cell r="P33">
            <v>13279.352416172969</v>
          </cell>
        </row>
        <row r="34">
          <cell r="P34">
            <v>3240</v>
          </cell>
        </row>
        <row r="35">
          <cell r="P35">
            <v>24</v>
          </cell>
        </row>
        <row r="36">
          <cell r="P36">
            <v>5450</v>
          </cell>
        </row>
        <row r="37">
          <cell r="P37">
            <v>1291</v>
          </cell>
        </row>
        <row r="38">
          <cell r="P38">
            <v>1359</v>
          </cell>
        </row>
        <row r="39">
          <cell r="P39">
            <v>84</v>
          </cell>
        </row>
        <row r="40">
          <cell r="P40">
            <v>128</v>
          </cell>
        </row>
        <row r="41">
          <cell r="P41">
            <v>84</v>
          </cell>
        </row>
        <row r="42">
          <cell r="P42">
            <v>60</v>
          </cell>
        </row>
        <row r="43">
          <cell r="P43">
            <v>38687.647583827027</v>
          </cell>
        </row>
        <row r="44">
          <cell r="P44">
            <v>12</v>
          </cell>
        </row>
        <row r="45">
          <cell r="P45">
            <v>12</v>
          </cell>
        </row>
        <row r="46">
          <cell r="P46">
            <v>12</v>
          </cell>
        </row>
        <row r="47">
          <cell r="P47">
            <v>12</v>
          </cell>
        </row>
        <row r="53">
          <cell r="P53">
            <v>36544</v>
          </cell>
        </row>
        <row r="56">
          <cell r="P56">
            <v>0</v>
          </cell>
        </row>
        <row r="57">
          <cell r="P57">
            <v>9713</v>
          </cell>
        </row>
        <row r="58">
          <cell r="P58">
            <v>6225</v>
          </cell>
        </row>
        <row r="59">
          <cell r="P59">
            <v>1187</v>
          </cell>
        </row>
        <row r="60">
          <cell r="P60">
            <v>2648</v>
          </cell>
        </row>
        <row r="61">
          <cell r="P61">
            <v>1457</v>
          </cell>
        </row>
        <row r="62">
          <cell r="P62">
            <v>17958</v>
          </cell>
        </row>
        <row r="63">
          <cell r="P63">
            <v>720</v>
          </cell>
        </row>
        <row r="67">
          <cell r="P67">
            <v>24</v>
          </cell>
        </row>
        <row r="68">
          <cell r="P6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E11">
            <v>8511800.0101599023</v>
          </cell>
        </row>
        <row r="12">
          <cell r="M12">
            <v>6</v>
          </cell>
          <cell r="O12">
            <v>50392662</v>
          </cell>
        </row>
        <row r="13">
          <cell r="M13">
            <v>12</v>
          </cell>
          <cell r="O13">
            <v>169128</v>
          </cell>
        </row>
        <row r="14">
          <cell r="M14">
            <v>4.6500000000000004</v>
          </cell>
          <cell r="O14">
            <v>111284</v>
          </cell>
        </row>
        <row r="15">
          <cell r="M15">
            <v>8.8498000000000001</v>
          </cell>
          <cell r="O15">
            <v>112802802</v>
          </cell>
        </row>
        <row r="16">
          <cell r="M16">
            <v>11.542899999999999</v>
          </cell>
          <cell r="O16">
            <v>120098797</v>
          </cell>
        </row>
        <row r="17">
          <cell r="M17">
            <v>14.450799999999999</v>
          </cell>
          <cell r="O17">
            <v>51860150</v>
          </cell>
        </row>
        <row r="19">
          <cell r="M19">
            <v>8.8498000000000001</v>
          </cell>
          <cell r="O19">
            <v>142755614</v>
          </cell>
        </row>
        <row r="20">
          <cell r="M20">
            <v>10.304500000000001</v>
          </cell>
          <cell r="O20">
            <v>175655134</v>
          </cell>
        </row>
        <row r="21">
          <cell r="M21">
            <v>8</v>
          </cell>
          <cell r="O21">
            <v>790104</v>
          </cell>
        </row>
        <row r="22">
          <cell r="M22">
            <v>16</v>
          </cell>
          <cell r="O22">
            <v>2656</v>
          </cell>
        </row>
        <row r="23">
          <cell r="M23">
            <v>96</v>
          </cell>
          <cell r="O23">
            <v>0</v>
          </cell>
        </row>
        <row r="27">
          <cell r="O27">
            <v>0</v>
          </cell>
        </row>
        <row r="28">
          <cell r="E28">
            <v>5992207268.7140274</v>
          </cell>
          <cell r="K28">
            <v>638957394</v>
          </cell>
          <cell r="O28">
            <v>654638331</v>
          </cell>
        </row>
        <row r="31">
          <cell r="E31">
            <v>370465</v>
          </cell>
        </row>
        <row r="32">
          <cell r="M32">
            <v>6</v>
          </cell>
          <cell r="O32">
            <v>2216742</v>
          </cell>
        </row>
        <row r="33">
          <cell r="M33">
            <v>12</v>
          </cell>
          <cell r="O33">
            <v>3084</v>
          </cell>
        </row>
        <row r="34">
          <cell r="M34">
            <v>4.6500000000000004</v>
          </cell>
          <cell r="O34">
            <v>0</v>
          </cell>
        </row>
        <row r="35">
          <cell r="M35">
            <v>8.8498000000000001</v>
          </cell>
          <cell r="O35">
            <v>4197913</v>
          </cell>
        </row>
        <row r="36">
          <cell r="M36">
            <v>11.542899999999999</v>
          </cell>
          <cell r="O36">
            <v>3683029</v>
          </cell>
        </row>
        <row r="37">
          <cell r="M37">
            <v>14.450799999999999</v>
          </cell>
          <cell r="O37">
            <v>1474811</v>
          </cell>
        </row>
        <row r="39">
          <cell r="M39">
            <v>8.8498000000000001</v>
          </cell>
          <cell r="O39">
            <v>5716831</v>
          </cell>
        </row>
        <row r="40">
          <cell r="M40">
            <v>10.304500000000001</v>
          </cell>
          <cell r="O40">
            <v>5596176</v>
          </cell>
        </row>
        <row r="41">
          <cell r="M41">
            <v>8</v>
          </cell>
          <cell r="O41">
            <v>6008</v>
          </cell>
        </row>
        <row r="42">
          <cell r="M42">
            <v>16</v>
          </cell>
          <cell r="O42">
            <v>0</v>
          </cell>
        </row>
        <row r="43">
          <cell r="M43">
            <v>96</v>
          </cell>
          <cell r="O43">
            <v>0</v>
          </cell>
        </row>
        <row r="47">
          <cell r="O47">
            <v>0</v>
          </cell>
        </row>
        <row r="48">
          <cell r="E48">
            <v>208458910.71085531</v>
          </cell>
          <cell r="K48">
            <v>22299471</v>
          </cell>
          <cell r="O48">
            <v>22894594</v>
          </cell>
        </row>
        <row r="51">
          <cell r="E51">
            <v>5364</v>
          </cell>
        </row>
        <row r="52">
          <cell r="M52">
            <v>6</v>
          </cell>
          <cell r="O52">
            <v>31458</v>
          </cell>
        </row>
        <row r="53">
          <cell r="M53">
            <v>12</v>
          </cell>
          <cell r="O53">
            <v>0</v>
          </cell>
        </row>
        <row r="54">
          <cell r="M54">
            <v>4.6500000000000004</v>
          </cell>
          <cell r="O54">
            <v>5510</v>
          </cell>
        </row>
        <row r="55">
          <cell r="M55">
            <v>4.3559999999999999</v>
          </cell>
          <cell r="O55">
            <v>12203</v>
          </cell>
        </row>
        <row r="56">
          <cell r="M56">
            <v>-1.6334</v>
          </cell>
          <cell r="O56">
            <v>-15592</v>
          </cell>
        </row>
        <row r="57">
          <cell r="M57">
            <v>8.8498000000000001</v>
          </cell>
          <cell r="O57">
            <v>59742</v>
          </cell>
        </row>
        <row r="58">
          <cell r="M58">
            <v>11.542899999999999</v>
          </cell>
          <cell r="O58">
            <v>54761</v>
          </cell>
        </row>
        <row r="59">
          <cell r="M59">
            <v>14.450799999999999</v>
          </cell>
          <cell r="O59">
            <v>26752</v>
          </cell>
        </row>
        <row r="61">
          <cell r="M61">
            <v>8.8498000000000001</v>
          </cell>
          <cell r="O61">
            <v>80782</v>
          </cell>
        </row>
        <row r="62">
          <cell r="M62">
            <v>10.304500000000001</v>
          </cell>
          <cell r="O62">
            <v>96638</v>
          </cell>
        </row>
        <row r="63">
          <cell r="M63">
            <v>8</v>
          </cell>
          <cell r="O63">
            <v>968</v>
          </cell>
        </row>
        <row r="64">
          <cell r="M64">
            <v>16</v>
          </cell>
          <cell r="O64">
            <v>0</v>
          </cell>
        </row>
        <row r="65">
          <cell r="M65">
            <v>96</v>
          </cell>
          <cell r="O65">
            <v>0</v>
          </cell>
        </row>
        <row r="69">
          <cell r="O69">
            <v>0</v>
          </cell>
        </row>
        <row r="70">
          <cell r="E70">
            <v>3185670.6103628851</v>
          </cell>
          <cell r="K70">
            <v>338473</v>
          </cell>
          <cell r="O70">
            <v>353222</v>
          </cell>
        </row>
        <row r="73">
          <cell r="E73">
            <v>156864.35241617297</v>
          </cell>
          <cell r="M73">
            <v>54</v>
          </cell>
          <cell r="O73">
            <v>8470675</v>
          </cell>
        </row>
        <row r="76">
          <cell r="M76">
            <v>-0.94</v>
          </cell>
          <cell r="O76">
            <v>-638386</v>
          </cell>
        </row>
        <row r="77">
          <cell r="M77">
            <v>4.04</v>
          </cell>
          <cell r="O77">
            <v>66975657</v>
          </cell>
        </row>
        <row r="78">
          <cell r="M78">
            <v>14.27</v>
          </cell>
          <cell r="O78">
            <v>108005106</v>
          </cell>
        </row>
        <row r="79">
          <cell r="M79">
            <v>10.65</v>
          </cell>
          <cell r="O79">
            <v>95950643</v>
          </cell>
        </row>
        <row r="81">
          <cell r="M81">
            <v>3.8127</v>
          </cell>
          <cell r="O81">
            <v>98122776</v>
          </cell>
        </row>
        <row r="82">
          <cell r="M82">
            <v>3.5143</v>
          </cell>
          <cell r="O82">
            <v>112817082</v>
          </cell>
        </row>
        <row r="83">
          <cell r="M83">
            <v>648</v>
          </cell>
          <cell r="O83">
            <v>0</v>
          </cell>
        </row>
        <row r="84">
          <cell r="O84">
            <v>0</v>
          </cell>
        </row>
        <row r="85">
          <cell r="E85">
            <v>5783806261.2344303</v>
          </cell>
          <cell r="K85">
            <v>486920877</v>
          </cell>
          <cell r="O85">
            <v>489703553</v>
          </cell>
        </row>
        <row r="88">
          <cell r="M88">
            <v>54</v>
          </cell>
          <cell r="O88">
            <v>7608384</v>
          </cell>
        </row>
        <row r="91">
          <cell r="M91">
            <v>-0.94</v>
          </cell>
          <cell r="O91">
            <v>-421970</v>
          </cell>
        </row>
        <row r="92">
          <cell r="M92">
            <v>4.04</v>
          </cell>
          <cell r="O92">
            <v>57502504</v>
          </cell>
        </row>
        <row r="93">
          <cell r="M93">
            <v>14.27</v>
          </cell>
          <cell r="O93">
            <v>92954124</v>
          </cell>
        </row>
        <row r="94">
          <cell r="M94">
            <v>10.65</v>
          </cell>
          <cell r="O94">
            <v>82210960</v>
          </cell>
        </row>
        <row r="96">
          <cell r="M96">
            <v>3.8127</v>
          </cell>
          <cell r="O96">
            <v>85617128</v>
          </cell>
        </row>
        <row r="97">
          <cell r="M97">
            <v>3.5143</v>
          </cell>
          <cell r="O97">
            <v>98265772</v>
          </cell>
        </row>
        <row r="98">
          <cell r="M98">
            <v>648</v>
          </cell>
          <cell r="O98">
            <v>0</v>
          </cell>
        </row>
        <row r="99">
          <cell r="O99">
            <v>0</v>
          </cell>
        </row>
        <row r="100">
          <cell r="O100">
            <v>423736902</v>
          </cell>
        </row>
        <row r="103">
          <cell r="M103">
            <v>54</v>
          </cell>
          <cell r="O103">
            <v>717085</v>
          </cell>
        </row>
        <row r="106">
          <cell r="M106">
            <v>-0.94</v>
          </cell>
          <cell r="O106">
            <v>-196233</v>
          </cell>
        </row>
        <row r="107">
          <cell r="M107">
            <v>4.04</v>
          </cell>
          <cell r="O107">
            <v>8636813</v>
          </cell>
        </row>
        <row r="108">
          <cell r="M108">
            <v>14.27</v>
          </cell>
          <cell r="O108">
            <v>13787617</v>
          </cell>
        </row>
        <row r="109">
          <cell r="M109">
            <v>10.65</v>
          </cell>
          <cell r="O109">
            <v>12477849</v>
          </cell>
        </row>
        <row r="111">
          <cell r="M111">
            <v>3.8127</v>
          </cell>
          <cell r="O111">
            <v>11196149</v>
          </cell>
        </row>
        <row r="112">
          <cell r="M112">
            <v>3.5143</v>
          </cell>
          <cell r="O112">
            <v>12860933</v>
          </cell>
        </row>
        <row r="113">
          <cell r="M113">
            <v>648</v>
          </cell>
          <cell r="O113">
            <v>0</v>
          </cell>
        </row>
        <row r="114">
          <cell r="O114">
            <v>0</v>
          </cell>
        </row>
        <row r="115">
          <cell r="O115">
            <v>59480213</v>
          </cell>
        </row>
        <row r="118">
          <cell r="M118">
            <v>54</v>
          </cell>
          <cell r="O118">
            <v>145206</v>
          </cell>
        </row>
        <row r="121">
          <cell r="M121">
            <v>-0.94</v>
          </cell>
          <cell r="O121">
            <v>-20184</v>
          </cell>
        </row>
        <row r="122">
          <cell r="M122">
            <v>4.04</v>
          </cell>
          <cell r="O122">
            <v>836341</v>
          </cell>
        </row>
        <row r="123">
          <cell r="M123">
            <v>14.27</v>
          </cell>
          <cell r="O123">
            <v>1263366</v>
          </cell>
        </row>
        <row r="124">
          <cell r="M124">
            <v>10.65</v>
          </cell>
          <cell r="O124">
            <v>1261833</v>
          </cell>
        </row>
        <row r="126">
          <cell r="M126">
            <v>3.8127</v>
          </cell>
          <cell r="O126">
            <v>1309498</v>
          </cell>
        </row>
        <row r="127">
          <cell r="M127">
            <v>3.5143</v>
          </cell>
          <cell r="O127">
            <v>1690376</v>
          </cell>
        </row>
        <row r="128">
          <cell r="M128">
            <v>648</v>
          </cell>
          <cell r="O128">
            <v>0</v>
          </cell>
        </row>
        <row r="129">
          <cell r="O129">
            <v>0</v>
          </cell>
        </row>
        <row r="130">
          <cell r="O130">
            <v>6486436</v>
          </cell>
        </row>
        <row r="133">
          <cell r="E133">
            <v>438</v>
          </cell>
          <cell r="M133">
            <v>54</v>
          </cell>
          <cell r="O133">
            <v>23652</v>
          </cell>
        </row>
        <row r="136">
          <cell r="M136">
            <v>-0.94</v>
          </cell>
          <cell r="O136">
            <v>0</v>
          </cell>
        </row>
        <row r="137">
          <cell r="M137">
            <v>4.04</v>
          </cell>
          <cell r="O137">
            <v>42372</v>
          </cell>
        </row>
        <row r="138">
          <cell r="M138">
            <v>14.27</v>
          </cell>
          <cell r="O138">
            <v>88816</v>
          </cell>
        </row>
        <row r="139">
          <cell r="M139">
            <v>10.65</v>
          </cell>
          <cell r="O139">
            <v>45412</v>
          </cell>
        </row>
        <row r="141">
          <cell r="M141">
            <v>3.8127</v>
          </cell>
          <cell r="O141">
            <v>62075</v>
          </cell>
        </row>
        <row r="142">
          <cell r="M142">
            <v>3.5143</v>
          </cell>
          <cell r="O142">
            <v>80104</v>
          </cell>
        </row>
        <row r="143">
          <cell r="M143">
            <v>648</v>
          </cell>
          <cell r="O143">
            <v>0</v>
          </cell>
        </row>
        <row r="144">
          <cell r="O144">
            <v>0</v>
          </cell>
        </row>
        <row r="145">
          <cell r="E145">
            <v>3907497</v>
          </cell>
          <cell r="K145">
            <v>340609</v>
          </cell>
          <cell r="O145">
            <v>342431</v>
          </cell>
        </row>
        <row r="148">
          <cell r="M148">
            <v>54</v>
          </cell>
          <cell r="O148">
            <v>22356</v>
          </cell>
        </row>
        <row r="151">
          <cell r="M151">
            <v>-0.94</v>
          </cell>
          <cell r="O151">
            <v>0</v>
          </cell>
        </row>
        <row r="152">
          <cell r="M152">
            <v>4.04</v>
          </cell>
          <cell r="O152">
            <v>26515</v>
          </cell>
        </row>
        <row r="153">
          <cell r="M153">
            <v>14.27</v>
          </cell>
          <cell r="O153">
            <v>53013</v>
          </cell>
        </row>
        <row r="154">
          <cell r="M154">
            <v>10.65</v>
          </cell>
          <cell r="O154">
            <v>30331</v>
          </cell>
        </row>
        <row r="156">
          <cell r="M156">
            <v>3.8127</v>
          </cell>
          <cell r="O156">
            <v>34307</v>
          </cell>
        </row>
        <row r="157">
          <cell r="M157">
            <v>3.5143</v>
          </cell>
          <cell r="O157">
            <v>44270</v>
          </cell>
        </row>
        <row r="158">
          <cell r="M158">
            <v>648</v>
          </cell>
          <cell r="O158">
            <v>0</v>
          </cell>
        </row>
        <row r="159">
          <cell r="O159">
            <v>0</v>
          </cell>
        </row>
        <row r="160">
          <cell r="O160">
            <v>210792</v>
          </cell>
        </row>
        <row r="163">
          <cell r="M163">
            <v>54</v>
          </cell>
          <cell r="O163">
            <v>1296</v>
          </cell>
        </row>
        <row r="166">
          <cell r="M166">
            <v>-0.94</v>
          </cell>
          <cell r="O166">
            <v>0</v>
          </cell>
        </row>
        <row r="167">
          <cell r="M167">
            <v>4.04</v>
          </cell>
          <cell r="O167">
            <v>15857</v>
          </cell>
        </row>
        <row r="168">
          <cell r="M168">
            <v>14.27</v>
          </cell>
          <cell r="O168">
            <v>35803</v>
          </cell>
        </row>
        <row r="169">
          <cell r="M169">
            <v>10.65</v>
          </cell>
          <cell r="O169">
            <v>15080</v>
          </cell>
        </row>
        <row r="171">
          <cell r="M171">
            <v>3.8127</v>
          </cell>
          <cell r="O171">
            <v>27769</v>
          </cell>
        </row>
        <row r="172">
          <cell r="M172">
            <v>3.5143</v>
          </cell>
          <cell r="O172">
            <v>35834</v>
          </cell>
        </row>
        <row r="173">
          <cell r="M173">
            <v>648</v>
          </cell>
          <cell r="O173">
            <v>0</v>
          </cell>
        </row>
        <row r="174">
          <cell r="O174">
            <v>0</v>
          </cell>
        </row>
        <row r="175">
          <cell r="O175">
            <v>131639</v>
          </cell>
        </row>
        <row r="178">
          <cell r="E178">
            <v>27307</v>
          </cell>
          <cell r="M178">
            <v>54</v>
          </cell>
          <cell r="O178">
            <v>1474578</v>
          </cell>
        </row>
        <row r="179">
          <cell r="M179">
            <v>6.45</v>
          </cell>
          <cell r="O179">
            <v>5925035</v>
          </cell>
        </row>
        <row r="180">
          <cell r="M180">
            <v>5.41</v>
          </cell>
          <cell r="O180">
            <v>5733426</v>
          </cell>
        </row>
        <row r="181">
          <cell r="M181">
            <v>-0.6</v>
          </cell>
          <cell r="O181">
            <v>-23578</v>
          </cell>
        </row>
        <row r="182">
          <cell r="M182">
            <v>11.7997</v>
          </cell>
          <cell r="O182">
            <v>7345459</v>
          </cell>
        </row>
        <row r="183">
          <cell r="M183">
            <v>3.5526</v>
          </cell>
          <cell r="O183">
            <v>2115815</v>
          </cell>
        </row>
        <row r="184">
          <cell r="M184">
            <v>9.8633000000000006</v>
          </cell>
          <cell r="O184">
            <v>8938658</v>
          </cell>
        </row>
        <row r="185">
          <cell r="M185">
            <v>2.9769999999999999</v>
          </cell>
          <cell r="O185">
            <v>2369622</v>
          </cell>
        </row>
        <row r="186">
          <cell r="O186">
            <v>0</v>
          </cell>
        </row>
        <row r="187">
          <cell r="E187">
            <v>292031099.85016567</v>
          </cell>
          <cell r="K187">
            <v>33689551</v>
          </cell>
          <cell r="O187">
            <v>33879015</v>
          </cell>
        </row>
        <row r="190">
          <cell r="M190">
            <v>54</v>
          </cell>
          <cell r="O190">
            <v>1286280</v>
          </cell>
        </row>
        <row r="191">
          <cell r="M191">
            <v>6.45</v>
          </cell>
          <cell r="O191">
            <v>4570696</v>
          </cell>
        </row>
        <row r="192">
          <cell r="M192">
            <v>5.41</v>
          </cell>
          <cell r="O192">
            <v>4461762</v>
          </cell>
        </row>
        <row r="193">
          <cell r="M193">
            <v>-0.6</v>
          </cell>
          <cell r="O193">
            <v>-13613</v>
          </cell>
        </row>
        <row r="194">
          <cell r="M194">
            <v>11.7997</v>
          </cell>
          <cell r="O194">
            <v>5058481</v>
          </cell>
        </row>
        <row r="195">
          <cell r="M195">
            <v>3.5526</v>
          </cell>
          <cell r="O195">
            <v>1606579</v>
          </cell>
        </row>
        <row r="196">
          <cell r="M196">
            <v>9.8633000000000006</v>
          </cell>
          <cell r="O196">
            <v>6804128</v>
          </cell>
        </row>
        <row r="197">
          <cell r="M197">
            <v>2.9769999999999999</v>
          </cell>
          <cell r="O197">
            <v>1979153</v>
          </cell>
        </row>
        <row r="198">
          <cell r="O198">
            <v>0</v>
          </cell>
        </row>
        <row r="199">
          <cell r="O199">
            <v>25753466</v>
          </cell>
        </row>
        <row r="202">
          <cell r="M202">
            <v>54</v>
          </cell>
          <cell r="O202">
            <v>174960</v>
          </cell>
        </row>
        <row r="203">
          <cell r="M203">
            <v>6.45</v>
          </cell>
          <cell r="O203">
            <v>1352030</v>
          </cell>
        </row>
        <row r="204">
          <cell r="M204">
            <v>5.41</v>
          </cell>
          <cell r="O204">
            <v>1269251</v>
          </cell>
        </row>
        <row r="205">
          <cell r="M205">
            <v>-0.6</v>
          </cell>
          <cell r="O205">
            <v>-9964</v>
          </cell>
        </row>
        <row r="206">
          <cell r="M206">
            <v>11.7997</v>
          </cell>
          <cell r="O206">
            <v>2280908</v>
          </cell>
        </row>
        <row r="207">
          <cell r="M207">
            <v>3.5526</v>
          </cell>
          <cell r="O207">
            <v>507197</v>
          </cell>
        </row>
        <row r="208">
          <cell r="M208">
            <v>9.8633000000000006</v>
          </cell>
          <cell r="O208">
            <v>2123180</v>
          </cell>
        </row>
        <row r="209">
          <cell r="M209">
            <v>2.9769999999999999</v>
          </cell>
          <cell r="O209">
            <v>386965</v>
          </cell>
        </row>
        <row r="210">
          <cell r="O210">
            <v>0</v>
          </cell>
        </row>
        <row r="211">
          <cell r="O211">
            <v>8084527</v>
          </cell>
        </row>
        <row r="214">
          <cell r="M214">
            <v>54</v>
          </cell>
          <cell r="O214">
            <v>13338</v>
          </cell>
        </row>
        <row r="215">
          <cell r="M215">
            <v>6.45</v>
          </cell>
          <cell r="O215">
            <v>2309</v>
          </cell>
        </row>
        <row r="216">
          <cell r="M216">
            <v>5.41</v>
          </cell>
          <cell r="O216">
            <v>2413</v>
          </cell>
        </row>
        <row r="217">
          <cell r="M217">
            <v>-0.6</v>
          </cell>
          <cell r="O217">
            <v>0</v>
          </cell>
        </row>
        <row r="218">
          <cell r="M218">
            <v>11.7997</v>
          </cell>
          <cell r="O218">
            <v>6070</v>
          </cell>
        </row>
        <row r="219">
          <cell r="M219">
            <v>3.5526</v>
          </cell>
          <cell r="O219">
            <v>2039</v>
          </cell>
        </row>
        <row r="220">
          <cell r="M220">
            <v>9.8633000000000006</v>
          </cell>
          <cell r="O220">
            <v>11350</v>
          </cell>
        </row>
        <row r="221">
          <cell r="M221">
            <v>2.9769999999999999</v>
          </cell>
          <cell r="O221">
            <v>3505</v>
          </cell>
        </row>
        <row r="222">
          <cell r="O222">
            <v>0</v>
          </cell>
        </row>
        <row r="223">
          <cell r="O223">
            <v>41024</v>
          </cell>
        </row>
        <row r="227">
          <cell r="M227">
            <v>5.68</v>
          </cell>
          <cell r="O227">
            <v>136</v>
          </cell>
        </row>
        <row r="228">
          <cell r="M228">
            <v>16.38</v>
          </cell>
          <cell r="O228">
            <v>737116</v>
          </cell>
        </row>
        <row r="229">
          <cell r="M229">
            <v>8.0500000000000007</v>
          </cell>
          <cell r="O229">
            <v>0</v>
          </cell>
        </row>
        <row r="230">
          <cell r="M230">
            <v>26.78</v>
          </cell>
          <cell r="O230">
            <v>290027</v>
          </cell>
        </row>
        <row r="232">
          <cell r="M232">
            <v>14.6</v>
          </cell>
          <cell r="O232">
            <v>52020</v>
          </cell>
        </row>
        <row r="233">
          <cell r="M233">
            <v>12.23</v>
          </cell>
          <cell r="O233">
            <v>21354</v>
          </cell>
        </row>
        <row r="234">
          <cell r="M234">
            <v>15.47</v>
          </cell>
          <cell r="O234">
            <v>362044</v>
          </cell>
        </row>
        <row r="235">
          <cell r="M235">
            <v>13.31</v>
          </cell>
          <cell r="O235">
            <v>307767</v>
          </cell>
        </row>
        <row r="236">
          <cell r="M236">
            <v>19.46</v>
          </cell>
          <cell r="O236">
            <v>51491</v>
          </cell>
        </row>
        <row r="237">
          <cell r="M237">
            <v>17.13</v>
          </cell>
          <cell r="O237">
            <v>43921</v>
          </cell>
        </row>
        <row r="238">
          <cell r="M238">
            <v>21.07</v>
          </cell>
          <cell r="O238">
            <v>2402</v>
          </cell>
        </row>
        <row r="239">
          <cell r="M239">
            <v>23.51</v>
          </cell>
          <cell r="O239">
            <v>73680</v>
          </cell>
        </row>
        <row r="240">
          <cell r="M240">
            <v>21.23</v>
          </cell>
          <cell r="O240">
            <v>88699</v>
          </cell>
        </row>
        <row r="241">
          <cell r="M241">
            <v>28.3</v>
          </cell>
          <cell r="O241">
            <v>35318</v>
          </cell>
        </row>
        <row r="242">
          <cell r="M242">
            <v>25.99</v>
          </cell>
          <cell r="O242">
            <v>63831</v>
          </cell>
        </row>
        <row r="244">
          <cell r="M244">
            <v>19.46</v>
          </cell>
          <cell r="O244">
            <v>90878</v>
          </cell>
        </row>
        <row r="245">
          <cell r="M245">
            <v>17.13</v>
          </cell>
          <cell r="O245">
            <v>85239</v>
          </cell>
        </row>
        <row r="246">
          <cell r="M246">
            <v>23.51</v>
          </cell>
          <cell r="O246">
            <v>25908</v>
          </cell>
        </row>
        <row r="247">
          <cell r="M247">
            <v>21.23</v>
          </cell>
          <cell r="O247">
            <v>33331</v>
          </cell>
        </row>
        <row r="248">
          <cell r="M248">
            <v>28.3</v>
          </cell>
          <cell r="O248">
            <v>275472</v>
          </cell>
        </row>
        <row r="249">
          <cell r="M249">
            <v>25.99</v>
          </cell>
          <cell r="O249">
            <v>305954</v>
          </cell>
        </row>
        <row r="251">
          <cell r="M251">
            <v>29.4</v>
          </cell>
          <cell r="O251">
            <v>0</v>
          </cell>
        </row>
        <row r="252">
          <cell r="M252">
            <v>21.79</v>
          </cell>
          <cell r="O252">
            <v>5774</v>
          </cell>
        </row>
        <row r="253">
          <cell r="M253">
            <v>34.340000000000003</v>
          </cell>
          <cell r="O253">
            <v>3777</v>
          </cell>
        </row>
        <row r="254">
          <cell r="M254">
            <v>27.43</v>
          </cell>
          <cell r="O254">
            <v>2661</v>
          </cell>
        </row>
        <row r="255">
          <cell r="M255">
            <v>36.69</v>
          </cell>
          <cell r="O255">
            <v>17208</v>
          </cell>
        </row>
        <row r="256">
          <cell r="M256">
            <v>29.72</v>
          </cell>
          <cell r="O256">
            <v>18724</v>
          </cell>
        </row>
        <row r="257">
          <cell r="M257">
            <v>57.58</v>
          </cell>
          <cell r="O257">
            <v>1382</v>
          </cell>
        </row>
        <row r="258">
          <cell r="M258">
            <v>49.1</v>
          </cell>
          <cell r="O258">
            <v>2946</v>
          </cell>
        </row>
        <row r="259">
          <cell r="O259">
            <v>2999060</v>
          </cell>
        </row>
        <row r="261">
          <cell r="O261">
            <v>0</v>
          </cell>
        </row>
        <row r="262">
          <cell r="E262">
            <v>8046</v>
          </cell>
        </row>
        <row r="263">
          <cell r="E263">
            <v>12440930.563737754</v>
          </cell>
          <cell r="K263">
            <v>2999060</v>
          </cell>
          <cell r="O263">
            <v>2999060</v>
          </cell>
        </row>
        <row r="267">
          <cell r="M267">
            <v>5.68</v>
          </cell>
          <cell r="O267">
            <v>0</v>
          </cell>
        </row>
        <row r="268">
          <cell r="M268">
            <v>16.38</v>
          </cell>
          <cell r="O268">
            <v>419099</v>
          </cell>
        </row>
        <row r="269">
          <cell r="M269">
            <v>8.0500000000000007</v>
          </cell>
          <cell r="O269">
            <v>0</v>
          </cell>
        </row>
        <row r="270">
          <cell r="M270">
            <v>26.78</v>
          </cell>
          <cell r="O270">
            <v>213437</v>
          </cell>
        </row>
        <row r="272">
          <cell r="M272">
            <v>14.6</v>
          </cell>
          <cell r="O272">
            <v>16031</v>
          </cell>
        </row>
        <row r="273">
          <cell r="M273">
            <v>12.23</v>
          </cell>
          <cell r="O273">
            <v>8060</v>
          </cell>
        </row>
        <row r="274">
          <cell r="M274">
            <v>15.47</v>
          </cell>
          <cell r="O274">
            <v>198944</v>
          </cell>
        </row>
        <row r="275">
          <cell r="M275">
            <v>13.31</v>
          </cell>
          <cell r="O275">
            <v>138424</v>
          </cell>
        </row>
        <row r="276">
          <cell r="M276">
            <v>19.46</v>
          </cell>
          <cell r="O276">
            <v>28528</v>
          </cell>
        </row>
        <row r="277">
          <cell r="M277">
            <v>17.13</v>
          </cell>
          <cell r="O277">
            <v>30988</v>
          </cell>
        </row>
        <row r="278">
          <cell r="M278">
            <v>21.07</v>
          </cell>
          <cell r="O278">
            <v>906</v>
          </cell>
        </row>
        <row r="279">
          <cell r="M279">
            <v>23.51</v>
          </cell>
          <cell r="O279">
            <v>57811</v>
          </cell>
        </row>
        <row r="280">
          <cell r="M280">
            <v>21.23</v>
          </cell>
          <cell r="O280">
            <v>73159</v>
          </cell>
        </row>
        <row r="281">
          <cell r="M281">
            <v>28.3</v>
          </cell>
          <cell r="O281">
            <v>26574</v>
          </cell>
        </row>
        <row r="282">
          <cell r="M282">
            <v>25.99</v>
          </cell>
          <cell r="O282">
            <v>53176</v>
          </cell>
        </row>
        <row r="284">
          <cell r="M284">
            <v>19.46</v>
          </cell>
          <cell r="O284">
            <v>62194</v>
          </cell>
        </row>
        <row r="285">
          <cell r="M285">
            <v>17.13</v>
          </cell>
          <cell r="O285">
            <v>63552</v>
          </cell>
        </row>
        <row r="286">
          <cell r="M286">
            <v>23.51</v>
          </cell>
          <cell r="O286">
            <v>21183</v>
          </cell>
        </row>
        <row r="287">
          <cell r="M287">
            <v>21.23</v>
          </cell>
          <cell r="O287">
            <v>30635</v>
          </cell>
        </row>
        <row r="288">
          <cell r="M288">
            <v>28.3</v>
          </cell>
          <cell r="O288">
            <v>210326</v>
          </cell>
        </row>
        <row r="289">
          <cell r="M289">
            <v>25.99</v>
          </cell>
          <cell r="O289">
            <v>245216</v>
          </cell>
        </row>
        <row r="291">
          <cell r="M291">
            <v>29.4</v>
          </cell>
          <cell r="O291">
            <v>0</v>
          </cell>
        </row>
        <row r="292">
          <cell r="M292">
            <v>21.79</v>
          </cell>
          <cell r="O292">
            <v>5774</v>
          </cell>
        </row>
        <row r="293">
          <cell r="M293">
            <v>34.340000000000003</v>
          </cell>
          <cell r="O293">
            <v>2472</v>
          </cell>
        </row>
        <row r="294">
          <cell r="M294">
            <v>27.43</v>
          </cell>
          <cell r="O294">
            <v>2304</v>
          </cell>
        </row>
        <row r="295">
          <cell r="M295">
            <v>36.69</v>
          </cell>
          <cell r="O295">
            <v>10603</v>
          </cell>
        </row>
        <row r="296">
          <cell r="M296">
            <v>29.72</v>
          </cell>
          <cell r="O296">
            <v>17594</v>
          </cell>
        </row>
        <row r="297">
          <cell r="M297">
            <v>57.58</v>
          </cell>
          <cell r="O297">
            <v>1382</v>
          </cell>
        </row>
        <row r="298">
          <cell r="M298">
            <v>49.1</v>
          </cell>
          <cell r="O298">
            <v>2946</v>
          </cell>
        </row>
        <row r="299">
          <cell r="O299">
            <v>1941318</v>
          </cell>
        </row>
        <row r="301">
          <cell r="O301">
            <v>0</v>
          </cell>
        </row>
        <row r="303">
          <cell r="O303">
            <v>1941318</v>
          </cell>
        </row>
        <row r="307">
          <cell r="M307">
            <v>5.68</v>
          </cell>
          <cell r="O307">
            <v>0</v>
          </cell>
        </row>
        <row r="308">
          <cell r="M308">
            <v>16.38</v>
          </cell>
          <cell r="O308">
            <v>67436</v>
          </cell>
        </row>
        <row r="309">
          <cell r="M309">
            <v>8.0500000000000007</v>
          </cell>
          <cell r="O309">
            <v>0</v>
          </cell>
        </row>
        <row r="310">
          <cell r="M310">
            <v>26.78</v>
          </cell>
          <cell r="O310">
            <v>54979</v>
          </cell>
        </row>
        <row r="312">
          <cell r="M312">
            <v>14.6</v>
          </cell>
          <cell r="O312">
            <v>0</v>
          </cell>
        </row>
        <row r="313">
          <cell r="M313">
            <v>12.23</v>
          </cell>
          <cell r="O313">
            <v>465</v>
          </cell>
        </row>
        <row r="314">
          <cell r="M314">
            <v>15.47</v>
          </cell>
          <cell r="O314">
            <v>13428</v>
          </cell>
        </row>
        <row r="315">
          <cell r="M315">
            <v>13.31</v>
          </cell>
          <cell r="O315">
            <v>9370</v>
          </cell>
        </row>
        <row r="316">
          <cell r="M316">
            <v>19.46</v>
          </cell>
          <cell r="O316">
            <v>3503</v>
          </cell>
        </row>
        <row r="317">
          <cell r="M317">
            <v>17.13</v>
          </cell>
          <cell r="O317">
            <v>2861</v>
          </cell>
        </row>
        <row r="318">
          <cell r="M318">
            <v>21.07</v>
          </cell>
          <cell r="O318">
            <v>0</v>
          </cell>
        </row>
        <row r="319">
          <cell r="M319">
            <v>23.51</v>
          </cell>
          <cell r="O319">
            <v>6912</v>
          </cell>
        </row>
        <row r="320">
          <cell r="M320">
            <v>21.23</v>
          </cell>
          <cell r="O320">
            <v>5711</v>
          </cell>
        </row>
        <row r="321">
          <cell r="M321">
            <v>28.3</v>
          </cell>
          <cell r="O321">
            <v>5462</v>
          </cell>
        </row>
        <row r="322">
          <cell r="M322">
            <v>25.99</v>
          </cell>
          <cell r="O322">
            <v>2625</v>
          </cell>
        </row>
        <row r="324">
          <cell r="M324">
            <v>19.46</v>
          </cell>
          <cell r="O324">
            <v>6733</v>
          </cell>
        </row>
        <row r="325">
          <cell r="M325">
            <v>17.13</v>
          </cell>
          <cell r="O325">
            <v>2638</v>
          </cell>
        </row>
        <row r="326">
          <cell r="M326">
            <v>23.51</v>
          </cell>
          <cell r="O326">
            <v>2210</v>
          </cell>
        </row>
        <row r="327">
          <cell r="M327">
            <v>21.23</v>
          </cell>
          <cell r="O327">
            <v>170</v>
          </cell>
        </row>
        <row r="328">
          <cell r="M328">
            <v>28.3</v>
          </cell>
          <cell r="O328">
            <v>52383</v>
          </cell>
        </row>
        <row r="329">
          <cell r="M329">
            <v>25.99</v>
          </cell>
          <cell r="O329">
            <v>37270</v>
          </cell>
        </row>
        <row r="331">
          <cell r="M331">
            <v>29.4</v>
          </cell>
          <cell r="O331">
            <v>0</v>
          </cell>
        </row>
        <row r="332">
          <cell r="M332">
            <v>21.79</v>
          </cell>
          <cell r="O332">
            <v>0</v>
          </cell>
        </row>
        <row r="333">
          <cell r="M333">
            <v>34.340000000000003</v>
          </cell>
          <cell r="O333">
            <v>1305</v>
          </cell>
        </row>
        <row r="334">
          <cell r="M334">
            <v>27.43</v>
          </cell>
          <cell r="O334">
            <v>357</v>
          </cell>
        </row>
        <row r="335">
          <cell r="M335">
            <v>36.69</v>
          </cell>
          <cell r="O335">
            <v>6604</v>
          </cell>
        </row>
        <row r="336">
          <cell r="M336">
            <v>29.72</v>
          </cell>
          <cell r="O336">
            <v>1129</v>
          </cell>
        </row>
        <row r="337">
          <cell r="M337">
            <v>57.58</v>
          </cell>
          <cell r="O337">
            <v>0</v>
          </cell>
        </row>
        <row r="338">
          <cell r="M338">
            <v>49.1</v>
          </cell>
          <cell r="O338">
            <v>0</v>
          </cell>
        </row>
        <row r="339">
          <cell r="O339">
            <v>283551</v>
          </cell>
        </row>
        <row r="341">
          <cell r="O341">
            <v>0</v>
          </cell>
        </row>
        <row r="343">
          <cell r="O343">
            <v>283551</v>
          </cell>
        </row>
        <row r="347">
          <cell r="M347">
            <v>5.68</v>
          </cell>
          <cell r="O347">
            <v>0</v>
          </cell>
        </row>
        <row r="348">
          <cell r="M348">
            <v>16.38</v>
          </cell>
          <cell r="O348">
            <v>0</v>
          </cell>
        </row>
        <row r="349">
          <cell r="M349">
            <v>8.0500000000000007</v>
          </cell>
          <cell r="O349">
            <v>0</v>
          </cell>
        </row>
        <row r="350">
          <cell r="M350">
            <v>26.78</v>
          </cell>
          <cell r="O350">
            <v>0</v>
          </cell>
        </row>
        <row r="352">
          <cell r="M352">
            <v>14.6</v>
          </cell>
          <cell r="O352">
            <v>0</v>
          </cell>
        </row>
        <row r="353">
          <cell r="M353">
            <v>12.23</v>
          </cell>
          <cell r="O353">
            <v>0</v>
          </cell>
        </row>
        <row r="354">
          <cell r="M354">
            <v>15.47</v>
          </cell>
          <cell r="O354">
            <v>0</v>
          </cell>
        </row>
        <row r="355">
          <cell r="M355">
            <v>13.31</v>
          </cell>
          <cell r="O355">
            <v>0</v>
          </cell>
        </row>
        <row r="356">
          <cell r="M356">
            <v>19.46</v>
          </cell>
          <cell r="O356">
            <v>0</v>
          </cell>
        </row>
        <row r="357">
          <cell r="M357">
            <v>17.13</v>
          </cell>
          <cell r="O357">
            <v>0</v>
          </cell>
        </row>
        <row r="358">
          <cell r="M358">
            <v>21.07</v>
          </cell>
          <cell r="O358">
            <v>0</v>
          </cell>
        </row>
        <row r="359">
          <cell r="M359">
            <v>23.51</v>
          </cell>
          <cell r="O359">
            <v>0</v>
          </cell>
        </row>
        <row r="360">
          <cell r="M360">
            <v>21.23</v>
          </cell>
          <cell r="O360">
            <v>0</v>
          </cell>
        </row>
        <row r="361">
          <cell r="M361">
            <v>28.3</v>
          </cell>
          <cell r="O361">
            <v>0</v>
          </cell>
        </row>
        <row r="362">
          <cell r="M362">
            <v>25.99</v>
          </cell>
          <cell r="O362">
            <v>0</v>
          </cell>
        </row>
        <row r="364">
          <cell r="M364">
            <v>19.46</v>
          </cell>
          <cell r="O364">
            <v>0</v>
          </cell>
        </row>
        <row r="365">
          <cell r="M365">
            <v>17.13</v>
          </cell>
          <cell r="O365">
            <v>0</v>
          </cell>
        </row>
        <row r="366">
          <cell r="M366">
            <v>23.51</v>
          </cell>
          <cell r="O366">
            <v>0</v>
          </cell>
        </row>
        <row r="367">
          <cell r="M367">
            <v>21.23</v>
          </cell>
          <cell r="O367">
            <v>0</v>
          </cell>
        </row>
        <row r="368">
          <cell r="M368">
            <v>28.3</v>
          </cell>
          <cell r="O368">
            <v>0</v>
          </cell>
        </row>
        <row r="369">
          <cell r="M369">
            <v>25.99</v>
          </cell>
          <cell r="O369">
            <v>0</v>
          </cell>
        </row>
        <row r="371">
          <cell r="M371">
            <v>29.4</v>
          </cell>
          <cell r="O371">
            <v>0</v>
          </cell>
        </row>
        <row r="372">
          <cell r="M372">
            <v>21.79</v>
          </cell>
          <cell r="O372">
            <v>0</v>
          </cell>
        </row>
        <row r="373">
          <cell r="M373">
            <v>34.340000000000003</v>
          </cell>
          <cell r="O373">
            <v>0</v>
          </cell>
        </row>
        <row r="374">
          <cell r="M374">
            <v>27.43</v>
          </cell>
          <cell r="O374">
            <v>0</v>
          </cell>
        </row>
        <row r="375">
          <cell r="M375">
            <v>36.69</v>
          </cell>
          <cell r="O375">
            <v>0</v>
          </cell>
        </row>
        <row r="376">
          <cell r="M376">
            <v>29.72</v>
          </cell>
          <cell r="O376">
            <v>0</v>
          </cell>
        </row>
        <row r="377">
          <cell r="M377">
            <v>57.58</v>
          </cell>
          <cell r="O377">
            <v>0</v>
          </cell>
        </row>
        <row r="378">
          <cell r="M378">
            <v>49.1</v>
          </cell>
          <cell r="O378">
            <v>0</v>
          </cell>
        </row>
        <row r="379">
          <cell r="O379">
            <v>0</v>
          </cell>
        </row>
        <row r="381">
          <cell r="O381">
            <v>0</v>
          </cell>
        </row>
        <row r="383">
          <cell r="O383">
            <v>0</v>
          </cell>
        </row>
        <row r="387">
          <cell r="M387">
            <v>5.68</v>
          </cell>
          <cell r="O387">
            <v>136</v>
          </cell>
        </row>
        <row r="388">
          <cell r="M388">
            <v>16.38</v>
          </cell>
          <cell r="O388">
            <v>250581</v>
          </cell>
        </row>
        <row r="389">
          <cell r="M389">
            <v>8.0500000000000007</v>
          </cell>
          <cell r="O389">
            <v>0</v>
          </cell>
        </row>
        <row r="390">
          <cell r="M390">
            <v>26.78</v>
          </cell>
          <cell r="O390">
            <v>21611</v>
          </cell>
        </row>
        <row r="392">
          <cell r="M392">
            <v>14.6</v>
          </cell>
          <cell r="O392">
            <v>35989</v>
          </cell>
        </row>
        <row r="393">
          <cell r="M393">
            <v>12.23</v>
          </cell>
          <cell r="O393">
            <v>12829</v>
          </cell>
        </row>
        <row r="394">
          <cell r="M394">
            <v>15.47</v>
          </cell>
          <cell r="O394">
            <v>149672</v>
          </cell>
        </row>
        <row r="395">
          <cell r="M395">
            <v>13.31</v>
          </cell>
          <cell r="O395">
            <v>159973</v>
          </cell>
        </row>
        <row r="396">
          <cell r="M396">
            <v>19.46</v>
          </cell>
          <cell r="O396">
            <v>19460</v>
          </cell>
        </row>
        <row r="397">
          <cell r="M397">
            <v>17.13</v>
          </cell>
          <cell r="O397">
            <v>10072</v>
          </cell>
        </row>
        <row r="398">
          <cell r="M398">
            <v>21.07</v>
          </cell>
          <cell r="O398">
            <v>1496</v>
          </cell>
        </row>
        <row r="399">
          <cell r="M399">
            <v>23.51</v>
          </cell>
          <cell r="O399">
            <v>8957</v>
          </cell>
        </row>
        <row r="400">
          <cell r="M400">
            <v>21.23</v>
          </cell>
          <cell r="O400">
            <v>9829</v>
          </cell>
        </row>
        <row r="401">
          <cell r="M401">
            <v>28.3</v>
          </cell>
          <cell r="O401">
            <v>3283</v>
          </cell>
        </row>
        <row r="402">
          <cell r="M402">
            <v>25.99</v>
          </cell>
          <cell r="O402">
            <v>8031</v>
          </cell>
        </row>
        <row r="404">
          <cell r="M404">
            <v>19.46</v>
          </cell>
          <cell r="O404">
            <v>21951</v>
          </cell>
        </row>
        <row r="405">
          <cell r="M405">
            <v>17.13</v>
          </cell>
          <cell r="O405">
            <v>19049</v>
          </cell>
        </row>
        <row r="406">
          <cell r="M406">
            <v>23.51</v>
          </cell>
          <cell r="O406">
            <v>2516</v>
          </cell>
        </row>
        <row r="407">
          <cell r="M407">
            <v>21.23</v>
          </cell>
          <cell r="O407">
            <v>2526</v>
          </cell>
        </row>
        <row r="408">
          <cell r="M408">
            <v>28.3</v>
          </cell>
          <cell r="O408">
            <v>12763</v>
          </cell>
        </row>
        <row r="409">
          <cell r="M409">
            <v>25.99</v>
          </cell>
          <cell r="O409">
            <v>23469</v>
          </cell>
        </row>
        <row r="411">
          <cell r="M411">
            <v>29.4</v>
          </cell>
          <cell r="O411">
            <v>0</v>
          </cell>
        </row>
        <row r="412">
          <cell r="M412">
            <v>21.79</v>
          </cell>
          <cell r="O412">
            <v>0</v>
          </cell>
        </row>
        <row r="413">
          <cell r="M413">
            <v>34.340000000000003</v>
          </cell>
          <cell r="O413">
            <v>0</v>
          </cell>
        </row>
        <row r="414">
          <cell r="M414">
            <v>27.43</v>
          </cell>
          <cell r="O414">
            <v>0</v>
          </cell>
        </row>
        <row r="415">
          <cell r="M415">
            <v>36.69</v>
          </cell>
          <cell r="O415">
            <v>0</v>
          </cell>
        </row>
        <row r="416">
          <cell r="M416">
            <v>29.72</v>
          </cell>
          <cell r="O416">
            <v>0</v>
          </cell>
        </row>
        <row r="417">
          <cell r="M417">
            <v>57.58</v>
          </cell>
          <cell r="O417">
            <v>0</v>
          </cell>
        </row>
        <row r="418">
          <cell r="M418">
            <v>49.1</v>
          </cell>
          <cell r="O418">
            <v>0</v>
          </cell>
        </row>
        <row r="419">
          <cell r="O419">
            <v>774193</v>
          </cell>
        </row>
        <row r="421">
          <cell r="O421">
            <v>0</v>
          </cell>
        </row>
        <row r="423">
          <cell r="O423">
            <v>774193</v>
          </cell>
        </row>
        <row r="426">
          <cell r="E426">
            <v>3282</v>
          </cell>
          <cell r="M426">
            <v>69</v>
          </cell>
          <cell r="O426">
            <v>226458</v>
          </cell>
        </row>
        <row r="427">
          <cell r="M427">
            <v>4.71</v>
          </cell>
          <cell r="O427">
            <v>23598047</v>
          </cell>
        </row>
        <row r="428">
          <cell r="M428">
            <v>15.4</v>
          </cell>
          <cell r="O428">
            <v>32306397</v>
          </cell>
        </row>
        <row r="429">
          <cell r="M429">
            <v>11.08</v>
          </cell>
          <cell r="O429">
            <v>30602495</v>
          </cell>
        </row>
        <row r="430">
          <cell r="M430">
            <v>-1.1200000000000001</v>
          </cell>
          <cell r="O430">
            <v>-2388770</v>
          </cell>
        </row>
        <row r="431">
          <cell r="M431">
            <v>4.9961000000000002</v>
          </cell>
          <cell r="O431">
            <v>12994583</v>
          </cell>
        </row>
        <row r="432">
          <cell r="M432">
            <v>3.9108999999999998</v>
          </cell>
          <cell r="O432">
            <v>24481929</v>
          </cell>
        </row>
        <row r="433">
          <cell r="M433">
            <v>3.3640999999999996</v>
          </cell>
          <cell r="O433">
            <v>43765615</v>
          </cell>
        </row>
        <row r="434">
          <cell r="O434">
            <v>0</v>
          </cell>
        </row>
        <row r="435">
          <cell r="E435">
            <v>2187047325.5884075</v>
          </cell>
          <cell r="K435">
            <v>162435073</v>
          </cell>
          <cell r="O435">
            <v>165586754</v>
          </cell>
        </row>
        <row r="438">
          <cell r="M438">
            <v>69</v>
          </cell>
          <cell r="O438">
            <v>137379</v>
          </cell>
        </row>
        <row r="439">
          <cell r="M439">
            <v>4.71</v>
          </cell>
          <cell r="O439">
            <v>11294307</v>
          </cell>
        </row>
        <row r="440">
          <cell r="M440">
            <v>15.4</v>
          </cell>
          <cell r="O440">
            <v>15714083</v>
          </cell>
        </row>
        <row r="441">
          <cell r="M441">
            <v>11.08</v>
          </cell>
          <cell r="O441">
            <v>14454713</v>
          </cell>
        </row>
        <row r="442">
          <cell r="M442">
            <v>-1.1200000000000001</v>
          </cell>
          <cell r="O442">
            <v>-995160</v>
          </cell>
        </row>
        <row r="443">
          <cell r="M443">
            <v>4.9961000000000002</v>
          </cell>
          <cell r="O443">
            <v>6319847</v>
          </cell>
        </row>
        <row r="444">
          <cell r="M444">
            <v>3.9108999999999998</v>
          </cell>
          <cell r="O444">
            <v>11707342</v>
          </cell>
        </row>
        <row r="445">
          <cell r="M445">
            <v>3.3640999999999996</v>
          </cell>
          <cell r="O445">
            <v>21365015</v>
          </cell>
        </row>
        <row r="446">
          <cell r="O446">
            <v>0</v>
          </cell>
        </row>
        <row r="447">
          <cell r="O447">
            <v>79997526</v>
          </cell>
        </row>
        <row r="450">
          <cell r="M450">
            <v>69</v>
          </cell>
          <cell r="O450">
            <v>89079</v>
          </cell>
        </row>
        <row r="451">
          <cell r="M451">
            <v>4.71</v>
          </cell>
          <cell r="O451">
            <v>12303740</v>
          </cell>
        </row>
        <row r="452">
          <cell r="M452">
            <v>15.4</v>
          </cell>
          <cell r="O452">
            <v>16592314</v>
          </cell>
        </row>
        <row r="453">
          <cell r="M453">
            <v>11.08</v>
          </cell>
          <cell r="O453">
            <v>16147781</v>
          </cell>
        </row>
        <row r="454">
          <cell r="M454">
            <v>-1.1200000000000001</v>
          </cell>
          <cell r="O454">
            <v>-1393609</v>
          </cell>
        </row>
        <row r="455">
          <cell r="M455">
            <v>4.9961000000000002</v>
          </cell>
          <cell r="O455">
            <v>6674736</v>
          </cell>
        </row>
        <row r="456">
          <cell r="M456">
            <v>3.9108999999999998</v>
          </cell>
          <cell r="O456">
            <v>12774588</v>
          </cell>
        </row>
        <row r="457">
          <cell r="M457">
            <v>3.3640999999999996</v>
          </cell>
          <cell r="O457">
            <v>22400600</v>
          </cell>
        </row>
        <row r="458">
          <cell r="O458">
            <v>0</v>
          </cell>
        </row>
        <row r="459">
          <cell r="O459">
            <v>85589229</v>
          </cell>
        </row>
        <row r="462">
          <cell r="E462">
            <v>1791</v>
          </cell>
          <cell r="M462">
            <v>255</v>
          </cell>
          <cell r="O462">
            <v>456705</v>
          </cell>
        </row>
        <row r="463">
          <cell r="M463">
            <v>2.19</v>
          </cell>
          <cell r="O463">
            <v>19827185</v>
          </cell>
        </row>
        <row r="464">
          <cell r="M464">
            <v>13.75</v>
          </cell>
          <cell r="O464">
            <v>51084633</v>
          </cell>
        </row>
        <row r="465">
          <cell r="M465">
            <v>9.32</v>
          </cell>
          <cell r="O465">
            <v>47998196</v>
          </cell>
        </row>
        <row r="466">
          <cell r="M466">
            <v>4.5818000000000003</v>
          </cell>
          <cell r="O466">
            <v>23245723</v>
          </cell>
        </row>
        <row r="467">
          <cell r="M467">
            <v>3.4453</v>
          </cell>
          <cell r="O467">
            <v>47646467</v>
          </cell>
        </row>
        <row r="468">
          <cell r="M468">
            <v>2.8776999999999999</v>
          </cell>
          <cell r="O468">
            <v>90277632</v>
          </cell>
        </row>
        <row r="469">
          <cell r="O469">
            <v>0</v>
          </cell>
        </row>
        <row r="470">
          <cell r="E470">
            <v>5027435540.7653065</v>
          </cell>
          <cell r="K470">
            <v>271735008</v>
          </cell>
          <cell r="O470">
            <v>280536541</v>
          </cell>
        </row>
        <row r="473">
          <cell r="M473">
            <v>255</v>
          </cell>
          <cell r="O473">
            <v>104040</v>
          </cell>
        </row>
        <row r="474">
          <cell r="M474">
            <v>2.19</v>
          </cell>
          <cell r="O474">
            <v>3120402</v>
          </cell>
        </row>
        <row r="475">
          <cell r="M475">
            <v>13.75</v>
          </cell>
          <cell r="O475">
            <v>8201985</v>
          </cell>
        </row>
        <row r="476">
          <cell r="M476">
            <v>9.32</v>
          </cell>
          <cell r="O476">
            <v>7138085</v>
          </cell>
        </row>
        <row r="477">
          <cell r="M477">
            <v>4.5818000000000003</v>
          </cell>
          <cell r="O477">
            <v>3608522</v>
          </cell>
        </row>
        <row r="478">
          <cell r="M478">
            <v>3.4453</v>
          </cell>
          <cell r="O478">
            <v>6861240</v>
          </cell>
        </row>
        <row r="479">
          <cell r="M479">
            <v>2.8776999999999999</v>
          </cell>
          <cell r="O479">
            <v>12780633</v>
          </cell>
        </row>
        <row r="480">
          <cell r="O480">
            <v>0</v>
          </cell>
        </row>
        <row r="481">
          <cell r="O481">
            <v>41814907</v>
          </cell>
        </row>
        <row r="484">
          <cell r="M484">
            <v>255</v>
          </cell>
          <cell r="O484">
            <v>346545</v>
          </cell>
        </row>
        <row r="485">
          <cell r="M485">
            <v>2.19</v>
          </cell>
          <cell r="O485">
            <v>15698529</v>
          </cell>
        </row>
        <row r="486">
          <cell r="M486">
            <v>13.75</v>
          </cell>
          <cell r="O486">
            <v>40223686</v>
          </cell>
        </row>
        <row r="487">
          <cell r="M487">
            <v>9.32</v>
          </cell>
          <cell r="O487">
            <v>38500398</v>
          </cell>
        </row>
        <row r="488">
          <cell r="M488">
            <v>4.5818000000000003</v>
          </cell>
          <cell r="O488">
            <v>18578808</v>
          </cell>
        </row>
        <row r="489">
          <cell r="M489">
            <v>3.4453</v>
          </cell>
          <cell r="O489">
            <v>38372713</v>
          </cell>
        </row>
        <row r="490">
          <cell r="M490">
            <v>2.8776999999999999</v>
          </cell>
          <cell r="O490">
            <v>73497656</v>
          </cell>
        </row>
        <row r="491">
          <cell r="O491">
            <v>0</v>
          </cell>
        </row>
        <row r="492">
          <cell r="O492">
            <v>225218335</v>
          </cell>
        </row>
        <row r="495">
          <cell r="M495">
            <v>255</v>
          </cell>
          <cell r="O495">
            <v>6120</v>
          </cell>
        </row>
        <row r="496">
          <cell r="M496">
            <v>2.19</v>
          </cell>
          <cell r="O496">
            <v>1008254</v>
          </cell>
        </row>
        <row r="497">
          <cell r="M497">
            <v>13.75</v>
          </cell>
          <cell r="O497">
            <v>2658961</v>
          </cell>
        </row>
        <row r="498">
          <cell r="M498">
            <v>9.32</v>
          </cell>
          <cell r="O498">
            <v>2359712</v>
          </cell>
        </row>
        <row r="499">
          <cell r="M499">
            <v>4.5818000000000003</v>
          </cell>
          <cell r="O499">
            <v>1058392</v>
          </cell>
        </row>
        <row r="500">
          <cell r="M500">
            <v>3.4453</v>
          </cell>
          <cell r="O500">
            <v>2412514</v>
          </cell>
        </row>
        <row r="501">
          <cell r="M501">
            <v>2.8776999999999999</v>
          </cell>
          <cell r="O501">
            <v>3999343</v>
          </cell>
        </row>
        <row r="502">
          <cell r="O502">
            <v>0</v>
          </cell>
        </row>
        <row r="503">
          <cell r="O503">
            <v>13503296</v>
          </cell>
        </row>
        <row r="506">
          <cell r="E506">
            <v>108</v>
          </cell>
          <cell r="M506">
            <v>255</v>
          </cell>
          <cell r="O506">
            <v>27540</v>
          </cell>
        </row>
        <row r="507">
          <cell r="M507">
            <v>2.19</v>
          </cell>
          <cell r="O507">
            <v>514908</v>
          </cell>
        </row>
        <row r="508">
          <cell r="M508">
            <v>8.4770000000000003</v>
          </cell>
          <cell r="O508">
            <v>2017971</v>
          </cell>
        </row>
        <row r="509">
          <cell r="M509">
            <v>3.6440000000000001</v>
          </cell>
          <cell r="O509">
            <v>684545</v>
          </cell>
        </row>
        <row r="510">
          <cell r="O510">
            <v>0</v>
          </cell>
        </row>
        <row r="511">
          <cell r="E511">
            <v>42590781.425473027</v>
          </cell>
          <cell r="K511">
            <v>3139413</v>
          </cell>
          <cell r="O511">
            <v>3244964</v>
          </cell>
        </row>
        <row r="514">
          <cell r="M514">
            <v>255</v>
          </cell>
          <cell r="O514">
            <v>6120</v>
          </cell>
        </row>
        <row r="515">
          <cell r="M515">
            <v>2.19</v>
          </cell>
          <cell r="O515">
            <v>163475</v>
          </cell>
        </row>
        <row r="516">
          <cell r="M516">
            <v>8.4770000000000003</v>
          </cell>
          <cell r="O516">
            <v>885241</v>
          </cell>
        </row>
        <row r="517">
          <cell r="M517">
            <v>3.6440000000000001</v>
          </cell>
          <cell r="O517">
            <v>429775</v>
          </cell>
        </row>
        <row r="518">
          <cell r="O518">
            <v>0</v>
          </cell>
        </row>
        <row r="519">
          <cell r="O519">
            <v>1484611</v>
          </cell>
        </row>
        <row r="522">
          <cell r="M522">
            <v>255</v>
          </cell>
          <cell r="O522">
            <v>21420</v>
          </cell>
        </row>
        <row r="523">
          <cell r="M523">
            <v>2.19</v>
          </cell>
          <cell r="O523">
            <v>351434</v>
          </cell>
        </row>
        <row r="524">
          <cell r="M524">
            <v>8.4770000000000003</v>
          </cell>
          <cell r="O524">
            <v>1132730</v>
          </cell>
        </row>
        <row r="525">
          <cell r="M525">
            <v>3.6440000000000001</v>
          </cell>
          <cell r="O525">
            <v>254770</v>
          </cell>
        </row>
        <row r="526">
          <cell r="O526">
            <v>0</v>
          </cell>
        </row>
        <row r="527">
          <cell r="O527">
            <v>1760354</v>
          </cell>
        </row>
        <row r="530">
          <cell r="E530">
            <v>6</v>
          </cell>
          <cell r="M530">
            <v>124</v>
          </cell>
          <cell r="O530">
            <v>744</v>
          </cell>
        </row>
        <row r="531">
          <cell r="E531">
            <v>2778.3333333333335</v>
          </cell>
          <cell r="M531">
            <v>38</v>
          </cell>
          <cell r="O531">
            <v>105577</v>
          </cell>
        </row>
        <row r="532">
          <cell r="M532">
            <v>14</v>
          </cell>
          <cell r="O532">
            <v>175910</v>
          </cell>
        </row>
        <row r="533">
          <cell r="M533">
            <v>7.25</v>
          </cell>
          <cell r="O533">
            <v>2346339</v>
          </cell>
        </row>
        <row r="534">
          <cell r="M534">
            <v>-2.0299999999999998</v>
          </cell>
          <cell r="O534">
            <v>-20436</v>
          </cell>
        </row>
        <row r="535">
          <cell r="M535">
            <v>7.2206999999999999</v>
          </cell>
          <cell r="O535">
            <v>5136097</v>
          </cell>
        </row>
        <row r="536">
          <cell r="M536">
            <v>5.3371000000000004</v>
          </cell>
          <cell r="O536">
            <v>2766242</v>
          </cell>
        </row>
        <row r="537">
          <cell r="O537">
            <v>10510473</v>
          </cell>
        </row>
        <row r="539">
          <cell r="M539">
            <v>14</v>
          </cell>
          <cell r="O539">
            <v>82404</v>
          </cell>
        </row>
        <row r="540">
          <cell r="M540">
            <v>4.9459999999999997</v>
          </cell>
          <cell r="O540">
            <v>2481546</v>
          </cell>
        </row>
        <row r="541">
          <cell r="O541">
            <v>2563950</v>
          </cell>
        </row>
        <row r="542">
          <cell r="O542">
            <v>0</v>
          </cell>
        </row>
        <row r="543">
          <cell r="E543">
            <v>173133392</v>
          </cell>
          <cell r="K543">
            <v>12709311</v>
          </cell>
          <cell r="O543">
            <v>13074423</v>
          </cell>
        </row>
        <row r="546">
          <cell r="E546">
            <v>5</v>
          </cell>
          <cell r="M546">
            <v>124</v>
          </cell>
          <cell r="O546">
            <v>620</v>
          </cell>
        </row>
        <row r="547">
          <cell r="E547">
            <v>256</v>
          </cell>
          <cell r="M547">
            <v>38</v>
          </cell>
          <cell r="O547">
            <v>9728</v>
          </cell>
        </row>
        <row r="548">
          <cell r="M548">
            <v>14</v>
          </cell>
          <cell r="O548">
            <v>16002</v>
          </cell>
        </row>
        <row r="549">
          <cell r="M549">
            <v>7.25</v>
          </cell>
          <cell r="O549">
            <v>272172</v>
          </cell>
        </row>
        <row r="550">
          <cell r="M550">
            <v>-2.0299999999999998</v>
          </cell>
          <cell r="O550">
            <v>-2105</v>
          </cell>
        </row>
        <row r="551">
          <cell r="M551">
            <v>14.265499999999999</v>
          </cell>
          <cell r="O551">
            <v>322728</v>
          </cell>
        </row>
        <row r="552">
          <cell r="M552">
            <v>4.1252000000000004</v>
          </cell>
          <cell r="O552">
            <v>353704</v>
          </cell>
        </row>
        <row r="553">
          <cell r="O553">
            <v>972849</v>
          </cell>
        </row>
        <row r="555">
          <cell r="M555">
            <v>14</v>
          </cell>
          <cell r="O555">
            <v>7980</v>
          </cell>
        </row>
        <row r="556">
          <cell r="M556">
            <v>4.9459999999999997</v>
          </cell>
          <cell r="O556">
            <v>292808</v>
          </cell>
        </row>
        <row r="557">
          <cell r="O557">
            <v>300788</v>
          </cell>
        </row>
        <row r="558">
          <cell r="O558">
            <v>0</v>
          </cell>
        </row>
        <row r="559">
          <cell r="E559">
            <v>16756608</v>
          </cell>
          <cell r="K559">
            <v>1239485</v>
          </cell>
          <cell r="O559">
            <v>1273637</v>
          </cell>
        </row>
        <row r="563">
          <cell r="M563">
            <v>11.8</v>
          </cell>
          <cell r="O563">
            <v>410133</v>
          </cell>
        </row>
        <row r="564">
          <cell r="M564">
            <v>12.78</v>
          </cell>
          <cell r="O564">
            <v>2795472</v>
          </cell>
        </row>
        <row r="565">
          <cell r="M565">
            <v>11.5</v>
          </cell>
          <cell r="O565">
            <v>1518</v>
          </cell>
        </row>
        <row r="566">
          <cell r="M566">
            <v>46.54</v>
          </cell>
          <cell r="O566">
            <v>19035</v>
          </cell>
        </row>
        <row r="567">
          <cell r="M567">
            <v>38.049999999999997</v>
          </cell>
          <cell r="O567">
            <v>2283</v>
          </cell>
        </row>
        <row r="568">
          <cell r="M568">
            <v>16.940000000000001</v>
          </cell>
          <cell r="O568">
            <v>358417</v>
          </cell>
        </row>
        <row r="569">
          <cell r="M569">
            <v>15.25</v>
          </cell>
          <cell r="O569">
            <v>1464</v>
          </cell>
        </row>
        <row r="570">
          <cell r="M570">
            <v>47.83</v>
          </cell>
          <cell r="O570">
            <v>115796</v>
          </cell>
        </row>
        <row r="571">
          <cell r="M571">
            <v>39.340000000000003</v>
          </cell>
          <cell r="O571">
            <v>34855</v>
          </cell>
        </row>
        <row r="572">
          <cell r="M572">
            <v>21.14</v>
          </cell>
          <cell r="O572">
            <v>553403</v>
          </cell>
        </row>
        <row r="573">
          <cell r="M573">
            <v>19.03</v>
          </cell>
          <cell r="O573">
            <v>228</v>
          </cell>
        </row>
        <row r="574">
          <cell r="M574">
            <v>51.48</v>
          </cell>
          <cell r="O574">
            <v>64504</v>
          </cell>
        </row>
        <row r="575">
          <cell r="M575">
            <v>43.01</v>
          </cell>
          <cell r="O575">
            <v>0</v>
          </cell>
        </row>
        <row r="576">
          <cell r="M576">
            <v>26.02</v>
          </cell>
          <cell r="O576">
            <v>296784</v>
          </cell>
        </row>
        <row r="577">
          <cell r="M577">
            <v>51.54</v>
          </cell>
          <cell r="O577">
            <v>0</v>
          </cell>
        </row>
        <row r="579">
          <cell r="M579">
            <v>48.74</v>
          </cell>
          <cell r="O579">
            <v>1755</v>
          </cell>
        </row>
        <row r="580">
          <cell r="M580">
            <v>40.270000000000003</v>
          </cell>
          <cell r="O580">
            <v>24243</v>
          </cell>
        </row>
        <row r="581">
          <cell r="M581">
            <v>20.13</v>
          </cell>
          <cell r="O581">
            <v>2557</v>
          </cell>
        </row>
        <row r="582">
          <cell r="M582">
            <v>50.65</v>
          </cell>
          <cell r="O582">
            <v>0</v>
          </cell>
        </row>
        <row r="583">
          <cell r="M583">
            <v>42.17</v>
          </cell>
          <cell r="O583">
            <v>67388</v>
          </cell>
        </row>
        <row r="584">
          <cell r="M584">
            <v>22.13</v>
          </cell>
          <cell r="O584">
            <v>8542</v>
          </cell>
        </row>
        <row r="585">
          <cell r="M585">
            <v>53.69</v>
          </cell>
          <cell r="O585">
            <v>2201</v>
          </cell>
        </row>
        <row r="586">
          <cell r="M586">
            <v>45.2</v>
          </cell>
          <cell r="O586">
            <v>16498</v>
          </cell>
        </row>
        <row r="587">
          <cell r="M587">
            <v>25.78</v>
          </cell>
          <cell r="O587">
            <v>1573</v>
          </cell>
        </row>
        <row r="588">
          <cell r="M588">
            <v>55.33</v>
          </cell>
          <cell r="O588">
            <v>0</v>
          </cell>
        </row>
        <row r="589">
          <cell r="M589">
            <v>46.86</v>
          </cell>
          <cell r="O589">
            <v>0</v>
          </cell>
        </row>
        <row r="591">
          <cell r="M591">
            <v>11.09</v>
          </cell>
          <cell r="O591">
            <v>36364</v>
          </cell>
        </row>
        <row r="592">
          <cell r="M592">
            <v>13.83</v>
          </cell>
          <cell r="O592">
            <v>126572</v>
          </cell>
        </row>
        <row r="593">
          <cell r="M593">
            <v>19.399999999999999</v>
          </cell>
          <cell r="O593">
            <v>3608</v>
          </cell>
        </row>
        <row r="594">
          <cell r="M594">
            <v>17.46</v>
          </cell>
          <cell r="O594">
            <v>0</v>
          </cell>
        </row>
        <row r="595">
          <cell r="M595">
            <v>24.43</v>
          </cell>
          <cell r="O595">
            <v>24332</v>
          </cell>
        </row>
        <row r="597">
          <cell r="M597">
            <v>11.99</v>
          </cell>
          <cell r="O597">
            <v>0</v>
          </cell>
        </row>
        <row r="598">
          <cell r="M598">
            <v>4.24</v>
          </cell>
          <cell r="O598">
            <v>615</v>
          </cell>
        </row>
        <row r="599">
          <cell r="M599">
            <v>17.11</v>
          </cell>
          <cell r="O599">
            <v>548</v>
          </cell>
        </row>
        <row r="600">
          <cell r="M600">
            <v>20.43</v>
          </cell>
          <cell r="O600">
            <v>3310</v>
          </cell>
        </row>
        <row r="601">
          <cell r="M601">
            <v>23.82</v>
          </cell>
          <cell r="O601">
            <v>3835</v>
          </cell>
        </row>
        <row r="602">
          <cell r="M602">
            <v>31.47</v>
          </cell>
          <cell r="O602">
            <v>755</v>
          </cell>
        </row>
        <row r="604">
          <cell r="M604">
            <v>27.85</v>
          </cell>
          <cell r="O604">
            <v>334</v>
          </cell>
        </row>
        <row r="606">
          <cell r="M606">
            <v>39.04</v>
          </cell>
          <cell r="O606">
            <v>468</v>
          </cell>
        </row>
        <row r="607">
          <cell r="O607">
            <v>4979390</v>
          </cell>
        </row>
        <row r="609">
          <cell r="E609">
            <v>809.41666666666663</v>
          </cell>
        </row>
        <row r="610">
          <cell r="O610">
            <v>0</v>
          </cell>
        </row>
        <row r="611">
          <cell r="E611">
            <v>16496197.391013095</v>
          </cell>
          <cell r="K611">
            <v>4979390</v>
          </cell>
          <cell r="O611">
            <v>4979390</v>
          </cell>
        </row>
        <row r="616">
          <cell r="M616">
            <v>1.83</v>
          </cell>
          <cell r="O616">
            <v>189292</v>
          </cell>
        </row>
        <row r="617">
          <cell r="M617">
            <v>2.5</v>
          </cell>
          <cell r="O617">
            <v>397515</v>
          </cell>
        </row>
        <row r="618">
          <cell r="M618">
            <v>3.66</v>
          </cell>
          <cell r="O618">
            <v>491655</v>
          </cell>
        </row>
        <row r="619">
          <cell r="M619">
            <v>6.52</v>
          </cell>
          <cell r="O619">
            <v>314870</v>
          </cell>
        </row>
        <row r="620">
          <cell r="M620">
            <v>10.02</v>
          </cell>
          <cell r="O620">
            <v>656841</v>
          </cell>
        </row>
        <row r="622">
          <cell r="M622">
            <v>2.5499999999999998</v>
          </cell>
          <cell r="O622">
            <v>16787</v>
          </cell>
        </row>
        <row r="623">
          <cell r="M623">
            <v>4.46</v>
          </cell>
          <cell r="O623">
            <v>83928</v>
          </cell>
        </row>
        <row r="624">
          <cell r="M624">
            <v>6.17</v>
          </cell>
          <cell r="O624">
            <v>174494</v>
          </cell>
        </row>
        <row r="625">
          <cell r="M625">
            <v>9.77</v>
          </cell>
          <cell r="O625">
            <v>272720</v>
          </cell>
        </row>
        <row r="626">
          <cell r="M626">
            <v>6.5278999999999998</v>
          </cell>
          <cell r="O626">
            <v>656678</v>
          </cell>
        </row>
        <row r="627">
          <cell r="O627">
            <v>3254780</v>
          </cell>
        </row>
        <row r="629">
          <cell r="O629">
            <v>3254780</v>
          </cell>
        </row>
        <row r="633">
          <cell r="M633">
            <v>8.9600000000000009</v>
          </cell>
          <cell r="O633">
            <v>681</v>
          </cell>
        </row>
        <row r="634">
          <cell r="M634">
            <v>12.19</v>
          </cell>
          <cell r="O634">
            <v>1109</v>
          </cell>
        </row>
        <row r="636">
          <cell r="M636">
            <v>4.6399999999999997</v>
          </cell>
          <cell r="O636">
            <v>218</v>
          </cell>
        </row>
        <row r="637">
          <cell r="M637">
            <v>7</v>
          </cell>
          <cell r="O637">
            <v>3822</v>
          </cell>
        </row>
        <row r="638">
          <cell r="M638">
            <v>13.33</v>
          </cell>
          <cell r="O638">
            <v>1866</v>
          </cell>
        </row>
        <row r="639">
          <cell r="M639">
            <v>28.38</v>
          </cell>
          <cell r="O639">
            <v>0</v>
          </cell>
        </row>
        <row r="641">
          <cell r="M641">
            <v>4.08</v>
          </cell>
          <cell r="O641">
            <v>141205</v>
          </cell>
        </row>
        <row r="642">
          <cell r="M642">
            <v>5.37</v>
          </cell>
          <cell r="O642">
            <v>83944</v>
          </cell>
        </row>
        <row r="643">
          <cell r="M643">
            <v>6.96</v>
          </cell>
          <cell r="O643">
            <v>61366</v>
          </cell>
        </row>
        <row r="644">
          <cell r="M644">
            <v>6.52</v>
          </cell>
          <cell r="O644">
            <v>16613</v>
          </cell>
        </row>
        <row r="645">
          <cell r="M645">
            <v>8.27</v>
          </cell>
          <cell r="O645">
            <v>6608</v>
          </cell>
        </row>
        <row r="646">
          <cell r="M646">
            <v>8.26</v>
          </cell>
          <cell r="O646">
            <v>0</v>
          </cell>
        </row>
        <row r="647">
          <cell r="M647">
            <v>9.59</v>
          </cell>
          <cell r="O647">
            <v>53714</v>
          </cell>
        </row>
        <row r="648">
          <cell r="M648">
            <v>11.93</v>
          </cell>
          <cell r="O648">
            <v>1706</v>
          </cell>
        </row>
        <row r="649">
          <cell r="M649">
            <v>14</v>
          </cell>
          <cell r="O649">
            <v>141862</v>
          </cell>
        </row>
        <row r="650">
          <cell r="M650">
            <v>15.56</v>
          </cell>
          <cell r="O650">
            <v>2443</v>
          </cell>
        </row>
        <row r="652">
          <cell r="M652">
            <v>9.19</v>
          </cell>
          <cell r="O652">
            <v>6451</v>
          </cell>
        </row>
        <row r="653">
          <cell r="M653">
            <v>13.57</v>
          </cell>
          <cell r="O653">
            <v>21943</v>
          </cell>
        </row>
        <row r="654">
          <cell r="M654">
            <v>11.09</v>
          </cell>
          <cell r="O654">
            <v>2495</v>
          </cell>
        </row>
        <row r="655">
          <cell r="M655">
            <v>13.71</v>
          </cell>
          <cell r="O655">
            <v>7102</v>
          </cell>
        </row>
        <row r="656">
          <cell r="M656">
            <v>14.13</v>
          </cell>
          <cell r="O656">
            <v>85260</v>
          </cell>
        </row>
        <row r="657">
          <cell r="M657">
            <v>14.58</v>
          </cell>
          <cell r="O657">
            <v>7932</v>
          </cell>
        </row>
        <row r="658">
          <cell r="M658">
            <v>15.79</v>
          </cell>
          <cell r="O658">
            <v>10564</v>
          </cell>
        </row>
        <row r="660">
          <cell r="M660">
            <v>3.75</v>
          </cell>
          <cell r="O660">
            <v>0</v>
          </cell>
        </row>
        <row r="661">
          <cell r="M661">
            <v>13.92</v>
          </cell>
          <cell r="O661">
            <v>1155</v>
          </cell>
        </row>
        <row r="662">
          <cell r="O662">
            <v>660059</v>
          </cell>
        </row>
        <row r="664">
          <cell r="O664">
            <v>660059</v>
          </cell>
        </row>
        <row r="668">
          <cell r="M668">
            <v>17.73</v>
          </cell>
          <cell r="O668">
            <v>638</v>
          </cell>
        </row>
        <row r="669">
          <cell r="M669">
            <v>23.4</v>
          </cell>
          <cell r="O669">
            <v>281</v>
          </cell>
        </row>
        <row r="671">
          <cell r="M671">
            <v>8.0299999999999994</v>
          </cell>
          <cell r="O671">
            <v>337</v>
          </cell>
        </row>
        <row r="672">
          <cell r="M672">
            <v>15.3</v>
          </cell>
          <cell r="O672">
            <v>0</v>
          </cell>
        </row>
        <row r="673">
          <cell r="M673">
            <v>32.479999999999997</v>
          </cell>
          <cell r="O673">
            <v>3118</v>
          </cell>
        </row>
        <row r="675">
          <cell r="M675">
            <v>4.68</v>
          </cell>
          <cell r="O675">
            <v>20007</v>
          </cell>
        </row>
        <row r="676">
          <cell r="M676">
            <v>6.16</v>
          </cell>
          <cell r="O676">
            <v>90466</v>
          </cell>
        </row>
        <row r="677">
          <cell r="M677">
            <v>7.47</v>
          </cell>
          <cell r="O677">
            <v>9405</v>
          </cell>
        </row>
        <row r="678">
          <cell r="M678">
            <v>9.44</v>
          </cell>
          <cell r="O678">
            <v>0</v>
          </cell>
        </row>
        <row r="679">
          <cell r="M679">
            <v>10.99</v>
          </cell>
          <cell r="O679">
            <v>26464</v>
          </cell>
        </row>
        <row r="680">
          <cell r="M680">
            <v>16.02</v>
          </cell>
          <cell r="O680">
            <v>31511</v>
          </cell>
        </row>
        <row r="682">
          <cell r="M682">
            <v>15.58</v>
          </cell>
          <cell r="O682">
            <v>18509</v>
          </cell>
        </row>
        <row r="683">
          <cell r="M683">
            <v>15.73</v>
          </cell>
          <cell r="O683">
            <v>11389</v>
          </cell>
        </row>
        <row r="684">
          <cell r="M684">
            <v>16.72</v>
          </cell>
          <cell r="O684">
            <v>14730</v>
          </cell>
        </row>
        <row r="685">
          <cell r="M685">
            <v>33.049999999999997</v>
          </cell>
          <cell r="O685">
            <v>3173</v>
          </cell>
        </row>
        <row r="686">
          <cell r="O686">
            <v>230028</v>
          </cell>
        </row>
        <row r="688">
          <cell r="O688">
            <v>230028</v>
          </cell>
        </row>
        <row r="691">
          <cell r="O691">
            <v>4144867</v>
          </cell>
        </row>
        <row r="692">
          <cell r="E692">
            <v>839</v>
          </cell>
        </row>
        <row r="693">
          <cell r="O693">
            <v>0</v>
          </cell>
        </row>
        <row r="694">
          <cell r="E694">
            <v>56516774.129293256</v>
          </cell>
          <cell r="K694">
            <v>4144867</v>
          </cell>
          <cell r="O694">
            <v>4144867</v>
          </cell>
        </row>
        <row r="697">
          <cell r="M697">
            <v>11</v>
          </cell>
          <cell r="O697">
            <v>223146</v>
          </cell>
        </row>
        <row r="698">
          <cell r="M698">
            <v>72.5</v>
          </cell>
          <cell r="O698">
            <v>36033</v>
          </cell>
        </row>
        <row r="699">
          <cell r="M699">
            <v>127.5</v>
          </cell>
          <cell r="O699">
            <v>0</v>
          </cell>
        </row>
        <row r="700">
          <cell r="E700">
            <v>6182</v>
          </cell>
          <cell r="M700">
            <v>6.2</v>
          </cell>
          <cell r="O700">
            <v>38328</v>
          </cell>
        </row>
        <row r="701">
          <cell r="M701">
            <v>5.3437000000000001</v>
          </cell>
          <cell r="O701">
            <v>937095</v>
          </cell>
        </row>
        <row r="702">
          <cell r="O702">
            <v>0</v>
          </cell>
        </row>
        <row r="703">
          <cell r="E703">
            <v>17536444.611929484</v>
          </cell>
          <cell r="K703">
            <v>1234602</v>
          </cell>
          <cell r="O703">
            <v>1234602</v>
          </cell>
        </row>
        <row r="706">
          <cell r="M706">
            <v>11</v>
          </cell>
          <cell r="O706">
            <v>210188</v>
          </cell>
        </row>
        <row r="707">
          <cell r="M707">
            <v>72.5</v>
          </cell>
          <cell r="O707">
            <v>31393</v>
          </cell>
        </row>
        <row r="708">
          <cell r="M708">
            <v>127.5</v>
          </cell>
          <cell r="O708">
            <v>0</v>
          </cell>
        </row>
        <row r="709">
          <cell r="M709">
            <v>6.2</v>
          </cell>
          <cell r="O709">
            <v>33344</v>
          </cell>
        </row>
        <row r="710">
          <cell r="M710">
            <v>5.3437000000000001</v>
          </cell>
          <cell r="O710">
            <v>898591</v>
          </cell>
        </row>
        <row r="711">
          <cell r="O711">
            <v>0</v>
          </cell>
        </row>
        <row r="712">
          <cell r="O712">
            <v>1173516</v>
          </cell>
        </row>
        <row r="715">
          <cell r="M715">
            <v>11</v>
          </cell>
          <cell r="O715">
            <v>1562</v>
          </cell>
        </row>
        <row r="716">
          <cell r="M716">
            <v>72.5</v>
          </cell>
          <cell r="O716">
            <v>508</v>
          </cell>
        </row>
        <row r="717">
          <cell r="M717">
            <v>127.5</v>
          </cell>
          <cell r="O717">
            <v>0</v>
          </cell>
        </row>
        <row r="718">
          <cell r="M718">
            <v>6.2</v>
          </cell>
          <cell r="O718">
            <v>521</v>
          </cell>
        </row>
        <row r="719">
          <cell r="M719">
            <v>5.3437000000000001</v>
          </cell>
          <cell r="O719">
            <v>811</v>
          </cell>
        </row>
        <row r="720">
          <cell r="O720">
            <v>0</v>
          </cell>
        </row>
        <row r="721">
          <cell r="O721">
            <v>3402</v>
          </cell>
        </row>
        <row r="724">
          <cell r="M724">
            <v>11</v>
          </cell>
          <cell r="O724">
            <v>11396</v>
          </cell>
        </row>
        <row r="725">
          <cell r="M725">
            <v>72.5</v>
          </cell>
          <cell r="O725">
            <v>4133</v>
          </cell>
        </row>
        <row r="726">
          <cell r="M726">
            <v>127.5</v>
          </cell>
          <cell r="O726">
            <v>0</v>
          </cell>
        </row>
        <row r="727">
          <cell r="M727">
            <v>6.2</v>
          </cell>
          <cell r="O727">
            <v>4464</v>
          </cell>
        </row>
        <row r="728">
          <cell r="M728">
            <v>5.3437000000000001</v>
          </cell>
          <cell r="O728">
            <v>37693</v>
          </cell>
        </row>
        <row r="729">
          <cell r="O729">
            <v>0</v>
          </cell>
        </row>
        <row r="730">
          <cell r="O730">
            <v>57686</v>
          </cell>
        </row>
        <row r="733">
          <cell r="E733">
            <v>29596</v>
          </cell>
          <cell r="M733">
            <v>5.5</v>
          </cell>
          <cell r="O733">
            <v>162778</v>
          </cell>
        </row>
        <row r="734">
          <cell r="M734">
            <v>8.4048999999999996</v>
          </cell>
          <cell r="O734">
            <v>519250</v>
          </cell>
        </row>
        <row r="735">
          <cell r="O735">
            <v>0</v>
          </cell>
        </row>
        <row r="736">
          <cell r="E736">
            <v>6177947.158763391</v>
          </cell>
          <cell r="K736">
            <v>682028</v>
          </cell>
          <cell r="O736">
            <v>682028</v>
          </cell>
        </row>
        <row r="739">
          <cell r="M739">
            <v>5.5</v>
          </cell>
          <cell r="O739">
            <v>55292</v>
          </cell>
        </row>
        <row r="740">
          <cell r="M740">
            <v>8.4048999999999996</v>
          </cell>
          <cell r="O740">
            <v>180295</v>
          </cell>
        </row>
        <row r="741">
          <cell r="O741">
            <v>0</v>
          </cell>
        </row>
        <row r="742">
          <cell r="O742">
            <v>235587</v>
          </cell>
        </row>
        <row r="745">
          <cell r="M745">
            <v>5.5</v>
          </cell>
          <cell r="O745">
            <v>704</v>
          </cell>
        </row>
        <row r="746">
          <cell r="M746">
            <v>8.4048999999999996</v>
          </cell>
          <cell r="O746">
            <v>1779</v>
          </cell>
        </row>
        <row r="747">
          <cell r="O747">
            <v>0</v>
          </cell>
        </row>
        <row r="748">
          <cell r="O748">
            <v>2483</v>
          </cell>
        </row>
        <row r="751">
          <cell r="M751">
            <v>5.5</v>
          </cell>
          <cell r="O751">
            <v>106783</v>
          </cell>
        </row>
        <row r="752">
          <cell r="M752">
            <v>8.4048999999999996</v>
          </cell>
          <cell r="O752">
            <v>337175</v>
          </cell>
        </row>
        <row r="753">
          <cell r="O753">
            <v>0</v>
          </cell>
        </row>
        <row r="754">
          <cell r="O754">
            <v>443958</v>
          </cell>
        </row>
        <row r="758">
          <cell r="E758">
            <v>36</v>
          </cell>
          <cell r="M758">
            <v>125</v>
          </cell>
          <cell r="O758">
            <v>4500</v>
          </cell>
        </row>
        <row r="759">
          <cell r="M759">
            <v>4.24</v>
          </cell>
          <cell r="O759">
            <v>46186</v>
          </cell>
        </row>
        <row r="760">
          <cell r="M760">
            <v>6.7458999999999998</v>
          </cell>
          <cell r="O760">
            <v>28591</v>
          </cell>
        </row>
        <row r="761">
          <cell r="M761">
            <v>5.6642000000000001</v>
          </cell>
          <cell r="O761">
            <v>0</v>
          </cell>
        </row>
        <row r="762">
          <cell r="O762">
            <v>0</v>
          </cell>
        </row>
        <row r="763">
          <cell r="O763">
            <v>79277</v>
          </cell>
        </row>
        <row r="765">
          <cell r="E765">
            <v>24</v>
          </cell>
          <cell r="M765">
            <v>125</v>
          </cell>
          <cell r="O765">
            <v>3000</v>
          </cell>
        </row>
        <row r="766">
          <cell r="M766">
            <v>4.24</v>
          </cell>
          <cell r="O766">
            <v>200853</v>
          </cell>
        </row>
        <row r="767">
          <cell r="M767">
            <v>5.3072999999999997</v>
          </cell>
          <cell r="O767">
            <v>141222</v>
          </cell>
        </row>
        <row r="768">
          <cell r="M768">
            <v>4.6360999999999999</v>
          </cell>
          <cell r="O768">
            <v>44691</v>
          </cell>
        </row>
        <row r="769">
          <cell r="O769">
            <v>0</v>
          </cell>
        </row>
        <row r="770">
          <cell r="O770">
            <v>389766</v>
          </cell>
        </row>
        <row r="771">
          <cell r="E771">
            <v>4048700.3377015879</v>
          </cell>
          <cell r="K771">
            <v>453785</v>
          </cell>
          <cell r="O771">
            <v>469043</v>
          </cell>
        </row>
        <row r="774">
          <cell r="E774">
            <v>992017.98512850888</v>
          </cell>
          <cell r="M774">
            <v>10</v>
          </cell>
          <cell r="O774">
            <v>9920180</v>
          </cell>
        </row>
        <row r="775">
          <cell r="M775">
            <v>8.65</v>
          </cell>
          <cell r="O775">
            <v>3354003</v>
          </cell>
        </row>
        <row r="776">
          <cell r="M776">
            <v>8.7000000000000011</v>
          </cell>
          <cell r="O776">
            <v>3025521</v>
          </cell>
        </row>
        <row r="777">
          <cell r="M777">
            <v>-0.48</v>
          </cell>
          <cell r="O777">
            <v>-3374</v>
          </cell>
        </row>
        <row r="778">
          <cell r="M778">
            <v>11.73</v>
          </cell>
          <cell r="O778">
            <v>34718173</v>
          </cell>
        </row>
        <row r="779">
          <cell r="M779">
            <v>6.5762999999999998</v>
          </cell>
          <cell r="O779">
            <v>20320768</v>
          </cell>
        </row>
        <row r="780">
          <cell r="M780">
            <v>10.7967</v>
          </cell>
          <cell r="O780">
            <v>45866565</v>
          </cell>
        </row>
        <row r="781">
          <cell r="M781">
            <v>6.0523999999999996</v>
          </cell>
          <cell r="O781">
            <v>21854633</v>
          </cell>
        </row>
        <row r="782">
          <cell r="M782">
            <v>120</v>
          </cell>
          <cell r="O782">
            <v>0</v>
          </cell>
        </row>
        <row r="783">
          <cell r="O783">
            <v>0</v>
          </cell>
        </row>
        <row r="784">
          <cell r="E784">
            <v>1390888210.7534347</v>
          </cell>
          <cell r="K784">
            <v>137738937</v>
          </cell>
          <cell r="O784">
            <v>139056469</v>
          </cell>
        </row>
        <row r="787">
          <cell r="M787">
            <v>10</v>
          </cell>
          <cell r="O787">
            <v>8064830</v>
          </cell>
        </row>
        <row r="788">
          <cell r="M788">
            <v>8.65</v>
          </cell>
          <cell r="O788">
            <v>3092574</v>
          </cell>
        </row>
        <row r="789">
          <cell r="M789">
            <v>8.7000000000000011</v>
          </cell>
          <cell r="O789">
            <v>2734628</v>
          </cell>
        </row>
        <row r="790">
          <cell r="M790">
            <v>-0.48</v>
          </cell>
          <cell r="O790">
            <v>-1390</v>
          </cell>
        </row>
        <row r="791">
          <cell r="M791">
            <v>11.73</v>
          </cell>
          <cell r="O791">
            <v>30013517</v>
          </cell>
        </row>
        <row r="792">
          <cell r="M792">
            <v>6.5762999999999998</v>
          </cell>
          <cell r="O792">
            <v>18385802</v>
          </cell>
        </row>
        <row r="793">
          <cell r="M793">
            <v>10.7967</v>
          </cell>
          <cell r="O793">
            <v>39077533</v>
          </cell>
        </row>
        <row r="794">
          <cell r="M794">
            <v>6.0523999999999996</v>
          </cell>
          <cell r="O794">
            <v>19370240</v>
          </cell>
        </row>
        <row r="795">
          <cell r="M795">
            <v>120</v>
          </cell>
          <cell r="O795">
            <v>0</v>
          </cell>
        </row>
        <row r="796">
          <cell r="O796">
            <v>0</v>
          </cell>
        </row>
        <row r="797">
          <cell r="O797">
            <v>120737734</v>
          </cell>
        </row>
        <row r="800">
          <cell r="M800">
            <v>10</v>
          </cell>
          <cell r="O800">
            <v>386876</v>
          </cell>
        </row>
        <row r="801">
          <cell r="M801">
            <v>8.65</v>
          </cell>
          <cell r="O801">
            <v>170639</v>
          </cell>
        </row>
        <row r="802">
          <cell r="M802">
            <v>8.7000000000000011</v>
          </cell>
          <cell r="O802">
            <v>194393</v>
          </cell>
        </row>
        <row r="803">
          <cell r="M803">
            <v>-0.48</v>
          </cell>
          <cell r="O803">
            <v>-1984</v>
          </cell>
        </row>
        <row r="804">
          <cell r="M804">
            <v>11.73</v>
          </cell>
          <cell r="O804">
            <v>1449226</v>
          </cell>
        </row>
        <row r="805">
          <cell r="M805">
            <v>6.5762999999999998</v>
          </cell>
          <cell r="O805">
            <v>868164</v>
          </cell>
        </row>
        <row r="806">
          <cell r="M806">
            <v>10.7967</v>
          </cell>
          <cell r="O806">
            <v>2026717</v>
          </cell>
        </row>
        <row r="807">
          <cell r="M807">
            <v>6.0523999999999996</v>
          </cell>
          <cell r="O807">
            <v>1035276</v>
          </cell>
        </row>
        <row r="808">
          <cell r="M808">
            <v>120</v>
          </cell>
          <cell r="O808">
            <v>0</v>
          </cell>
        </row>
        <row r="809">
          <cell r="O809">
            <v>0</v>
          </cell>
        </row>
        <row r="810">
          <cell r="O810">
            <v>6129307</v>
          </cell>
        </row>
        <row r="813">
          <cell r="M813">
            <v>10</v>
          </cell>
          <cell r="O813">
            <v>1468473</v>
          </cell>
        </row>
        <row r="814">
          <cell r="M814">
            <v>8.65</v>
          </cell>
          <cell r="O814">
            <v>90790</v>
          </cell>
        </row>
        <row r="815">
          <cell r="M815">
            <v>8.7000000000000011</v>
          </cell>
          <cell r="O815">
            <v>96500</v>
          </cell>
        </row>
        <row r="816">
          <cell r="M816">
            <v>-0.48</v>
          </cell>
          <cell r="O816">
            <v>0</v>
          </cell>
        </row>
        <row r="817">
          <cell r="M817">
            <v>11.73</v>
          </cell>
          <cell r="O817">
            <v>3255430</v>
          </cell>
        </row>
        <row r="818">
          <cell r="M818">
            <v>6.5762999999999998</v>
          </cell>
          <cell r="O818">
            <v>1066801</v>
          </cell>
        </row>
        <row r="819">
          <cell r="M819">
            <v>10.7967</v>
          </cell>
          <cell r="O819">
            <v>4762315</v>
          </cell>
        </row>
        <row r="820">
          <cell r="M820">
            <v>6.0523999999999996</v>
          </cell>
          <cell r="O820">
            <v>1449118</v>
          </cell>
        </row>
        <row r="821">
          <cell r="M821">
            <v>120</v>
          </cell>
          <cell r="O821">
            <v>0</v>
          </cell>
        </row>
        <row r="822">
          <cell r="O822">
            <v>0</v>
          </cell>
        </row>
        <row r="823">
          <cell r="O823">
            <v>12189427</v>
          </cell>
        </row>
        <row r="827">
          <cell r="E827">
            <v>0</v>
          </cell>
          <cell r="M827">
            <v>131</v>
          </cell>
          <cell r="O827">
            <v>0</v>
          </cell>
        </row>
        <row r="828">
          <cell r="M828">
            <v>5.52</v>
          </cell>
          <cell r="O828">
            <v>0</v>
          </cell>
        </row>
        <row r="831">
          <cell r="M831">
            <v>0.87</v>
          </cell>
          <cell r="O831">
            <v>0</v>
          </cell>
        </row>
        <row r="832">
          <cell r="M832">
            <v>0.61</v>
          </cell>
          <cell r="O832">
            <v>0</v>
          </cell>
        </row>
        <row r="834">
          <cell r="M834">
            <v>0.435</v>
          </cell>
          <cell r="O834">
            <v>0</v>
          </cell>
        </row>
        <row r="835">
          <cell r="M835">
            <v>0.30499999999999999</v>
          </cell>
          <cell r="O835">
            <v>0</v>
          </cell>
        </row>
        <row r="837">
          <cell r="M837">
            <v>40.22</v>
          </cell>
          <cell r="O837">
            <v>0</v>
          </cell>
        </row>
        <row r="838">
          <cell r="M838">
            <v>31.58</v>
          </cell>
          <cell r="O838">
            <v>0</v>
          </cell>
        </row>
        <row r="840">
          <cell r="E840">
            <v>24</v>
          </cell>
          <cell r="M840">
            <v>596</v>
          </cell>
          <cell r="O840">
            <v>14304</v>
          </cell>
        </row>
        <row r="841">
          <cell r="M841">
            <v>4.3999999999999995</v>
          </cell>
          <cell r="O841">
            <v>170680</v>
          </cell>
        </row>
        <row r="844">
          <cell r="M844">
            <v>0.85</v>
          </cell>
          <cell r="O844">
            <v>67176</v>
          </cell>
        </row>
        <row r="845">
          <cell r="M845">
            <v>0.59</v>
          </cell>
          <cell r="O845">
            <v>68825</v>
          </cell>
        </row>
        <row r="847">
          <cell r="M847">
            <v>0.42499999999999999</v>
          </cell>
          <cell r="O847">
            <v>10308</v>
          </cell>
        </row>
        <row r="848">
          <cell r="M848">
            <v>0.29499999999999998</v>
          </cell>
          <cell r="O848">
            <v>0</v>
          </cell>
        </row>
        <row r="850">
          <cell r="M850">
            <v>37.979999999999997</v>
          </cell>
          <cell r="O850">
            <v>0</v>
          </cell>
        </row>
        <row r="851">
          <cell r="M851">
            <v>29.34</v>
          </cell>
          <cell r="O851">
            <v>880</v>
          </cell>
        </row>
        <row r="853">
          <cell r="E853">
            <v>24</v>
          </cell>
          <cell r="M853">
            <v>668</v>
          </cell>
          <cell r="O853">
            <v>16032</v>
          </cell>
        </row>
        <row r="854">
          <cell r="M854">
            <v>2.59</v>
          </cell>
          <cell r="O854">
            <v>397381</v>
          </cell>
        </row>
        <row r="857">
          <cell r="M857">
            <v>0.75</v>
          </cell>
          <cell r="O857">
            <v>179940</v>
          </cell>
        </row>
        <row r="858">
          <cell r="M858">
            <v>0.5</v>
          </cell>
          <cell r="O858">
            <v>75833</v>
          </cell>
        </row>
        <row r="860">
          <cell r="M860">
            <v>0.375</v>
          </cell>
          <cell r="O860">
            <v>0</v>
          </cell>
        </row>
        <row r="861">
          <cell r="M861">
            <v>0.25</v>
          </cell>
          <cell r="O861">
            <v>0</v>
          </cell>
        </row>
        <row r="863">
          <cell r="M863">
            <v>31.88</v>
          </cell>
          <cell r="O863">
            <v>0</v>
          </cell>
        </row>
        <row r="864">
          <cell r="M864">
            <v>23.02</v>
          </cell>
          <cell r="O864">
            <v>0</v>
          </cell>
        </row>
        <row r="865">
          <cell r="O865">
            <v>1001359</v>
          </cell>
        </row>
        <row r="868">
          <cell r="M868">
            <v>4.71</v>
          </cell>
          <cell r="O868">
            <v>75666</v>
          </cell>
        </row>
        <row r="869">
          <cell r="M869">
            <v>15.4</v>
          </cell>
          <cell r="O869">
            <v>0</v>
          </cell>
        </row>
        <row r="870">
          <cell r="M870">
            <v>11.08</v>
          </cell>
          <cell r="O870">
            <v>178000</v>
          </cell>
        </row>
        <row r="871">
          <cell r="M871">
            <v>-1.1200000000000001</v>
          </cell>
          <cell r="O871">
            <v>-17993</v>
          </cell>
        </row>
        <row r="872">
          <cell r="M872">
            <v>4.9961000000000002</v>
          </cell>
          <cell r="O872">
            <v>52199</v>
          </cell>
        </row>
        <row r="873">
          <cell r="M873">
            <v>3.9108999999999998</v>
          </cell>
          <cell r="O873">
            <v>153881</v>
          </cell>
        </row>
        <row r="874">
          <cell r="M874">
            <v>3.3640999999999996</v>
          </cell>
          <cell r="O874">
            <v>169224</v>
          </cell>
        </row>
        <row r="876">
          <cell r="M876">
            <v>2.19</v>
          </cell>
          <cell r="O876">
            <v>226255</v>
          </cell>
        </row>
        <row r="877">
          <cell r="M877">
            <v>13.75</v>
          </cell>
          <cell r="O877">
            <v>680501</v>
          </cell>
        </row>
        <row r="878">
          <cell r="M878">
            <v>9.32</v>
          </cell>
          <cell r="O878">
            <v>466746</v>
          </cell>
        </row>
        <row r="879">
          <cell r="M879">
            <v>4.5818000000000003</v>
          </cell>
          <cell r="O879">
            <v>350378</v>
          </cell>
        </row>
        <row r="880">
          <cell r="M880">
            <v>3.4453</v>
          </cell>
          <cell r="O880">
            <v>375473</v>
          </cell>
        </row>
        <row r="881">
          <cell r="M881">
            <v>2.8776999999999999</v>
          </cell>
          <cell r="O881">
            <v>797911</v>
          </cell>
        </row>
        <row r="882">
          <cell r="O882">
            <v>3508241</v>
          </cell>
        </row>
        <row r="883">
          <cell r="O883">
            <v>0</v>
          </cell>
        </row>
        <row r="884">
          <cell r="E884">
            <v>56282445.025115147</v>
          </cell>
          <cell r="K884">
            <v>4219468</v>
          </cell>
          <cell r="O884">
            <v>4509600</v>
          </cell>
        </row>
        <row r="888">
          <cell r="M888">
            <v>131</v>
          </cell>
          <cell r="O888">
            <v>0</v>
          </cell>
        </row>
        <row r="889">
          <cell r="M889">
            <v>5.52</v>
          </cell>
          <cell r="O889">
            <v>0</v>
          </cell>
        </row>
        <row r="892">
          <cell r="M892">
            <v>0.87</v>
          </cell>
          <cell r="O892">
            <v>0</v>
          </cell>
        </row>
        <row r="893">
          <cell r="M893">
            <v>0.61</v>
          </cell>
          <cell r="O893">
            <v>0</v>
          </cell>
        </row>
        <row r="895">
          <cell r="M895">
            <v>0.435</v>
          </cell>
          <cell r="O895">
            <v>0</v>
          </cell>
        </row>
        <row r="896">
          <cell r="M896">
            <v>0.30499999999999999</v>
          </cell>
          <cell r="O896">
            <v>0</v>
          </cell>
        </row>
        <row r="898">
          <cell r="M898">
            <v>40.22</v>
          </cell>
          <cell r="O898">
            <v>0</v>
          </cell>
        </row>
        <row r="899">
          <cell r="M899">
            <v>31.58</v>
          </cell>
          <cell r="O899">
            <v>0</v>
          </cell>
        </row>
        <row r="901">
          <cell r="M901">
            <v>596</v>
          </cell>
          <cell r="O901">
            <v>14304</v>
          </cell>
        </row>
        <row r="902">
          <cell r="M902">
            <v>4.3999999999999995</v>
          </cell>
          <cell r="O902">
            <v>170680</v>
          </cell>
        </row>
        <row r="905">
          <cell r="M905">
            <v>0.85</v>
          </cell>
          <cell r="O905">
            <v>67176</v>
          </cell>
        </row>
        <row r="906">
          <cell r="M906">
            <v>0.59</v>
          </cell>
          <cell r="O906">
            <v>68825</v>
          </cell>
        </row>
        <row r="908">
          <cell r="M908">
            <v>0.42499999999999999</v>
          </cell>
          <cell r="O908">
            <v>10308</v>
          </cell>
        </row>
        <row r="909">
          <cell r="M909">
            <v>0.29499999999999998</v>
          </cell>
          <cell r="O909">
            <v>0</v>
          </cell>
        </row>
        <row r="911">
          <cell r="M911">
            <v>37.979999999999997</v>
          </cell>
          <cell r="O911">
            <v>0</v>
          </cell>
        </row>
        <row r="912">
          <cell r="M912">
            <v>29.34</v>
          </cell>
          <cell r="O912">
            <v>880</v>
          </cell>
        </row>
        <row r="914">
          <cell r="M914">
            <v>668</v>
          </cell>
          <cell r="O914">
            <v>0</v>
          </cell>
        </row>
        <row r="915">
          <cell r="M915">
            <v>2.59</v>
          </cell>
          <cell r="O915">
            <v>0</v>
          </cell>
        </row>
        <row r="918">
          <cell r="M918">
            <v>0.75</v>
          </cell>
          <cell r="O918">
            <v>0</v>
          </cell>
        </row>
        <row r="919">
          <cell r="M919">
            <v>0.5</v>
          </cell>
          <cell r="O919">
            <v>0</v>
          </cell>
        </row>
        <row r="921">
          <cell r="M921">
            <v>0.375</v>
          </cell>
          <cell r="O921">
            <v>0</v>
          </cell>
        </row>
        <row r="922">
          <cell r="M922">
            <v>0.25</v>
          </cell>
          <cell r="O922">
            <v>0</v>
          </cell>
        </row>
        <row r="924">
          <cell r="M924">
            <v>31.88</v>
          </cell>
          <cell r="O924">
            <v>0</v>
          </cell>
        </row>
        <row r="925">
          <cell r="M925">
            <v>23.02</v>
          </cell>
          <cell r="O925">
            <v>0</v>
          </cell>
        </row>
        <row r="926">
          <cell r="O926">
            <v>332173</v>
          </cell>
        </row>
        <row r="929">
          <cell r="M929">
            <v>4.71</v>
          </cell>
          <cell r="O929">
            <v>75666</v>
          </cell>
        </row>
        <row r="930">
          <cell r="M930">
            <v>15.4</v>
          </cell>
          <cell r="O930">
            <v>0</v>
          </cell>
        </row>
        <row r="931">
          <cell r="M931">
            <v>11.08</v>
          </cell>
          <cell r="O931">
            <v>178000</v>
          </cell>
        </row>
        <row r="932">
          <cell r="M932">
            <v>-1.1200000000000001</v>
          </cell>
          <cell r="O932">
            <v>-17993</v>
          </cell>
        </row>
        <row r="933">
          <cell r="M933">
            <v>4.9961000000000002</v>
          </cell>
          <cell r="O933">
            <v>52199</v>
          </cell>
        </row>
        <row r="934">
          <cell r="M934">
            <v>3.9108999999999998</v>
          </cell>
          <cell r="O934">
            <v>153881</v>
          </cell>
        </row>
        <row r="935">
          <cell r="M935">
            <v>3.3640999999999996</v>
          </cell>
          <cell r="O935">
            <v>169224</v>
          </cell>
        </row>
        <row r="937">
          <cell r="M937">
            <v>2.19</v>
          </cell>
          <cell r="O937">
            <v>0</v>
          </cell>
        </row>
        <row r="938">
          <cell r="M938">
            <v>13.75</v>
          </cell>
          <cell r="O938">
            <v>0</v>
          </cell>
        </row>
        <row r="939">
          <cell r="M939">
            <v>9.32</v>
          </cell>
          <cell r="O939">
            <v>0</v>
          </cell>
        </row>
        <row r="940">
          <cell r="M940">
            <v>4.5818000000000003</v>
          </cell>
          <cell r="O940">
            <v>0</v>
          </cell>
        </row>
        <row r="941">
          <cell r="M941">
            <v>3.4453</v>
          </cell>
          <cell r="O941">
            <v>0</v>
          </cell>
        </row>
        <row r="942">
          <cell r="M942">
            <v>2.8776999999999999</v>
          </cell>
          <cell r="O942">
            <v>0</v>
          </cell>
        </row>
        <row r="943">
          <cell r="O943">
            <v>610977</v>
          </cell>
        </row>
        <row r="944">
          <cell r="O944">
            <v>0</v>
          </cell>
        </row>
        <row r="945">
          <cell r="O945">
            <v>943150</v>
          </cell>
        </row>
        <row r="949">
          <cell r="M949">
            <v>131</v>
          </cell>
          <cell r="O949">
            <v>0</v>
          </cell>
        </row>
        <row r="950">
          <cell r="M950">
            <v>5.52</v>
          </cell>
          <cell r="O950">
            <v>0</v>
          </cell>
        </row>
        <row r="953">
          <cell r="M953">
            <v>0.87</v>
          </cell>
          <cell r="O953">
            <v>0</v>
          </cell>
        </row>
        <row r="954">
          <cell r="M954">
            <v>0.61</v>
          </cell>
          <cell r="O954">
            <v>0</v>
          </cell>
        </row>
        <row r="956">
          <cell r="M956">
            <v>0.435</v>
          </cell>
          <cell r="O956">
            <v>0</v>
          </cell>
        </row>
        <row r="957">
          <cell r="M957">
            <v>0.30499999999999999</v>
          </cell>
          <cell r="O957">
            <v>0</v>
          </cell>
        </row>
        <row r="959">
          <cell r="M959">
            <v>40.22</v>
          </cell>
          <cell r="O959">
            <v>0</v>
          </cell>
        </row>
        <row r="960">
          <cell r="M960">
            <v>31.58</v>
          </cell>
          <cell r="O960">
            <v>0</v>
          </cell>
        </row>
        <row r="962">
          <cell r="M962">
            <v>596</v>
          </cell>
          <cell r="O962">
            <v>0</v>
          </cell>
        </row>
        <row r="963">
          <cell r="M963">
            <v>4.3999999999999995</v>
          </cell>
          <cell r="O963">
            <v>0</v>
          </cell>
        </row>
        <row r="966">
          <cell r="M966">
            <v>0.85</v>
          </cell>
          <cell r="O966">
            <v>0</v>
          </cell>
        </row>
        <row r="967">
          <cell r="M967">
            <v>0.59</v>
          </cell>
          <cell r="O967">
            <v>0</v>
          </cell>
        </row>
        <row r="969">
          <cell r="M969">
            <v>0.42499999999999999</v>
          </cell>
          <cell r="O969">
            <v>0</v>
          </cell>
        </row>
        <row r="970">
          <cell r="M970">
            <v>0.29499999999999998</v>
          </cell>
          <cell r="O970">
            <v>0</v>
          </cell>
        </row>
        <row r="972">
          <cell r="M972">
            <v>37.979999999999997</v>
          </cell>
          <cell r="O972">
            <v>0</v>
          </cell>
        </row>
        <row r="973">
          <cell r="M973">
            <v>29.34</v>
          </cell>
          <cell r="O973">
            <v>0</v>
          </cell>
        </row>
        <row r="975">
          <cell r="M975">
            <v>668</v>
          </cell>
          <cell r="O975">
            <v>8016</v>
          </cell>
        </row>
        <row r="976">
          <cell r="M976">
            <v>2.59</v>
          </cell>
          <cell r="O976">
            <v>206483</v>
          </cell>
        </row>
        <row r="979">
          <cell r="M979">
            <v>0.75</v>
          </cell>
          <cell r="O979">
            <v>48482</v>
          </cell>
        </row>
        <row r="980">
          <cell r="M980">
            <v>0.5</v>
          </cell>
          <cell r="O980">
            <v>56056</v>
          </cell>
        </row>
        <row r="982">
          <cell r="M982">
            <v>0.375</v>
          </cell>
          <cell r="O982">
            <v>0</v>
          </cell>
        </row>
        <row r="983">
          <cell r="M983">
            <v>0.25</v>
          </cell>
          <cell r="O983">
            <v>0</v>
          </cell>
        </row>
        <row r="985">
          <cell r="M985">
            <v>31.88</v>
          </cell>
          <cell r="O985">
            <v>0</v>
          </cell>
        </row>
        <row r="986">
          <cell r="M986">
            <v>23.02</v>
          </cell>
          <cell r="O986">
            <v>0</v>
          </cell>
        </row>
        <row r="987">
          <cell r="O987">
            <v>319037</v>
          </cell>
        </row>
        <row r="990">
          <cell r="M990">
            <v>4.71</v>
          </cell>
          <cell r="O990">
            <v>0</v>
          </cell>
        </row>
        <row r="991">
          <cell r="M991">
            <v>15.4</v>
          </cell>
          <cell r="O991">
            <v>0</v>
          </cell>
        </row>
        <row r="992">
          <cell r="M992">
            <v>11.08</v>
          </cell>
          <cell r="O992">
            <v>0</v>
          </cell>
        </row>
        <row r="993">
          <cell r="M993">
            <v>-1.1200000000000001</v>
          </cell>
          <cell r="O993">
            <v>0</v>
          </cell>
        </row>
        <row r="994">
          <cell r="M994">
            <v>4.9961000000000002</v>
          </cell>
          <cell r="O994">
            <v>0</v>
          </cell>
        </row>
        <row r="995">
          <cell r="M995">
            <v>3.9108999999999998</v>
          </cell>
          <cell r="O995">
            <v>0</v>
          </cell>
        </row>
        <row r="996">
          <cell r="M996">
            <v>3.3640999999999996</v>
          </cell>
          <cell r="O996">
            <v>0</v>
          </cell>
        </row>
        <row r="998">
          <cell r="M998">
            <v>2.19</v>
          </cell>
          <cell r="O998">
            <v>0</v>
          </cell>
        </row>
        <row r="999">
          <cell r="M999">
            <v>13.75</v>
          </cell>
          <cell r="O999">
            <v>0</v>
          </cell>
        </row>
        <row r="1000">
          <cell r="M1000">
            <v>9.32</v>
          </cell>
          <cell r="O1000">
            <v>0</v>
          </cell>
        </row>
        <row r="1001">
          <cell r="M1001">
            <v>4.5818000000000003</v>
          </cell>
          <cell r="O1001">
            <v>11308</v>
          </cell>
        </row>
        <row r="1002">
          <cell r="M1002">
            <v>3.4453</v>
          </cell>
          <cell r="O1002">
            <v>46944</v>
          </cell>
        </row>
        <row r="1003">
          <cell r="M1003">
            <v>2.8776999999999999</v>
          </cell>
          <cell r="O1003">
            <v>59386</v>
          </cell>
        </row>
        <row r="1004">
          <cell r="O1004">
            <v>117638</v>
          </cell>
        </row>
        <row r="1005">
          <cell r="O1005">
            <v>0</v>
          </cell>
        </row>
        <row r="1006">
          <cell r="O1006">
            <v>436675</v>
          </cell>
        </row>
        <row r="1010">
          <cell r="M1010">
            <v>131</v>
          </cell>
          <cell r="O1010">
            <v>0</v>
          </cell>
        </row>
        <row r="1011">
          <cell r="M1011">
            <v>5.52</v>
          </cell>
          <cell r="O1011">
            <v>0</v>
          </cell>
        </row>
        <row r="1014">
          <cell r="M1014">
            <v>0.87</v>
          </cell>
          <cell r="O1014">
            <v>0</v>
          </cell>
        </row>
        <row r="1015">
          <cell r="M1015">
            <v>0.61</v>
          </cell>
          <cell r="O1015">
            <v>0</v>
          </cell>
        </row>
        <row r="1017">
          <cell r="M1017">
            <v>0.435</v>
          </cell>
          <cell r="O1017">
            <v>0</v>
          </cell>
        </row>
        <row r="1018">
          <cell r="M1018">
            <v>0.30499999999999999</v>
          </cell>
          <cell r="O1018">
            <v>0</v>
          </cell>
        </row>
        <row r="1020">
          <cell r="M1020">
            <v>40.22</v>
          </cell>
          <cell r="O1020">
            <v>0</v>
          </cell>
        </row>
        <row r="1021">
          <cell r="M1021">
            <v>31.58</v>
          </cell>
          <cell r="O1021">
            <v>0</v>
          </cell>
        </row>
        <row r="1023">
          <cell r="M1023">
            <v>596</v>
          </cell>
          <cell r="O1023">
            <v>0</v>
          </cell>
        </row>
        <row r="1024">
          <cell r="M1024">
            <v>4.3999999999999995</v>
          </cell>
          <cell r="O1024">
            <v>0</v>
          </cell>
        </row>
        <row r="1027">
          <cell r="M1027">
            <v>0.85</v>
          </cell>
          <cell r="O1027">
            <v>0</v>
          </cell>
        </row>
        <row r="1028">
          <cell r="M1028">
            <v>0.59</v>
          </cell>
          <cell r="O1028">
            <v>0</v>
          </cell>
        </row>
        <row r="1030">
          <cell r="M1030">
            <v>0.42499999999999999</v>
          </cell>
          <cell r="O1030">
            <v>0</v>
          </cell>
        </row>
        <row r="1031">
          <cell r="M1031">
            <v>0.29499999999999998</v>
          </cell>
          <cell r="O1031">
            <v>0</v>
          </cell>
        </row>
        <row r="1033">
          <cell r="M1033">
            <v>37.979999999999997</v>
          </cell>
          <cell r="O1033">
            <v>0</v>
          </cell>
        </row>
        <row r="1034">
          <cell r="M1034">
            <v>29.34</v>
          </cell>
          <cell r="O1034">
            <v>0</v>
          </cell>
        </row>
        <row r="1036">
          <cell r="M1036">
            <v>668</v>
          </cell>
          <cell r="O1036">
            <v>8016</v>
          </cell>
        </row>
        <row r="1037">
          <cell r="M1037">
            <v>2.59</v>
          </cell>
          <cell r="O1037">
            <v>190899</v>
          </cell>
        </row>
        <row r="1040">
          <cell r="M1040">
            <v>0.75</v>
          </cell>
          <cell r="O1040">
            <v>131459</v>
          </cell>
        </row>
        <row r="1041">
          <cell r="M1041">
            <v>0.5</v>
          </cell>
          <cell r="O1041">
            <v>19777</v>
          </cell>
        </row>
        <row r="1043">
          <cell r="M1043">
            <v>0.375</v>
          </cell>
          <cell r="O1043">
            <v>0</v>
          </cell>
        </row>
        <row r="1044">
          <cell r="M1044">
            <v>0.25</v>
          </cell>
          <cell r="O1044">
            <v>0</v>
          </cell>
        </row>
        <row r="1046">
          <cell r="M1046">
            <v>31.88</v>
          </cell>
          <cell r="O1046">
            <v>0</v>
          </cell>
        </row>
        <row r="1047">
          <cell r="M1047">
            <v>23.02</v>
          </cell>
          <cell r="O1047">
            <v>0</v>
          </cell>
        </row>
        <row r="1048">
          <cell r="O1048">
            <v>350151</v>
          </cell>
        </row>
        <row r="1051">
          <cell r="M1051">
            <v>4.71</v>
          </cell>
          <cell r="O1051">
            <v>0</v>
          </cell>
        </row>
        <row r="1052">
          <cell r="M1052">
            <v>15.4</v>
          </cell>
          <cell r="O1052">
            <v>0</v>
          </cell>
        </row>
        <row r="1053">
          <cell r="M1053">
            <v>11.08</v>
          </cell>
          <cell r="O1053">
            <v>0</v>
          </cell>
        </row>
        <row r="1054">
          <cell r="M1054">
            <v>-1.1200000000000001</v>
          </cell>
          <cell r="O1054">
            <v>0</v>
          </cell>
        </row>
        <row r="1055">
          <cell r="M1055">
            <v>4.9961000000000002</v>
          </cell>
          <cell r="O1055">
            <v>0</v>
          </cell>
        </row>
        <row r="1056">
          <cell r="M1056">
            <v>3.9108999999999998</v>
          </cell>
          <cell r="O1056">
            <v>0</v>
          </cell>
        </row>
        <row r="1057">
          <cell r="M1057">
            <v>3.3640999999999996</v>
          </cell>
          <cell r="O1057">
            <v>0</v>
          </cell>
        </row>
        <row r="1059">
          <cell r="M1059">
            <v>2.19</v>
          </cell>
          <cell r="O1059">
            <v>226255</v>
          </cell>
        </row>
        <row r="1060">
          <cell r="M1060">
            <v>13.75</v>
          </cell>
          <cell r="O1060">
            <v>680501</v>
          </cell>
        </row>
        <row r="1061">
          <cell r="M1061">
            <v>9.32</v>
          </cell>
          <cell r="O1061">
            <v>466746</v>
          </cell>
        </row>
        <row r="1062">
          <cell r="M1062">
            <v>4.5818000000000003</v>
          </cell>
          <cell r="O1062">
            <v>339070</v>
          </cell>
        </row>
        <row r="1063">
          <cell r="M1063">
            <v>3.4453</v>
          </cell>
          <cell r="O1063">
            <v>328529</v>
          </cell>
        </row>
        <row r="1064">
          <cell r="M1064">
            <v>2.8776999999999999</v>
          </cell>
          <cell r="O1064">
            <v>738526</v>
          </cell>
        </row>
        <row r="1065">
          <cell r="O1065">
            <v>2779627</v>
          </cell>
        </row>
        <row r="1066">
          <cell r="O1066">
            <v>0</v>
          </cell>
        </row>
        <row r="1067">
          <cell r="O1067">
            <v>3129778</v>
          </cell>
        </row>
        <row r="1070">
          <cell r="E1070">
            <v>12</v>
          </cell>
          <cell r="O1070">
            <v>2667</v>
          </cell>
        </row>
        <row r="1071">
          <cell r="O1071">
            <v>11251932</v>
          </cell>
        </row>
        <row r="1072">
          <cell r="O1072">
            <v>8528417</v>
          </cell>
        </row>
        <row r="1073">
          <cell r="O1073">
            <v>7898787</v>
          </cell>
        </row>
        <row r="1074">
          <cell r="E1074">
            <v>535721170</v>
          </cell>
          <cell r="K1074">
            <v>27176952</v>
          </cell>
          <cell r="O1074">
            <v>27681803</v>
          </cell>
        </row>
        <row r="1077">
          <cell r="E1077">
            <v>12</v>
          </cell>
        </row>
        <row r="1078">
          <cell r="O1078">
            <v>35062890</v>
          </cell>
        </row>
        <row r="1079">
          <cell r="E1079">
            <v>795798675.78575754</v>
          </cell>
          <cell r="K1079">
            <v>35062890</v>
          </cell>
          <cell r="O1079">
            <v>35062890</v>
          </cell>
        </row>
        <row r="1082">
          <cell r="E1082">
            <v>12</v>
          </cell>
          <cell r="K1082">
            <v>7752</v>
          </cell>
          <cell r="O1082">
            <v>8016</v>
          </cell>
        </row>
        <row r="1083">
          <cell r="K1083">
            <v>878796</v>
          </cell>
          <cell r="O1083">
            <v>970337</v>
          </cell>
        </row>
        <row r="1085">
          <cell r="K1085">
            <v>1685451</v>
          </cell>
        </row>
        <row r="1086">
          <cell r="O1086">
            <v>1807898</v>
          </cell>
        </row>
        <row r="1087">
          <cell r="O1087">
            <v>91739</v>
          </cell>
        </row>
        <row r="1088">
          <cell r="K1088">
            <v>0</v>
          </cell>
        </row>
        <row r="1089">
          <cell r="O1089">
            <v>0</v>
          </cell>
        </row>
        <row r="1090">
          <cell r="O1090">
            <v>0</v>
          </cell>
        </row>
        <row r="1091">
          <cell r="K1091">
            <v>0</v>
          </cell>
        </row>
        <row r="1092">
          <cell r="O1092">
            <v>0</v>
          </cell>
        </row>
        <row r="1093">
          <cell r="O1093">
            <v>0</v>
          </cell>
        </row>
        <row r="1095">
          <cell r="K1095">
            <v>330429</v>
          </cell>
          <cell r="O1095">
            <v>341096</v>
          </cell>
        </row>
        <row r="1096">
          <cell r="K1096">
            <v>6911580</v>
          </cell>
          <cell r="O1096">
            <v>7133546</v>
          </cell>
        </row>
        <row r="1098">
          <cell r="K1098">
            <v>1011702</v>
          </cell>
          <cell r="O1098">
            <v>1044506</v>
          </cell>
        </row>
        <row r="1099">
          <cell r="K1099">
            <v>6815321</v>
          </cell>
          <cell r="O1099">
            <v>7036297</v>
          </cell>
        </row>
        <row r="1100">
          <cell r="K1100">
            <v>11003804</v>
          </cell>
          <cell r="O1100">
            <v>11360688</v>
          </cell>
        </row>
        <row r="1101">
          <cell r="E1101">
            <v>621809333.25</v>
          </cell>
          <cell r="K1101">
            <v>28644835</v>
          </cell>
          <cell r="O1101">
            <v>29794123</v>
          </cell>
        </row>
        <row r="1104">
          <cell r="M1104">
            <v>668</v>
          </cell>
          <cell r="O1104">
            <v>2672</v>
          </cell>
        </row>
        <row r="1105">
          <cell r="M1105">
            <v>2.59</v>
          </cell>
          <cell r="O1105">
            <v>364757</v>
          </cell>
        </row>
        <row r="1108">
          <cell r="M1108">
            <v>0.75</v>
          </cell>
          <cell r="O1108">
            <v>488023</v>
          </cell>
        </row>
        <row r="1109">
          <cell r="M1109">
            <v>0.5</v>
          </cell>
          <cell r="O1109">
            <v>39000</v>
          </cell>
        </row>
        <row r="1111">
          <cell r="M1111">
            <v>0.375</v>
          </cell>
          <cell r="O1111">
            <v>0</v>
          </cell>
        </row>
        <row r="1112">
          <cell r="M1112">
            <v>0.25</v>
          </cell>
          <cell r="O1112">
            <v>0</v>
          </cell>
        </row>
        <row r="1114">
          <cell r="M1114">
            <v>31.88</v>
          </cell>
          <cell r="O1114">
            <v>0</v>
          </cell>
        </row>
        <row r="1115">
          <cell r="M1115">
            <v>23.02</v>
          </cell>
          <cell r="O1115">
            <v>0</v>
          </cell>
        </row>
        <row r="1117">
          <cell r="M1117">
            <v>13.75</v>
          </cell>
          <cell r="O1117">
            <v>68219</v>
          </cell>
        </row>
        <row r="1118">
          <cell r="M1118">
            <v>9.32</v>
          </cell>
          <cell r="O1118">
            <v>3057234</v>
          </cell>
        </row>
        <row r="1120">
          <cell r="M1120">
            <v>4.5818000000000003</v>
          </cell>
          <cell r="O1120">
            <v>208901</v>
          </cell>
        </row>
        <row r="1121">
          <cell r="M1121">
            <v>3.4453</v>
          </cell>
          <cell r="O1121">
            <v>3015556</v>
          </cell>
        </row>
        <row r="1122">
          <cell r="M1122">
            <v>2.8776999999999999</v>
          </cell>
          <cell r="O1122">
            <v>3786896</v>
          </cell>
        </row>
        <row r="1123">
          <cell r="O1123">
            <v>11031258</v>
          </cell>
        </row>
        <row r="1126">
          <cell r="M1126">
            <v>668</v>
          </cell>
          <cell r="O1126">
            <v>5344</v>
          </cell>
        </row>
        <row r="1127">
          <cell r="M1127">
            <v>2.15</v>
          </cell>
          <cell r="O1127">
            <v>605580</v>
          </cell>
        </row>
        <row r="1129">
          <cell r="M1129">
            <v>0.5071</v>
          </cell>
        </row>
        <row r="1130">
          <cell r="M1130">
            <v>0.5071</v>
          </cell>
          <cell r="O1130">
            <v>1319875</v>
          </cell>
        </row>
        <row r="1131">
          <cell r="M1131">
            <v>0.5071</v>
          </cell>
          <cell r="O1131">
            <v>52739</v>
          </cell>
        </row>
        <row r="1132">
          <cell r="M1132">
            <v>0.25355</v>
          </cell>
        </row>
        <row r="1133">
          <cell r="M1133">
            <v>0.25355</v>
          </cell>
          <cell r="O1133">
            <v>0</v>
          </cell>
        </row>
        <row r="1134">
          <cell r="M1134">
            <v>0.25355</v>
          </cell>
          <cell r="O1134">
            <v>0</v>
          </cell>
        </row>
        <row r="1135">
          <cell r="M1135">
            <v>43.38</v>
          </cell>
        </row>
        <row r="1136">
          <cell r="M1136">
            <v>43.38</v>
          </cell>
          <cell r="O1136">
            <v>0</v>
          </cell>
        </row>
        <row r="1137">
          <cell r="M1137">
            <v>43.38</v>
          </cell>
          <cell r="O1137">
            <v>0</v>
          </cell>
        </row>
        <row r="1139">
          <cell r="M1139">
            <v>13.75</v>
          </cell>
          <cell r="O1139">
            <v>272877</v>
          </cell>
        </row>
        <row r="1140">
          <cell r="M1140">
            <v>9.32</v>
          </cell>
          <cell r="O1140">
            <v>4076312</v>
          </cell>
        </row>
        <row r="1142">
          <cell r="M1142">
            <v>4.5818000000000003</v>
          </cell>
          <cell r="O1142">
            <v>835605</v>
          </cell>
        </row>
        <row r="1143">
          <cell r="M1143">
            <v>3.4453</v>
          </cell>
          <cell r="O1143">
            <v>4020741</v>
          </cell>
        </row>
        <row r="1144">
          <cell r="M1144">
            <v>2.8776999999999999</v>
          </cell>
          <cell r="O1144">
            <v>7573792</v>
          </cell>
        </row>
        <row r="1145">
          <cell r="O1145">
            <v>18762865</v>
          </cell>
        </row>
        <row r="1148">
          <cell r="M1148">
            <v>2.1800000000000002</v>
          </cell>
          <cell r="O1148">
            <v>131</v>
          </cell>
        </row>
        <row r="1149">
          <cell r="M1149">
            <v>2.1858</v>
          </cell>
          <cell r="O1149">
            <v>452</v>
          </cell>
        </row>
        <row r="1150">
          <cell r="O1150">
            <v>583</v>
          </cell>
        </row>
        <row r="1152">
          <cell r="E1152">
            <v>5</v>
          </cell>
        </row>
        <row r="1153">
          <cell r="O1153">
            <v>0</v>
          </cell>
        </row>
        <row r="1154">
          <cell r="E1154">
            <v>7736.6128294616919</v>
          </cell>
          <cell r="K1154">
            <v>583</v>
          </cell>
          <cell r="O1154">
            <v>583</v>
          </cell>
        </row>
        <row r="1157">
          <cell r="M1157">
            <v>2.1800000000000002</v>
          </cell>
          <cell r="O1157">
            <v>0</v>
          </cell>
        </row>
        <row r="1158">
          <cell r="M1158">
            <v>2.1858</v>
          </cell>
          <cell r="O1158">
            <v>452</v>
          </cell>
        </row>
        <row r="1159">
          <cell r="O1159">
            <v>452</v>
          </cell>
        </row>
        <row r="1162">
          <cell r="O1162">
            <v>0</v>
          </cell>
        </row>
        <row r="1163">
          <cell r="O1163">
            <v>452</v>
          </cell>
        </row>
        <row r="1166">
          <cell r="M1166">
            <v>2.1800000000000002</v>
          </cell>
          <cell r="O1166">
            <v>131</v>
          </cell>
        </row>
        <row r="1167">
          <cell r="M1167">
            <v>2.1858</v>
          </cell>
          <cell r="O1167">
            <v>0</v>
          </cell>
        </row>
        <row r="1168">
          <cell r="O1168">
            <v>131</v>
          </cell>
        </row>
        <row r="1171">
          <cell r="O1171">
            <v>0</v>
          </cell>
        </row>
        <row r="1172">
          <cell r="O1172">
            <v>131</v>
          </cell>
        </row>
        <row r="1175">
          <cell r="K1175">
            <v>33040.269999999997</v>
          </cell>
          <cell r="O1175">
            <v>33040.269999999997</v>
          </cell>
        </row>
        <row r="1176">
          <cell r="K1176">
            <v>2726577.8500000006</v>
          </cell>
          <cell r="O1176">
            <v>2726577.8500000006</v>
          </cell>
        </row>
        <row r="1177">
          <cell r="K1177">
            <v>-5447.4699999999866</v>
          </cell>
          <cell r="O1177">
            <v>-5447.4699999999866</v>
          </cell>
        </row>
        <row r="1178">
          <cell r="K1178">
            <v>206563.33000000002</v>
          </cell>
          <cell r="O1178">
            <v>206563.33000000002</v>
          </cell>
        </row>
        <row r="1179">
          <cell r="K1179">
            <v>4661.6400000000003</v>
          </cell>
          <cell r="O1179">
            <v>4661.6400000000003</v>
          </cell>
        </row>
        <row r="1180">
          <cell r="K1180">
            <v>0</v>
          </cell>
          <cell r="O1180">
            <v>0</v>
          </cell>
        </row>
        <row r="1181">
          <cell r="O1181">
            <v>2965395.6200000006</v>
          </cell>
        </row>
        <row r="1183">
          <cell r="O1183">
            <v>1919107318.6199999</v>
          </cell>
        </row>
      </sheetData>
      <sheetData sheetId="7" refreshError="1"/>
      <sheetData sheetId="8" refreshError="1"/>
      <sheetData sheetId="9" refreshError="1"/>
      <sheetData sheetId="10">
        <row r="15">
          <cell r="M15">
            <v>684500.44700000004</v>
          </cell>
        </row>
        <row r="16">
          <cell r="M16">
            <v>356.85399999999998</v>
          </cell>
        </row>
        <row r="20">
          <cell r="M20">
            <v>494739.50099999999</v>
          </cell>
        </row>
        <row r="21">
          <cell r="M21">
            <v>34227.415000000001</v>
          </cell>
        </row>
        <row r="22">
          <cell r="M22">
            <v>345.952</v>
          </cell>
        </row>
        <row r="24">
          <cell r="M24">
            <v>167289.59299999999</v>
          </cell>
        </row>
        <row r="25">
          <cell r="M25">
            <v>284653.04000000004</v>
          </cell>
        </row>
        <row r="26">
          <cell r="M26">
            <v>3292.58</v>
          </cell>
        </row>
        <row r="30">
          <cell r="M30">
            <v>14495.611000000001</v>
          </cell>
        </row>
        <row r="31">
          <cell r="M31">
            <v>475.92599999999999</v>
          </cell>
        </row>
        <row r="32">
          <cell r="M32">
            <v>139095.91500000001</v>
          </cell>
        </row>
        <row r="33">
          <cell r="M33">
            <v>4575.7719999999999</v>
          </cell>
        </row>
        <row r="34">
          <cell r="M34">
            <v>27958.75</v>
          </cell>
        </row>
        <row r="36">
          <cell r="K36">
            <v>29794.123</v>
          </cell>
          <cell r="M36">
            <v>30231.311999999998</v>
          </cell>
        </row>
        <row r="41">
          <cell r="M41">
            <v>2999.06</v>
          </cell>
        </row>
        <row r="42">
          <cell r="M42">
            <v>4979.3900000000003</v>
          </cell>
        </row>
        <row r="43">
          <cell r="M43">
            <v>4144.8670000000002</v>
          </cell>
        </row>
        <row r="44">
          <cell r="M44">
            <v>682.02800000000002</v>
          </cell>
        </row>
        <row r="45">
          <cell r="M45">
            <v>1234.6020000000001</v>
          </cell>
        </row>
        <row r="50">
          <cell r="O50">
            <v>19200.164999999997</v>
          </cell>
        </row>
        <row r="59">
          <cell r="O59">
            <v>1.4673665799687045E-2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">
          <cell r="M15">
            <v>677532.92500000005</v>
          </cell>
        </row>
        <row r="16">
          <cell r="M16">
            <v>353.22199999999998</v>
          </cell>
        </row>
        <row r="17">
          <cell r="M17">
            <v>33.04027</v>
          </cell>
        </row>
        <row r="20">
          <cell r="M20">
            <v>489703.55300000001</v>
          </cell>
        </row>
        <row r="21">
          <cell r="M21">
            <v>33879.014999999999</v>
          </cell>
        </row>
        <row r="22">
          <cell r="M22">
            <v>342.43099999999998</v>
          </cell>
        </row>
        <row r="24">
          <cell r="M24">
            <v>165586.75399999999</v>
          </cell>
        </row>
        <row r="25">
          <cell r="M25">
            <v>280536.54100000003</v>
          </cell>
        </row>
        <row r="26">
          <cell r="M26">
            <v>3244.9639999999999</v>
          </cell>
        </row>
        <row r="28">
          <cell r="M28">
            <v>13074.423000000001</v>
          </cell>
        </row>
        <row r="29">
          <cell r="M29">
            <v>1273.6369999999999</v>
          </cell>
        </row>
        <row r="31">
          <cell r="M31">
            <v>469.04300000000001</v>
          </cell>
        </row>
        <row r="32">
          <cell r="M32">
            <v>139056.46900000001</v>
          </cell>
        </row>
        <row r="33">
          <cell r="M33">
            <v>4509.6000000000004</v>
          </cell>
        </row>
        <row r="34">
          <cell r="M34">
            <v>27681.803</v>
          </cell>
        </row>
        <row r="35">
          <cell r="M35">
            <v>35062.89</v>
          </cell>
        </row>
        <row r="36">
          <cell r="M36">
            <v>29794.123</v>
          </cell>
        </row>
        <row r="37">
          <cell r="M37">
            <v>2927.6937100000005</v>
          </cell>
        </row>
        <row r="41">
          <cell r="M41">
            <v>2999.06</v>
          </cell>
        </row>
        <row r="42">
          <cell r="M42">
            <v>4979.3900000000003</v>
          </cell>
        </row>
        <row r="43">
          <cell r="M43">
            <v>4144.8670000000002</v>
          </cell>
        </row>
        <row r="44">
          <cell r="M44">
            <v>682.02800000000002</v>
          </cell>
        </row>
        <row r="45">
          <cell r="M45">
            <v>1234.6020000000001</v>
          </cell>
        </row>
        <row r="47">
          <cell r="M47">
            <v>0.58299999999999996</v>
          </cell>
        </row>
        <row r="48">
          <cell r="M48">
            <v>4.6616400000000002</v>
          </cell>
        </row>
      </sheetData>
      <sheetData sheetId="24">
        <row r="50">
          <cell r="O50">
            <v>19199.810999999918</v>
          </cell>
        </row>
      </sheetData>
      <sheetData sheetId="25" refreshError="1"/>
      <sheetData sheetId="26">
        <row r="2">
          <cell r="F2">
            <v>8271856.6534931697</v>
          </cell>
          <cell r="G2">
            <v>8257985.2314932495</v>
          </cell>
          <cell r="H2">
            <v>13871.422</v>
          </cell>
          <cell r="I2">
            <v>93595.135000001901</v>
          </cell>
          <cell r="J2">
            <v>154.69900000000001</v>
          </cell>
          <cell r="M2">
            <v>1684189413.2366199</v>
          </cell>
          <cell r="N2">
            <v>1796666256.7631199</v>
          </cell>
          <cell r="O2">
            <v>288649</v>
          </cell>
          <cell r="Q2">
            <v>1255889531</v>
          </cell>
          <cell r="R2">
            <v>1106217133</v>
          </cell>
          <cell r="S2">
            <v>687341444</v>
          </cell>
          <cell r="T2">
            <v>231395</v>
          </cell>
        </row>
        <row r="3">
          <cell r="F3">
            <v>15270.940500000001</v>
          </cell>
          <cell r="G3">
            <v>15267.940500000001</v>
          </cell>
          <cell r="H3">
            <v>3</v>
          </cell>
          <cell r="I3">
            <v>2563.4535000000001</v>
          </cell>
          <cell r="J3">
            <v>0</v>
          </cell>
          <cell r="M3">
            <v>2541605.8139276602</v>
          </cell>
          <cell r="N3">
            <v>3472886.1860723398</v>
          </cell>
          <cell r="O3">
            <v>1662</v>
          </cell>
          <cell r="Q3">
            <v>1499778</v>
          </cell>
          <cell r="R3">
            <v>969314</v>
          </cell>
          <cell r="S3">
            <v>859655</v>
          </cell>
          <cell r="T3">
            <v>1056</v>
          </cell>
        </row>
        <row r="4">
          <cell r="F4">
            <v>1690.2927500000001</v>
          </cell>
          <cell r="G4">
            <v>1678.2935</v>
          </cell>
          <cell r="H4">
            <v>11.99925</v>
          </cell>
          <cell r="I4">
            <v>17.067499999999999</v>
          </cell>
          <cell r="J4">
            <v>6.99925</v>
          </cell>
          <cell r="M4">
            <v>331985.17481998203</v>
          </cell>
          <cell r="N4">
            <v>305550.82518001797</v>
          </cell>
          <cell r="O4">
            <v>82</v>
          </cell>
          <cell r="Q4">
            <v>240528</v>
          </cell>
          <cell r="R4">
            <v>178489</v>
          </cell>
          <cell r="S4">
            <v>73571</v>
          </cell>
          <cell r="T4">
            <v>70</v>
          </cell>
        </row>
        <row r="5">
          <cell r="F5">
            <v>4066.1005</v>
          </cell>
          <cell r="G5">
            <v>4066.1005</v>
          </cell>
          <cell r="H5">
            <v>0</v>
          </cell>
          <cell r="I5">
            <v>56.03</v>
          </cell>
          <cell r="J5">
            <v>0</v>
          </cell>
          <cell r="M5">
            <v>807469.56068548304</v>
          </cell>
          <cell r="N5">
            <v>806715.43931451696</v>
          </cell>
          <cell r="O5">
            <v>283</v>
          </cell>
          <cell r="Q5">
            <v>606370</v>
          </cell>
          <cell r="R5">
            <v>460557</v>
          </cell>
          <cell r="S5">
            <v>204785</v>
          </cell>
          <cell r="T5">
            <v>57</v>
          </cell>
          <cell r="U5">
            <v>290439</v>
          </cell>
          <cell r="V5">
            <v>981300</v>
          </cell>
        </row>
        <row r="6">
          <cell r="F6">
            <v>756.04100000000005</v>
          </cell>
          <cell r="G6">
            <v>756.04100000000005</v>
          </cell>
          <cell r="H6">
            <v>0</v>
          </cell>
          <cell r="I6">
            <v>57.197499999999998</v>
          </cell>
          <cell r="J6">
            <v>0</v>
          </cell>
          <cell r="M6">
            <v>131480.64215530499</v>
          </cell>
          <cell r="N6">
            <v>142884.35784469501</v>
          </cell>
          <cell r="O6">
            <v>44</v>
          </cell>
          <cell r="Q6">
            <v>86307</v>
          </cell>
          <cell r="R6">
            <v>25713</v>
          </cell>
          <cell r="S6">
            <v>2565</v>
          </cell>
          <cell r="T6">
            <v>60</v>
          </cell>
          <cell r="U6">
            <v>2216</v>
          </cell>
          <cell r="V6">
            <v>13029</v>
          </cell>
        </row>
        <row r="7">
          <cell r="F7">
            <v>350394.52299999999</v>
          </cell>
          <cell r="G7">
            <v>350151.25449999998</v>
          </cell>
          <cell r="H7">
            <v>243.26849999999999</v>
          </cell>
          <cell r="I7">
            <v>709.96050000000002</v>
          </cell>
          <cell r="J7">
            <v>0</v>
          </cell>
          <cell r="M7">
            <v>69462841.708795607</v>
          </cell>
          <cell r="N7">
            <v>58397611.291204102</v>
          </cell>
          <cell r="O7">
            <v>2356</v>
          </cell>
          <cell r="Q7">
            <v>55359027</v>
          </cell>
          <cell r="R7">
            <v>38067191</v>
          </cell>
          <cell r="S7">
            <v>12915808</v>
          </cell>
          <cell r="T7">
            <v>2203</v>
          </cell>
        </row>
        <row r="8">
          <cell r="F8">
            <v>183.131</v>
          </cell>
          <cell r="G8">
            <v>183.131</v>
          </cell>
          <cell r="H8">
            <v>0</v>
          </cell>
          <cell r="I8">
            <v>3.4000000000000002E-2</v>
          </cell>
          <cell r="J8">
            <v>0</v>
          </cell>
          <cell r="M8">
            <v>33939.002294215803</v>
          </cell>
          <cell r="N8">
            <v>49941.997705784197</v>
          </cell>
          <cell r="O8">
            <v>0</v>
          </cell>
          <cell r="Q8">
            <v>28419</v>
          </cell>
          <cell r="R8">
            <v>18087</v>
          </cell>
          <cell r="S8">
            <v>6912</v>
          </cell>
          <cell r="T8">
            <v>0</v>
          </cell>
          <cell r="U8">
            <v>11636</v>
          </cell>
          <cell r="V8">
            <v>41777</v>
          </cell>
        </row>
      </sheetData>
      <sheetData sheetId="27">
        <row r="20">
          <cell r="G20">
            <v>784735.03526547644</v>
          </cell>
          <cell r="I20">
            <v>351525.556317362</v>
          </cell>
          <cell r="J20">
            <v>309052.26501035294</v>
          </cell>
          <cell r="K20">
            <v>2847.29739952719</v>
          </cell>
          <cell r="N20">
            <v>259256350.61570126</v>
          </cell>
          <cell r="O20">
            <v>283277119</v>
          </cell>
          <cell r="Q20">
            <v>358407866.72635818</v>
          </cell>
          <cell r="R20">
            <v>316919380</v>
          </cell>
        </row>
        <row r="21">
          <cell r="G21">
            <v>41059.344555555377</v>
          </cell>
          <cell r="I21">
            <v>18360.1615269461</v>
          </cell>
          <cell r="J21">
            <v>20795.642339544502</v>
          </cell>
          <cell r="K21">
            <v>3846.2222222222199</v>
          </cell>
          <cell r="N21">
            <v>11549867.771739131</v>
          </cell>
          <cell r="O21">
            <v>12341249</v>
          </cell>
          <cell r="Q21">
            <v>17151034.178910978</v>
          </cell>
          <cell r="R21">
            <v>15628475</v>
          </cell>
        </row>
        <row r="22">
          <cell r="G22">
            <v>141426.22599999976</v>
          </cell>
          <cell r="I22">
            <v>8390.5323053892225</v>
          </cell>
          <cell r="J22">
            <v>8867.0329192546506</v>
          </cell>
          <cell r="K22">
            <v>0</v>
          </cell>
          <cell r="N22">
            <v>22016680</v>
          </cell>
          <cell r="O22">
            <v>12868951</v>
          </cell>
          <cell r="Q22">
            <v>35522014</v>
          </cell>
          <cell r="R22">
            <v>19281759</v>
          </cell>
        </row>
      </sheetData>
      <sheetData sheetId="28" refreshError="1"/>
      <sheetData sheetId="29" refreshError="1"/>
      <sheetData sheetId="30">
        <row r="25">
          <cell r="N25">
            <v>12</v>
          </cell>
        </row>
        <row r="30">
          <cell r="N30">
            <v>711775</v>
          </cell>
        </row>
        <row r="35">
          <cell r="B35">
            <v>695363</v>
          </cell>
          <cell r="C35">
            <v>1270367</v>
          </cell>
          <cell r="D35">
            <v>2046907</v>
          </cell>
          <cell r="L35">
            <v>880825</v>
          </cell>
          <cell r="M35">
            <v>587630</v>
          </cell>
          <cell r="N35">
            <v>5787707</v>
          </cell>
        </row>
        <row r="43">
          <cell r="N43">
            <v>0</v>
          </cell>
        </row>
        <row r="51">
          <cell r="N51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139955</v>
          </cell>
          <cell r="F60">
            <v>197461</v>
          </cell>
          <cell r="G60">
            <v>197461</v>
          </cell>
          <cell r="H60">
            <v>216675</v>
          </cell>
          <cell r="I60">
            <v>216675</v>
          </cell>
          <cell r="J60">
            <v>174672</v>
          </cell>
          <cell r="K60">
            <v>146560</v>
          </cell>
          <cell r="L60">
            <v>20896</v>
          </cell>
          <cell r="M60">
            <v>20896</v>
          </cell>
        </row>
        <row r="76">
          <cell r="B76">
            <v>3416537</v>
          </cell>
          <cell r="C76">
            <v>7884549</v>
          </cell>
          <cell r="D76">
            <v>14428842</v>
          </cell>
          <cell r="E76">
            <v>34520259</v>
          </cell>
          <cell r="F76">
            <v>67238226</v>
          </cell>
          <cell r="G76">
            <v>57819828</v>
          </cell>
          <cell r="H76">
            <v>66336899</v>
          </cell>
          <cell r="I76">
            <v>53386987</v>
          </cell>
          <cell r="J76">
            <v>43651267</v>
          </cell>
          <cell r="K76">
            <v>21107147</v>
          </cell>
          <cell r="L76">
            <v>7282212</v>
          </cell>
          <cell r="M76">
            <v>5393313</v>
          </cell>
        </row>
        <row r="78">
          <cell r="N78">
            <v>665084694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3">
          <cell r="J13">
            <v>-9826431</v>
          </cell>
        </row>
        <row r="14">
          <cell r="J14">
            <v>-5126</v>
          </cell>
        </row>
        <row r="15">
          <cell r="J15">
            <v>-351850</v>
          </cell>
        </row>
        <row r="16">
          <cell r="J16">
            <v>-132671</v>
          </cell>
        </row>
        <row r="17">
          <cell r="J17">
            <v>-8089</v>
          </cell>
        </row>
        <row r="18">
          <cell r="F18">
            <v>2978.0833333333298</v>
          </cell>
          <cell r="J18">
            <v>-4117</v>
          </cell>
        </row>
        <row r="19">
          <cell r="J19">
            <v>-134713</v>
          </cell>
        </row>
        <row r="20">
          <cell r="F20">
            <v>3</v>
          </cell>
          <cell r="J20">
            <v>-3</v>
          </cell>
        </row>
        <row r="38">
          <cell r="J38">
            <v>10317571</v>
          </cell>
        </row>
        <row r="39">
          <cell r="J39">
            <v>461124</v>
          </cell>
        </row>
        <row r="40">
          <cell r="J40">
            <v>12668</v>
          </cell>
        </row>
        <row r="41">
          <cell r="F41">
            <v>4333</v>
          </cell>
          <cell r="J41">
            <v>16986</v>
          </cell>
        </row>
        <row r="42">
          <cell r="J42">
            <v>2146313</v>
          </cell>
        </row>
        <row r="43">
          <cell r="J43">
            <v>1170215</v>
          </cell>
        </row>
        <row r="44">
          <cell r="J44">
            <v>46316</v>
          </cell>
        </row>
        <row r="45">
          <cell r="J45">
            <v>356</v>
          </cell>
        </row>
        <row r="46">
          <cell r="J46">
            <v>4045</v>
          </cell>
        </row>
        <row r="47">
          <cell r="J47">
            <v>35299</v>
          </cell>
        </row>
        <row r="48">
          <cell r="J48">
            <v>2483299</v>
          </cell>
        </row>
        <row r="49">
          <cell r="J49">
            <v>20796</v>
          </cell>
        </row>
        <row r="50">
          <cell r="F50">
            <v>2</v>
          </cell>
          <cell r="J50">
            <v>12</v>
          </cell>
        </row>
        <row r="68">
          <cell r="J68">
            <v>5953270</v>
          </cell>
        </row>
        <row r="69">
          <cell r="J69">
            <v>557487</v>
          </cell>
        </row>
        <row r="70">
          <cell r="J70">
            <v>26883</v>
          </cell>
        </row>
        <row r="71">
          <cell r="F71">
            <v>473.08333333333297</v>
          </cell>
          <cell r="J71">
            <v>10977</v>
          </cell>
        </row>
        <row r="72">
          <cell r="J72">
            <v>9213470</v>
          </cell>
        </row>
        <row r="73">
          <cell r="J73">
            <v>34270217</v>
          </cell>
        </row>
        <row r="74">
          <cell r="J74">
            <v>163384</v>
          </cell>
        </row>
        <row r="75">
          <cell r="J75">
            <v>175</v>
          </cell>
        </row>
        <row r="76">
          <cell r="J76">
            <v>137</v>
          </cell>
        </row>
        <row r="77">
          <cell r="J77">
            <v>31112</v>
          </cell>
        </row>
        <row r="78">
          <cell r="J78">
            <v>504873</v>
          </cell>
        </row>
        <row r="79">
          <cell r="J79">
            <v>88815</v>
          </cell>
        </row>
        <row r="100">
          <cell r="J100">
            <v>15131000</v>
          </cell>
        </row>
        <row r="117">
          <cell r="F117">
            <v>5.4166666666666696</v>
          </cell>
          <cell r="J117">
            <v>-114</v>
          </cell>
        </row>
        <row r="118">
          <cell r="F118">
            <v>816.66666666666697</v>
          </cell>
          <cell r="J118">
            <v>-154687</v>
          </cell>
        </row>
        <row r="119">
          <cell r="F119">
            <v>529.66666666666697</v>
          </cell>
          <cell r="J119">
            <v>-479191</v>
          </cell>
        </row>
        <row r="120">
          <cell r="F120">
            <v>99.5</v>
          </cell>
          <cell r="J120">
            <v>-15430</v>
          </cell>
        </row>
        <row r="121">
          <cell r="F121">
            <v>221.916666666667</v>
          </cell>
          <cell r="J121">
            <v>-49724</v>
          </cell>
        </row>
        <row r="122">
          <cell r="J122">
            <v>-10912</v>
          </cell>
        </row>
        <row r="123">
          <cell r="J123">
            <v>-27801</v>
          </cell>
        </row>
        <row r="124">
          <cell r="J124">
            <v>-7141</v>
          </cell>
        </row>
        <row r="143">
          <cell r="J143">
            <v>-1532071</v>
          </cell>
        </row>
        <row r="144">
          <cell r="J144">
            <v>-260929</v>
          </cell>
        </row>
      </sheetData>
      <sheetData sheetId="37">
        <row r="13">
          <cell r="F13">
            <v>1515669</v>
          </cell>
        </row>
        <row r="14">
          <cell r="F14">
            <v>774</v>
          </cell>
        </row>
        <row r="15">
          <cell r="F15">
            <v>53425</v>
          </cell>
        </row>
        <row r="16">
          <cell r="F16">
            <v>14724</v>
          </cell>
        </row>
        <row r="17">
          <cell r="F17">
            <v>986</v>
          </cell>
        </row>
        <row r="18">
          <cell r="F18">
            <v>1776</v>
          </cell>
        </row>
        <row r="19">
          <cell r="F19">
            <v>21646</v>
          </cell>
        </row>
        <row r="20">
          <cell r="F20">
            <v>0</v>
          </cell>
        </row>
        <row r="34">
          <cell r="N34">
            <v>33040.269999999997</v>
          </cell>
        </row>
        <row r="38">
          <cell r="F38">
            <v>2360642</v>
          </cell>
        </row>
        <row r="39">
          <cell r="F39">
            <v>145159</v>
          </cell>
        </row>
        <row r="40">
          <cell r="F40">
            <v>3135</v>
          </cell>
        </row>
        <row r="41">
          <cell r="F41">
            <v>11365</v>
          </cell>
        </row>
        <row r="42">
          <cell r="F42">
            <v>431146</v>
          </cell>
        </row>
        <row r="43">
          <cell r="F43">
            <v>180357</v>
          </cell>
        </row>
        <row r="44">
          <cell r="F44">
            <v>8228</v>
          </cell>
        </row>
        <row r="45">
          <cell r="F45">
            <v>91</v>
          </cell>
        </row>
        <row r="46">
          <cell r="F46">
            <v>1225</v>
          </cell>
        </row>
        <row r="47">
          <cell r="F47">
            <v>7086</v>
          </cell>
        </row>
        <row r="48">
          <cell r="F48">
            <v>673475</v>
          </cell>
        </row>
        <row r="49">
          <cell r="F49">
            <v>5088</v>
          </cell>
        </row>
        <row r="50">
          <cell r="F50">
            <v>3</v>
          </cell>
        </row>
        <row r="64">
          <cell r="N64">
            <v>2726577.8500000006</v>
          </cell>
        </row>
        <row r="68">
          <cell r="F68">
            <v>626751.43172999937</v>
          </cell>
        </row>
        <row r="69">
          <cell r="F69">
            <v>79501</v>
          </cell>
        </row>
        <row r="70">
          <cell r="F70">
            <v>2424</v>
          </cell>
        </row>
        <row r="71">
          <cell r="F71">
            <v>2950</v>
          </cell>
        </row>
        <row r="72">
          <cell r="F72">
            <v>821685</v>
          </cell>
        </row>
        <row r="73">
          <cell r="F73">
            <v>2192830</v>
          </cell>
        </row>
        <row r="74">
          <cell r="F74">
            <v>16320</v>
          </cell>
        </row>
        <row r="75">
          <cell r="F75">
            <v>25</v>
          </cell>
        </row>
        <row r="76">
          <cell r="F76">
            <v>38</v>
          </cell>
        </row>
        <row r="77">
          <cell r="F77">
            <v>4182</v>
          </cell>
        </row>
        <row r="78">
          <cell r="F78">
            <v>60712</v>
          </cell>
        </row>
        <row r="79">
          <cell r="F79">
            <v>10706</v>
          </cell>
        </row>
        <row r="96">
          <cell r="N96">
            <v>-5447.4699999999866</v>
          </cell>
        </row>
        <row r="100">
          <cell r="F100">
            <v>1579000</v>
          </cell>
        </row>
        <row r="113">
          <cell r="N113">
            <v>206563.33000000002</v>
          </cell>
        </row>
        <row r="117">
          <cell r="F117">
            <v>-29</v>
          </cell>
        </row>
        <row r="118">
          <cell r="F118">
            <v>-51241</v>
          </cell>
        </row>
        <row r="119">
          <cell r="F119">
            <v>-34370</v>
          </cell>
        </row>
        <row r="120">
          <cell r="F120">
            <v>-2370</v>
          </cell>
        </row>
        <row r="121">
          <cell r="F121">
            <v>-6893</v>
          </cell>
        </row>
        <row r="122">
          <cell r="F122">
            <v>-1040</v>
          </cell>
        </row>
        <row r="123">
          <cell r="F123">
            <v>-3427</v>
          </cell>
        </row>
        <row r="124">
          <cell r="F124">
            <v>-630</v>
          </cell>
        </row>
        <row r="139">
          <cell r="N139">
            <v>4661.6400000000003</v>
          </cell>
        </row>
        <row r="143">
          <cell r="F143">
            <v>-64590</v>
          </cell>
        </row>
        <row r="144">
          <cell r="F144">
            <v>-13410</v>
          </cell>
        </row>
        <row r="158">
          <cell r="N158">
            <v>0</v>
          </cell>
        </row>
      </sheetData>
      <sheetData sheetId="38" refreshError="1"/>
      <sheetData sheetId="39">
        <row r="5">
          <cell r="D5">
            <v>666547078.47147417</v>
          </cell>
          <cell r="E5">
            <v>632987565.39284372</v>
          </cell>
          <cell r="F5">
            <v>466578627.13858759</v>
          </cell>
          <cell r="G5">
            <v>419757481.34312493</v>
          </cell>
          <cell r="H5">
            <v>463623686.0209136</v>
          </cell>
          <cell r="I5">
            <v>562224512.61231697</v>
          </cell>
          <cell r="J5">
            <v>553909783.74608231</v>
          </cell>
          <cell r="K5">
            <v>459361733.02769649</v>
          </cell>
          <cell r="L5">
            <v>452586416.42364115</v>
          </cell>
          <cell r="M5">
            <v>398790216.476511</v>
          </cell>
          <cell r="N5">
            <v>411049890.88387066</v>
          </cell>
          <cell r="O5">
            <v>492297350.17696494</v>
          </cell>
          <cell r="P5">
            <v>5979714341.7140274</v>
          </cell>
        </row>
        <row r="6">
          <cell r="D6">
            <v>282032.48942550545</v>
          </cell>
          <cell r="E6">
            <v>260812.94095613871</v>
          </cell>
          <cell r="F6">
            <v>195515.74878560737</v>
          </cell>
          <cell r="G6">
            <v>182810.19227722636</v>
          </cell>
          <cell r="H6">
            <v>207395.66788651716</v>
          </cell>
          <cell r="I6">
            <v>257416.26198116606</v>
          </cell>
          <cell r="J6">
            <v>259112.12890553498</v>
          </cell>
          <cell r="K6">
            <v>227159.54952070201</v>
          </cell>
          <cell r="L6">
            <v>209850.53554753796</v>
          </cell>
          <cell r="M6">
            <v>184025.42525005445</v>
          </cell>
          <cell r="N6">
            <v>184935.19143156381</v>
          </cell>
          <cell r="O6">
            <v>214536.4783953306</v>
          </cell>
          <cell r="P6">
            <v>2665602.6103628851</v>
          </cell>
        </row>
        <row r="7">
          <cell r="D7">
            <v>23126621.155657899</v>
          </cell>
          <cell r="E7">
            <v>18479198.223026916</v>
          </cell>
          <cell r="F7">
            <v>12212089.383980203</v>
          </cell>
          <cell r="G7">
            <v>13260626.350183362</v>
          </cell>
          <cell r="H7">
            <v>15568188.153182536</v>
          </cell>
          <cell r="I7">
            <v>18923393.064325009</v>
          </cell>
          <cell r="J7">
            <v>19492675.653091542</v>
          </cell>
          <cell r="K7">
            <v>17197134.18312325</v>
          </cell>
          <cell r="L7">
            <v>17907850.459336866</v>
          </cell>
          <cell r="M7">
            <v>16558833.649089448</v>
          </cell>
          <cell r="N7">
            <v>16940514.124289516</v>
          </cell>
          <cell r="O7">
            <v>18791786.311568741</v>
          </cell>
          <cell r="P7">
            <v>208458910.71085531</v>
          </cell>
        </row>
        <row r="8">
          <cell r="D8">
            <v>7699415.3014507964</v>
          </cell>
          <cell r="E8">
            <v>7001408.5514951907</v>
          </cell>
          <cell r="F8">
            <v>6470135.1344458451</v>
          </cell>
          <cell r="N8">
            <v>6297397.3977184985</v>
          </cell>
          <cell r="O8">
            <v>6877337.5851670736</v>
          </cell>
          <cell r="P8">
            <v>82445641.0539857</v>
          </cell>
        </row>
        <row r="9">
          <cell r="D9">
            <v>22496.5</v>
          </cell>
          <cell r="E9">
            <v>20935.5</v>
          </cell>
          <cell r="F9">
            <v>23293</v>
          </cell>
          <cell r="G9">
            <v>25960</v>
          </cell>
          <cell r="H9">
            <v>30431</v>
          </cell>
          <cell r="I9">
            <v>30082</v>
          </cell>
          <cell r="J9">
            <v>39377</v>
          </cell>
          <cell r="K9">
            <v>37329</v>
          </cell>
          <cell r="L9">
            <v>31320</v>
          </cell>
          <cell r="M9">
            <v>38303</v>
          </cell>
          <cell r="N9">
            <v>24469</v>
          </cell>
          <cell r="O9">
            <v>17635.5</v>
          </cell>
          <cell r="P9">
            <v>341631.5</v>
          </cell>
        </row>
        <row r="10">
          <cell r="P10">
            <v>2715336</v>
          </cell>
        </row>
        <row r="11">
          <cell r="D11">
            <v>8730136.6437340304</v>
          </cell>
          <cell r="E11">
            <v>8990249.3898161501</v>
          </cell>
          <cell r="F11">
            <v>8823595.16050338</v>
          </cell>
          <cell r="G11">
            <v>8312854.0912845498</v>
          </cell>
          <cell r="H11">
            <v>8401968.0984766893</v>
          </cell>
          <cell r="I11">
            <v>10470491.7937744</v>
          </cell>
          <cell r="J11">
            <v>11303302.2538481</v>
          </cell>
          <cell r="K11">
            <v>10413257.410346899</v>
          </cell>
          <cell r="L11">
            <v>9960213.6193064004</v>
          </cell>
          <cell r="M11">
            <v>9189761.2201437596</v>
          </cell>
          <cell r="N11">
            <v>8537736.9950718209</v>
          </cell>
          <cell r="O11">
            <v>8893210.7623089794</v>
          </cell>
          <cell r="P11">
            <v>112026777.43861517</v>
          </cell>
        </row>
        <row r="12">
          <cell r="P12">
            <v>1740</v>
          </cell>
        </row>
        <row r="13">
          <cell r="D13">
            <v>959298.96825773804</v>
          </cell>
          <cell r="E13">
            <v>1050682.7568618699</v>
          </cell>
          <cell r="F13">
            <v>985472.42369740503</v>
          </cell>
          <cell r="G13">
            <v>880011.08243716403</v>
          </cell>
          <cell r="H13">
            <v>983068.09385951399</v>
          </cell>
          <cell r="I13">
            <v>1267843.55636635</v>
          </cell>
          <cell r="J13">
            <v>1478866.19793022</v>
          </cell>
          <cell r="K13">
            <v>1292299.0903183599</v>
          </cell>
          <cell r="L13">
            <v>1152686.63587069</v>
          </cell>
          <cell r="M13">
            <v>1031697.82834126</v>
          </cell>
          <cell r="N13">
            <v>955272.67261793104</v>
          </cell>
          <cell r="O13">
            <v>975795.66059491003</v>
          </cell>
          <cell r="P13">
            <v>13012994.967153413</v>
          </cell>
          <cell r="Q13">
            <v>0.96003468489976918</v>
          </cell>
        </row>
        <row r="17">
          <cell r="D17">
            <v>477268417.29391074</v>
          </cell>
          <cell r="E17">
            <v>474832852.76852936</v>
          </cell>
          <cell r="F17">
            <v>437685225.09857088</v>
          </cell>
          <cell r="N17">
            <v>420550107.69925147</v>
          </cell>
          <cell r="O17">
            <v>435240769.61843669</v>
          </cell>
          <cell r="P17">
            <v>5041746515.4625797</v>
          </cell>
        </row>
        <row r="18">
          <cell r="D18">
            <v>20012466.166967157</v>
          </cell>
          <cell r="E18">
            <v>19215515.807091516</v>
          </cell>
          <cell r="F18">
            <v>16929619.80479889</v>
          </cell>
          <cell r="G18">
            <v>16178194.615075184</v>
          </cell>
          <cell r="H18">
            <v>16426896.659182139</v>
          </cell>
          <cell r="I18">
            <v>20966034.837993961</v>
          </cell>
          <cell r="J18">
            <v>24250981.398714766</v>
          </cell>
          <cell r="K18">
            <v>20014448.802069172</v>
          </cell>
          <cell r="L18">
            <v>20762808.459698774</v>
          </cell>
          <cell r="M18">
            <v>16866371.860067196</v>
          </cell>
          <cell r="N18">
            <v>16563219.491382066</v>
          </cell>
          <cell r="O18">
            <v>15371370.447738547</v>
          </cell>
          <cell r="P18">
            <v>223557928.35077935</v>
          </cell>
        </row>
        <row r="19">
          <cell r="D19">
            <v>179960</v>
          </cell>
          <cell r="E19">
            <v>179960</v>
          </cell>
          <cell r="F19">
            <v>179960</v>
          </cell>
          <cell r="N19">
            <v>179960</v>
          </cell>
          <cell r="O19">
            <v>179960</v>
          </cell>
          <cell r="P19">
            <v>2159520</v>
          </cell>
        </row>
        <row r="20">
          <cell r="P20">
            <v>8401689.0497763921</v>
          </cell>
        </row>
        <row r="21">
          <cell r="P21">
            <v>1060935802.3347958</v>
          </cell>
        </row>
        <row r="22">
          <cell r="P22">
            <v>722032252.9218533</v>
          </cell>
        </row>
        <row r="23">
          <cell r="P23">
            <v>22236890.309603866</v>
          </cell>
        </row>
        <row r="24">
          <cell r="P24">
            <v>178752.31507283542</v>
          </cell>
        </row>
        <row r="25">
          <cell r="P25">
            <v>1966370.5169412778</v>
          </cell>
        </row>
        <row r="26">
          <cell r="P26">
            <v>16815898.231112525</v>
          </cell>
        </row>
        <row r="27">
          <cell r="D27">
            <v>118482429.29150294</v>
          </cell>
          <cell r="E27">
            <v>116553408.19297118</v>
          </cell>
          <cell r="F27">
            <v>102520279.22470967</v>
          </cell>
          <cell r="G27">
            <v>95606898.300547034</v>
          </cell>
          <cell r="H27">
            <v>91202645.531692475</v>
          </cell>
          <cell r="I27">
            <v>99933850.401724607</v>
          </cell>
          <cell r="J27">
            <v>105584769.00105044</v>
          </cell>
          <cell r="K27">
            <v>94914573.626278087</v>
          </cell>
          <cell r="L27">
            <v>100367322.11247957</v>
          </cell>
          <cell r="M27">
            <v>94371838.245543763</v>
          </cell>
          <cell r="N27">
            <v>98280048.486294076</v>
          </cell>
          <cell r="O27">
            <v>99610237.881567061</v>
          </cell>
          <cell r="P27">
            <v>1217428300.2963607</v>
          </cell>
        </row>
        <row r="28">
          <cell r="P28">
            <v>10009746.679295179</v>
          </cell>
        </row>
        <row r="29">
          <cell r="P29">
            <v>5996.6128294616919</v>
          </cell>
        </row>
        <row r="33">
          <cell r="D33">
            <v>60659716.890431002</v>
          </cell>
          <cell r="E33">
            <v>66740348.273146197</v>
          </cell>
          <cell r="F33">
            <v>63387845.224419601</v>
          </cell>
          <cell r="N33">
            <v>49982845.998170398</v>
          </cell>
          <cell r="O33">
            <v>52883329.256364599</v>
          </cell>
          <cell r="P33">
            <v>659614104.71786499</v>
          </cell>
        </row>
        <row r="34">
          <cell r="D34">
            <v>7746062.2778014168</v>
          </cell>
          <cell r="E34">
            <v>7760227.8745457716</v>
          </cell>
          <cell r="F34">
            <v>6669805.1446929667</v>
          </cell>
          <cell r="G34">
            <v>7028294.5510788057</v>
          </cell>
          <cell r="H34">
            <v>5105717.7321345862</v>
          </cell>
          <cell r="I34">
            <v>3917344.3308033119</v>
          </cell>
          <cell r="J34">
            <v>5548506.4703595275</v>
          </cell>
          <cell r="K34">
            <v>3993739.461102095</v>
          </cell>
          <cell r="L34">
            <v>4666664.3027626639</v>
          </cell>
          <cell r="M34">
            <v>4264270.9165676851</v>
          </cell>
          <cell r="N34">
            <v>5370101.2502488988</v>
          </cell>
          <cell r="O34">
            <v>6060805.6872885777</v>
          </cell>
          <cell r="P34">
            <v>68131539.999386311</v>
          </cell>
        </row>
        <row r="35">
          <cell r="D35">
            <v>145664.75</v>
          </cell>
          <cell r="E35">
            <v>145664.75</v>
          </cell>
          <cell r="F35">
            <v>145664.75</v>
          </cell>
          <cell r="N35">
            <v>145664.75</v>
          </cell>
          <cell r="O35">
            <v>145664.75</v>
          </cell>
          <cell r="P35">
            <v>1747977</v>
          </cell>
        </row>
        <row r="36">
          <cell r="P36">
            <v>1323905.5139613608</v>
          </cell>
        </row>
        <row r="37">
          <cell r="P37">
            <v>1126111523.2536118</v>
          </cell>
        </row>
        <row r="38">
          <cell r="P38">
            <v>4073302986.1892738</v>
          </cell>
        </row>
        <row r="39">
          <cell r="P39">
            <v>20353891.115869161</v>
          </cell>
        </row>
        <row r="40">
          <cell r="P40">
            <v>21171.276374305129</v>
          </cell>
        </row>
        <row r="41">
          <cell r="P41">
            <v>15170.951498279279</v>
          </cell>
        </row>
        <row r="42">
          <cell r="P42">
            <v>4048700.3377015879</v>
          </cell>
        </row>
        <row r="43">
          <cell r="D43">
            <v>5548217.7759605888</v>
          </cell>
          <cell r="E43">
            <v>5533925.9642319595</v>
          </cell>
          <cell r="F43">
            <v>4563998.546061282</v>
          </cell>
          <cell r="G43">
            <v>5234292.2742402777</v>
          </cell>
          <cell r="H43">
            <v>4321036.0196260177</v>
          </cell>
          <cell r="I43">
            <v>4845244.7702437993</v>
          </cell>
          <cell r="J43">
            <v>5747297.7365772324</v>
          </cell>
          <cell r="K43">
            <v>5237641.5295608016</v>
          </cell>
          <cell r="L43">
            <v>5714910.9614180382</v>
          </cell>
          <cell r="M43">
            <v>4776425.9720902983</v>
          </cell>
          <cell r="N43">
            <v>5257431.0748644182</v>
          </cell>
          <cell r="O43">
            <v>4652710.393584135</v>
          </cell>
          <cell r="P43">
            <v>61433133.018458851</v>
          </cell>
        </row>
        <row r="44">
          <cell r="P44">
            <v>3673000</v>
          </cell>
        </row>
        <row r="45">
          <cell r="P45">
            <v>535721170</v>
          </cell>
        </row>
        <row r="46">
          <cell r="P46">
            <v>851879400.00000012</v>
          </cell>
        </row>
        <row r="47">
          <cell r="P47">
            <v>621809333.25</v>
          </cell>
        </row>
        <row r="53">
          <cell r="P53">
            <v>189890000</v>
          </cell>
        </row>
        <row r="56">
          <cell r="P56">
            <v>0</v>
          </cell>
        </row>
        <row r="57">
          <cell r="P57">
            <v>16496197.391013095</v>
          </cell>
        </row>
        <row r="58">
          <cell r="P58">
            <v>49653569.797972836</v>
          </cell>
        </row>
        <row r="59">
          <cell r="P59">
            <v>1644139.7735008644</v>
          </cell>
        </row>
        <row r="60">
          <cell r="P60">
            <v>5219064.5578195509</v>
          </cell>
        </row>
        <row r="61">
          <cell r="P61">
            <v>1134325.3607299237</v>
          </cell>
        </row>
        <row r="62">
          <cell r="P62">
            <v>2877327.6896450492</v>
          </cell>
        </row>
        <row r="63">
          <cell r="P63">
            <v>705375.42931868089</v>
          </cell>
        </row>
        <row r="67">
          <cell r="P67">
            <v>232100301.65418002</v>
          </cell>
        </row>
        <row r="68">
          <cell r="P68">
            <v>42599698.345819965</v>
          </cell>
        </row>
      </sheetData>
      <sheetData sheetId="40">
        <row r="344">
          <cell r="C344">
            <v>-7025270</v>
          </cell>
        </row>
        <row r="345">
          <cell r="C345">
            <v>-56875415.000000007</v>
          </cell>
        </row>
        <row r="346">
          <cell r="C346">
            <v>-207057721.45870692</v>
          </cell>
        </row>
        <row r="347">
          <cell r="C347">
            <v>-1837838.9999999988</v>
          </cell>
        </row>
        <row r="348">
          <cell r="C348">
            <v>-19575091.257022023</v>
          </cell>
        </row>
        <row r="350">
          <cell r="C350">
            <v>-54301.999999999993</v>
          </cell>
        </row>
        <row r="351">
          <cell r="C351">
            <v>-41244</v>
          </cell>
        </row>
        <row r="352">
          <cell r="C352">
            <v>-18339.179905119527</v>
          </cell>
        </row>
        <row r="353">
          <cell r="C353">
            <v>-9611.9999999999945</v>
          </cell>
        </row>
        <row r="354">
          <cell r="C354">
            <v>-9604.5938957508588</v>
          </cell>
        </row>
        <row r="356">
          <cell r="C356">
            <v>-26009</v>
          </cell>
        </row>
        <row r="357">
          <cell r="C357">
            <v>-87876.179905119512</v>
          </cell>
        </row>
        <row r="359">
          <cell r="C359">
            <v>-5097305</v>
          </cell>
        </row>
        <row r="360">
          <cell r="C360">
            <v>-3505120.9999999995</v>
          </cell>
        </row>
        <row r="361">
          <cell r="C361">
            <v>-1189251.3662498787</v>
          </cell>
        </row>
        <row r="362">
          <cell r="C362">
            <v>-458460.99999999983</v>
          </cell>
        </row>
        <row r="363">
          <cell r="C363">
            <v>-385430.82028571342</v>
          </cell>
        </row>
        <row r="365">
          <cell r="C365">
            <v>-3238405.6035221182</v>
          </cell>
        </row>
        <row r="366">
          <cell r="C366">
            <v>-277402.57849634101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4">
          <cell r="C374">
            <v>-88631056.969697297</v>
          </cell>
        </row>
        <row r="375">
          <cell r="C375">
            <v>-7121335.0695568221</v>
          </cell>
        </row>
        <row r="377">
          <cell r="C377">
            <v>-1712596</v>
          </cell>
        </row>
        <row r="378">
          <cell r="C378">
            <v>-1806596.8185497276</v>
          </cell>
        </row>
        <row r="379">
          <cell r="C379">
            <v>-312624.00000000012</v>
          </cell>
        </row>
        <row r="380">
          <cell r="C380">
            <v>-301281.42937739962</v>
          </cell>
        </row>
        <row r="382">
          <cell r="C382">
            <v>0</v>
          </cell>
        </row>
        <row r="383">
          <cell r="C383">
            <v>0</v>
          </cell>
        </row>
        <row r="385">
          <cell r="C385">
            <v>-4984230</v>
          </cell>
        </row>
        <row r="386">
          <cell r="C386">
            <v>-743038</v>
          </cell>
        </row>
        <row r="387">
          <cell r="C387">
            <v>-13886941.605278561</v>
          </cell>
        </row>
        <row r="389">
          <cell r="C389">
            <v>-10103849</v>
          </cell>
        </row>
        <row r="390">
          <cell r="C390">
            <v>-11039995.686193725</v>
          </cell>
        </row>
        <row r="391">
          <cell r="C391">
            <v>-1163843.9999999995</v>
          </cell>
        </row>
        <row r="392">
          <cell r="C392">
            <v>-1029120.6257899225</v>
          </cell>
        </row>
        <row r="395">
          <cell r="C395">
            <v>-34604942.761988901</v>
          </cell>
        </row>
        <row r="396">
          <cell r="C396">
            <v>1855044.171175051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3">
          <cell r="C403">
            <v>0</v>
          </cell>
        </row>
        <row r="404">
          <cell r="C404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6">
          <cell r="C416">
            <v>-7481259.9999999991</v>
          </cell>
        </row>
        <row r="417">
          <cell r="C417">
            <v>-5451372.0178615944</v>
          </cell>
        </row>
        <row r="418">
          <cell r="C418">
            <v>-261309.00000000003</v>
          </cell>
        </row>
        <row r="419">
          <cell r="C419">
            <v>-990367.80468225677</v>
          </cell>
        </row>
        <row r="420">
          <cell r="C420">
            <v>-410809.32951656636</v>
          </cell>
        </row>
        <row r="421">
          <cell r="C421">
            <v>-39759.92730580904</v>
          </cell>
        </row>
        <row r="424">
          <cell r="C424">
            <v>-1016524</v>
          </cell>
        </row>
        <row r="425">
          <cell r="C425">
            <v>-10479.999999999989</v>
          </cell>
        </row>
        <row r="426">
          <cell r="C426">
            <v>-3253643.4011895629</v>
          </cell>
        </row>
        <row r="429">
          <cell r="C429">
            <v>-284148</v>
          </cell>
        </row>
        <row r="430">
          <cell r="C430">
            <v>-8742</v>
          </cell>
        </row>
        <row r="431">
          <cell r="C431">
            <v>-914903.18069142511</v>
          </cell>
        </row>
      </sheetData>
      <sheetData sheetId="41" refreshError="1"/>
      <sheetData sheetId="42" refreshError="1"/>
      <sheetData sheetId="43">
        <row r="29">
          <cell r="D29">
            <v>0.47668385758373333</v>
          </cell>
          <cell r="E29">
            <v>0.38910582787902581</v>
          </cell>
          <cell r="F29">
            <v>0.13421031452726023</v>
          </cell>
          <cell r="J29">
            <v>0.4862028531097371</v>
          </cell>
          <cell r="K29">
            <v>0.51379714696434098</v>
          </cell>
        </row>
        <row r="33">
          <cell r="D33">
            <v>0.50581445762238297</v>
          </cell>
          <cell r="E33">
            <v>0.35547194897536444</v>
          </cell>
          <cell r="F33">
            <v>0.13871359340225256</v>
          </cell>
          <cell r="J33">
            <v>0.49324372063458943</v>
          </cell>
          <cell r="K33">
            <v>0.50675627936541057</v>
          </cell>
        </row>
        <row r="36">
          <cell r="D36">
            <v>0.52971623083414199</v>
          </cell>
          <cell r="E36">
            <v>0.35631448975930297</v>
          </cell>
          <cell r="F36">
            <v>0.11396927940655499</v>
          </cell>
          <cell r="J36">
            <v>0.54327073054242669</v>
          </cell>
          <cell r="K36">
            <v>0.45672926945757109</v>
          </cell>
        </row>
      </sheetData>
      <sheetData sheetId="44" refreshError="1"/>
      <sheetData sheetId="45" refreshError="1"/>
      <sheetData sheetId="46">
        <row r="26">
          <cell r="D26">
            <v>56080.724214242531</v>
          </cell>
        </row>
      </sheetData>
      <sheetData sheetId="47" refreshError="1"/>
      <sheetData sheetId="48">
        <row r="17">
          <cell r="H17">
            <v>136697.7276641512</v>
          </cell>
          <cell r="J17">
            <v>6426620.6121676778</v>
          </cell>
          <cell r="K17">
            <v>7615844.6617447445</v>
          </cell>
          <cell r="L17">
            <v>442885.34154351393</v>
          </cell>
          <cell r="N17">
            <v>2289160676</v>
          </cell>
          <cell r="O17">
            <v>2770425110</v>
          </cell>
        </row>
        <row r="18">
          <cell r="H18">
            <v>13807.710656603736</v>
          </cell>
          <cell r="J18">
            <v>942120.1092975639</v>
          </cell>
          <cell r="K18">
            <v>1142434.0360467497</v>
          </cell>
          <cell r="L18">
            <v>203556.53151446235</v>
          </cell>
          <cell r="N18">
            <v>311077474</v>
          </cell>
          <cell r="O18">
            <v>358896661</v>
          </cell>
        </row>
        <row r="19">
          <cell r="H19">
            <v>2598.7043698113198</v>
          </cell>
          <cell r="J19">
            <v>91009.859265672028</v>
          </cell>
          <cell r="K19">
            <v>121796.21106967263</v>
          </cell>
          <cell r="L19">
            <v>22073.026904130402</v>
          </cell>
          <cell r="N19">
            <v>37106191</v>
          </cell>
          <cell r="O19">
            <v>51294172</v>
          </cell>
        </row>
        <row r="21">
          <cell r="H21">
            <v>372.80062641509397</v>
          </cell>
          <cell r="J21">
            <v>10708.86654732</v>
          </cell>
          <cell r="K21">
            <v>8208.5052483540294</v>
          </cell>
          <cell r="L21">
            <v>0</v>
          </cell>
          <cell r="N21">
            <v>3806728</v>
          </cell>
          <cell r="O21">
            <v>2404935</v>
          </cell>
        </row>
        <row r="22">
          <cell r="H22">
            <v>42.066475471698098</v>
          </cell>
          <cell r="J22">
            <v>4384.3421978411498</v>
          </cell>
          <cell r="K22">
            <v>2473.92297066422</v>
          </cell>
          <cell r="L22">
            <v>0</v>
          </cell>
          <cell r="N22">
            <v>1991278</v>
          </cell>
          <cell r="O22">
            <v>1035862</v>
          </cell>
        </row>
      </sheetData>
      <sheetData sheetId="49">
        <row r="11">
          <cell r="G11">
            <v>23004.544898113287</v>
          </cell>
          <cell r="H11">
            <v>705101.18585565209</v>
          </cell>
          <cell r="I11">
            <v>820612.22171428439</v>
          </cell>
          <cell r="J11">
            <v>22576.062651331762</v>
          </cell>
          <cell r="L11">
            <v>44207071</v>
          </cell>
          <cell r="M11">
            <v>46633537</v>
          </cell>
          <cell r="N11">
            <v>68886893</v>
          </cell>
          <cell r="O11">
            <v>66387579</v>
          </cell>
        </row>
        <row r="12">
          <cell r="G12">
            <v>3183.4019735849101</v>
          </cell>
          <cell r="H12">
            <v>194853.6893346482</v>
          </cell>
          <cell r="I12">
            <v>218088.99047618991</v>
          </cell>
          <cell r="J12">
            <v>15436.98516949148</v>
          </cell>
          <cell r="L12">
            <v>19410292</v>
          </cell>
          <cell r="M12">
            <v>14335918</v>
          </cell>
          <cell r="N12">
            <v>18099850</v>
          </cell>
          <cell r="O12">
            <v>10929569</v>
          </cell>
        </row>
        <row r="13">
          <cell r="G13">
            <v>226.166464150943</v>
          </cell>
          <cell r="H13">
            <v>5634.5233505585702</v>
          </cell>
          <cell r="I13">
            <v>7011.7395238095296</v>
          </cell>
          <cell r="J13">
            <v>0</v>
          </cell>
          <cell r="L13">
            <v>1093784</v>
          </cell>
          <cell r="M13">
            <v>1220200</v>
          </cell>
          <cell r="N13">
            <v>1517525</v>
          </cell>
          <cell r="O13">
            <v>1552470</v>
          </cell>
        </row>
      </sheetData>
      <sheetData sheetId="50">
        <row r="2">
          <cell r="C2">
            <v>1</v>
          </cell>
          <cell r="M2">
            <v>25460.301117171501</v>
          </cell>
        </row>
        <row r="3">
          <cell r="C3">
            <v>2</v>
          </cell>
          <cell r="M3">
            <v>7930.4007798640096</v>
          </cell>
        </row>
        <row r="4">
          <cell r="C4">
            <v>3</v>
          </cell>
          <cell r="M4">
            <v>1092.96747465472</v>
          </cell>
        </row>
        <row r="5">
          <cell r="C5">
            <v>4</v>
          </cell>
          <cell r="M5">
            <v>655.56873462712997</v>
          </cell>
        </row>
        <row r="6">
          <cell r="C6">
            <v>5</v>
          </cell>
          <cell r="M6">
            <v>12796.2043451425</v>
          </cell>
        </row>
        <row r="7">
          <cell r="C7">
            <v>6</v>
          </cell>
          <cell r="M7">
            <v>10348.733163283099</v>
          </cell>
        </row>
        <row r="8">
          <cell r="C8">
            <v>7</v>
          </cell>
          <cell r="M8">
            <v>1458.40042447992</v>
          </cell>
        </row>
        <row r="9">
          <cell r="C9">
            <v>8</v>
          </cell>
          <cell r="M9">
            <v>1800.28532342214</v>
          </cell>
        </row>
        <row r="10">
          <cell r="C10">
            <v>9</v>
          </cell>
          <cell r="M10">
            <v>42.999816715336699</v>
          </cell>
        </row>
        <row r="11">
          <cell r="C11">
            <v>10</v>
          </cell>
          <cell r="M11">
            <v>2446.8683754389899</v>
          </cell>
        </row>
        <row r="12">
          <cell r="C12">
            <v>11</v>
          </cell>
          <cell r="M12">
            <v>3428.57201931075</v>
          </cell>
        </row>
        <row r="13">
          <cell r="C13">
            <v>12</v>
          </cell>
          <cell r="M13">
            <v>934.13329263470996</v>
          </cell>
        </row>
        <row r="14">
          <cell r="C14">
            <v>13</v>
          </cell>
          <cell r="M14">
            <v>2035.87619534898</v>
          </cell>
        </row>
        <row r="15">
          <cell r="C15">
            <v>14</v>
          </cell>
          <cell r="M15">
            <v>3180.26769575041</v>
          </cell>
        </row>
        <row r="16">
          <cell r="C16">
            <v>15</v>
          </cell>
          <cell r="M16">
            <v>3691.9009274417999</v>
          </cell>
        </row>
        <row r="17">
          <cell r="C17">
            <v>16</v>
          </cell>
          <cell r="M17">
            <v>896.68171977362499</v>
          </cell>
        </row>
        <row r="18">
          <cell r="C18">
            <v>17</v>
          </cell>
          <cell r="M18">
            <v>1436.00305850009</v>
          </cell>
        </row>
        <row r="19">
          <cell r="C19">
            <v>18</v>
          </cell>
          <cell r="M19">
            <v>7395.6603491792803</v>
          </cell>
        </row>
        <row r="20">
          <cell r="C20">
            <v>19</v>
          </cell>
          <cell r="M20">
            <v>9388.2712584709407</v>
          </cell>
        </row>
        <row r="21">
          <cell r="C21">
            <v>21</v>
          </cell>
          <cell r="M21">
            <v>264.00013757281602</v>
          </cell>
        </row>
        <row r="22">
          <cell r="C22">
            <v>22</v>
          </cell>
          <cell r="M22">
            <v>71.999861419303201</v>
          </cell>
        </row>
        <row r="23">
          <cell r="C23">
            <v>23</v>
          </cell>
          <cell r="M23">
            <v>83.999640603960302</v>
          </cell>
        </row>
        <row r="24">
          <cell r="C24">
            <v>24</v>
          </cell>
          <cell r="M24">
            <v>288.00019658527998</v>
          </cell>
        </row>
        <row r="25">
          <cell r="C25">
            <v>25</v>
          </cell>
          <cell r="M25">
            <v>589.26597979714199</v>
          </cell>
        </row>
        <row r="26">
          <cell r="C26">
            <v>26</v>
          </cell>
          <cell r="M26">
            <v>23.999999609862002</v>
          </cell>
        </row>
        <row r="27">
          <cell r="C27">
            <v>27</v>
          </cell>
          <cell r="M27">
            <v>60.000000164945099</v>
          </cell>
        </row>
        <row r="28">
          <cell r="C28">
            <v>1</v>
          </cell>
          <cell r="M28">
            <v>3852.7721740951702</v>
          </cell>
        </row>
        <row r="29">
          <cell r="C29">
            <v>2</v>
          </cell>
          <cell r="M29">
            <v>1921.7147446771301</v>
          </cell>
        </row>
        <row r="30">
          <cell r="C30">
            <v>4</v>
          </cell>
          <cell r="M30">
            <v>36.000457222954601</v>
          </cell>
        </row>
        <row r="31">
          <cell r="C31">
            <v>5</v>
          </cell>
          <cell r="M31">
            <v>812.06329920553799</v>
          </cell>
        </row>
        <row r="32">
          <cell r="C32">
            <v>6</v>
          </cell>
          <cell r="M32">
            <v>659.00525300835704</v>
          </cell>
        </row>
        <row r="33">
          <cell r="C33">
            <v>7</v>
          </cell>
          <cell r="M33">
            <v>167.99959253509499</v>
          </cell>
        </row>
        <row r="34">
          <cell r="C34">
            <v>8</v>
          </cell>
          <cell r="M34">
            <v>156.00024533339899</v>
          </cell>
        </row>
        <row r="35">
          <cell r="C35">
            <v>10</v>
          </cell>
          <cell r="M35">
            <v>275.16659637587998</v>
          </cell>
        </row>
        <row r="36">
          <cell r="C36">
            <v>11</v>
          </cell>
          <cell r="M36">
            <v>252.00193319662901</v>
          </cell>
        </row>
        <row r="37">
          <cell r="C37">
            <v>12</v>
          </cell>
          <cell r="M37">
            <v>180.19993907639801</v>
          </cell>
        </row>
        <row r="38">
          <cell r="C38">
            <v>13</v>
          </cell>
          <cell r="M38">
            <v>94.233493452465098</v>
          </cell>
        </row>
        <row r="39">
          <cell r="C39">
            <v>14</v>
          </cell>
          <cell r="M39">
            <v>324.00050491934201</v>
          </cell>
        </row>
        <row r="40">
          <cell r="C40">
            <v>15</v>
          </cell>
          <cell r="M40">
            <v>143.96760613727699</v>
          </cell>
        </row>
        <row r="41">
          <cell r="C41">
            <v>16</v>
          </cell>
          <cell r="M41">
            <v>88.166816353886205</v>
          </cell>
        </row>
        <row r="42">
          <cell r="C42">
            <v>17</v>
          </cell>
          <cell r="M42">
            <v>7.7664728975602504</v>
          </cell>
        </row>
        <row r="43">
          <cell r="C43">
            <v>18</v>
          </cell>
          <cell r="M43">
            <v>1732.0211280564399</v>
          </cell>
        </row>
        <row r="44">
          <cell r="C44">
            <v>19</v>
          </cell>
          <cell r="M44">
            <v>1342.27501532938</v>
          </cell>
        </row>
        <row r="45">
          <cell r="C45">
            <v>22</v>
          </cell>
          <cell r="M45">
            <v>36</v>
          </cell>
        </row>
        <row r="46">
          <cell r="C46">
            <v>23</v>
          </cell>
          <cell r="M46">
            <v>12</v>
          </cell>
        </row>
        <row r="47">
          <cell r="C47">
            <v>24</v>
          </cell>
          <cell r="M47">
            <v>168.00003731788399</v>
          </cell>
        </row>
        <row r="48">
          <cell r="C48">
            <v>25</v>
          </cell>
          <cell r="M48">
            <v>36.000057732762301</v>
          </cell>
        </row>
        <row r="49">
          <cell r="C49">
            <v>1</v>
          </cell>
          <cell r="M49">
            <v>11.1667023163374</v>
          </cell>
        </row>
        <row r="50">
          <cell r="C50">
            <v>2</v>
          </cell>
          <cell r="M50">
            <v>19.999936422620198</v>
          </cell>
        </row>
        <row r="51">
          <cell r="C51">
            <v>5</v>
          </cell>
          <cell r="M51">
            <v>18.000244802635699</v>
          </cell>
        </row>
        <row r="52">
          <cell r="C52">
            <v>7</v>
          </cell>
          <cell r="M52">
            <v>12.000389290968901</v>
          </cell>
        </row>
        <row r="53">
          <cell r="C53">
            <v>8</v>
          </cell>
          <cell r="M53">
            <v>40.000012912284099</v>
          </cell>
        </row>
        <row r="54">
          <cell r="C54">
            <v>9</v>
          </cell>
          <cell r="M54">
            <v>4.9999508096307999</v>
          </cell>
        </row>
        <row r="55">
          <cell r="C55">
            <v>10</v>
          </cell>
          <cell r="M55">
            <v>4.99994157961157</v>
          </cell>
        </row>
        <row r="56">
          <cell r="C56">
            <v>12</v>
          </cell>
          <cell r="M56">
            <v>4.9999268916778403</v>
          </cell>
        </row>
        <row r="57">
          <cell r="C57">
            <v>13</v>
          </cell>
          <cell r="M57">
            <v>20.0001500149794</v>
          </cell>
        </row>
        <row r="58">
          <cell r="C58">
            <v>1</v>
          </cell>
          <cell r="M58">
            <v>15453.9827722966</v>
          </cell>
        </row>
        <row r="59">
          <cell r="C59">
            <v>2</v>
          </cell>
          <cell r="M59">
            <v>815.73341838080398</v>
          </cell>
        </row>
        <row r="60">
          <cell r="C60">
            <v>3</v>
          </cell>
          <cell r="M60">
            <v>2490.20029514832</v>
          </cell>
        </row>
        <row r="61">
          <cell r="C61">
            <v>4</v>
          </cell>
          <cell r="M61">
            <v>1059.50350259482</v>
          </cell>
        </row>
        <row r="62">
          <cell r="C62">
            <v>5</v>
          </cell>
          <cell r="M62">
            <v>9773.9925908626392</v>
          </cell>
        </row>
        <row r="63">
          <cell r="C63">
            <v>6</v>
          </cell>
          <cell r="M63">
            <v>12142.050116189001</v>
          </cell>
        </row>
        <row r="64">
          <cell r="C64">
            <v>7</v>
          </cell>
          <cell r="M64">
            <v>1010.2004579831799</v>
          </cell>
        </row>
        <row r="65">
          <cell r="C65">
            <v>8</v>
          </cell>
          <cell r="M65">
            <v>593.53423522240098</v>
          </cell>
        </row>
        <row r="66">
          <cell r="C66">
            <v>9</v>
          </cell>
          <cell r="M66">
            <v>72.167719617590905</v>
          </cell>
        </row>
        <row r="67">
          <cell r="C67">
            <v>10</v>
          </cell>
          <cell r="M67">
            <v>384.79922391038298</v>
          </cell>
        </row>
        <row r="68">
          <cell r="C68">
            <v>11</v>
          </cell>
          <cell r="M68">
            <v>468.00021573289598</v>
          </cell>
        </row>
        <row r="69">
          <cell r="C69">
            <v>12</v>
          </cell>
          <cell r="M69">
            <v>116.999709307386</v>
          </cell>
        </row>
        <row r="70">
          <cell r="C70">
            <v>13</v>
          </cell>
          <cell r="M70">
            <v>312.200383171856</v>
          </cell>
        </row>
        <row r="71">
          <cell r="C71">
            <v>14</v>
          </cell>
          <cell r="M71">
            <v>1139.29848002684</v>
          </cell>
        </row>
        <row r="72">
          <cell r="C72">
            <v>15</v>
          </cell>
          <cell r="M72">
            <v>1123.56958395941</v>
          </cell>
        </row>
        <row r="73">
          <cell r="C73">
            <v>16</v>
          </cell>
          <cell r="M73">
            <v>108.500512350413</v>
          </cell>
        </row>
        <row r="74">
          <cell r="C74">
            <v>17</v>
          </cell>
          <cell r="M74">
            <v>120.000100351163</v>
          </cell>
        </row>
        <row r="75">
          <cell r="C75">
            <v>18</v>
          </cell>
          <cell r="M75">
            <v>456.00049285950502</v>
          </cell>
        </row>
        <row r="76">
          <cell r="C76">
            <v>19</v>
          </cell>
          <cell r="M76">
            <v>912.13405916219403</v>
          </cell>
        </row>
        <row r="77">
          <cell r="C77">
            <v>29</v>
          </cell>
          <cell r="M77">
            <v>23.967394119533299</v>
          </cell>
        </row>
        <row r="80">
          <cell r="N80">
            <v>8360327.718259478</v>
          </cell>
        </row>
        <row r="81">
          <cell r="N81">
            <v>1239069.4789407332</v>
          </cell>
        </row>
        <row r="82">
          <cell r="N82">
            <v>12000.528553761847</v>
          </cell>
        </row>
        <row r="83">
          <cell r="N83">
            <v>2743082.8990126764</v>
          </cell>
        </row>
      </sheetData>
      <sheetData sheetId="51">
        <row r="9">
          <cell r="G9">
            <v>1898.0072531769254</v>
          </cell>
          <cell r="H9">
            <v>2339299.3793056016</v>
          </cell>
          <cell r="J9">
            <v>995440.9162569535</v>
          </cell>
          <cell r="K9">
            <v>1272672.964916633</v>
          </cell>
          <cell r="L9">
            <v>866806.45035625109</v>
          </cell>
          <cell r="N9">
            <v>128130412</v>
          </cell>
          <cell r="O9">
            <v>292168230</v>
          </cell>
          <cell r="P9">
            <v>632159275</v>
          </cell>
        </row>
        <row r="10">
          <cell r="G10">
            <v>1346.0682600195555</v>
          </cell>
          <cell r="H10">
            <v>2428030.4529028451</v>
          </cell>
          <cell r="J10">
            <v>1001438.0159779356</v>
          </cell>
          <cell r="K10">
            <v>1354600.3193869151</v>
          </cell>
          <cell r="L10">
            <v>1156540.7571944082</v>
          </cell>
          <cell r="N10">
            <v>123083875</v>
          </cell>
          <cell r="O10">
            <v>300932000</v>
          </cell>
          <cell r="P10">
            <v>613463800</v>
          </cell>
        </row>
      </sheetData>
      <sheetData sheetId="52">
        <row r="9">
          <cell r="G9">
            <v>337.20001327433619</v>
          </cell>
          <cell r="H9">
            <v>1134676.568861976</v>
          </cell>
          <cell r="J9">
            <v>475031.00168397703</v>
          </cell>
          <cell r="K9">
            <v>609917.76302143803</v>
          </cell>
          <cell r="M9">
            <v>62591313</v>
          </cell>
          <cell r="N9">
            <v>158269180</v>
          </cell>
          <cell r="O9">
            <v>352961750</v>
          </cell>
        </row>
        <row r="10">
          <cell r="G10">
            <v>1437.1875298672562</v>
          </cell>
          <cell r="H10">
            <v>6851428.6998298494</v>
          </cell>
          <cell r="J10">
            <v>2796053.0126190241</v>
          </cell>
          <cell r="K10">
            <v>3948349.691860985</v>
          </cell>
          <cell r="M10">
            <v>384156551</v>
          </cell>
          <cell r="N10">
            <v>1055168888</v>
          </cell>
          <cell r="O10">
            <v>2419660800</v>
          </cell>
        </row>
        <row r="11">
          <cell r="G11">
            <v>23.999979351032501</v>
          </cell>
          <cell r="H11">
            <v>502358.99699729797</v>
          </cell>
          <cell r="J11">
            <v>211007</v>
          </cell>
          <cell r="K11">
            <v>276269.000660608</v>
          </cell>
          <cell r="M11">
            <v>26374703</v>
          </cell>
          <cell r="N11">
            <v>76879370</v>
          </cell>
          <cell r="O11">
            <v>155817219</v>
          </cell>
        </row>
      </sheetData>
      <sheetData sheetId="53">
        <row r="7">
          <cell r="G7">
            <v>24.000003687315601</v>
          </cell>
          <cell r="H7">
            <v>76393.996747072393</v>
          </cell>
          <cell r="J7">
            <v>10665600</v>
          </cell>
          <cell r="K7">
            <v>12045600</v>
          </cell>
        </row>
        <row r="8">
          <cell r="G8">
            <v>84.13329277286131</v>
          </cell>
          <cell r="H8">
            <v>146338.24211790631</v>
          </cell>
          <cell r="J8">
            <v>12078200</v>
          </cell>
          <cell r="K8">
            <v>6319580</v>
          </cell>
        </row>
      </sheetData>
      <sheetData sheetId="54">
        <row r="15">
          <cell r="J15">
            <v>6.1478181818181898</v>
          </cell>
        </row>
        <row r="16">
          <cell r="J16">
            <v>2705.9897058823508</v>
          </cell>
        </row>
        <row r="17">
          <cell r="L17">
            <v>12239.252637362708</v>
          </cell>
          <cell r="M17">
            <v>5733.7065384615134</v>
          </cell>
          <cell r="N17">
            <v>418002.11517055839</v>
          </cell>
          <cell r="O17">
            <v>13002.90956951718</v>
          </cell>
          <cell r="Q17">
            <v>61215793</v>
          </cell>
          <cell r="T17">
            <v>93684765</v>
          </cell>
          <cell r="U17">
            <v>68265292</v>
          </cell>
        </row>
        <row r="18">
          <cell r="J18">
            <v>5</v>
          </cell>
        </row>
        <row r="19">
          <cell r="J19">
            <v>248.904117647059</v>
          </cell>
        </row>
        <row r="20">
          <cell r="L20">
            <v>1112.336208791213</v>
          </cell>
          <cell r="M20">
            <v>554.67543956043926</v>
          </cell>
          <cell r="N20">
            <v>48487.952936442278</v>
          </cell>
          <cell r="O20">
            <v>1339.431588132637</v>
          </cell>
          <cell r="Q20">
            <v>7214392</v>
          </cell>
          <cell r="R20">
            <v>3003016</v>
          </cell>
          <cell r="S20">
            <v>11381561</v>
          </cell>
        </row>
      </sheetData>
      <sheetData sheetId="55">
        <row r="2">
          <cell r="B2">
            <v>42</v>
          </cell>
          <cell r="L2">
            <v>34631.758679456099</v>
          </cell>
        </row>
        <row r="3">
          <cell r="B3">
            <v>43</v>
          </cell>
          <cell r="L3">
            <v>217949.44919421201</v>
          </cell>
        </row>
        <row r="4">
          <cell r="B4">
            <v>44</v>
          </cell>
          <cell r="L4">
            <v>131.99916509682799</v>
          </cell>
        </row>
        <row r="5">
          <cell r="B5">
            <v>45</v>
          </cell>
          <cell r="L5">
            <v>21081.424778109598</v>
          </cell>
        </row>
        <row r="6">
          <cell r="B6">
            <v>46</v>
          </cell>
          <cell r="L6">
            <v>96.100079288545999</v>
          </cell>
        </row>
        <row r="7">
          <cell r="B7">
            <v>47</v>
          </cell>
          <cell r="L7">
            <v>26083.377865614799</v>
          </cell>
        </row>
        <row r="8">
          <cell r="B8">
            <v>48</v>
          </cell>
          <cell r="L8">
            <v>11.9998818206004</v>
          </cell>
        </row>
        <row r="9">
          <cell r="B9">
            <v>49</v>
          </cell>
          <cell r="L9">
            <v>11364.575808797001</v>
          </cell>
        </row>
        <row r="10">
          <cell r="B10">
            <v>50</v>
          </cell>
          <cell r="L10">
            <v>12.000105687821801</v>
          </cell>
        </row>
        <row r="11">
          <cell r="B11">
            <v>51</v>
          </cell>
          <cell r="L11">
            <v>407.80011404936499</v>
          </cell>
        </row>
        <row r="12">
          <cell r="B12">
            <v>52</v>
          </cell>
          <cell r="L12">
            <v>2412.0002478849601</v>
          </cell>
        </row>
        <row r="13">
          <cell r="B13">
            <v>53</v>
          </cell>
          <cell r="L13">
            <v>1247.9999936731199</v>
          </cell>
        </row>
        <row r="14">
          <cell r="B14">
            <v>54</v>
          </cell>
          <cell r="L14">
            <v>60.100225656849098</v>
          </cell>
        </row>
        <row r="15">
          <cell r="B15">
            <v>55</v>
          </cell>
          <cell r="L15">
            <v>882.80299316901505</v>
          </cell>
        </row>
        <row r="16">
          <cell r="B16">
            <v>57</v>
          </cell>
          <cell r="L16">
            <v>126.432780983016</v>
          </cell>
        </row>
        <row r="17">
          <cell r="B17">
            <v>58</v>
          </cell>
          <cell r="L17">
            <v>384.19996254031201</v>
          </cell>
        </row>
        <row r="18">
          <cell r="B18">
            <v>59</v>
          </cell>
          <cell r="L18">
            <v>36.000106076153102</v>
          </cell>
        </row>
        <row r="19">
          <cell r="B19">
            <v>61</v>
          </cell>
          <cell r="L19">
            <v>41.066679083628202</v>
          </cell>
        </row>
        <row r="20">
          <cell r="B20">
            <v>63</v>
          </cell>
          <cell r="L20">
            <v>599.99987599210203</v>
          </cell>
        </row>
        <row r="21">
          <cell r="B21">
            <v>64</v>
          </cell>
          <cell r="L21">
            <v>1592.29414996389</v>
          </cell>
        </row>
        <row r="22">
          <cell r="B22">
            <v>65</v>
          </cell>
          <cell r="L22">
            <v>363.70592587201099</v>
          </cell>
        </row>
        <row r="23">
          <cell r="B23">
            <v>66</v>
          </cell>
          <cell r="L23">
            <v>3267.5546208955998</v>
          </cell>
        </row>
        <row r="24">
          <cell r="B24">
            <v>67</v>
          </cell>
          <cell r="L24">
            <v>9119.3955596477208</v>
          </cell>
        </row>
        <row r="25">
          <cell r="B25">
            <v>68</v>
          </cell>
          <cell r="L25">
            <v>185.142342094545</v>
          </cell>
        </row>
        <row r="26">
          <cell r="B26">
            <v>69</v>
          </cell>
          <cell r="L26">
            <v>992.62004408404198</v>
          </cell>
        </row>
        <row r="27">
          <cell r="B27">
            <v>71</v>
          </cell>
          <cell r="L27">
            <v>144.00007750908</v>
          </cell>
        </row>
        <row r="28">
          <cell r="B28">
            <v>72</v>
          </cell>
          <cell r="L28">
            <v>31.895282119600001</v>
          </cell>
        </row>
        <row r="29">
          <cell r="B29">
            <v>73</v>
          </cell>
          <cell r="L29">
            <v>161.04379703877601</v>
          </cell>
        </row>
        <row r="30">
          <cell r="B30">
            <v>74</v>
          </cell>
          <cell r="L30">
            <v>160.52629277174799</v>
          </cell>
        </row>
        <row r="31">
          <cell r="B31">
            <v>75</v>
          </cell>
          <cell r="L31">
            <v>24.000055367786501</v>
          </cell>
        </row>
        <row r="32">
          <cell r="B32">
            <v>76</v>
          </cell>
          <cell r="L32">
            <v>11.9999870525851</v>
          </cell>
        </row>
        <row r="33">
          <cell r="B33">
            <v>77</v>
          </cell>
          <cell r="L33">
            <v>60.402472701314103</v>
          </cell>
        </row>
        <row r="35">
          <cell r="M35">
            <v>16436738.855048295</v>
          </cell>
        </row>
      </sheetData>
      <sheetData sheetId="56">
        <row r="2">
          <cell r="C2">
            <v>24</v>
          </cell>
          <cell r="M2">
            <v>0</v>
          </cell>
        </row>
        <row r="3">
          <cell r="C3">
            <v>25</v>
          </cell>
          <cell r="M3">
            <v>1897.6787012514901</v>
          </cell>
        </row>
        <row r="4">
          <cell r="C4">
            <v>26</v>
          </cell>
          <cell r="M4">
            <v>106050.349726776</v>
          </cell>
        </row>
        <row r="5">
          <cell r="C5">
            <v>27</v>
          </cell>
          <cell r="M5">
            <v>163021.40618326701</v>
          </cell>
        </row>
        <row r="6">
          <cell r="C6">
            <v>28</v>
          </cell>
          <cell r="M6">
            <v>137723.94153601001</v>
          </cell>
        </row>
        <row r="7">
          <cell r="C7">
            <v>29</v>
          </cell>
          <cell r="M7">
            <v>49512.169743532002</v>
          </cell>
        </row>
        <row r="8">
          <cell r="C8">
            <v>30</v>
          </cell>
          <cell r="M8">
            <v>67208.516650595397</v>
          </cell>
        </row>
        <row r="9">
          <cell r="C9">
            <v>31</v>
          </cell>
          <cell r="M9">
            <v>7858.0177598288801</v>
          </cell>
        </row>
        <row r="10">
          <cell r="C10">
            <v>32</v>
          </cell>
          <cell r="M10">
            <v>24</v>
          </cell>
        </row>
        <row r="11">
          <cell r="C11">
            <v>33</v>
          </cell>
          <cell r="M11">
            <v>4233.9344262295099</v>
          </cell>
        </row>
        <row r="12">
          <cell r="C12">
            <v>34</v>
          </cell>
          <cell r="M12">
            <v>6749.6025122548999</v>
          </cell>
        </row>
        <row r="13">
          <cell r="C13">
            <v>35</v>
          </cell>
          <cell r="M13">
            <v>56542.701210396197</v>
          </cell>
        </row>
        <row r="14">
          <cell r="C14">
            <v>36</v>
          </cell>
          <cell r="M14">
            <v>19293.6548586643</v>
          </cell>
        </row>
        <row r="15">
          <cell r="C15">
            <v>37</v>
          </cell>
          <cell r="M15">
            <v>28995.554014814501</v>
          </cell>
        </row>
        <row r="16">
          <cell r="C16">
            <v>38</v>
          </cell>
          <cell r="M16">
            <v>28619.4198210211</v>
          </cell>
        </row>
        <row r="17">
          <cell r="C17">
            <v>39</v>
          </cell>
          <cell r="M17">
            <v>443.99971536282499</v>
          </cell>
        </row>
        <row r="18">
          <cell r="C18">
            <v>40</v>
          </cell>
          <cell r="M18">
            <v>48.000838709677403</v>
          </cell>
        </row>
        <row r="19">
          <cell r="C19">
            <v>41</v>
          </cell>
          <cell r="M19">
            <v>117.735540304439</v>
          </cell>
        </row>
        <row r="20">
          <cell r="C20">
            <v>45</v>
          </cell>
          <cell r="M20">
            <v>4281.0465686274501</v>
          </cell>
        </row>
        <row r="21">
          <cell r="C21">
            <v>46</v>
          </cell>
          <cell r="M21">
            <v>2176.5032645034398</v>
          </cell>
        </row>
        <row r="22">
          <cell r="C22">
            <v>47</v>
          </cell>
          <cell r="M22">
            <v>482.42098614143202</v>
          </cell>
        </row>
        <row r="23">
          <cell r="C23">
            <v>48</v>
          </cell>
          <cell r="M23">
            <v>522.13643528038699</v>
          </cell>
        </row>
        <row r="24">
          <cell r="C24">
            <v>49</v>
          </cell>
          <cell r="M24">
            <v>5373.6312258064499</v>
          </cell>
        </row>
        <row r="25">
          <cell r="C25">
            <v>50</v>
          </cell>
          <cell r="M25">
            <v>9374.9711500974699</v>
          </cell>
        </row>
        <row r="26">
          <cell r="C26">
            <v>52</v>
          </cell>
          <cell r="M26">
            <v>6239.2058823529396</v>
          </cell>
        </row>
        <row r="27">
          <cell r="C27">
            <v>54</v>
          </cell>
          <cell r="M27">
            <v>17512.5647058824</v>
          </cell>
        </row>
        <row r="28">
          <cell r="C28">
            <v>55</v>
          </cell>
          <cell r="M28">
            <v>5516.2233635929297</v>
          </cell>
        </row>
        <row r="29">
          <cell r="C29">
            <v>57</v>
          </cell>
          <cell r="M29">
            <v>481.33316897204998</v>
          </cell>
        </row>
        <row r="30">
          <cell r="C30">
            <v>58</v>
          </cell>
          <cell r="M30">
            <v>1013.49978367748</v>
          </cell>
        </row>
        <row r="31">
          <cell r="C31">
            <v>59</v>
          </cell>
          <cell r="M31">
            <v>72</v>
          </cell>
        </row>
        <row r="32">
          <cell r="C32">
            <v>63</v>
          </cell>
          <cell r="M32">
            <v>2337.2903225806399</v>
          </cell>
        </row>
        <row r="33">
          <cell r="C33">
            <v>69</v>
          </cell>
          <cell r="M33">
            <v>1660.8019859813101</v>
          </cell>
        </row>
        <row r="34">
          <cell r="C34">
            <v>70</v>
          </cell>
          <cell r="M34">
            <v>2840.5854874750098</v>
          </cell>
        </row>
        <row r="35">
          <cell r="C35">
            <v>72</v>
          </cell>
          <cell r="M35">
            <v>665</v>
          </cell>
        </row>
        <row r="36">
          <cell r="C36">
            <v>73</v>
          </cell>
          <cell r="M36">
            <v>802.79661016949103</v>
          </cell>
        </row>
        <row r="37">
          <cell r="C37">
            <v>78</v>
          </cell>
          <cell r="M37">
            <v>27.5987261146497</v>
          </cell>
        </row>
        <row r="38">
          <cell r="C38">
            <v>81</v>
          </cell>
          <cell r="M38">
            <v>2557.0416666666702</v>
          </cell>
        </row>
        <row r="39">
          <cell r="C39">
            <v>82</v>
          </cell>
          <cell r="M39">
            <v>47.036036036036002</v>
          </cell>
        </row>
        <row r="40">
          <cell r="C40">
            <v>83</v>
          </cell>
          <cell r="M40">
            <v>206.65741935483899</v>
          </cell>
        </row>
        <row r="41">
          <cell r="C41">
            <v>84</v>
          </cell>
          <cell r="M41">
            <v>1485.03184713376</v>
          </cell>
        </row>
        <row r="42">
          <cell r="C42">
            <v>85</v>
          </cell>
          <cell r="M42">
            <v>54.774965190754699</v>
          </cell>
        </row>
        <row r="43">
          <cell r="C43">
            <v>86</v>
          </cell>
          <cell r="M43">
            <v>84.002460375013001</v>
          </cell>
        </row>
        <row r="44">
          <cell r="C44">
            <v>87</v>
          </cell>
          <cell r="M44">
            <v>49.131309216192903</v>
          </cell>
        </row>
        <row r="45">
          <cell r="C45">
            <v>88</v>
          </cell>
          <cell r="M45">
            <v>1411.41297019842</v>
          </cell>
        </row>
        <row r="46">
          <cell r="C46">
            <v>89</v>
          </cell>
          <cell r="M46">
            <v>1276.6866012436799</v>
          </cell>
        </row>
        <row r="47">
          <cell r="C47">
            <v>90</v>
          </cell>
          <cell r="M47">
            <v>48.000875912408802</v>
          </cell>
        </row>
        <row r="48">
          <cell r="C48">
            <v>91</v>
          </cell>
          <cell r="M48">
            <v>20887.4958567879</v>
          </cell>
        </row>
        <row r="49">
          <cell r="C49">
            <v>92</v>
          </cell>
          <cell r="M49">
            <v>2598.4811274876602</v>
          </cell>
        </row>
        <row r="50">
          <cell r="C50">
            <v>93</v>
          </cell>
          <cell r="M50">
            <v>3310.00069963852</v>
          </cell>
        </row>
        <row r="51">
          <cell r="C51">
            <v>95</v>
          </cell>
          <cell r="M51">
            <v>84.001716261578494</v>
          </cell>
        </row>
        <row r="52">
          <cell r="C52">
            <v>96</v>
          </cell>
          <cell r="M52">
            <v>336.00199063817001</v>
          </cell>
        </row>
        <row r="53">
          <cell r="C53">
            <v>97</v>
          </cell>
          <cell r="M53">
            <v>7.7329192546583903</v>
          </cell>
        </row>
        <row r="54">
          <cell r="C54">
            <v>98</v>
          </cell>
          <cell r="M54">
            <v>255</v>
          </cell>
        </row>
        <row r="55">
          <cell r="C55">
            <v>99</v>
          </cell>
          <cell r="M55">
            <v>612</v>
          </cell>
        </row>
        <row r="56">
          <cell r="C56">
            <v>101</v>
          </cell>
          <cell r="M56">
            <v>85.342096721843603</v>
          </cell>
        </row>
        <row r="57">
          <cell r="C57">
            <v>102</v>
          </cell>
          <cell r="M57">
            <v>94.595317725752494</v>
          </cell>
        </row>
        <row r="58">
          <cell r="C58">
            <v>103</v>
          </cell>
          <cell r="M58">
            <v>14798.7747747748</v>
          </cell>
        </row>
        <row r="59">
          <cell r="C59">
            <v>104</v>
          </cell>
          <cell r="M59">
            <v>1021.63847878506</v>
          </cell>
        </row>
        <row r="60">
          <cell r="C60">
            <v>105</v>
          </cell>
          <cell r="M60">
            <v>162.60305343511499</v>
          </cell>
        </row>
        <row r="61">
          <cell r="C61">
            <v>106</v>
          </cell>
          <cell r="M61">
            <v>112.101694915254</v>
          </cell>
        </row>
        <row r="62">
          <cell r="C62">
            <v>107</v>
          </cell>
          <cell r="M62">
            <v>35.999218800025602</v>
          </cell>
        </row>
        <row r="63">
          <cell r="C63">
            <v>109</v>
          </cell>
          <cell r="M63">
            <v>113.102040816327</v>
          </cell>
        </row>
        <row r="64">
          <cell r="C64">
            <v>112</v>
          </cell>
          <cell r="M64">
            <v>33.931726907630498</v>
          </cell>
        </row>
        <row r="65">
          <cell r="C65">
            <v>113</v>
          </cell>
          <cell r="M65">
            <v>17.272727272727298</v>
          </cell>
        </row>
        <row r="66">
          <cell r="C66">
            <v>114</v>
          </cell>
          <cell r="M66">
            <v>11.336734693877601</v>
          </cell>
        </row>
        <row r="67">
          <cell r="C67">
            <v>116</v>
          </cell>
          <cell r="M67">
            <v>265.26640926640903</v>
          </cell>
        </row>
        <row r="68">
          <cell r="C68">
            <v>118</v>
          </cell>
          <cell r="M68">
            <v>134.40073529411799</v>
          </cell>
        </row>
        <row r="69">
          <cell r="C69">
            <v>119</v>
          </cell>
          <cell r="M69">
            <v>46.131147540983598</v>
          </cell>
        </row>
        <row r="70">
          <cell r="C70">
            <v>120</v>
          </cell>
          <cell r="M70">
            <v>70.345291479820602</v>
          </cell>
        </row>
        <row r="71">
          <cell r="C71">
            <v>121</v>
          </cell>
          <cell r="M71">
            <v>697.004184100418</v>
          </cell>
        </row>
        <row r="72">
          <cell r="C72">
            <v>122</v>
          </cell>
          <cell r="M72">
            <v>280.60040160642598</v>
          </cell>
        </row>
        <row r="74">
          <cell r="N74">
            <v>50907472.282911919</v>
          </cell>
        </row>
        <row r="75">
          <cell r="N75">
            <v>10313587.2584714</v>
          </cell>
        </row>
      </sheetData>
      <sheetData sheetId="57">
        <row r="2">
          <cell r="B2">
            <v>5</v>
          </cell>
          <cell r="L2">
            <v>36.000436350055601</v>
          </cell>
        </row>
        <row r="3">
          <cell r="B3">
            <v>7</v>
          </cell>
          <cell r="L3">
            <v>12.000041003772299</v>
          </cell>
        </row>
        <row r="4">
          <cell r="B4">
            <v>11</v>
          </cell>
          <cell r="L4">
            <v>42.034242707857999</v>
          </cell>
        </row>
        <row r="5">
          <cell r="B5">
            <v>19</v>
          </cell>
          <cell r="L5">
            <v>95.999915301790296</v>
          </cell>
        </row>
        <row r="6">
          <cell r="B6">
            <v>21</v>
          </cell>
          <cell r="L6">
            <v>4268.1193209775302</v>
          </cell>
        </row>
        <row r="7">
          <cell r="B7">
            <v>23</v>
          </cell>
          <cell r="L7">
            <v>14662.5657349134</v>
          </cell>
        </row>
        <row r="8">
          <cell r="B8">
            <v>25</v>
          </cell>
          <cell r="L8">
            <v>1256.98820773289</v>
          </cell>
        </row>
        <row r="9">
          <cell r="B9">
            <v>27</v>
          </cell>
          <cell r="L9">
            <v>2404.51601943473</v>
          </cell>
        </row>
        <row r="10">
          <cell r="B10">
            <v>29</v>
          </cell>
          <cell r="L10">
            <v>1963.5984619163801</v>
          </cell>
        </row>
        <row r="11">
          <cell r="B11">
            <v>31</v>
          </cell>
          <cell r="L11">
            <v>1186.25577910536</v>
          </cell>
        </row>
        <row r="12">
          <cell r="B12">
            <v>33</v>
          </cell>
          <cell r="L12">
            <v>722.78184805093895</v>
          </cell>
        </row>
        <row r="13">
          <cell r="B13">
            <v>35</v>
          </cell>
          <cell r="L13">
            <v>879.85103801486798</v>
          </cell>
        </row>
        <row r="14">
          <cell r="B14">
            <v>37</v>
          </cell>
          <cell r="L14">
            <v>96.0000314988811</v>
          </cell>
        </row>
        <row r="16">
          <cell r="M16">
            <v>1641492.9922078296</v>
          </cell>
        </row>
      </sheetData>
      <sheetData sheetId="58">
        <row r="2">
          <cell r="B2">
            <v>1</v>
          </cell>
          <cell r="L2">
            <v>77.266452732262195</v>
          </cell>
        </row>
        <row r="3">
          <cell r="B3">
            <v>3</v>
          </cell>
          <cell r="L3">
            <v>92.000075248639604</v>
          </cell>
        </row>
        <row r="4">
          <cell r="B4">
            <v>9</v>
          </cell>
          <cell r="L4">
            <v>48.000815721171698</v>
          </cell>
        </row>
        <row r="5">
          <cell r="B5">
            <v>11</v>
          </cell>
          <cell r="L5">
            <v>552.16802197802201</v>
          </cell>
        </row>
        <row r="6">
          <cell r="B6">
            <v>15</v>
          </cell>
          <cell r="L6">
            <v>141.51535135092701</v>
          </cell>
        </row>
        <row r="7">
          <cell r="B7">
            <v>22</v>
          </cell>
          <cell r="L7">
            <v>35021.818591495299</v>
          </cell>
        </row>
        <row r="8">
          <cell r="B8">
            <v>25</v>
          </cell>
          <cell r="L8">
            <v>15818.6701003094</v>
          </cell>
        </row>
        <row r="9">
          <cell r="B9">
            <v>27</v>
          </cell>
          <cell r="L9">
            <v>2578.7681841242402</v>
          </cell>
        </row>
        <row r="10">
          <cell r="B10">
            <v>31</v>
          </cell>
          <cell r="L10">
            <v>5667.95357850866</v>
          </cell>
        </row>
        <row r="11">
          <cell r="B11">
            <v>33</v>
          </cell>
          <cell r="L11">
            <v>10253.4562067562</v>
          </cell>
        </row>
        <row r="12">
          <cell r="B12">
            <v>37</v>
          </cell>
          <cell r="L12">
            <v>1636.3094026937999</v>
          </cell>
        </row>
        <row r="13">
          <cell r="B13">
            <v>39</v>
          </cell>
          <cell r="L13">
            <v>523.95083572259205</v>
          </cell>
        </row>
        <row r="14">
          <cell r="B14">
            <v>41</v>
          </cell>
          <cell r="L14">
            <v>550.30053725002301</v>
          </cell>
        </row>
        <row r="15">
          <cell r="B15">
            <v>47</v>
          </cell>
          <cell r="L15">
            <v>83.999718823384001</v>
          </cell>
        </row>
        <row r="16">
          <cell r="B16">
            <v>65</v>
          </cell>
          <cell r="L16">
            <v>8922.3612526591805</v>
          </cell>
        </row>
        <row r="17">
          <cell r="B17">
            <v>66</v>
          </cell>
          <cell r="L17">
            <v>808.41067183054997</v>
          </cell>
        </row>
        <row r="18">
          <cell r="B18">
            <v>67</v>
          </cell>
          <cell r="L18">
            <v>144.59918562605401</v>
          </cell>
        </row>
        <row r="19">
          <cell r="B19">
            <v>68</v>
          </cell>
          <cell r="L19">
            <v>159.272427658032</v>
          </cell>
        </row>
        <row r="20">
          <cell r="B20">
            <v>69</v>
          </cell>
          <cell r="L20">
            <v>710.72033046316903</v>
          </cell>
        </row>
        <row r="21">
          <cell r="B21">
            <v>70</v>
          </cell>
          <cell r="L21">
            <v>227.99940995001199</v>
          </cell>
        </row>
        <row r="22">
          <cell r="B22">
            <v>71</v>
          </cell>
          <cell r="L22">
            <v>6106.4204136751396</v>
          </cell>
        </row>
        <row r="23">
          <cell r="B23">
            <v>72</v>
          </cell>
          <cell r="L23">
            <v>677.19172797419697</v>
          </cell>
        </row>
        <row r="25">
          <cell r="M25">
            <v>5281294.2784323357</v>
          </cell>
        </row>
      </sheetData>
      <sheetData sheetId="59">
        <row r="2">
          <cell r="G2">
            <v>422.30716249832801</v>
          </cell>
          <cell r="H2">
            <v>0</v>
          </cell>
          <cell r="I2">
            <v>5248.2274193548401</v>
          </cell>
          <cell r="J2">
            <v>19668.647338079201</v>
          </cell>
          <cell r="K2">
            <v>17308989</v>
          </cell>
        </row>
        <row r="3">
          <cell r="G3">
            <v>7</v>
          </cell>
          <cell r="H3">
            <v>0</v>
          </cell>
          <cell r="I3">
            <v>84</v>
          </cell>
          <cell r="J3">
            <v>145</v>
          </cell>
          <cell r="K3">
            <v>15477</v>
          </cell>
        </row>
        <row r="4">
          <cell r="G4">
            <v>54.928760609105701</v>
          </cell>
          <cell r="H4">
            <v>0</v>
          </cell>
          <cell r="I4">
            <v>690.13387096774204</v>
          </cell>
          <cell r="J4">
            <v>1113.76953234908</v>
          </cell>
          <cell r="K4">
            <v>758510</v>
          </cell>
        </row>
      </sheetData>
      <sheetData sheetId="60">
        <row r="13">
          <cell r="G13">
            <v>9742.8159103601665</v>
          </cell>
          <cell r="H13">
            <v>2157973.5322858691</v>
          </cell>
        </row>
        <row r="14">
          <cell r="G14">
            <v>131.96309090909099</v>
          </cell>
          <cell r="H14">
            <v>19659</v>
          </cell>
        </row>
        <row r="15">
          <cell r="G15">
            <v>19732.716494397722</v>
          </cell>
          <cell r="H15">
            <v>4111805.57103203</v>
          </cell>
        </row>
      </sheetData>
      <sheetData sheetId="61">
        <row r="7">
          <cell r="H7">
            <v>35.999947163947198</v>
          </cell>
          <cell r="I7">
            <v>9426.0034639865989</v>
          </cell>
          <cell r="K7">
            <v>366742</v>
          </cell>
          <cell r="L7">
            <v>0</v>
          </cell>
        </row>
        <row r="8">
          <cell r="H8">
            <v>23.999992229992198</v>
          </cell>
          <cell r="I8">
            <v>41396.999745393594</v>
          </cell>
          <cell r="M8">
            <v>2302472</v>
          </cell>
          <cell r="N8">
            <v>834121</v>
          </cell>
        </row>
      </sheetData>
      <sheetData sheetId="62">
        <row r="2">
          <cell r="I2">
            <v>24.000017312020301</v>
          </cell>
          <cell r="J2">
            <v>39600.000966995998</v>
          </cell>
          <cell r="K2">
            <v>16400</v>
          </cell>
          <cell r="M2">
            <v>199762.02717439301</v>
          </cell>
          <cell r="N2">
            <v>24759.982010712301</v>
          </cell>
          <cell r="O2">
            <v>30.967607533779201</v>
          </cell>
          <cell r="Q2">
            <v>0</v>
          </cell>
          <cell r="R2">
            <v>16400</v>
          </cell>
          <cell r="S2">
            <v>16400</v>
          </cell>
          <cell r="U2">
            <v>1064405</v>
          </cell>
          <cell r="V2">
            <v>4008522</v>
          </cell>
          <cell r="W2">
            <v>5124703</v>
          </cell>
        </row>
        <row r="3">
          <cell r="I3">
            <v>11.999990252883499</v>
          </cell>
          <cell r="J3">
            <v>218999.99833246501</v>
          </cell>
          <cell r="K3">
            <v>0</v>
          </cell>
          <cell r="M3">
            <v>485543.99320932699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U3">
            <v>672000</v>
          </cell>
          <cell r="V3">
            <v>3710000</v>
          </cell>
          <cell r="W3">
            <v>5619000</v>
          </cell>
        </row>
        <row r="4">
          <cell r="I4">
            <v>11.999990252883499</v>
          </cell>
          <cell r="J4">
            <v>73800.003074517997</v>
          </cell>
          <cell r="K4">
            <v>103445.00135121599</v>
          </cell>
          <cell r="M4">
            <v>215106.00527439601</v>
          </cell>
          <cell r="N4">
            <v>0</v>
          </cell>
          <cell r="O4">
            <v>0</v>
          </cell>
          <cell r="Q4">
            <v>49554</v>
          </cell>
          <cell r="R4">
            <v>50143.999635145403</v>
          </cell>
          <cell r="U4">
            <v>7739292</v>
          </cell>
          <cell r="V4">
            <v>9614888</v>
          </cell>
          <cell r="W4">
            <v>26768587</v>
          </cell>
        </row>
        <row r="13">
          <cell r="N13">
            <v>80678.006818276903</v>
          </cell>
          <cell r="O13">
            <v>24759.982010712301</v>
          </cell>
          <cell r="P13">
            <v>0</v>
          </cell>
        </row>
        <row r="14">
          <cell r="N14">
            <v>119084.020356116</v>
          </cell>
          <cell r="O14">
            <v>0</v>
          </cell>
          <cell r="P14">
            <v>30.967607533779201</v>
          </cell>
        </row>
        <row r="15">
          <cell r="N15">
            <v>177572.990476512</v>
          </cell>
        </row>
        <row r="16">
          <cell r="N16">
            <v>307971.00273281499</v>
          </cell>
        </row>
        <row r="17">
          <cell r="N17">
            <v>175501.988010862</v>
          </cell>
        </row>
        <row r="18">
          <cell r="N18">
            <v>39604.017263533897</v>
          </cell>
        </row>
      </sheetData>
      <sheetData sheetId="63">
        <row r="2">
          <cell r="K2">
            <v>207.301674444139</v>
          </cell>
          <cell r="L2">
            <v>6011.74855888004</v>
          </cell>
        </row>
        <row r="3">
          <cell r="K3">
            <v>60.178899082568797</v>
          </cell>
          <cell r="L3">
            <v>1745.1880733945</v>
          </cell>
        </row>
      </sheetData>
      <sheetData sheetId="64" refreshError="1"/>
      <sheetData sheetId="65">
        <row r="2">
          <cell r="B2" t="str">
            <v>Base Period 12 Months Ending June 2013</v>
          </cell>
        </row>
        <row r="3">
          <cell r="B3" t="str">
            <v>Forecast Test Period 12 Months Ending June 2015</v>
          </cell>
        </row>
      </sheetData>
      <sheetData sheetId="66" refreshError="1"/>
      <sheetData sheetId="67">
        <row r="7">
          <cell r="N7">
            <v>1041000</v>
          </cell>
        </row>
        <row r="14">
          <cell r="N14">
            <v>260217147</v>
          </cell>
        </row>
        <row r="15">
          <cell r="N15">
            <v>327407853</v>
          </cell>
        </row>
      </sheetData>
      <sheetData sheetId="68">
        <row r="39">
          <cell r="O39">
            <v>968926440</v>
          </cell>
        </row>
        <row r="41">
          <cell r="O41">
            <v>42690898.946400009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(2)"/>
      <sheetName val="GLSU UPLD int corr"/>
      <sheetName val="Cover"/>
      <sheetName val="GLSU UPLD"/>
      <sheetName val="Recap"/>
      <sheetName val="UT Lifeline "/>
      <sheetName val="GLSU UPLD Reclass"/>
      <sheetName val="UT Lifeline  rev"/>
      <sheetName val="UT Lifeline"/>
      <sheetName val="UT Lifeline -old"/>
    </sheetNames>
    <sheetDataSet>
      <sheetData sheetId="0"/>
      <sheetData sheetId="1"/>
      <sheetData sheetId="2"/>
      <sheetData sheetId="3"/>
      <sheetData sheetId="4">
        <row r="9">
          <cell r="C9">
            <v>-49746.62</v>
          </cell>
        </row>
        <row r="10">
          <cell r="C10">
            <v>-155090.97</v>
          </cell>
        </row>
        <row r="11">
          <cell r="C11">
            <v>-164084.78</v>
          </cell>
        </row>
        <row r="12">
          <cell r="C12">
            <v>-157134.47999999998</v>
          </cell>
        </row>
        <row r="15">
          <cell r="C15">
            <v>-157395.98000000001</v>
          </cell>
        </row>
        <row r="16">
          <cell r="C16">
            <v>-154513.18000000002</v>
          </cell>
        </row>
        <row r="17">
          <cell r="C17">
            <v>-159380.24000000002</v>
          </cell>
        </row>
        <row r="18">
          <cell r="C18">
            <v>-155632.22</v>
          </cell>
        </row>
        <row r="19">
          <cell r="C19">
            <v>-159152.26999999999</v>
          </cell>
        </row>
        <row r="20">
          <cell r="C20">
            <v>-155511.50000000003</v>
          </cell>
        </row>
        <row r="21">
          <cell r="C21">
            <v>-150459.75</v>
          </cell>
        </row>
        <row r="22">
          <cell r="C22">
            <v>-159203.79999999999</v>
          </cell>
        </row>
        <row r="23">
          <cell r="C23">
            <v>-159673.66999999998</v>
          </cell>
        </row>
        <row r="24">
          <cell r="C24">
            <v>-159560.14000000001</v>
          </cell>
        </row>
        <row r="25">
          <cell r="C25">
            <v>-160988.94</v>
          </cell>
        </row>
        <row r="26">
          <cell r="C26">
            <v>-148605.51999999999</v>
          </cell>
        </row>
        <row r="29">
          <cell r="C29">
            <v>-167389.08999999997</v>
          </cell>
        </row>
        <row r="30">
          <cell r="C30">
            <v>-164721.43000000002</v>
          </cell>
        </row>
        <row r="31">
          <cell r="C31">
            <v>-160253.21</v>
          </cell>
        </row>
        <row r="32">
          <cell r="C32">
            <v>-159303.25000000003</v>
          </cell>
        </row>
        <row r="33">
          <cell r="C33">
            <v>-162806.68999999997</v>
          </cell>
        </row>
        <row r="34">
          <cell r="C34">
            <v>-160707.19999999998</v>
          </cell>
        </row>
        <row r="35">
          <cell r="C35">
            <v>-165340.01999999999</v>
          </cell>
        </row>
        <row r="36">
          <cell r="C36">
            <v>-145713.58999999997</v>
          </cell>
        </row>
        <row r="37">
          <cell r="C37">
            <v>-165301.5</v>
          </cell>
        </row>
        <row r="38">
          <cell r="C38">
            <v>-163272.95999999999</v>
          </cell>
        </row>
        <row r="39">
          <cell r="C39">
            <v>-165975.41000000003</v>
          </cell>
        </row>
        <row r="40">
          <cell r="C40">
            <v>-162213.44</v>
          </cell>
        </row>
        <row r="43">
          <cell r="C43">
            <v>-165297.97</v>
          </cell>
        </row>
        <row r="44">
          <cell r="C44">
            <v>-164645.09</v>
          </cell>
        </row>
        <row r="45">
          <cell r="C45">
            <v>-162639.47</v>
          </cell>
        </row>
        <row r="46">
          <cell r="C46">
            <v>-162386.75999999998</v>
          </cell>
        </row>
        <row r="47">
          <cell r="C47">
            <v>-162320.03</v>
          </cell>
        </row>
        <row r="48">
          <cell r="C48">
            <v>-164132.22</v>
          </cell>
        </row>
        <row r="49">
          <cell r="C49">
            <v>-167563.44999999998</v>
          </cell>
        </row>
        <row r="50">
          <cell r="C50">
            <v>-163024.75999999998</v>
          </cell>
        </row>
        <row r="51">
          <cell r="C51">
            <v>-173356.6</v>
          </cell>
        </row>
        <row r="52">
          <cell r="C52">
            <v>-164424.14000000001</v>
          </cell>
        </row>
        <row r="53">
          <cell r="C53">
            <v>-167928.2</v>
          </cell>
        </row>
        <row r="54">
          <cell r="C54">
            <v>-165253.16</v>
          </cell>
        </row>
        <row r="57">
          <cell r="C57">
            <v>-167262.65</v>
          </cell>
        </row>
        <row r="58">
          <cell r="C58">
            <v>-169880.69000000003</v>
          </cell>
        </row>
        <row r="59">
          <cell r="C59">
            <v>-168433.30000000002</v>
          </cell>
        </row>
        <row r="60">
          <cell r="C60">
            <v>-167989.27000000002</v>
          </cell>
        </row>
        <row r="62">
          <cell r="C62">
            <v>-171959.16</v>
          </cell>
        </row>
        <row r="63">
          <cell r="C63">
            <v>-171087.02000000002</v>
          </cell>
        </row>
        <row r="64">
          <cell r="C64">
            <v>-173840.59999999995</v>
          </cell>
        </row>
        <row r="65">
          <cell r="C65">
            <v>-171255.64999999997</v>
          </cell>
        </row>
        <row r="66">
          <cell r="C66">
            <v>-174612.00999999998</v>
          </cell>
        </row>
        <row r="67">
          <cell r="C67">
            <v>-174568.75</v>
          </cell>
        </row>
        <row r="247">
          <cell r="C247">
            <v>32</v>
          </cell>
        </row>
        <row r="248">
          <cell r="C248">
            <v>1302.6099999999999</v>
          </cell>
        </row>
        <row r="249">
          <cell r="C249">
            <v>7845.67</v>
          </cell>
        </row>
        <row r="252">
          <cell r="C252">
            <v>36351.31</v>
          </cell>
        </row>
        <row r="253">
          <cell r="C253">
            <v>93482.89</v>
          </cell>
        </row>
        <row r="254">
          <cell r="C254">
            <v>118377.69</v>
          </cell>
        </row>
        <row r="255">
          <cell r="C255">
            <v>134926.39000000001</v>
          </cell>
        </row>
        <row r="256">
          <cell r="C256">
            <v>139913.75</v>
          </cell>
        </row>
        <row r="257">
          <cell r="C257">
            <v>135652.12</v>
          </cell>
        </row>
        <row r="258">
          <cell r="C258">
            <v>131372.34</v>
          </cell>
        </row>
        <row r="259">
          <cell r="C259">
            <v>125204.29</v>
          </cell>
        </row>
        <row r="260">
          <cell r="C260">
            <v>119798.57</v>
          </cell>
        </row>
        <row r="261">
          <cell r="C261">
            <v>115325.4</v>
          </cell>
        </row>
        <row r="262">
          <cell r="C262">
            <v>109457.88</v>
          </cell>
        </row>
        <row r="272">
          <cell r="D272">
            <v>109918.64</v>
          </cell>
        </row>
        <row r="273">
          <cell r="D273">
            <v>128490.13</v>
          </cell>
        </row>
        <row r="274">
          <cell r="D274">
            <v>130973.94</v>
          </cell>
        </row>
        <row r="275">
          <cell r="D275">
            <v>124574.76</v>
          </cell>
        </row>
        <row r="276">
          <cell r="D276">
            <v>119891.86</v>
          </cell>
        </row>
        <row r="277">
          <cell r="D277">
            <v>125815.98</v>
          </cell>
        </row>
        <row r="280">
          <cell r="D280">
            <v>143076.22</v>
          </cell>
        </row>
        <row r="281">
          <cell r="D281">
            <v>159474.85999999999</v>
          </cell>
        </row>
        <row r="282">
          <cell r="D282">
            <v>170804.38</v>
          </cell>
        </row>
        <row r="283">
          <cell r="D283">
            <v>181174.69</v>
          </cell>
        </row>
        <row r="284">
          <cell r="D284">
            <v>186196.43</v>
          </cell>
        </row>
        <row r="285">
          <cell r="D285">
            <v>170378.1</v>
          </cell>
        </row>
        <row r="286">
          <cell r="D286">
            <v>140299.42000000001</v>
          </cell>
        </row>
        <row r="287">
          <cell r="D287">
            <v>133100.70000000001</v>
          </cell>
        </row>
        <row r="288">
          <cell r="D288">
            <v>128883.98</v>
          </cell>
        </row>
        <row r="289">
          <cell r="D289">
            <v>121799.77</v>
          </cell>
        </row>
        <row r="290">
          <cell r="D290">
            <v>122627.8</v>
          </cell>
        </row>
        <row r="291">
          <cell r="D291">
            <v>128207.54</v>
          </cell>
        </row>
        <row r="294">
          <cell r="D294">
            <v>138532.20000000001</v>
          </cell>
        </row>
        <row r="295">
          <cell r="D295">
            <v>157770.76999999999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tabSelected="1" workbookViewId="0">
      <selection activeCell="B28" sqref="B28"/>
    </sheetView>
  </sheetViews>
  <sheetFormatPr defaultRowHeight="15"/>
  <cols>
    <col min="1" max="1" width="9.140625" style="275"/>
    <col min="2" max="2" width="17.85546875" style="275" customWidth="1"/>
    <col min="3" max="18" width="15.7109375" style="275" customWidth="1"/>
    <col min="19" max="16384" width="9.140625" style="275"/>
  </cols>
  <sheetData>
    <row r="1" spans="2:17">
      <c r="B1" s="275" t="s">
        <v>554</v>
      </c>
    </row>
    <row r="2" spans="2:17">
      <c r="I2" s="276" t="s">
        <v>250</v>
      </c>
      <c r="J2" s="276" t="s">
        <v>557</v>
      </c>
    </row>
    <row r="3" spans="2:17" s="276" customFormat="1">
      <c r="D3" s="276">
        <v>2010</v>
      </c>
      <c r="E3" s="276">
        <v>2011</v>
      </c>
      <c r="F3" s="276">
        <v>2012</v>
      </c>
      <c r="G3" s="276">
        <v>2013</v>
      </c>
      <c r="H3" s="276">
        <v>2014</v>
      </c>
      <c r="I3" s="276">
        <v>2015</v>
      </c>
      <c r="J3" s="276" t="s">
        <v>558</v>
      </c>
    </row>
    <row r="4" spans="2:17">
      <c r="D4" s="276"/>
      <c r="E4" s="276"/>
      <c r="F4" s="276" t="s">
        <v>66</v>
      </c>
      <c r="G4" s="276"/>
      <c r="H4" s="276"/>
      <c r="I4" s="276"/>
    </row>
    <row r="7" spans="2:17">
      <c r="B7" s="275" t="s">
        <v>49</v>
      </c>
      <c r="D7" s="277">
        <v>27268</v>
      </c>
      <c r="E7" s="277">
        <v>29860</v>
      </c>
      <c r="F7" s="277">
        <v>32452</v>
      </c>
      <c r="G7" s="277">
        <v>27840</v>
      </c>
      <c r="H7" s="277">
        <v>25961</v>
      </c>
      <c r="I7" s="282">
        <v>24667.11</v>
      </c>
      <c r="J7" s="277">
        <f>I7</f>
        <v>24667.11</v>
      </c>
      <c r="K7" s="288"/>
      <c r="M7" s="288"/>
      <c r="N7" s="288"/>
      <c r="O7" s="288"/>
      <c r="P7" s="288"/>
      <c r="Q7" s="288"/>
    </row>
    <row r="8" spans="2:17">
      <c r="B8" s="275" t="s">
        <v>50</v>
      </c>
      <c r="D8" s="277">
        <v>29218</v>
      </c>
      <c r="E8" s="277">
        <v>29629</v>
      </c>
      <c r="F8" s="277">
        <v>33941</v>
      </c>
      <c r="G8" s="277">
        <v>29223</v>
      </c>
      <c r="H8" s="277">
        <v>27390</v>
      </c>
      <c r="I8" s="282">
        <v>25931.41</v>
      </c>
      <c r="J8" s="277">
        <f t="shared" ref="J8:J18" si="0">I8</f>
        <v>25931.41</v>
      </c>
      <c r="K8" s="288"/>
      <c r="M8" s="288"/>
      <c r="N8" s="288"/>
      <c r="O8" s="288"/>
      <c r="P8" s="288"/>
      <c r="Q8" s="288"/>
    </row>
    <row r="9" spans="2:17">
      <c r="B9" s="275" t="s">
        <v>51</v>
      </c>
      <c r="D9" s="277">
        <v>31588</v>
      </c>
      <c r="E9" s="277">
        <v>29138</v>
      </c>
      <c r="F9" s="277">
        <v>35519</v>
      </c>
      <c r="G9" s="277">
        <v>30963</v>
      </c>
      <c r="H9" s="277">
        <v>29319</v>
      </c>
      <c r="I9" s="282">
        <v>27192.59</v>
      </c>
      <c r="J9" s="277">
        <f t="shared" si="0"/>
        <v>27192.59</v>
      </c>
      <c r="K9" s="288"/>
      <c r="M9" s="288"/>
      <c r="N9" s="288"/>
      <c r="O9" s="288"/>
      <c r="P9" s="288"/>
      <c r="Q9" s="288"/>
    </row>
    <row r="10" spans="2:17">
      <c r="B10" s="275" t="s">
        <v>52</v>
      </c>
      <c r="D10" s="277">
        <v>33960</v>
      </c>
      <c r="E10" s="277">
        <v>37135</v>
      </c>
      <c r="F10" s="277">
        <v>36407</v>
      </c>
      <c r="G10" s="277">
        <v>32389</v>
      </c>
      <c r="H10" s="277">
        <v>30951</v>
      </c>
      <c r="I10" s="282">
        <v>30192.69</v>
      </c>
      <c r="J10" s="277">
        <f t="shared" si="0"/>
        <v>30192.69</v>
      </c>
      <c r="K10" s="288"/>
      <c r="M10" s="288"/>
      <c r="N10" s="288"/>
      <c r="O10" s="288"/>
      <c r="P10" s="288"/>
      <c r="Q10" s="288"/>
    </row>
    <row r="11" spans="2:17">
      <c r="B11" s="275" t="s">
        <v>53</v>
      </c>
      <c r="D11" s="277">
        <v>35732</v>
      </c>
      <c r="E11" s="277">
        <v>40319</v>
      </c>
      <c r="F11" s="277">
        <v>36620</v>
      </c>
      <c r="G11" s="277">
        <v>32711</v>
      </c>
      <c r="H11" s="277">
        <v>31362</v>
      </c>
      <c r="I11" s="282">
        <v>30172.16</v>
      </c>
      <c r="J11" s="277">
        <f t="shared" si="0"/>
        <v>30172.16</v>
      </c>
      <c r="K11" s="288"/>
      <c r="M11" s="288"/>
      <c r="N11" s="288"/>
      <c r="O11" s="288"/>
      <c r="P11" s="288"/>
      <c r="Q11" s="288"/>
    </row>
    <row r="12" spans="2:17">
      <c r="B12" s="275" t="s">
        <v>245</v>
      </c>
      <c r="D12" s="277">
        <v>36494</v>
      </c>
      <c r="E12" s="283">
        <v>39514</v>
      </c>
      <c r="F12" s="277">
        <v>36507</v>
      </c>
      <c r="G12" s="277">
        <v>32329</v>
      </c>
      <c r="H12" s="283">
        <v>31096</v>
      </c>
      <c r="I12" s="282">
        <v>29563.26</v>
      </c>
      <c r="J12" s="277">
        <f t="shared" si="0"/>
        <v>29563.26</v>
      </c>
      <c r="K12" s="288"/>
      <c r="M12" s="288"/>
      <c r="N12" s="288"/>
      <c r="O12" s="288"/>
      <c r="P12" s="288"/>
      <c r="Q12" s="288"/>
    </row>
    <row r="13" spans="2:17">
      <c r="B13" s="275" t="s">
        <v>246</v>
      </c>
      <c r="D13" s="277">
        <v>36016</v>
      </c>
      <c r="E13" s="283">
        <v>34697</v>
      </c>
      <c r="F13" s="277">
        <v>35904</v>
      </c>
      <c r="G13" s="277">
        <v>31882</v>
      </c>
      <c r="H13" s="283">
        <v>29255</v>
      </c>
      <c r="I13" s="282">
        <v>26682.36</v>
      </c>
      <c r="J13" s="277">
        <f t="shared" si="0"/>
        <v>26682.36</v>
      </c>
      <c r="K13" s="288"/>
      <c r="M13" s="288"/>
      <c r="N13" s="288"/>
      <c r="O13" s="288"/>
      <c r="P13" s="288"/>
      <c r="Q13" s="288"/>
    </row>
    <row r="14" spans="2:17">
      <c r="B14" s="275" t="s">
        <v>331</v>
      </c>
      <c r="D14" s="277">
        <v>34582</v>
      </c>
      <c r="E14" s="283">
        <v>30969</v>
      </c>
      <c r="F14" s="277">
        <v>29882</v>
      </c>
      <c r="G14" s="277">
        <v>27173</v>
      </c>
      <c r="H14" s="283">
        <v>25758</v>
      </c>
      <c r="I14" s="282">
        <v>22459.42</v>
      </c>
      <c r="J14" s="277">
        <f t="shared" si="0"/>
        <v>22459.42</v>
      </c>
      <c r="K14" s="288"/>
      <c r="M14" s="288"/>
      <c r="N14" s="288"/>
      <c r="O14" s="288"/>
      <c r="P14" s="288"/>
      <c r="Q14" s="288"/>
    </row>
    <row r="15" spans="2:17">
      <c r="B15" s="275" t="s">
        <v>332</v>
      </c>
      <c r="D15" s="277">
        <v>31528</v>
      </c>
      <c r="E15" s="283">
        <v>30706</v>
      </c>
      <c r="F15" s="277">
        <v>27127</v>
      </c>
      <c r="G15" s="277">
        <v>24261</v>
      </c>
      <c r="H15" s="282">
        <f t="shared" ref="H15:H18" si="1">H14/G14*G15</f>
        <v>22997.638759062305</v>
      </c>
      <c r="I15" s="282">
        <v>22064.42</v>
      </c>
      <c r="J15" s="277">
        <f t="shared" si="0"/>
        <v>22064.42</v>
      </c>
      <c r="K15" s="288"/>
      <c r="M15" s="288"/>
      <c r="N15" s="288"/>
      <c r="O15" s="288"/>
      <c r="P15" s="288"/>
      <c r="Q15" s="288"/>
    </row>
    <row r="16" spans="2:17">
      <c r="B16" s="275" t="s">
        <v>333</v>
      </c>
      <c r="D16" s="277">
        <v>31404</v>
      </c>
      <c r="E16" s="283">
        <v>30233</v>
      </c>
      <c r="F16" s="277">
        <v>26772</v>
      </c>
      <c r="G16" s="277">
        <v>23941</v>
      </c>
      <c r="H16" s="282">
        <f t="shared" si="1"/>
        <v>22694.302358959263</v>
      </c>
      <c r="I16" s="282">
        <v>21533.87</v>
      </c>
      <c r="J16" s="277">
        <f t="shared" si="0"/>
        <v>21533.87</v>
      </c>
      <c r="K16" s="288"/>
      <c r="M16" s="288"/>
      <c r="N16" s="288"/>
      <c r="O16" s="288"/>
      <c r="P16" s="288"/>
      <c r="Q16" s="288"/>
    </row>
    <row r="17" spans="2:17">
      <c r="B17" s="275" t="s">
        <v>334</v>
      </c>
      <c r="D17" s="277">
        <v>30918</v>
      </c>
      <c r="E17" s="283">
        <v>30296</v>
      </c>
      <c r="F17" s="277">
        <v>26588</v>
      </c>
      <c r="G17" s="277">
        <v>23968</v>
      </c>
      <c r="H17" s="282">
        <f t="shared" si="1"/>
        <v>22719.89636771796</v>
      </c>
      <c r="I17" s="282">
        <v>21669.07</v>
      </c>
      <c r="J17" s="277">
        <f t="shared" si="0"/>
        <v>21669.07</v>
      </c>
      <c r="K17" s="288"/>
      <c r="M17" s="288"/>
      <c r="N17" s="288"/>
      <c r="O17" s="288"/>
      <c r="P17" s="288"/>
      <c r="Q17" s="288"/>
    </row>
    <row r="18" spans="2:17">
      <c r="B18" s="275" t="s">
        <v>335</v>
      </c>
      <c r="D18" s="277">
        <v>30313</v>
      </c>
      <c r="E18" s="283">
        <v>31132</v>
      </c>
      <c r="F18" s="277">
        <v>27078</v>
      </c>
      <c r="G18" s="277">
        <v>24737</v>
      </c>
      <c r="H18" s="282">
        <f t="shared" si="1"/>
        <v>23448.851654215588</v>
      </c>
      <c r="I18" s="282">
        <v>22310.23</v>
      </c>
      <c r="J18" s="277">
        <f t="shared" si="0"/>
        <v>22310.23</v>
      </c>
      <c r="K18" s="288"/>
      <c r="M18" s="288"/>
      <c r="N18" s="288"/>
      <c r="O18" s="288"/>
      <c r="P18" s="288"/>
      <c r="Q18" s="288"/>
    </row>
    <row r="19" spans="2:17">
      <c r="M19" s="288"/>
      <c r="N19" s="288"/>
      <c r="O19" s="288"/>
      <c r="P19" s="288"/>
    </row>
    <row r="20" spans="2:17">
      <c r="M20" s="288"/>
      <c r="N20" s="288"/>
      <c r="O20" s="288"/>
      <c r="P20" s="288"/>
    </row>
    <row r="21" spans="2:17">
      <c r="B21" s="275" t="s">
        <v>248</v>
      </c>
      <c r="D21" s="290">
        <f t="shared" ref="D21:E21" si="2">SUM(D7:D18)</f>
        <v>389021</v>
      </c>
      <c r="E21" s="290">
        <f t="shared" si="2"/>
        <v>393628</v>
      </c>
      <c r="F21" s="290">
        <f t="shared" ref="F21:J21" si="3">SUM(F7:F18)</f>
        <v>384797</v>
      </c>
      <c r="G21" s="290">
        <f t="shared" si="3"/>
        <v>341417</v>
      </c>
      <c r="H21" s="290">
        <f t="shared" ref="H21:I21" si="4">SUM(H7:H18)</f>
        <v>322952.6891399551</v>
      </c>
      <c r="I21" s="290">
        <f t="shared" si="4"/>
        <v>304438.58999999997</v>
      </c>
      <c r="J21" s="290">
        <f t="shared" si="3"/>
        <v>304438.58999999997</v>
      </c>
      <c r="K21" s="288"/>
      <c r="M21" s="288"/>
      <c r="N21" s="288"/>
      <c r="O21" s="288"/>
      <c r="P21" s="288"/>
    </row>
    <row r="22" spans="2:17">
      <c r="B22" s="275" t="s">
        <v>555</v>
      </c>
      <c r="D22" s="290">
        <f t="shared" ref="D22:E22" si="5">SUM(D7:D18)/12</f>
        <v>32418.416666666668</v>
      </c>
      <c r="E22" s="290">
        <f t="shared" si="5"/>
        <v>32802.333333333336</v>
      </c>
      <c r="F22" s="290">
        <f t="shared" ref="F22:J22" si="6">SUM(F7:F18)/12</f>
        <v>32066.416666666668</v>
      </c>
      <c r="G22" s="290">
        <f t="shared" si="6"/>
        <v>28451.416666666668</v>
      </c>
      <c r="H22" s="290">
        <f t="shared" ref="H22:I22" si="7">SUM(H7:H18)/12</f>
        <v>26912.724094996258</v>
      </c>
      <c r="I22" s="290">
        <f t="shared" si="7"/>
        <v>25369.882499999996</v>
      </c>
      <c r="J22" s="290">
        <f t="shared" si="6"/>
        <v>25369.882499999996</v>
      </c>
      <c r="K22" s="288"/>
    </row>
    <row r="23" spans="2:17">
      <c r="B23" s="275" t="s">
        <v>556</v>
      </c>
      <c r="D23" s="284" t="s">
        <v>66</v>
      </c>
      <c r="E23" s="284">
        <f>(E21-D21)/D21</f>
        <v>1.1842548345719127E-2</v>
      </c>
      <c r="F23" s="284">
        <f>(F21-E21)/E21</f>
        <v>-2.2434887762049448E-2</v>
      </c>
      <c r="G23" s="284">
        <f>(G21-F21)/F21</f>
        <v>-0.11273476664319108</v>
      </c>
      <c r="H23" s="284">
        <f t="shared" ref="H23:I23" si="8">(H21-G21)/G21</f>
        <v>-5.4081404441035173E-2</v>
      </c>
      <c r="I23" s="284">
        <f t="shared" si="8"/>
        <v>-5.7327589342139953E-2</v>
      </c>
      <c r="J23" s="284">
        <f>I23</f>
        <v>-5.7327589342139953E-2</v>
      </c>
      <c r="M23" s="288"/>
      <c r="N23" s="288"/>
      <c r="O23" s="288"/>
      <c r="P23" s="288"/>
    </row>
    <row r="24" spans="2:17">
      <c r="J24" s="275" t="s">
        <v>66</v>
      </c>
    </row>
    <row r="25" spans="2:17">
      <c r="J25" s="275" t="s">
        <v>66</v>
      </c>
    </row>
    <row r="28" spans="2:17">
      <c r="M28" s="275" t="s">
        <v>66</v>
      </c>
    </row>
    <row r="30" spans="2:17">
      <c r="K30" s="275" t="s">
        <v>66</v>
      </c>
    </row>
    <row r="31" spans="2:17">
      <c r="I31" s="275" t="s">
        <v>66</v>
      </c>
    </row>
  </sheetData>
  <phoneticPr fontId="68" type="noConversion"/>
  <pageMargins left="0.7" right="0.7" top="0.75" bottom="0.75" header="0.3" footer="0.3"/>
  <pageSetup scale="9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7"/>
  <sheetViews>
    <sheetView view="pageBreakPreview" topLeftCell="A16" zoomScale="60" zoomScaleNormal="100" workbookViewId="0">
      <selection activeCell="P31" sqref="P30:P31"/>
    </sheetView>
  </sheetViews>
  <sheetFormatPr defaultColWidth="8" defaultRowHeight="12.75"/>
  <cols>
    <col min="1" max="1" width="8" style="135" customWidth="1"/>
    <col min="2" max="2" width="9.85546875" style="135" customWidth="1"/>
    <col min="3" max="3" width="16.140625" style="72" bestFit="1" customWidth="1"/>
    <col min="4" max="4" width="19.85546875" style="72" customWidth="1"/>
    <col min="5" max="5" width="20.5703125" style="72" bestFit="1" customWidth="1"/>
    <col min="6" max="6" width="17.28515625" style="72" customWidth="1"/>
    <col min="7" max="7" width="20.28515625" style="72" customWidth="1"/>
    <col min="8" max="8" width="17.5703125" style="72" customWidth="1"/>
    <col min="9" max="9" width="17" style="72" customWidth="1"/>
    <col min="10" max="11" width="17" style="72" hidden="1" customWidth="1"/>
    <col min="12" max="16384" width="8" style="135"/>
  </cols>
  <sheetData>
    <row r="1" spans="1:11" ht="18">
      <c r="A1" s="858" t="s">
        <v>150</v>
      </c>
      <c r="B1" s="858"/>
      <c r="C1" s="858"/>
      <c r="D1" s="858"/>
      <c r="E1" s="858"/>
      <c r="F1" s="858"/>
      <c r="G1" s="858"/>
      <c r="H1" s="858"/>
      <c r="I1" s="858"/>
      <c r="J1" s="134"/>
      <c r="K1" s="134"/>
    </row>
    <row r="2" spans="1:11" ht="18">
      <c r="A2" s="133"/>
      <c r="B2" s="133"/>
      <c r="C2" s="133"/>
      <c r="D2" s="133"/>
      <c r="E2" s="133"/>
      <c r="F2" s="133"/>
      <c r="G2" s="133"/>
      <c r="H2" s="133"/>
      <c r="I2" s="133"/>
      <c r="J2" s="134"/>
      <c r="K2" s="134"/>
    </row>
    <row r="3" spans="1:11" ht="18">
      <c r="A3" s="858" t="s">
        <v>44</v>
      </c>
      <c r="B3" s="858"/>
      <c r="C3" s="858"/>
      <c r="D3" s="858"/>
      <c r="E3" s="858"/>
      <c r="F3" s="858"/>
      <c r="G3" s="858"/>
      <c r="H3" s="858"/>
      <c r="I3" s="858"/>
      <c r="J3" s="134"/>
      <c r="K3" s="134"/>
    </row>
    <row r="4" spans="1:11" ht="18">
      <c r="A4" s="858" t="s">
        <v>45</v>
      </c>
      <c r="B4" s="858"/>
      <c r="C4" s="858"/>
      <c r="D4" s="858"/>
      <c r="E4" s="858"/>
      <c r="F4" s="858"/>
      <c r="G4" s="858"/>
      <c r="H4" s="858"/>
      <c r="I4" s="858"/>
      <c r="J4" s="134"/>
      <c r="K4" s="134"/>
    </row>
    <row r="5" spans="1:11" ht="18">
      <c r="A5" s="858" t="s">
        <v>65</v>
      </c>
      <c r="B5" s="858"/>
      <c r="C5" s="858"/>
      <c r="D5" s="858"/>
      <c r="E5" s="858"/>
      <c r="F5" s="858"/>
      <c r="G5" s="858"/>
      <c r="H5" s="858"/>
      <c r="I5" s="858"/>
      <c r="J5" s="134"/>
      <c r="K5" s="134"/>
    </row>
    <row r="6" spans="1:11" ht="18">
      <c r="A6" s="858" t="s">
        <v>106</v>
      </c>
      <c r="B6" s="858"/>
      <c r="C6" s="858"/>
      <c r="D6" s="858"/>
      <c r="E6" s="858"/>
      <c r="F6" s="858"/>
      <c r="G6" s="858"/>
      <c r="H6" s="858"/>
      <c r="I6" s="858"/>
      <c r="J6" s="134"/>
      <c r="K6" s="134"/>
    </row>
    <row r="7" spans="1:11" ht="18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.75">
      <c r="A8" s="136" t="s">
        <v>78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5" customHeight="1">
      <c r="A9" s="136"/>
      <c r="B9" s="137"/>
      <c r="C9" s="139" t="s">
        <v>79</v>
      </c>
      <c r="D9" s="138"/>
      <c r="E9" s="139" t="s">
        <v>11</v>
      </c>
      <c r="F9" s="139" t="s">
        <v>11</v>
      </c>
      <c r="G9" s="139" t="s">
        <v>80</v>
      </c>
      <c r="H9" s="138"/>
      <c r="I9" s="139" t="s">
        <v>81</v>
      </c>
      <c r="J9" s="139"/>
      <c r="K9" s="139"/>
    </row>
    <row r="10" spans="1:11" ht="15" customHeight="1">
      <c r="A10" s="140" t="s">
        <v>82</v>
      </c>
      <c r="B10" s="140" t="s">
        <v>83</v>
      </c>
      <c r="C10" s="139" t="s">
        <v>84</v>
      </c>
      <c r="D10" s="141" t="s">
        <v>107</v>
      </c>
      <c r="E10" s="142" t="s">
        <v>108</v>
      </c>
      <c r="F10" s="142" t="s">
        <v>109</v>
      </c>
      <c r="G10" s="142" t="s">
        <v>110</v>
      </c>
      <c r="H10" s="142" t="s">
        <v>111</v>
      </c>
      <c r="I10" s="142" t="s">
        <v>136</v>
      </c>
      <c r="J10" s="142"/>
      <c r="K10" s="142"/>
    </row>
    <row r="11" spans="1:11" ht="15.75">
      <c r="A11" s="137"/>
      <c r="B11" s="140"/>
      <c r="C11" s="138"/>
      <c r="D11" s="146"/>
      <c r="E11" s="146"/>
      <c r="F11" s="146"/>
      <c r="G11" s="146"/>
      <c r="H11" s="146"/>
      <c r="I11" s="145"/>
      <c r="J11" s="145"/>
      <c r="K11" s="145"/>
    </row>
    <row r="12" spans="1:11" ht="15.75">
      <c r="A12" s="143">
        <v>2006</v>
      </c>
      <c r="B12" s="137" t="s">
        <v>49</v>
      </c>
      <c r="C12" s="138">
        <v>-743760.61519129504</v>
      </c>
      <c r="D12" s="147">
        <v>41978.61</v>
      </c>
      <c r="E12" s="147">
        <v>741.94</v>
      </c>
      <c r="F12" s="147">
        <v>0</v>
      </c>
      <c r="G12" s="147">
        <v>160901.59</v>
      </c>
      <c r="H12" s="148">
        <v>-3868.39</v>
      </c>
      <c r="I12" s="145">
        <v>-544006.86519129516</v>
      </c>
      <c r="J12" s="145"/>
      <c r="K12" s="145"/>
    </row>
    <row r="13" spans="1:11" ht="15.75">
      <c r="A13" s="137"/>
      <c r="B13" s="137" t="s">
        <v>50</v>
      </c>
      <c r="C13" s="138">
        <f>I12</f>
        <v>-544006.86519129516</v>
      </c>
      <c r="D13" s="147">
        <f>-144594.39+2237.1</f>
        <v>-142357.29</v>
      </c>
      <c r="E13" s="147">
        <v>154</v>
      </c>
      <c r="F13" s="147">
        <v>0</v>
      </c>
      <c r="G13" s="147">
        <f>174830.03</f>
        <v>174830.03</v>
      </c>
      <c r="H13" s="148">
        <f>-3179.88</f>
        <v>-3179.88</v>
      </c>
      <c r="I13" s="145">
        <f>C13+D13+E13+F13+G13+H13</f>
        <v>-514560.00519129517</v>
      </c>
      <c r="J13" s="145"/>
      <c r="K13" s="145"/>
    </row>
    <row r="14" spans="1:11" ht="15.75">
      <c r="A14" s="137"/>
      <c r="B14" s="137" t="s">
        <v>51</v>
      </c>
      <c r="C14" s="138">
        <f>I13</f>
        <v>-514560.00519129517</v>
      </c>
      <c r="D14" s="147">
        <f>-146148.39+86957.28</f>
        <v>-59191.110000000015</v>
      </c>
      <c r="E14" s="147">
        <v>231</v>
      </c>
      <c r="F14" s="147">
        <v>0</v>
      </c>
      <c r="G14" s="147">
        <f>192257.52</f>
        <v>192257.52</v>
      </c>
      <c r="H14" s="148">
        <f>-2699.11</f>
        <v>-2699.11</v>
      </c>
      <c r="I14" s="145">
        <f>C14+D14+E14+F14+G14+H14</f>
        <v>-383961.70519129513</v>
      </c>
      <c r="J14" s="145"/>
      <c r="K14" s="145"/>
    </row>
    <row r="15" spans="1:11" ht="15.75">
      <c r="A15" s="137"/>
      <c r="B15" s="140" t="s">
        <v>113</v>
      </c>
      <c r="C15" s="138"/>
      <c r="D15" s="146">
        <f>SUM(D12:D14)</f>
        <v>-159569.79000000004</v>
      </c>
      <c r="E15" s="146">
        <f>SUM(E12:E14)</f>
        <v>1126.94</v>
      </c>
      <c r="F15" s="146">
        <f>SUM(F12:F14)</f>
        <v>0</v>
      </c>
      <c r="G15" s="146">
        <f>SUM(G12:G14)</f>
        <v>527989.14</v>
      </c>
      <c r="H15" s="146">
        <f>SUM(H12:H14)</f>
        <v>-9747.380000000001</v>
      </c>
      <c r="I15" s="145"/>
      <c r="J15" s="145"/>
      <c r="K15" s="145"/>
    </row>
    <row r="16" spans="1:11" ht="15.75">
      <c r="A16" s="137"/>
      <c r="B16" s="137" t="s">
        <v>66</v>
      </c>
      <c r="C16" s="138"/>
      <c r="D16" s="147">
        <v>-146148.39000000001</v>
      </c>
      <c r="E16" s="146"/>
      <c r="F16" s="146"/>
      <c r="G16" s="146"/>
      <c r="H16" s="146"/>
      <c r="I16" s="145"/>
      <c r="J16" s="145"/>
      <c r="K16" s="145"/>
    </row>
    <row r="17" spans="1:11" ht="15.75">
      <c r="A17" s="143" t="s">
        <v>66</v>
      </c>
      <c r="B17" s="137" t="s">
        <v>52</v>
      </c>
      <c r="C17" s="138">
        <f>I14</f>
        <v>-383961.70519129513</v>
      </c>
      <c r="D17" s="147">
        <v>-147678.95000000001</v>
      </c>
      <c r="E17" s="147">
        <v>733.49</v>
      </c>
      <c r="F17" s="147">
        <v>0</v>
      </c>
      <c r="G17" s="147">
        <v>204672.11</v>
      </c>
      <c r="H17" s="148">
        <v>-2139.8200000000002</v>
      </c>
      <c r="I17" s="145">
        <f>C17+D17+E17+F17+G17+H17</f>
        <v>-328374.87519129511</v>
      </c>
      <c r="J17" s="145"/>
      <c r="K17" s="145"/>
    </row>
    <row r="18" spans="1:11" ht="15.75">
      <c r="A18" s="137"/>
      <c r="B18" s="137" t="s">
        <v>53</v>
      </c>
      <c r="C18" s="138">
        <f>I17</f>
        <v>-328374.87519129511</v>
      </c>
      <c r="D18" s="147">
        <v>-149566.92000000001</v>
      </c>
      <c r="E18" s="147">
        <f>35.72+143.58</f>
        <v>179.3</v>
      </c>
      <c r="F18" s="147">
        <v>0</v>
      </c>
      <c r="G18" s="147">
        <v>208441.34</v>
      </c>
      <c r="H18" s="148">
        <v>-1800.86</v>
      </c>
      <c r="I18" s="145">
        <f>C18+D18+E18+F18+G18+H18</f>
        <v>-271122.01519129507</v>
      </c>
      <c r="J18" s="145"/>
      <c r="K18" s="145"/>
    </row>
    <row r="19" spans="1:11" ht="15.75">
      <c r="A19" s="137"/>
      <c r="B19" s="137" t="s">
        <v>54</v>
      </c>
      <c r="C19" s="138">
        <f>I18</f>
        <v>-271122.01519129507</v>
      </c>
      <c r="D19" s="147">
        <v>-148363.35999999999</v>
      </c>
      <c r="E19" s="147">
        <f>-907.84+71.8</f>
        <v>-836.04000000000008</v>
      </c>
      <c r="F19" s="147">
        <v>0</v>
      </c>
      <c r="G19" s="147">
        <v>210896.96</v>
      </c>
      <c r="H19" s="148">
        <v>-1447.89</v>
      </c>
      <c r="I19" s="145">
        <f>C19+D19+E19+F19+G19+H19</f>
        <v>-210872.34519129505</v>
      </c>
      <c r="J19" s="145"/>
      <c r="K19" s="145"/>
    </row>
    <row r="20" spans="1:11" ht="15.75">
      <c r="A20" s="137"/>
      <c r="B20" s="140" t="s">
        <v>114</v>
      </c>
      <c r="C20" s="138"/>
      <c r="D20" s="146">
        <f>SUM(D17:D19)</f>
        <v>-445609.23</v>
      </c>
      <c r="E20" s="146">
        <f>SUM(E17:E19)</f>
        <v>76.749999999999886</v>
      </c>
      <c r="F20" s="146">
        <f>SUM(F17:F19)</f>
        <v>0</v>
      </c>
      <c r="G20" s="146">
        <f>SUM(G17:G19)</f>
        <v>624010.40999999992</v>
      </c>
      <c r="H20" s="146">
        <f>SUM(H17:H19)</f>
        <v>-5388.5700000000006</v>
      </c>
      <c r="I20" s="145"/>
      <c r="J20" s="145"/>
      <c r="K20" s="145"/>
    </row>
    <row r="21" spans="1:11" ht="15.75">
      <c r="A21" s="137"/>
      <c r="B21" s="140"/>
      <c r="C21" s="138"/>
      <c r="D21" s="146"/>
      <c r="E21" s="146"/>
      <c r="F21" s="146"/>
      <c r="G21" s="146"/>
      <c r="H21" s="146"/>
      <c r="I21" s="145"/>
      <c r="J21" s="145"/>
      <c r="K21" s="145"/>
    </row>
    <row r="22" spans="1:11" ht="15.75">
      <c r="A22" s="143" t="s">
        <v>66</v>
      </c>
      <c r="B22" s="137" t="s">
        <v>55</v>
      </c>
      <c r="C22" s="138">
        <f>I19</f>
        <v>-210872.34519129505</v>
      </c>
      <c r="D22" s="147">
        <v>-149509.35999999999</v>
      </c>
      <c r="E22" s="147">
        <v>-2151.85</v>
      </c>
      <c r="F22" s="147">
        <v>0</v>
      </c>
      <c r="G22" s="147">
        <v>209191.5</v>
      </c>
      <c r="H22" s="148">
        <v>-1097.3800000000001</v>
      </c>
      <c r="I22" s="145">
        <f>C22+D22+E22+F22+G22+H22</f>
        <v>-154439.43519129499</v>
      </c>
      <c r="J22" s="145"/>
      <c r="K22" s="145"/>
    </row>
    <row r="23" spans="1:11" ht="15.75">
      <c r="A23" s="137"/>
      <c r="B23" s="137" t="s">
        <v>56</v>
      </c>
      <c r="C23" s="138">
        <f>I22</f>
        <v>-154439.43519129499</v>
      </c>
      <c r="D23" s="147">
        <v>-151427.67000000001</v>
      </c>
      <c r="E23" s="147">
        <v>-1003.75</v>
      </c>
      <c r="F23" s="147">
        <v>32357.75</v>
      </c>
      <c r="G23" s="147">
        <v>200658.26</v>
      </c>
      <c r="H23" s="148">
        <v>-687.85</v>
      </c>
      <c r="I23" s="145">
        <f>C23+D23+E23+F23+G23+H23</f>
        <v>-74542.695191295032</v>
      </c>
      <c r="J23" s="145"/>
      <c r="K23" s="145"/>
    </row>
    <row r="24" spans="1:11" ht="15.75">
      <c r="A24" s="137" t="s">
        <v>66</v>
      </c>
      <c r="B24" s="137" t="s">
        <v>57</v>
      </c>
      <c r="C24" s="138">
        <f>I23</f>
        <v>-74542.695191295032</v>
      </c>
      <c r="D24" s="147">
        <v>-149280.59</v>
      </c>
      <c r="E24" s="147">
        <v>73.11</v>
      </c>
      <c r="F24" s="147">
        <v>0</v>
      </c>
      <c r="G24" s="147">
        <v>187944.19</v>
      </c>
      <c r="H24" s="148">
        <v>-332.48</v>
      </c>
      <c r="I24" s="145">
        <f>C24+D24+E24+F24+G24+H24</f>
        <v>-36138.465191295043</v>
      </c>
      <c r="J24" s="145">
        <f>I23+(SUM(C24:G24)/2)</f>
        <v>-92445.687786942552</v>
      </c>
      <c r="K24" s="145">
        <f>(+J24*0.006026)</f>
        <v>-557.07771460411584</v>
      </c>
    </row>
    <row r="25" spans="1:11" ht="15.75">
      <c r="A25" s="137"/>
      <c r="B25" s="140" t="s">
        <v>116</v>
      </c>
      <c r="C25" s="138"/>
      <c r="D25" s="146">
        <f>SUM(D22:D24)</f>
        <v>-450217.62</v>
      </c>
      <c r="E25" s="146">
        <f>SUM(E22:E24)</f>
        <v>-3082.49</v>
      </c>
      <c r="F25" s="146">
        <f>SUM(F22:F24)</f>
        <v>32357.75</v>
      </c>
      <c r="G25" s="146">
        <f>SUM(G22:G24)</f>
        <v>597793.94999999995</v>
      </c>
      <c r="H25" s="146">
        <f>SUM(H22:H24)</f>
        <v>-2117.71</v>
      </c>
      <c r="I25" s="145"/>
      <c r="J25" s="145"/>
      <c r="K25" s="145"/>
    </row>
    <row r="26" spans="1:11" ht="15.75">
      <c r="A26" s="137"/>
      <c r="B26" s="140"/>
      <c r="C26" s="138"/>
      <c r="D26" s="146"/>
      <c r="E26" s="146"/>
      <c r="F26" s="146"/>
      <c r="G26" s="146"/>
      <c r="H26" s="146"/>
      <c r="I26" s="145"/>
      <c r="J26" s="145"/>
      <c r="K26" s="145"/>
    </row>
    <row r="27" spans="1:11" ht="15.75">
      <c r="A27" s="173" t="s">
        <v>115</v>
      </c>
      <c r="B27" s="173" t="s">
        <v>58</v>
      </c>
      <c r="C27" s="174">
        <f>I24</f>
        <v>-36138.465191295043</v>
      </c>
      <c r="D27" s="175">
        <v>-152000</v>
      </c>
      <c r="E27" s="175">
        <v>0</v>
      </c>
      <c r="F27" s="175">
        <v>0</v>
      </c>
      <c r="G27" s="175">
        <f>'Table B (Participation)'!H20*8</f>
        <v>170000</v>
      </c>
      <c r="H27" s="176">
        <f>K27</f>
        <v>-272.42158686411591</v>
      </c>
      <c r="I27" s="177">
        <f>C27+D27+E27+F27+G27+H27</f>
        <v>-18410.886778159165</v>
      </c>
      <c r="J27" s="145">
        <f>I24+(SUM(C27:G27)/2)</f>
        <v>-45207.697786942568</v>
      </c>
      <c r="K27" s="145">
        <f>(+J27*0.006026)</f>
        <v>-272.42158686411591</v>
      </c>
    </row>
    <row r="28" spans="1:11" ht="15.75">
      <c r="A28" s="173" t="s">
        <v>115</v>
      </c>
      <c r="B28" s="173" t="s">
        <v>59</v>
      </c>
      <c r="C28" s="174">
        <f>I27</f>
        <v>-18410.886778159165</v>
      </c>
      <c r="D28" s="175">
        <v>-153000</v>
      </c>
      <c r="E28" s="175">
        <v>0</v>
      </c>
      <c r="F28" s="175">
        <v>0</v>
      </c>
      <c r="G28" s="175">
        <f>'Table B (Participation)'!H21*8</f>
        <v>168000</v>
      </c>
      <c r="H28" s="176">
        <f>K28</f>
        <v>-121.22100558778067</v>
      </c>
      <c r="I28" s="177">
        <f>C28+D28+E28+F28+G28+H28</f>
        <v>-3532.1077837469352</v>
      </c>
      <c r="J28" s="145">
        <f>I27+(SUM(C28:G28)/2)</f>
        <v>-20116.330167238742</v>
      </c>
      <c r="K28" s="145">
        <f>(+J28*0.006026)</f>
        <v>-121.22100558778067</v>
      </c>
    </row>
    <row r="29" spans="1:11" ht="15.75">
      <c r="A29" s="173" t="s">
        <v>115</v>
      </c>
      <c r="B29" s="173" t="s">
        <v>60</v>
      </c>
      <c r="C29" s="174">
        <f>I28</f>
        <v>-3532.1077837469352</v>
      </c>
      <c r="D29" s="175">
        <v>-153500</v>
      </c>
      <c r="E29" s="175">
        <v>0</v>
      </c>
      <c r="F29" s="175">
        <v>0</v>
      </c>
      <c r="G29" s="175">
        <f>'Table B (Participation)'!H22*8</f>
        <v>177200</v>
      </c>
      <c r="H29" s="176">
        <f>K29</f>
        <v>39.481377742711459</v>
      </c>
      <c r="I29" s="177">
        <f>C29+D29+E29+F29+G29+H29</f>
        <v>20207.373593995777</v>
      </c>
      <c r="J29" s="145">
        <f>I28+(SUM(C29:G29)/2)</f>
        <v>6551.8383243795979</v>
      </c>
      <c r="K29" s="145">
        <f>(+J29*0.006026)</f>
        <v>39.481377742711459</v>
      </c>
    </row>
    <row r="30" spans="1:11" ht="15.75">
      <c r="A30" s="173"/>
      <c r="B30" s="178" t="s">
        <v>117</v>
      </c>
      <c r="C30" s="174"/>
      <c r="D30" s="179">
        <f>SUM(D27:D29)</f>
        <v>-458500</v>
      </c>
      <c r="E30" s="179">
        <f>SUM(E27:E29)</f>
        <v>0</v>
      </c>
      <c r="F30" s="179">
        <f>SUM(F27:F29)</f>
        <v>0</v>
      </c>
      <c r="G30" s="179">
        <f>SUM(G27:G29)</f>
        <v>515200</v>
      </c>
      <c r="H30" s="179">
        <f>SUM(H27:H29)</f>
        <v>-354.16121470918512</v>
      </c>
      <c r="I30" s="177"/>
      <c r="J30" s="145"/>
      <c r="K30" s="145"/>
    </row>
    <row r="31" spans="1:11" ht="15.75">
      <c r="A31" s="173"/>
      <c r="B31" s="178" t="s">
        <v>118</v>
      </c>
      <c r="C31" s="174"/>
      <c r="D31" s="179">
        <f>D15+D20+D25+D30</f>
        <v>-1513896.6400000001</v>
      </c>
      <c r="E31" s="179">
        <f>E15+E20+E25+E30</f>
        <v>-1878.7999999999997</v>
      </c>
      <c r="F31" s="179">
        <f>F15+F20+F25+F30</f>
        <v>32357.75</v>
      </c>
      <c r="G31" s="179">
        <f>G15+G20+G25+G30</f>
        <v>2264993.5</v>
      </c>
      <c r="H31" s="179">
        <f>H15+H20+H25+H30</f>
        <v>-17607.821214709184</v>
      </c>
      <c r="I31" s="174"/>
      <c r="J31" s="138" t="s">
        <v>66</v>
      </c>
      <c r="K31" s="138"/>
    </row>
    <row r="32" spans="1:11" ht="15.75">
      <c r="A32" s="173"/>
      <c r="B32" s="173"/>
      <c r="C32" s="174"/>
      <c r="D32" s="175"/>
      <c r="E32" s="175"/>
      <c r="F32" s="175"/>
      <c r="G32" s="175"/>
      <c r="H32" s="176"/>
      <c r="I32" s="177"/>
      <c r="J32" s="145"/>
      <c r="K32" s="145"/>
    </row>
    <row r="33" spans="1:11" ht="15.75">
      <c r="A33" s="173" t="s">
        <v>115</v>
      </c>
      <c r="B33" s="173" t="s">
        <v>49</v>
      </c>
      <c r="C33" s="174">
        <f>I29</f>
        <v>20207.373593995777</v>
      </c>
      <c r="D33" s="175">
        <v>-154000</v>
      </c>
      <c r="E33" s="175">
        <v>0</v>
      </c>
      <c r="F33" s="175">
        <v>0</v>
      </c>
      <c r="G33" s="175">
        <f>'Table B (Participation)'!I11*8</f>
        <v>179600</v>
      </c>
      <c r="H33" s="176">
        <f>K33</f>
        <v>259.78724991612785</v>
      </c>
      <c r="I33" s="177">
        <f>C33+D33+E33+F33+G33+H33</f>
        <v>46067.160843911915</v>
      </c>
      <c r="J33" s="145">
        <f>I29+(SUM(C33:G33)/2)</f>
        <v>43111.060390993669</v>
      </c>
      <c r="K33" s="145">
        <f>(+J33*0.006026)</f>
        <v>259.78724991612785</v>
      </c>
    </row>
    <row r="34" spans="1:11" ht="15.75">
      <c r="A34" s="173" t="s">
        <v>115</v>
      </c>
      <c r="B34" s="173" t="s">
        <v>50</v>
      </c>
      <c r="C34" s="174">
        <f>I33</f>
        <v>46067.160843911915</v>
      </c>
      <c r="D34" s="175">
        <v>-154500</v>
      </c>
      <c r="E34" s="175">
        <v>0</v>
      </c>
      <c r="F34" s="175">
        <v>0</v>
      </c>
      <c r="G34" s="175">
        <f>'Table B (Participation)'!I12*8</f>
        <v>186496</v>
      </c>
      <c r="H34" s="176">
        <f>K34</f>
        <v>512.80501486811977</v>
      </c>
      <c r="I34" s="177">
        <f>C34+D34+E34+F34+G34+H34</f>
        <v>78575.965858780037</v>
      </c>
      <c r="J34" s="145">
        <f>I33+(SUM(C34:G34)/2)</f>
        <v>85098.741265867866</v>
      </c>
      <c r="K34" s="145">
        <f>(+J34*0.006026)</f>
        <v>512.80501486811977</v>
      </c>
    </row>
    <row r="35" spans="1:11" ht="15.75">
      <c r="A35" s="173" t="s">
        <v>115</v>
      </c>
      <c r="B35" s="173" t="s">
        <v>51</v>
      </c>
      <c r="C35" s="174">
        <f>I34</f>
        <v>78575.965858780037</v>
      </c>
      <c r="D35" s="175">
        <v>-155000</v>
      </c>
      <c r="E35" s="175">
        <v>0</v>
      </c>
      <c r="F35" s="175">
        <v>0</v>
      </c>
      <c r="G35" s="175">
        <f>'Table B (Participation)'!I13*8</f>
        <v>202032</v>
      </c>
      <c r="H35" s="176">
        <f>K35</f>
        <v>851.95557139751281</v>
      </c>
      <c r="I35" s="177">
        <f>C35+D35+E35+F35+G35+H35</f>
        <v>126459.92143017755</v>
      </c>
      <c r="J35" s="145">
        <f>I34+(SUM(C35:G35)/2)</f>
        <v>141379.94878817006</v>
      </c>
      <c r="K35" s="145">
        <f>(+J35*0.006026)</f>
        <v>851.95557139751281</v>
      </c>
    </row>
    <row r="36" spans="1:11" ht="15.75">
      <c r="A36" s="173"/>
      <c r="B36" s="178" t="s">
        <v>119</v>
      </c>
      <c r="C36" s="174"/>
      <c r="D36" s="179">
        <f>SUM(D33:D35)</f>
        <v>-463500</v>
      </c>
      <c r="E36" s="179">
        <f>SUM(E33:E35)</f>
        <v>0</v>
      </c>
      <c r="F36" s="179">
        <f>SUM(F33:F35)</f>
        <v>0</v>
      </c>
      <c r="G36" s="179">
        <f>SUM(G33:G35)</f>
        <v>568128</v>
      </c>
      <c r="H36" s="179">
        <f>SUM(H33:H35)</f>
        <v>1624.5478361817604</v>
      </c>
      <c r="I36" s="177"/>
      <c r="J36" s="145"/>
      <c r="K36" s="145"/>
    </row>
    <row r="37" spans="1:11" ht="15.75">
      <c r="A37" s="173"/>
      <c r="B37" s="173"/>
      <c r="C37" s="174"/>
      <c r="D37" s="175"/>
      <c r="E37" s="175"/>
      <c r="F37" s="175"/>
      <c r="G37" s="175"/>
      <c r="H37" s="176"/>
      <c r="I37" s="177"/>
      <c r="J37" s="145"/>
      <c r="K37" s="145"/>
    </row>
    <row r="38" spans="1:11" ht="15.75">
      <c r="A38" s="173" t="s">
        <v>115</v>
      </c>
      <c r="B38" s="173" t="s">
        <v>52</v>
      </c>
      <c r="C38" s="174">
        <f>I35</f>
        <v>126459.92143017755</v>
      </c>
      <c r="D38" s="175">
        <v>-155500</v>
      </c>
      <c r="E38" s="175">
        <v>0</v>
      </c>
      <c r="F38" s="175">
        <v>0</v>
      </c>
      <c r="G38" s="175">
        <f>'Table B (Participation)'!I14*8</f>
        <v>213920</v>
      </c>
      <c r="H38" s="176">
        <f>K38</f>
        <v>1030.5419735341334</v>
      </c>
      <c r="I38" s="177">
        <f>C38+D38+E38+F38+G38+H38</f>
        <v>185910.46340371168</v>
      </c>
      <c r="J38" s="145">
        <f>I34+(SUM(C38:G38)/2)</f>
        <v>171015.92657386881</v>
      </c>
      <c r="K38" s="145">
        <f>(+J38*0.006026)</f>
        <v>1030.5419735341334</v>
      </c>
    </row>
    <row r="39" spans="1:11" ht="15.75">
      <c r="A39" s="173" t="s">
        <v>115</v>
      </c>
      <c r="B39" s="173" t="s">
        <v>53</v>
      </c>
      <c r="C39" s="174">
        <f>I38</f>
        <v>185910.46340371168</v>
      </c>
      <c r="D39" s="175">
        <v>-156000</v>
      </c>
      <c r="E39" s="175">
        <v>0</v>
      </c>
      <c r="F39" s="175">
        <v>0</v>
      </c>
      <c r="G39" s="175">
        <f>'Table B (Participation)'!I15*8</f>
        <v>220976</v>
      </c>
      <c r="H39" s="176">
        <f>K39</f>
        <v>1876.21736670615</v>
      </c>
      <c r="I39" s="177">
        <f>C39+D39+E39+F39+G39+H39</f>
        <v>252762.68077041782</v>
      </c>
      <c r="J39" s="145">
        <f>I38+(SUM(C39:G39)/2)</f>
        <v>311353.69510556752</v>
      </c>
      <c r="K39" s="145">
        <f>(+J39*0.006026)</f>
        <v>1876.21736670615</v>
      </c>
    </row>
    <row r="40" spans="1:11" ht="15.75">
      <c r="A40" s="173" t="s">
        <v>115</v>
      </c>
      <c r="B40" s="173" t="s">
        <v>54</v>
      </c>
      <c r="C40" s="174">
        <f>I39</f>
        <v>252762.68077041782</v>
      </c>
      <c r="D40" s="175">
        <v>-156000</v>
      </c>
      <c r="E40" s="175">
        <v>0</v>
      </c>
      <c r="F40" s="175">
        <v>0</v>
      </c>
      <c r="G40" s="175">
        <f>'Table B (Participation)'!I16*8</f>
        <v>208000</v>
      </c>
      <c r="H40" s="176">
        <f>K40</f>
        <v>2441.3978714838067</v>
      </c>
      <c r="I40" s="177">
        <f>C40+D40+E40+F40+G40+H40</f>
        <v>307204.07864190161</v>
      </c>
      <c r="J40" s="145">
        <f>I39+(SUM(C40:G40)/2)</f>
        <v>405144.02115562675</v>
      </c>
      <c r="K40" s="145">
        <f>(+J40*0.006026)</f>
        <v>2441.3978714838067</v>
      </c>
    </row>
    <row r="41" spans="1:11" ht="15.75">
      <c r="A41" s="173"/>
      <c r="B41" s="178" t="s">
        <v>120</v>
      </c>
      <c r="C41" s="174"/>
      <c r="D41" s="179">
        <f>SUM(D38:D40)</f>
        <v>-467500</v>
      </c>
      <c r="E41" s="179">
        <f>SUM(E38:E40)</f>
        <v>0</v>
      </c>
      <c r="F41" s="179">
        <f>SUM(F38:F40)</f>
        <v>0</v>
      </c>
      <c r="G41" s="179">
        <f>SUM(G38:G40)</f>
        <v>642896</v>
      </c>
      <c r="H41" s="179">
        <f>SUM(H38:H40)</f>
        <v>5348.1572117240903</v>
      </c>
      <c r="I41" s="177"/>
      <c r="J41" s="145"/>
      <c r="K41" s="145"/>
    </row>
    <row r="42" spans="1:11" ht="15.75">
      <c r="A42" s="173"/>
      <c r="B42" s="178"/>
      <c r="C42" s="174"/>
      <c r="D42" s="179"/>
      <c r="E42" s="179"/>
      <c r="F42" s="179"/>
      <c r="G42" s="179"/>
      <c r="H42" s="179"/>
      <c r="I42" s="177"/>
      <c r="J42" s="145"/>
      <c r="K42" s="145"/>
    </row>
    <row r="43" spans="1:11" ht="15.75">
      <c r="A43" s="173" t="s">
        <v>115</v>
      </c>
      <c r="B43" s="173" t="s">
        <v>55</v>
      </c>
      <c r="C43" s="174">
        <f>I40</f>
        <v>307204.07864190161</v>
      </c>
      <c r="D43" s="175">
        <v>-156500</v>
      </c>
      <c r="E43" s="175">
        <v>0</v>
      </c>
      <c r="F43" s="175">
        <v>0</v>
      </c>
      <c r="G43" s="175">
        <f>'Table B (Participation)'!I17*8</f>
        <v>188000</v>
      </c>
      <c r="H43" s="176">
        <f>K43</f>
        <v>2140.8118414188161</v>
      </c>
      <c r="I43" s="177">
        <f>C43+D43+E43+F43+G43+H43</f>
        <v>340844.8904833204</v>
      </c>
      <c r="J43" s="145">
        <f>I38+(SUM(C43:G43)/2)</f>
        <v>355262.50272466248</v>
      </c>
      <c r="K43" s="145">
        <f>(+J43*0.006026)</f>
        <v>2140.8118414188161</v>
      </c>
    </row>
    <row r="44" spans="1:11" ht="15.75">
      <c r="A44" s="173" t="s">
        <v>115</v>
      </c>
      <c r="B44" s="173" t="s">
        <v>56</v>
      </c>
      <c r="C44" s="174">
        <f>I43</f>
        <v>340844.8904833204</v>
      </c>
      <c r="D44" s="175">
        <v>-157000</v>
      </c>
      <c r="E44" s="175">
        <v>0</v>
      </c>
      <c r="F44" s="175">
        <v>0</v>
      </c>
      <c r="G44" s="175">
        <f>'Table B (Participation)'!I18*8</f>
        <v>186000</v>
      </c>
      <c r="H44" s="176">
        <f>K44</f>
        <v>3168.273965078733</v>
      </c>
      <c r="I44" s="177">
        <f>C44+D44+E44+F44+G44+H44</f>
        <v>373013.16444839915</v>
      </c>
      <c r="J44" s="145">
        <f>I43+(SUM(C44:G44)/2)</f>
        <v>525767.33572498057</v>
      </c>
      <c r="K44" s="145">
        <f>(+J44*0.006026)</f>
        <v>3168.273965078733</v>
      </c>
    </row>
    <row r="45" spans="1:11" ht="15.75">
      <c r="A45" s="173" t="s">
        <v>115</v>
      </c>
      <c r="B45" s="173" t="s">
        <v>57</v>
      </c>
      <c r="C45" s="174">
        <f>I44</f>
        <v>373013.16444839915</v>
      </c>
      <c r="D45" s="175">
        <v>-157500</v>
      </c>
      <c r="E45" s="175">
        <v>0</v>
      </c>
      <c r="F45" s="175">
        <v>0</v>
      </c>
      <c r="G45" s="175">
        <f>'Table B (Participation)'!I19*8</f>
        <v>184000</v>
      </c>
      <c r="H45" s="176">
        <f>K45</f>
        <v>3451.5104934490801</v>
      </c>
      <c r="I45" s="177">
        <f>C45+D45+E45+F45+G45+H45</f>
        <v>402964.67494184821</v>
      </c>
      <c r="J45" s="145">
        <f>I44+(SUM(C45:G45)/2)</f>
        <v>572769.74667259876</v>
      </c>
      <c r="K45" s="145">
        <f>(+J45*0.006026)</f>
        <v>3451.5104934490801</v>
      </c>
    </row>
    <row r="46" spans="1:11" ht="15.75">
      <c r="A46" s="173"/>
      <c r="B46" s="173"/>
      <c r="C46" s="174"/>
      <c r="D46" s="175"/>
      <c r="E46" s="175"/>
      <c r="F46" s="175"/>
      <c r="G46" s="175"/>
      <c r="H46" s="176"/>
      <c r="I46" s="177"/>
      <c r="J46" s="145"/>
      <c r="K46" s="145"/>
    </row>
    <row r="47" spans="1:11" ht="15.75">
      <c r="A47" s="173"/>
      <c r="B47" s="178" t="s">
        <v>121</v>
      </c>
      <c r="C47" s="174"/>
      <c r="D47" s="179">
        <f>SUM(D43:D45)</f>
        <v>-471000</v>
      </c>
      <c r="E47" s="179">
        <f>SUM(E43:E45)</f>
        <v>0</v>
      </c>
      <c r="F47" s="179">
        <f>SUM(F43:F45)</f>
        <v>0</v>
      </c>
      <c r="G47" s="179">
        <f>SUM(G43:G45)</f>
        <v>558000</v>
      </c>
      <c r="H47" s="179">
        <f>SUM(H43:H45)</f>
        <v>8760.5962999466283</v>
      </c>
      <c r="I47" s="177"/>
      <c r="J47" s="145"/>
      <c r="K47" s="145"/>
    </row>
    <row r="48" spans="1:11" ht="15.75">
      <c r="A48" s="173" t="s">
        <v>115</v>
      </c>
      <c r="B48" s="173" t="s">
        <v>58</v>
      </c>
      <c r="C48" s="174">
        <f>I45</f>
        <v>402964.67494184821</v>
      </c>
      <c r="D48" s="175">
        <v>-158000</v>
      </c>
      <c r="E48" s="175">
        <v>0</v>
      </c>
      <c r="F48" s="175">
        <v>0</v>
      </c>
      <c r="G48" s="175">
        <f>'Table B (Participation)'!I20*8</f>
        <v>182000</v>
      </c>
      <c r="H48" s="176">
        <f>K48</f>
        <v>1286.4445655997886</v>
      </c>
      <c r="I48" s="177">
        <f>C48+D48+E48+F48+G48+H48</f>
        <v>428251.11950744799</v>
      </c>
      <c r="J48" s="145">
        <f>I42+(SUM(C48:G48)/2)</f>
        <v>213482.3374709241</v>
      </c>
      <c r="K48" s="145">
        <f>(+J48*0.006026)</f>
        <v>1286.4445655997886</v>
      </c>
    </row>
    <row r="49" spans="1:11" ht="15.75">
      <c r="A49" s="173" t="s">
        <v>115</v>
      </c>
      <c r="B49" s="173" t="s">
        <v>59</v>
      </c>
      <c r="C49" s="174">
        <f>I48</f>
        <v>428251.11950744799</v>
      </c>
      <c r="D49" s="175">
        <v>-158500</v>
      </c>
      <c r="E49" s="175">
        <v>0</v>
      </c>
      <c r="F49" s="175">
        <v>0</v>
      </c>
      <c r="G49" s="175">
        <f>'Table B (Participation)'!I21*8</f>
        <v>180000</v>
      </c>
      <c r="H49" s="176">
        <f>K49</f>
        <v>3935.7413692278224</v>
      </c>
      <c r="I49" s="177">
        <f>C49+D49+E49+F49+G49+H49</f>
        <v>453686.86087667581</v>
      </c>
      <c r="J49" s="145">
        <f>I48+(SUM(C49:G49)/2)</f>
        <v>653126.67926117196</v>
      </c>
      <c r="K49" s="145">
        <f>(+J49*0.006026)</f>
        <v>3935.7413692278224</v>
      </c>
    </row>
    <row r="50" spans="1:11" ht="15.75">
      <c r="A50" s="173" t="s">
        <v>115</v>
      </c>
      <c r="B50" s="173" t="s">
        <v>60</v>
      </c>
      <c r="C50" s="174">
        <f>I49</f>
        <v>453686.86087667581</v>
      </c>
      <c r="D50" s="175">
        <v>-159000</v>
      </c>
      <c r="E50" s="175">
        <v>0</v>
      </c>
      <c r="F50" s="175">
        <v>30000</v>
      </c>
      <c r="G50" s="175">
        <f>'Table B (Participation)'!I22*8</f>
        <v>189600</v>
      </c>
      <c r="H50" s="176">
        <f>K50</f>
        <v>4283.4633354642729</v>
      </c>
      <c r="I50" s="177">
        <f>C50+D50+E50+F50+G50+H50</f>
        <v>518570.32421214011</v>
      </c>
      <c r="J50" s="145">
        <f>I49+(SUM(C50:G50)/2)</f>
        <v>710830.29131501378</v>
      </c>
      <c r="K50" s="145">
        <f>(+J50*0.006026)</f>
        <v>4283.4633354642729</v>
      </c>
    </row>
    <row r="51" spans="1:11" ht="15.75">
      <c r="A51" s="173"/>
      <c r="B51" s="178" t="s">
        <v>122</v>
      </c>
      <c r="C51" s="174"/>
      <c r="D51" s="179">
        <f>SUM(D48:D50)</f>
        <v>-475500</v>
      </c>
      <c r="E51" s="179">
        <f>SUM(E48:E50)</f>
        <v>0</v>
      </c>
      <c r="F51" s="179">
        <f>SUM(F48:F50)</f>
        <v>30000</v>
      </c>
      <c r="G51" s="179">
        <f>SUM(G48:G50)</f>
        <v>551600</v>
      </c>
      <c r="H51" s="179">
        <f>SUM(H48:H50)</f>
        <v>9505.649270291884</v>
      </c>
      <c r="I51" s="177"/>
      <c r="J51" s="145"/>
      <c r="K51" s="145"/>
    </row>
    <row r="52" spans="1:11" ht="15.75">
      <c r="A52" s="173"/>
      <c r="B52" s="178" t="s">
        <v>118</v>
      </c>
      <c r="C52" s="174"/>
      <c r="D52" s="179">
        <f>D36+D41+D47+D51</f>
        <v>-1877500</v>
      </c>
      <c r="E52" s="179">
        <f>E36+E41+E47+E51</f>
        <v>0</v>
      </c>
      <c r="F52" s="179">
        <f>F36+F41+F47+F51</f>
        <v>30000</v>
      </c>
      <c r="G52" s="179">
        <f>G36+G41+G47+G51</f>
        <v>2320624</v>
      </c>
      <c r="H52" s="179">
        <f>H36+H41+H47+H51</f>
        <v>25238.950618144365</v>
      </c>
      <c r="I52" s="174"/>
      <c r="J52" s="138" t="s">
        <v>66</v>
      </c>
      <c r="K52" s="138"/>
    </row>
    <row r="53" spans="1:11" ht="15.75">
      <c r="A53" s="137"/>
      <c r="B53" s="140"/>
      <c r="C53" s="138"/>
      <c r="D53" s="146"/>
      <c r="E53" s="146"/>
      <c r="F53" s="146"/>
      <c r="G53" s="146"/>
      <c r="H53" s="146"/>
      <c r="I53" s="138"/>
      <c r="J53" s="138"/>
      <c r="K53" s="138"/>
    </row>
    <row r="54" spans="1:11" ht="15.75">
      <c r="A54" s="150" t="s">
        <v>123</v>
      </c>
      <c r="B54" s="140"/>
      <c r="C54" s="138"/>
      <c r="D54" s="146"/>
      <c r="E54" s="146"/>
      <c r="F54" s="146"/>
      <c r="G54" s="146"/>
      <c r="H54" s="146"/>
      <c r="I54" s="138"/>
      <c r="J54" s="138"/>
      <c r="K54" s="138"/>
    </row>
    <row r="55" spans="1:11" ht="15.75">
      <c r="A55" s="137"/>
      <c r="B55" s="140"/>
      <c r="C55" s="138"/>
      <c r="D55" s="146"/>
      <c r="E55" s="146"/>
      <c r="F55" s="146"/>
      <c r="G55" s="146"/>
      <c r="H55" s="146"/>
      <c r="I55" s="138"/>
      <c r="J55" s="138"/>
      <c r="K55" s="138"/>
    </row>
    <row r="56" spans="1:11" ht="15.75">
      <c r="A56" s="151" t="s">
        <v>124</v>
      </c>
      <c r="B56" s="137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.75">
      <c r="A57" s="151"/>
      <c r="B57" s="137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15.75">
      <c r="A58" s="151"/>
      <c r="B58" s="137"/>
      <c r="C58" s="138"/>
      <c r="D58" s="138" t="s">
        <v>66</v>
      </c>
      <c r="E58" s="138"/>
      <c r="F58" s="138"/>
      <c r="G58" s="138"/>
      <c r="H58" s="138"/>
      <c r="I58" s="138"/>
      <c r="J58" s="138"/>
      <c r="K58" s="138"/>
    </row>
    <row r="59" spans="1:11" ht="15.75">
      <c r="A59" s="151"/>
      <c r="B59" s="137"/>
      <c r="C59" s="138"/>
      <c r="D59" s="138" t="s">
        <v>66</v>
      </c>
      <c r="E59" s="138"/>
      <c r="F59" s="138"/>
      <c r="G59" s="138"/>
      <c r="H59" s="138"/>
      <c r="I59" s="138"/>
      <c r="J59" s="138"/>
      <c r="K59" s="138"/>
    </row>
    <row r="60" spans="1:11" ht="15.75">
      <c r="A60" s="151"/>
      <c r="B60" s="137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1:11" ht="15.75">
      <c r="A61" s="151"/>
      <c r="B61" s="137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1:11" ht="15.75">
      <c r="A62" s="151"/>
      <c r="B62" s="137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ht="15.75">
      <c r="A63" s="151"/>
      <c r="B63" s="137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 ht="15.75">
      <c r="A64" s="151"/>
      <c r="B64" s="137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15.75">
      <c r="A65" s="151"/>
      <c r="B65" s="137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1:11" ht="15.75">
      <c r="A66" s="151"/>
      <c r="B66" s="137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1:11" ht="15.75">
      <c r="A67" s="151"/>
      <c r="B67" s="137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1" ht="15.75">
      <c r="A68" s="151"/>
      <c r="B68" s="137"/>
      <c r="C68" s="138"/>
      <c r="D68" s="138"/>
      <c r="E68" s="138"/>
      <c r="F68" s="138"/>
      <c r="G68" s="138"/>
      <c r="H68" s="138"/>
      <c r="I68" s="138"/>
      <c r="J68" s="138"/>
      <c r="K68" s="138"/>
    </row>
    <row r="69" spans="1:11" ht="15.75">
      <c r="A69" s="151"/>
      <c r="B69" s="137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1:11" ht="15.75">
      <c r="A70" s="151"/>
      <c r="B70" s="137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1" ht="15.75">
      <c r="A71" s="151"/>
      <c r="B71" s="137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ht="15.75">
      <c r="A72" s="151"/>
      <c r="B72" s="137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ht="15.75">
      <c r="A73" s="151"/>
      <c r="B73" s="137"/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ht="15.75">
      <c r="A74" s="151"/>
      <c r="B74" s="137"/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ht="15.75">
      <c r="A75" s="151"/>
      <c r="B75" s="137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.75">
      <c r="A76" s="151"/>
      <c r="B76" s="137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ht="15.75">
      <c r="A77" s="151"/>
      <c r="B77" s="137"/>
      <c r="C77" s="138"/>
      <c r="D77" s="138"/>
      <c r="E77" s="138"/>
      <c r="F77" s="138"/>
      <c r="G77" s="138"/>
      <c r="H77" s="138"/>
      <c r="I77" s="138"/>
      <c r="J77" s="138"/>
      <c r="K77" s="138"/>
    </row>
    <row r="78" spans="1:11" ht="15.75">
      <c r="A78" s="151"/>
      <c r="B78" s="137"/>
      <c r="C78" s="138"/>
      <c r="D78" s="138"/>
      <c r="E78" s="138"/>
      <c r="F78" s="138"/>
      <c r="G78" s="138"/>
      <c r="H78" s="138"/>
      <c r="I78" s="138"/>
      <c r="J78" s="138"/>
      <c r="K78" s="138"/>
    </row>
    <row r="79" spans="1:11" ht="15.75">
      <c r="A79" s="151"/>
      <c r="B79" s="137"/>
      <c r="C79" s="138"/>
      <c r="D79" s="138"/>
      <c r="E79" s="138"/>
      <c r="F79" s="138"/>
      <c r="G79" s="138"/>
      <c r="H79" s="138"/>
      <c r="I79" s="138"/>
      <c r="J79" s="138"/>
      <c r="K79" s="138"/>
    </row>
    <row r="80" spans="1:11" ht="15.75">
      <c r="A80" s="151"/>
      <c r="B80" s="137"/>
      <c r="C80" s="138"/>
      <c r="D80" s="138"/>
      <c r="E80" s="138"/>
      <c r="F80" s="138"/>
      <c r="G80" s="138"/>
      <c r="H80" s="138"/>
      <c r="I80" s="138"/>
      <c r="J80" s="138"/>
      <c r="K80" s="138"/>
    </row>
    <row r="81" spans="1:11" ht="15.75">
      <c r="A81" s="151"/>
      <c r="B81" s="137"/>
      <c r="C81" s="138"/>
      <c r="D81" s="138"/>
      <c r="E81" s="138"/>
      <c r="F81" s="138"/>
      <c r="G81" s="138"/>
      <c r="H81" s="138"/>
      <c r="I81" s="138"/>
      <c r="J81" s="138"/>
      <c r="K81" s="138"/>
    </row>
    <row r="82" spans="1:11" ht="15.75">
      <c r="A82" s="151"/>
      <c r="B82" s="137"/>
      <c r="C82" s="138"/>
      <c r="D82" s="138"/>
      <c r="E82" s="138"/>
      <c r="F82" s="138"/>
      <c r="G82" s="138"/>
      <c r="H82" s="138"/>
      <c r="I82" s="138"/>
      <c r="J82" s="138"/>
      <c r="K82" s="138"/>
    </row>
    <row r="84" spans="1:11" ht="16.5" thickBot="1">
      <c r="A84" s="152"/>
      <c r="B84" s="153"/>
      <c r="C84" s="154"/>
      <c r="D84" s="154"/>
      <c r="E84" s="154"/>
      <c r="F84" s="154"/>
      <c r="G84" s="154"/>
      <c r="H84" s="154"/>
      <c r="I84" s="154"/>
      <c r="J84" s="154"/>
      <c r="K84" s="154"/>
    </row>
    <row r="85" spans="1:11" ht="15.75">
      <c r="A85" s="136" t="s">
        <v>125</v>
      </c>
      <c r="B85" s="140"/>
      <c r="C85" s="138"/>
      <c r="D85" s="138"/>
      <c r="E85" s="138"/>
      <c r="F85" s="138"/>
      <c r="G85" s="138"/>
      <c r="H85" s="138"/>
      <c r="I85" s="138"/>
      <c r="J85" s="138"/>
      <c r="K85" s="138"/>
    </row>
    <row r="86" spans="1:11" ht="22.5">
      <c r="A86" s="136"/>
      <c r="B86" s="140"/>
      <c r="C86" s="138"/>
      <c r="D86" s="138"/>
      <c r="E86" s="138"/>
      <c r="F86" s="138"/>
      <c r="G86" s="138"/>
      <c r="H86" s="856" t="s">
        <v>137</v>
      </c>
      <c r="I86" s="856"/>
      <c r="J86" s="856"/>
      <c r="K86" s="856"/>
    </row>
    <row r="87" spans="1:11" ht="22.5">
      <c r="A87" s="136"/>
      <c r="B87" s="140"/>
      <c r="C87" s="138"/>
      <c r="D87" s="856" t="s">
        <v>138</v>
      </c>
      <c r="E87" s="856"/>
      <c r="F87" s="856" t="s">
        <v>139</v>
      </c>
      <c r="G87" s="856"/>
      <c r="H87" s="856" t="s">
        <v>126</v>
      </c>
      <c r="I87" s="856"/>
      <c r="J87" s="155"/>
      <c r="K87" s="155"/>
    </row>
    <row r="88" spans="1:11" ht="15.75">
      <c r="A88" s="140" t="s">
        <v>82</v>
      </c>
      <c r="B88" s="140" t="s">
        <v>83</v>
      </c>
      <c r="C88" s="156" t="s">
        <v>112</v>
      </c>
      <c r="D88" s="156" t="s">
        <v>127</v>
      </c>
      <c r="E88" s="156" t="s">
        <v>128</v>
      </c>
      <c r="F88" s="156" t="s">
        <v>127</v>
      </c>
      <c r="G88" s="156" t="s">
        <v>128</v>
      </c>
      <c r="H88" s="156" t="s">
        <v>127</v>
      </c>
      <c r="I88" s="156" t="s">
        <v>128</v>
      </c>
      <c r="J88" s="156"/>
      <c r="K88" s="156"/>
    </row>
    <row r="89" spans="1:11" ht="15.75">
      <c r="A89" s="140"/>
      <c r="B89" s="140" t="s">
        <v>85</v>
      </c>
      <c r="C89" s="156"/>
      <c r="D89" s="156"/>
      <c r="E89" s="156"/>
      <c r="F89" s="156"/>
      <c r="G89" s="156"/>
      <c r="H89" s="156"/>
      <c r="I89" s="156"/>
      <c r="J89" s="156"/>
      <c r="K89" s="156"/>
    </row>
    <row r="90" spans="1:11" ht="15.75">
      <c r="A90" s="143">
        <v>2000</v>
      </c>
      <c r="B90" s="137" t="s">
        <v>57</v>
      </c>
      <c r="C90" s="157">
        <v>0</v>
      </c>
      <c r="D90" s="68">
        <v>0</v>
      </c>
      <c r="E90" s="68">
        <v>581906</v>
      </c>
      <c r="F90" s="158">
        <v>0</v>
      </c>
      <c r="G90" s="158">
        <v>10952082</v>
      </c>
      <c r="H90" s="149">
        <v>0</v>
      </c>
      <c r="I90" s="149">
        <v>51557</v>
      </c>
      <c r="J90" s="149"/>
      <c r="K90" s="149"/>
    </row>
    <row r="91" spans="1:11" ht="15.75">
      <c r="A91" s="137"/>
      <c r="B91" s="137" t="s">
        <v>58</v>
      </c>
      <c r="C91" s="68">
        <v>4</v>
      </c>
      <c r="D91" s="149">
        <v>4</v>
      </c>
      <c r="E91" s="68">
        <v>582429</v>
      </c>
      <c r="F91" s="159">
        <v>1183</v>
      </c>
      <c r="G91" s="159">
        <v>10901437</v>
      </c>
      <c r="H91" s="149">
        <v>1</v>
      </c>
      <c r="I91" s="149">
        <v>53336</v>
      </c>
      <c r="J91" s="149"/>
      <c r="K91" s="149"/>
    </row>
    <row r="92" spans="1:11" ht="15.75">
      <c r="A92" s="137"/>
      <c r="B92" s="137" t="s">
        <v>59</v>
      </c>
      <c r="C92" s="68">
        <v>165</v>
      </c>
      <c r="D92" s="149">
        <v>451</v>
      </c>
      <c r="E92" s="68">
        <v>584742</v>
      </c>
      <c r="F92" s="159">
        <v>6297</v>
      </c>
      <c r="G92" s="159">
        <v>10613998</v>
      </c>
      <c r="H92" s="149">
        <v>23</v>
      </c>
      <c r="I92" s="149">
        <v>45334</v>
      </c>
      <c r="J92" s="149"/>
      <c r="K92" s="149"/>
    </row>
    <row r="93" spans="1:11" ht="15.75">
      <c r="A93" s="137"/>
      <c r="B93" s="137" t="s">
        <v>60</v>
      </c>
      <c r="C93" s="69">
        <v>980</v>
      </c>
      <c r="D93" s="160">
        <v>1151</v>
      </c>
      <c r="E93" s="68">
        <v>584283</v>
      </c>
      <c r="F93" s="161">
        <v>20479</v>
      </c>
      <c r="G93" s="161">
        <v>10130021</v>
      </c>
      <c r="H93" s="149">
        <v>26</v>
      </c>
      <c r="I93" s="149">
        <v>43605</v>
      </c>
      <c r="J93" s="149"/>
      <c r="K93" s="149"/>
    </row>
    <row r="94" spans="1:11" ht="15.75">
      <c r="A94" s="137"/>
      <c r="B94" s="137"/>
      <c r="C94" s="69"/>
      <c r="D94" s="160"/>
      <c r="E94" s="68"/>
      <c r="F94" s="161"/>
      <c r="G94" s="161"/>
      <c r="H94" s="149"/>
      <c r="I94" s="149"/>
      <c r="J94" s="149"/>
      <c r="K94" s="149"/>
    </row>
    <row r="95" spans="1:11" ht="15.75">
      <c r="A95" s="137"/>
      <c r="B95" s="140" t="s">
        <v>86</v>
      </c>
      <c r="C95" s="69"/>
      <c r="D95" s="160"/>
      <c r="E95" s="68"/>
      <c r="F95" s="161"/>
      <c r="G95" s="161"/>
      <c r="H95" s="149"/>
      <c r="I95" s="149"/>
      <c r="J95" s="149"/>
      <c r="K95" s="149"/>
    </row>
    <row r="96" spans="1:11" ht="15.75">
      <c r="A96" s="143">
        <v>2001</v>
      </c>
      <c r="B96" s="137" t="s">
        <v>49</v>
      </c>
      <c r="C96" s="69">
        <v>4524</v>
      </c>
      <c r="D96" s="160">
        <v>9425</v>
      </c>
      <c r="E96" s="68">
        <v>577760</v>
      </c>
      <c r="F96" s="161">
        <v>341720.1</v>
      </c>
      <c r="G96" s="161">
        <v>10503794.43</v>
      </c>
      <c r="H96" s="149">
        <v>628</v>
      </c>
      <c r="I96" s="149">
        <v>54493</v>
      </c>
      <c r="J96" s="149"/>
      <c r="K96" s="149"/>
    </row>
    <row r="97" spans="1:11" ht="15.75">
      <c r="A97" s="137"/>
      <c r="B97" s="137" t="s">
        <v>50</v>
      </c>
      <c r="C97" s="69">
        <v>11633</v>
      </c>
      <c r="D97" s="160">
        <v>13649</v>
      </c>
      <c r="E97" s="68">
        <v>575515</v>
      </c>
      <c r="F97" s="161">
        <v>439220.91</v>
      </c>
      <c r="G97" s="161">
        <v>10244004.359999998</v>
      </c>
      <c r="H97" s="149">
        <v>1416</v>
      </c>
      <c r="I97" s="149">
        <v>46942</v>
      </c>
      <c r="J97" s="149"/>
      <c r="K97" s="149"/>
    </row>
    <row r="98" spans="1:11" ht="15.75">
      <c r="A98" s="137"/>
      <c r="B98" s="137" t="s">
        <v>51</v>
      </c>
      <c r="C98" s="69">
        <v>14767</v>
      </c>
      <c r="D98" s="160">
        <v>15961</v>
      </c>
      <c r="E98" s="68">
        <v>573114</v>
      </c>
      <c r="F98" s="161">
        <v>542324.85</v>
      </c>
      <c r="G98" s="161">
        <v>9503513.1099999975</v>
      </c>
      <c r="H98" s="149">
        <v>2072</v>
      </c>
      <c r="I98" s="149">
        <v>49489</v>
      </c>
      <c r="J98" s="149"/>
      <c r="K98" s="149"/>
    </row>
    <row r="99" spans="1:11" ht="15.75">
      <c r="A99" s="137"/>
      <c r="B99" s="137"/>
      <c r="C99" s="69"/>
      <c r="D99" s="160"/>
      <c r="E99" s="68"/>
      <c r="F99" s="161"/>
      <c r="G99" s="161"/>
      <c r="H99" s="149"/>
      <c r="I99" s="149"/>
      <c r="J99" s="149"/>
      <c r="K99" s="149"/>
    </row>
    <row r="100" spans="1:11" ht="15.75">
      <c r="A100" s="137"/>
      <c r="B100" s="140" t="s">
        <v>87</v>
      </c>
      <c r="C100" s="69"/>
      <c r="D100" s="160"/>
      <c r="E100" s="68"/>
      <c r="F100" s="161"/>
      <c r="G100" s="161"/>
      <c r="H100" s="149"/>
      <c r="I100" s="149"/>
      <c r="J100" s="149"/>
      <c r="K100" s="149"/>
    </row>
    <row r="101" spans="1:11" ht="15.75">
      <c r="A101" s="143" t="s">
        <v>66</v>
      </c>
      <c r="B101" s="137" t="s">
        <v>52</v>
      </c>
      <c r="C101" s="69">
        <v>16903</v>
      </c>
      <c r="D101" s="160">
        <v>17342</v>
      </c>
      <c r="E101" s="68">
        <v>572460</v>
      </c>
      <c r="F101" s="161" t="s">
        <v>129</v>
      </c>
      <c r="G101" s="161" t="s">
        <v>129</v>
      </c>
      <c r="H101" s="149">
        <v>2613</v>
      </c>
      <c r="I101" s="149">
        <v>46078</v>
      </c>
      <c r="J101" s="149"/>
      <c r="K101" s="149"/>
    </row>
    <row r="102" spans="1:11" ht="15.75">
      <c r="A102" s="137"/>
      <c r="B102" s="137" t="s">
        <v>53</v>
      </c>
      <c r="C102" s="69">
        <v>17652</v>
      </c>
      <c r="D102" s="160">
        <v>17253</v>
      </c>
      <c r="E102" s="68">
        <v>573315</v>
      </c>
      <c r="F102" s="161" t="s">
        <v>129</v>
      </c>
      <c r="G102" s="161" t="s">
        <v>129</v>
      </c>
      <c r="H102" s="149">
        <v>2778</v>
      </c>
      <c r="I102" s="149">
        <v>47956</v>
      </c>
      <c r="J102" s="149"/>
      <c r="K102" s="149"/>
    </row>
    <row r="103" spans="1:11" ht="15.75">
      <c r="A103" s="137"/>
      <c r="B103" s="137" t="s">
        <v>54</v>
      </c>
      <c r="C103" s="69">
        <v>17147</v>
      </c>
      <c r="D103" s="160">
        <v>16603</v>
      </c>
      <c r="E103" s="68">
        <v>574341</v>
      </c>
      <c r="F103" s="158">
        <v>580808.54</v>
      </c>
      <c r="G103" s="158">
        <v>8364089.4500000002</v>
      </c>
      <c r="H103" s="149">
        <v>2525</v>
      </c>
      <c r="I103" s="149">
        <v>43645</v>
      </c>
      <c r="J103" s="149"/>
      <c r="K103" s="149"/>
    </row>
    <row r="104" spans="1:11" ht="15.75">
      <c r="A104" s="137"/>
      <c r="B104" s="137"/>
      <c r="C104" s="69"/>
      <c r="D104" s="160"/>
      <c r="E104" s="68"/>
      <c r="F104" s="158"/>
      <c r="G104" s="158"/>
      <c r="H104" s="149"/>
      <c r="I104" s="149"/>
      <c r="J104" s="149"/>
      <c r="K104" s="149"/>
    </row>
    <row r="105" spans="1:11" ht="15.75">
      <c r="A105" s="137"/>
      <c r="B105" s="140" t="s">
        <v>88</v>
      </c>
      <c r="C105" s="69"/>
      <c r="D105" s="160"/>
      <c r="E105" s="68"/>
      <c r="F105" s="161"/>
      <c r="G105" s="161"/>
      <c r="H105" s="149"/>
      <c r="I105" s="149"/>
      <c r="J105" s="149"/>
      <c r="K105" s="149"/>
    </row>
    <row r="106" spans="1:11" ht="15.75">
      <c r="A106" s="143" t="s">
        <v>66</v>
      </c>
      <c r="B106" s="137" t="s">
        <v>55</v>
      </c>
      <c r="C106" s="69">
        <v>16589</v>
      </c>
      <c r="D106" s="160">
        <v>15966</v>
      </c>
      <c r="E106" s="68">
        <v>577448</v>
      </c>
      <c r="F106" s="161" t="s">
        <v>129</v>
      </c>
      <c r="G106" s="161" t="s">
        <v>129</v>
      </c>
      <c r="H106" s="149">
        <v>1389</v>
      </c>
      <c r="I106" s="149">
        <v>40882</v>
      </c>
      <c r="J106" s="149"/>
      <c r="K106" s="149"/>
    </row>
    <row r="107" spans="1:11" ht="15.75">
      <c r="A107" s="137"/>
      <c r="B107" s="137" t="s">
        <v>56</v>
      </c>
      <c r="C107" s="69">
        <v>15918</v>
      </c>
      <c r="D107" s="160">
        <v>15409</v>
      </c>
      <c r="E107" s="68">
        <v>577723</v>
      </c>
      <c r="F107" s="161" t="s">
        <v>129</v>
      </c>
      <c r="G107" s="161" t="s">
        <v>129</v>
      </c>
      <c r="H107" s="149">
        <v>2706</v>
      </c>
      <c r="I107" s="149">
        <v>55898</v>
      </c>
      <c r="J107" s="149"/>
      <c r="K107" s="149"/>
    </row>
    <row r="108" spans="1:11" ht="15.75">
      <c r="A108" s="137"/>
      <c r="B108" s="137" t="s">
        <v>57</v>
      </c>
      <c r="C108" s="69">
        <v>15359</v>
      </c>
      <c r="D108" s="160">
        <v>14860</v>
      </c>
      <c r="E108" s="68">
        <v>579399</v>
      </c>
      <c r="F108" s="158">
        <v>650062.23</v>
      </c>
      <c r="G108" s="158">
        <v>10850610.5</v>
      </c>
      <c r="H108" s="149">
        <v>2669</v>
      </c>
      <c r="I108" s="149">
        <v>53058</v>
      </c>
      <c r="J108" s="149"/>
      <c r="K108" s="149"/>
    </row>
    <row r="109" spans="1:11" ht="15.75">
      <c r="A109" s="137"/>
      <c r="B109" s="137"/>
      <c r="C109" s="69"/>
      <c r="D109" s="160"/>
      <c r="E109" s="68"/>
      <c r="F109" s="158"/>
      <c r="G109" s="158"/>
      <c r="H109" s="149"/>
      <c r="I109" s="149"/>
      <c r="J109" s="149"/>
      <c r="K109" s="149"/>
    </row>
    <row r="110" spans="1:11" ht="15.75">
      <c r="A110" s="137"/>
      <c r="B110" s="140" t="s">
        <v>89</v>
      </c>
      <c r="C110" s="69"/>
      <c r="D110" s="160"/>
      <c r="E110" s="68"/>
      <c r="F110" s="161"/>
      <c r="G110" s="161"/>
      <c r="H110" s="149"/>
      <c r="I110" s="149"/>
      <c r="J110" s="149"/>
      <c r="K110" s="149"/>
    </row>
    <row r="111" spans="1:11" ht="15.75">
      <c r="A111" s="143" t="s">
        <v>66</v>
      </c>
      <c r="B111" s="137" t="s">
        <v>58</v>
      </c>
      <c r="C111" s="69">
        <v>14926</v>
      </c>
      <c r="D111" s="160">
        <v>14430</v>
      </c>
      <c r="E111" s="68">
        <v>580891</v>
      </c>
      <c r="F111" s="161" t="s">
        <v>129</v>
      </c>
      <c r="G111" s="161" t="s">
        <v>129</v>
      </c>
      <c r="H111" s="149">
        <v>4434</v>
      </c>
      <c r="I111" s="149">
        <f>57070+18</f>
        <v>57088</v>
      </c>
      <c r="J111" s="149"/>
      <c r="K111" s="149"/>
    </row>
    <row r="112" spans="1:11" ht="15.75">
      <c r="A112" s="137"/>
      <c r="B112" s="137" t="s">
        <v>59</v>
      </c>
      <c r="C112" s="69">
        <v>14747</v>
      </c>
      <c r="D112" s="160">
        <v>14853</v>
      </c>
      <c r="E112" s="68">
        <v>583633</v>
      </c>
      <c r="F112" s="161" t="s">
        <v>129</v>
      </c>
      <c r="G112" s="161" t="s">
        <v>129</v>
      </c>
      <c r="H112" s="149">
        <v>3908</v>
      </c>
      <c r="I112" s="149">
        <f>47666+23</f>
        <v>47689</v>
      </c>
      <c r="J112" s="149"/>
      <c r="K112" s="149"/>
    </row>
    <row r="113" spans="1:11" ht="15.75">
      <c r="A113" s="137"/>
      <c r="B113" s="137" t="s">
        <v>60</v>
      </c>
      <c r="C113" s="69">
        <v>14770</v>
      </c>
      <c r="D113" s="160">
        <v>16140</v>
      </c>
      <c r="E113" s="68">
        <f>583474</f>
        <v>583474</v>
      </c>
      <c r="F113" s="158">
        <f>291764.19+212948.21+375622.24</f>
        <v>880334.64</v>
      </c>
      <c r="G113" s="158">
        <f>4726156.92+2405575.35+2901167.1+57.04+1020.25+345.32+4749.03</f>
        <v>10039071.009999998</v>
      </c>
      <c r="H113" s="149">
        <v>3312</v>
      </c>
      <c r="I113" s="149">
        <f>41677+15</f>
        <v>41692</v>
      </c>
      <c r="J113" s="149"/>
      <c r="K113" s="149"/>
    </row>
    <row r="114" spans="1:11" ht="15.75">
      <c r="A114" s="137"/>
      <c r="B114" s="137"/>
      <c r="C114" s="69"/>
      <c r="D114" s="160"/>
      <c r="E114" s="68"/>
      <c r="F114" s="158"/>
      <c r="G114" s="158"/>
      <c r="H114" s="149"/>
      <c r="I114" s="149"/>
      <c r="J114" s="149"/>
      <c r="K114" s="149"/>
    </row>
    <row r="115" spans="1:11" ht="15.75">
      <c r="A115" s="137"/>
      <c r="B115" s="140" t="s">
        <v>90</v>
      </c>
      <c r="C115" s="69"/>
      <c r="D115" s="160"/>
      <c r="E115" s="68"/>
      <c r="F115" s="161"/>
      <c r="G115" s="161"/>
      <c r="H115" s="149"/>
      <c r="I115" s="149"/>
      <c r="J115" s="149"/>
      <c r="K115" s="149"/>
    </row>
    <row r="116" spans="1:11" ht="15.75">
      <c r="A116" s="143">
        <v>2002</v>
      </c>
      <c r="B116" s="137" t="s">
        <v>49</v>
      </c>
      <c r="C116" s="69">
        <v>18559</v>
      </c>
      <c r="D116" s="160">
        <v>18964</v>
      </c>
      <c r="E116" s="68">
        <v>581155</v>
      </c>
      <c r="F116" s="161" t="s">
        <v>129</v>
      </c>
      <c r="G116" s="161" t="s">
        <v>129</v>
      </c>
      <c r="H116" s="149">
        <v>5020</v>
      </c>
      <c r="I116" s="149">
        <f>54856+16</f>
        <v>54872</v>
      </c>
      <c r="J116" s="149"/>
      <c r="K116" s="149"/>
    </row>
    <row r="117" spans="1:11" ht="15.75">
      <c r="A117" s="137"/>
      <c r="B117" s="137" t="s">
        <v>50</v>
      </c>
      <c r="C117" s="69">
        <v>20266</v>
      </c>
      <c r="D117" s="160">
        <v>20990</v>
      </c>
      <c r="E117" s="68">
        <v>581011</v>
      </c>
      <c r="F117" s="161" t="s">
        <v>129</v>
      </c>
      <c r="G117" s="161" t="s">
        <v>129</v>
      </c>
      <c r="H117" s="149">
        <v>4686</v>
      </c>
      <c r="I117" s="149">
        <f>55313+12</f>
        <v>55325</v>
      </c>
      <c r="J117" s="149"/>
      <c r="K117" s="149"/>
    </row>
    <row r="118" spans="1:11" ht="15.75">
      <c r="A118" s="137"/>
      <c r="B118" s="137" t="s">
        <v>51</v>
      </c>
      <c r="C118" s="69">
        <v>22301</v>
      </c>
      <c r="D118" s="160">
        <v>22417</v>
      </c>
      <c r="E118" s="68">
        <v>580035</v>
      </c>
      <c r="F118" s="158">
        <v>1113718</v>
      </c>
      <c r="G118" s="158">
        <v>9542463</v>
      </c>
      <c r="H118" s="149">
        <v>4013</v>
      </c>
      <c r="I118" s="149">
        <f>50537+13</f>
        <v>50550</v>
      </c>
      <c r="J118" s="149"/>
      <c r="K118" s="149"/>
    </row>
    <row r="119" spans="1:11" ht="15.75">
      <c r="A119" s="137"/>
      <c r="B119" s="137"/>
      <c r="C119" s="69"/>
      <c r="D119" s="160"/>
      <c r="E119" s="68"/>
      <c r="F119" s="158"/>
      <c r="G119" s="158"/>
      <c r="H119" s="149"/>
      <c r="I119" s="149"/>
      <c r="J119" s="149"/>
      <c r="K119" s="149"/>
    </row>
    <row r="120" spans="1:11" ht="15.75">
      <c r="A120" s="137"/>
      <c r="B120" s="140" t="s">
        <v>91</v>
      </c>
      <c r="C120" s="69"/>
      <c r="D120" s="160"/>
      <c r="E120" s="68"/>
      <c r="F120" s="161"/>
      <c r="G120" s="161"/>
      <c r="H120" s="149"/>
      <c r="I120" s="149"/>
      <c r="J120" s="149"/>
      <c r="K120" s="149"/>
    </row>
    <row r="121" spans="1:11" ht="15.75">
      <c r="A121" s="137"/>
      <c r="B121" s="137" t="s">
        <v>52</v>
      </c>
      <c r="C121" s="69">
        <v>23312</v>
      </c>
      <c r="D121" s="160">
        <v>23224</v>
      </c>
      <c r="E121" s="68">
        <v>580447</v>
      </c>
      <c r="F121" s="161" t="s">
        <v>129</v>
      </c>
      <c r="G121" s="161" t="s">
        <v>129</v>
      </c>
      <c r="H121" s="149">
        <v>3997</v>
      </c>
      <c r="I121" s="149">
        <v>51186</v>
      </c>
      <c r="J121" s="149"/>
      <c r="K121" s="149"/>
    </row>
    <row r="122" spans="1:11" ht="15.75">
      <c r="A122" s="137"/>
      <c r="B122" s="137" t="s">
        <v>53</v>
      </c>
      <c r="C122" s="69">
        <v>23603</v>
      </c>
      <c r="D122" s="160">
        <v>22728</v>
      </c>
      <c r="E122" s="68">
        <v>580635</v>
      </c>
      <c r="F122" s="161" t="s">
        <v>129</v>
      </c>
      <c r="G122" s="161" t="s">
        <v>129</v>
      </c>
      <c r="H122" s="149">
        <v>3489</v>
      </c>
      <c r="I122" s="149">
        <v>48298</v>
      </c>
      <c r="J122" s="149"/>
      <c r="K122" s="149"/>
    </row>
    <row r="123" spans="1:11" ht="15.75">
      <c r="A123" s="137"/>
      <c r="B123" s="137" t="s">
        <v>54</v>
      </c>
      <c r="C123" s="69">
        <v>20955</v>
      </c>
      <c r="D123" s="160">
        <v>18337</v>
      </c>
      <c r="E123" s="68">
        <v>585555</v>
      </c>
      <c r="F123" s="158">
        <v>926189.26</v>
      </c>
      <c r="G123" s="158">
        <v>8424780.1799999978</v>
      </c>
      <c r="H123" s="149">
        <v>2996</v>
      </c>
      <c r="I123" s="149">
        <v>42134</v>
      </c>
      <c r="J123" s="149"/>
      <c r="K123" s="149"/>
    </row>
    <row r="124" spans="1:11" ht="15.75">
      <c r="A124" s="137"/>
      <c r="B124" s="137"/>
      <c r="C124" s="69"/>
      <c r="D124" s="160"/>
      <c r="E124" s="68"/>
      <c r="F124" s="158"/>
      <c r="G124" s="158"/>
      <c r="H124" s="149"/>
      <c r="I124" s="149"/>
      <c r="J124" s="149"/>
      <c r="K124" s="149"/>
    </row>
    <row r="125" spans="1:11" ht="15.75">
      <c r="A125" s="137"/>
      <c r="B125" s="140" t="s">
        <v>92</v>
      </c>
      <c r="C125" s="69"/>
      <c r="D125" s="160"/>
      <c r="E125" s="68"/>
      <c r="F125" s="161"/>
      <c r="G125" s="161"/>
      <c r="H125" s="149"/>
      <c r="I125" s="149"/>
      <c r="J125" s="149"/>
      <c r="K125" s="149"/>
    </row>
    <row r="126" spans="1:11" ht="15.75">
      <c r="A126" s="137"/>
      <c r="B126" s="137" t="s">
        <v>55</v>
      </c>
      <c r="C126" s="69">
        <v>18417</v>
      </c>
      <c r="D126" s="160">
        <v>17698</v>
      </c>
      <c r="E126" s="68">
        <v>587949</v>
      </c>
      <c r="F126" s="161" t="s">
        <v>129</v>
      </c>
      <c r="G126" s="161" t="s">
        <v>129</v>
      </c>
      <c r="H126" s="149">
        <v>3353</v>
      </c>
      <c r="I126" s="149">
        <v>49289</v>
      </c>
      <c r="J126" s="149"/>
      <c r="K126" s="149"/>
    </row>
    <row r="127" spans="1:11" ht="15.75">
      <c r="A127" s="137"/>
      <c r="B127" s="137" t="s">
        <v>56</v>
      </c>
      <c r="C127" s="69">
        <v>17768</v>
      </c>
      <c r="D127" s="160">
        <v>17020</v>
      </c>
      <c r="E127" s="68">
        <v>588973</v>
      </c>
      <c r="F127" s="161" t="s">
        <v>129</v>
      </c>
      <c r="G127" s="161" t="s">
        <v>129</v>
      </c>
      <c r="H127" s="149">
        <v>4213</v>
      </c>
      <c r="I127" s="149">
        <v>62003</v>
      </c>
      <c r="J127" s="149"/>
      <c r="K127" s="149"/>
    </row>
    <row r="128" spans="1:11" ht="15.75">
      <c r="A128" s="137"/>
      <c r="B128" s="137" t="s">
        <v>57</v>
      </c>
      <c r="C128" s="69">
        <v>17214</v>
      </c>
      <c r="D128" s="160">
        <v>16380</v>
      </c>
      <c r="E128" s="68">
        <v>590490</v>
      </c>
      <c r="F128" s="158">
        <v>998812.82</v>
      </c>
      <c r="G128" s="158">
        <v>12674696.18</v>
      </c>
      <c r="H128" s="149">
        <v>3745</v>
      </c>
      <c r="I128" s="149">
        <v>59654</v>
      </c>
      <c r="J128" s="149"/>
      <c r="K128" s="149"/>
    </row>
    <row r="129" spans="1:11" ht="15.75">
      <c r="A129" s="137"/>
      <c r="B129" s="137"/>
      <c r="C129" s="69"/>
      <c r="D129" s="160"/>
      <c r="E129" s="68"/>
      <c r="F129" s="158"/>
      <c r="G129" s="158"/>
      <c r="H129" s="149"/>
      <c r="I129" s="149"/>
      <c r="J129" s="149"/>
      <c r="K129" s="149"/>
    </row>
    <row r="130" spans="1:11" ht="15.75">
      <c r="A130" s="137"/>
      <c r="B130" s="140" t="s">
        <v>93</v>
      </c>
      <c r="C130" s="69"/>
      <c r="D130" s="160"/>
      <c r="E130" s="68"/>
      <c r="F130" s="161"/>
      <c r="G130" s="161"/>
      <c r="H130" s="149"/>
      <c r="I130" s="149"/>
      <c r="J130" s="149"/>
      <c r="K130" s="149"/>
    </row>
    <row r="131" spans="1:11" ht="15.75">
      <c r="A131" s="137"/>
      <c r="B131" s="137" t="s">
        <v>58</v>
      </c>
      <c r="C131" s="69">
        <v>16642</v>
      </c>
      <c r="D131" s="160">
        <v>15824</v>
      </c>
      <c r="E131" s="68">
        <v>592545</v>
      </c>
      <c r="F131" s="161" t="s">
        <v>129</v>
      </c>
      <c r="G131" s="161" t="s">
        <v>129</v>
      </c>
      <c r="H131" s="149">
        <v>4363</v>
      </c>
      <c r="I131" s="149">
        <v>61126</v>
      </c>
      <c r="J131" s="149"/>
      <c r="K131" s="149"/>
    </row>
    <row r="132" spans="1:11" ht="15.75">
      <c r="A132" s="137"/>
      <c r="B132" s="137" t="s">
        <v>59</v>
      </c>
      <c r="C132" s="69">
        <v>16198</v>
      </c>
      <c r="D132" s="160">
        <v>16120</v>
      </c>
      <c r="E132" s="68">
        <v>594218</v>
      </c>
      <c r="F132" s="161" t="s">
        <v>129</v>
      </c>
      <c r="G132" s="161" t="s">
        <v>129</v>
      </c>
      <c r="H132" s="149">
        <v>3491</v>
      </c>
      <c r="I132" s="149">
        <v>44450</v>
      </c>
      <c r="J132" s="149"/>
      <c r="K132" s="149"/>
    </row>
    <row r="133" spans="1:11" ht="15.75">
      <c r="A133" s="137"/>
      <c r="B133" s="137" t="s">
        <v>60</v>
      </c>
      <c r="C133" s="69">
        <v>17192</v>
      </c>
      <c r="D133" s="160">
        <v>17538</v>
      </c>
      <c r="E133" s="68">
        <v>593695</v>
      </c>
      <c r="F133" s="158">
        <v>866147.83999999997</v>
      </c>
      <c r="G133" s="158">
        <v>10832537.119999999</v>
      </c>
      <c r="H133" s="149">
        <v>3370</v>
      </c>
      <c r="I133" s="149">
        <v>47197</v>
      </c>
      <c r="J133" s="149"/>
      <c r="K133" s="149"/>
    </row>
    <row r="134" spans="1:11" ht="15.75">
      <c r="A134" s="137"/>
      <c r="B134" s="137"/>
      <c r="C134" s="69"/>
      <c r="D134" s="160"/>
      <c r="E134" s="68"/>
      <c r="F134" s="158"/>
      <c r="G134" s="158"/>
      <c r="H134" s="149"/>
      <c r="I134" s="149"/>
      <c r="J134" s="149"/>
      <c r="K134" s="149"/>
    </row>
    <row r="135" spans="1:11" ht="15.75">
      <c r="A135" s="136" t="s">
        <v>125</v>
      </c>
      <c r="B135" s="140"/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1:11" ht="22.5">
      <c r="A136" s="136"/>
      <c r="B136" s="140"/>
      <c r="C136" s="138"/>
      <c r="D136" s="138"/>
      <c r="E136" s="138"/>
      <c r="F136" s="138"/>
      <c r="G136" s="138"/>
      <c r="H136" s="856" t="s">
        <v>137</v>
      </c>
      <c r="I136" s="856"/>
      <c r="J136" s="856"/>
      <c r="K136" s="856"/>
    </row>
    <row r="137" spans="1:11" ht="22.5">
      <c r="A137" s="136"/>
      <c r="B137" s="140"/>
      <c r="C137" s="138"/>
      <c r="D137" s="856" t="s">
        <v>138</v>
      </c>
      <c r="E137" s="856"/>
      <c r="F137" s="856" t="s">
        <v>139</v>
      </c>
      <c r="G137" s="856"/>
      <c r="H137" s="856" t="s">
        <v>126</v>
      </c>
      <c r="I137" s="856"/>
      <c r="J137" s="155"/>
      <c r="K137" s="155"/>
    </row>
    <row r="138" spans="1:11" ht="15.75">
      <c r="A138" s="140" t="s">
        <v>82</v>
      </c>
      <c r="B138" s="140" t="s">
        <v>83</v>
      </c>
      <c r="C138" s="156" t="s">
        <v>112</v>
      </c>
      <c r="D138" s="156" t="s">
        <v>127</v>
      </c>
      <c r="E138" s="156" t="s">
        <v>128</v>
      </c>
      <c r="F138" s="156" t="s">
        <v>127</v>
      </c>
      <c r="G138" s="156" t="s">
        <v>128</v>
      </c>
      <c r="H138" s="156" t="s">
        <v>127</v>
      </c>
      <c r="I138" s="156" t="s">
        <v>128</v>
      </c>
      <c r="J138" s="156"/>
      <c r="K138" s="156"/>
    </row>
    <row r="139" spans="1:11" ht="15.75">
      <c r="A139" s="143">
        <v>2003</v>
      </c>
      <c r="B139" s="140" t="s">
        <v>94</v>
      </c>
      <c r="C139" s="69"/>
      <c r="D139" s="160"/>
      <c r="E139" s="68"/>
      <c r="F139" s="161"/>
      <c r="G139" s="161"/>
      <c r="H139" s="149"/>
      <c r="I139" s="149"/>
      <c r="J139" s="149"/>
      <c r="K139" s="149"/>
    </row>
    <row r="140" spans="1:11" ht="15.75">
      <c r="A140" s="137"/>
      <c r="B140" s="137" t="s">
        <v>49</v>
      </c>
      <c r="C140" s="69">
        <v>18797</v>
      </c>
      <c r="D140" s="160">
        <v>19398</v>
      </c>
      <c r="E140" s="68">
        <v>593570</v>
      </c>
      <c r="F140" s="161" t="s">
        <v>129</v>
      </c>
      <c r="G140" s="161" t="s">
        <v>129</v>
      </c>
      <c r="H140" s="149">
        <v>6038</v>
      </c>
      <c r="I140" s="149">
        <v>56752</v>
      </c>
      <c r="J140" s="149"/>
      <c r="K140" s="149"/>
    </row>
    <row r="141" spans="1:11" ht="15.75">
      <c r="A141" s="137"/>
      <c r="B141" s="137" t="s">
        <v>50</v>
      </c>
      <c r="C141" s="69">
        <v>21066</v>
      </c>
      <c r="D141" s="160">
        <v>21310</v>
      </c>
      <c r="E141" s="68">
        <v>593472</v>
      </c>
      <c r="F141" s="161" t="s">
        <v>129</v>
      </c>
      <c r="G141" s="161" t="s">
        <v>129</v>
      </c>
      <c r="H141" s="149">
        <v>4816</v>
      </c>
      <c r="I141" s="149">
        <v>52858</v>
      </c>
      <c r="J141" s="149"/>
      <c r="K141" s="149"/>
    </row>
    <row r="142" spans="1:11" ht="15.75">
      <c r="A142" s="137"/>
      <c r="B142" s="137" t="s">
        <v>51</v>
      </c>
      <c r="C142" s="69">
        <v>22691</v>
      </c>
      <c r="D142" s="160">
        <v>22821</v>
      </c>
      <c r="E142" s="68">
        <v>593378</v>
      </c>
      <c r="F142" s="158">
        <v>1156415</v>
      </c>
      <c r="G142" s="158">
        <v>9767092</v>
      </c>
      <c r="H142" s="149">
        <v>4060</v>
      </c>
      <c r="I142" s="149">
        <v>48034</v>
      </c>
      <c r="J142" s="149"/>
      <c r="K142" s="149"/>
    </row>
    <row r="143" spans="1:11" ht="15.75">
      <c r="A143" s="137"/>
      <c r="B143" s="137"/>
      <c r="C143" s="69"/>
      <c r="D143" s="160"/>
      <c r="E143" s="68"/>
      <c r="F143" s="158"/>
      <c r="G143" s="158"/>
      <c r="H143" s="149"/>
      <c r="I143" s="149"/>
      <c r="J143" s="149"/>
      <c r="K143" s="149"/>
    </row>
    <row r="144" spans="1:11" ht="15.75">
      <c r="A144" s="143" t="s">
        <v>66</v>
      </c>
      <c r="B144" s="140" t="s">
        <v>95</v>
      </c>
      <c r="C144" s="69"/>
      <c r="D144" s="160"/>
      <c r="E144" s="68"/>
      <c r="F144" s="161"/>
      <c r="G144" s="161"/>
      <c r="H144" s="149"/>
      <c r="I144" s="149"/>
      <c r="J144" s="149"/>
      <c r="K144" s="149"/>
    </row>
    <row r="145" spans="1:11" ht="15.75">
      <c r="A145" s="137"/>
      <c r="B145" s="137" t="s">
        <v>52</v>
      </c>
      <c r="C145" s="69">
        <v>23884</v>
      </c>
      <c r="D145" s="160">
        <v>23506</v>
      </c>
      <c r="E145" s="68">
        <v>593216</v>
      </c>
      <c r="F145" s="161" t="s">
        <v>129</v>
      </c>
      <c r="G145" s="161" t="s">
        <v>129</v>
      </c>
      <c r="H145" s="149">
        <v>3474</v>
      </c>
      <c r="I145" s="149">
        <v>49538</v>
      </c>
      <c r="J145" s="149"/>
      <c r="K145" s="149"/>
    </row>
    <row r="146" spans="1:11" ht="15.75">
      <c r="A146" s="137"/>
      <c r="B146" s="137" t="s">
        <v>53</v>
      </c>
      <c r="C146" s="69">
        <v>24166</v>
      </c>
      <c r="D146" s="160">
        <v>23481</v>
      </c>
      <c r="E146" s="68">
        <v>593787</v>
      </c>
      <c r="F146" s="161" t="s">
        <v>129</v>
      </c>
      <c r="G146" s="161" t="s">
        <v>129</v>
      </c>
      <c r="H146" s="149">
        <v>3643</v>
      </c>
      <c r="I146" s="149">
        <v>46383</v>
      </c>
      <c r="J146" s="149"/>
      <c r="K146" s="149"/>
    </row>
    <row r="147" spans="1:11" ht="15.75">
      <c r="A147" s="137"/>
      <c r="B147" s="137" t="s">
        <v>54</v>
      </c>
      <c r="C147" s="69">
        <v>22096</v>
      </c>
      <c r="D147" s="160">
        <v>18151</v>
      </c>
      <c r="E147" s="68">
        <v>599513</v>
      </c>
      <c r="F147" s="158">
        <v>1019165.69</v>
      </c>
      <c r="G147" s="158">
        <v>9042021.9299999997</v>
      </c>
      <c r="H147" s="149">
        <v>3606</v>
      </c>
      <c r="I147" s="149">
        <v>43885</v>
      </c>
      <c r="J147" s="149"/>
      <c r="K147" s="149"/>
    </row>
    <row r="148" spans="1:11" ht="15.75">
      <c r="A148" s="143" t="s">
        <v>66</v>
      </c>
      <c r="B148" s="140" t="s">
        <v>96</v>
      </c>
      <c r="C148" s="69"/>
      <c r="D148" s="160"/>
      <c r="E148" s="68"/>
      <c r="F148" s="161"/>
      <c r="G148" s="161"/>
      <c r="H148" s="149"/>
      <c r="I148" s="149"/>
      <c r="J148" s="149"/>
      <c r="K148" s="149"/>
    </row>
    <row r="149" spans="1:11" ht="15.75">
      <c r="A149" s="137"/>
      <c r="B149" s="137" t="s">
        <v>55</v>
      </c>
      <c r="C149" s="69">
        <v>18294</v>
      </c>
      <c r="D149" s="160">
        <v>17418</v>
      </c>
      <c r="E149" s="68">
        <v>601947</v>
      </c>
      <c r="F149" s="161" t="s">
        <v>129</v>
      </c>
      <c r="G149" s="161" t="s">
        <v>129</v>
      </c>
      <c r="H149" s="149">
        <v>3715</v>
      </c>
      <c r="I149" s="149">
        <v>48911</v>
      </c>
      <c r="J149" s="149"/>
      <c r="K149" s="149"/>
    </row>
    <row r="150" spans="1:11" ht="15.75">
      <c r="A150" s="137"/>
      <c r="B150" s="137" t="s">
        <v>56</v>
      </c>
      <c r="C150" s="69">
        <v>17458</v>
      </c>
      <c r="D150" s="160">
        <v>16781</v>
      </c>
      <c r="E150" s="68">
        <v>602962</v>
      </c>
      <c r="F150" s="161" t="s">
        <v>129</v>
      </c>
      <c r="G150" s="161" t="s">
        <v>129</v>
      </c>
      <c r="H150" s="149">
        <v>3747</v>
      </c>
      <c r="I150" s="149">
        <v>52067</v>
      </c>
      <c r="J150" s="149"/>
      <c r="K150" s="149"/>
    </row>
    <row r="151" spans="1:11" ht="15.75">
      <c r="A151" s="137"/>
      <c r="B151" s="137" t="s">
        <v>57</v>
      </c>
      <c r="C151" s="69">
        <v>17118</v>
      </c>
      <c r="D151" s="160">
        <v>16228</v>
      </c>
      <c r="E151" s="68">
        <v>604851</v>
      </c>
      <c r="F151" s="158">
        <v>816361.92</v>
      </c>
      <c r="G151" s="158">
        <v>11114494.32</v>
      </c>
      <c r="H151" s="149">
        <v>4160</v>
      </c>
      <c r="I151" s="149">
        <v>59511</v>
      </c>
      <c r="J151" s="149"/>
      <c r="K151" s="149"/>
    </row>
    <row r="152" spans="1:11" ht="15.75">
      <c r="A152" s="137"/>
      <c r="B152" s="137"/>
      <c r="C152" s="69"/>
      <c r="D152" s="160"/>
      <c r="E152" s="68"/>
      <c r="F152" s="158"/>
      <c r="G152" s="158"/>
      <c r="H152" s="149"/>
      <c r="I152" s="149"/>
      <c r="J152" s="149"/>
      <c r="K152" s="149"/>
    </row>
    <row r="153" spans="1:11" ht="15.75">
      <c r="A153" s="143" t="s">
        <v>66</v>
      </c>
      <c r="B153" s="140" t="s">
        <v>97</v>
      </c>
      <c r="C153" s="69"/>
      <c r="D153" s="160"/>
      <c r="E153" s="68"/>
      <c r="F153" s="161"/>
      <c r="G153" s="161"/>
      <c r="H153" s="149"/>
      <c r="I153" s="149"/>
      <c r="J153" s="149"/>
      <c r="K153" s="149"/>
    </row>
    <row r="154" spans="1:11" ht="15.75">
      <c r="A154" s="137"/>
      <c r="B154" s="137" t="s">
        <v>58</v>
      </c>
      <c r="C154" s="69">
        <v>16449</v>
      </c>
      <c r="D154" s="160">
        <v>15708</v>
      </c>
      <c r="E154" s="68">
        <v>605838</v>
      </c>
      <c r="F154" s="161" t="s">
        <v>129</v>
      </c>
      <c r="G154" s="161" t="s">
        <v>129</v>
      </c>
      <c r="H154" s="149">
        <v>4821</v>
      </c>
      <c r="I154" s="149">
        <v>58379</v>
      </c>
      <c r="J154" s="149"/>
      <c r="K154" s="149"/>
    </row>
    <row r="155" spans="1:11" ht="15.75">
      <c r="A155" s="137"/>
      <c r="B155" s="137" t="s">
        <v>59</v>
      </c>
      <c r="C155" s="69">
        <v>16094</v>
      </c>
      <c r="D155" s="160">
        <v>15798</v>
      </c>
      <c r="E155" s="68">
        <v>609712</v>
      </c>
      <c r="F155" s="161" t="s">
        <v>129</v>
      </c>
      <c r="G155" s="161" t="s">
        <v>129</v>
      </c>
      <c r="H155" s="149">
        <v>3461</v>
      </c>
      <c r="I155" s="149">
        <v>38372</v>
      </c>
      <c r="J155" s="149"/>
      <c r="K155" s="149"/>
    </row>
    <row r="156" spans="1:11" ht="15.75">
      <c r="A156" s="137"/>
      <c r="B156" s="137" t="s">
        <v>60</v>
      </c>
      <c r="C156" s="69">
        <v>17120</v>
      </c>
      <c r="D156" s="160">
        <v>17345</v>
      </c>
      <c r="E156" s="68">
        <v>607291</v>
      </c>
      <c r="F156" s="158">
        <f>1048848</f>
        <v>1048848</v>
      </c>
      <c r="G156" s="158">
        <v>11605646</v>
      </c>
      <c r="H156" s="149">
        <v>3407</v>
      </c>
      <c r="I156" s="149">
        <v>45693</v>
      </c>
      <c r="J156" s="149"/>
      <c r="K156" s="149"/>
    </row>
    <row r="157" spans="1:11" ht="15.75">
      <c r="A157" s="137"/>
      <c r="B157" s="137"/>
      <c r="C157" s="69"/>
      <c r="D157" s="160"/>
      <c r="E157" s="68"/>
      <c r="F157" s="158"/>
      <c r="G157" s="158"/>
      <c r="H157" s="149"/>
      <c r="I157" s="149"/>
      <c r="J157" s="149"/>
      <c r="K157" s="149"/>
    </row>
    <row r="158" spans="1:11" ht="15.75">
      <c r="A158" s="143">
        <v>2004</v>
      </c>
      <c r="B158" s="140" t="s">
        <v>98</v>
      </c>
      <c r="C158" s="69"/>
      <c r="D158" s="160"/>
      <c r="E158" s="68"/>
      <c r="F158" s="161"/>
      <c r="G158" s="161"/>
      <c r="H158" s="149"/>
      <c r="I158" s="149"/>
      <c r="J158" s="149"/>
      <c r="K158" s="149"/>
    </row>
    <row r="159" spans="1:11" ht="15.75">
      <c r="A159" s="137"/>
      <c r="B159" s="137" t="s">
        <v>49</v>
      </c>
      <c r="C159" s="69">
        <v>18727</v>
      </c>
      <c r="D159" s="160">
        <v>19077</v>
      </c>
      <c r="E159" s="68">
        <v>607545</v>
      </c>
      <c r="F159" s="161" t="s">
        <v>129</v>
      </c>
      <c r="G159" s="161" t="s">
        <v>129</v>
      </c>
      <c r="H159" s="149">
        <v>4681</v>
      </c>
      <c r="I159" s="149">
        <v>51228</v>
      </c>
      <c r="J159" s="149"/>
      <c r="K159" s="149"/>
    </row>
    <row r="160" spans="1:11" ht="15.75">
      <c r="A160" s="137"/>
      <c r="B160" s="137" t="s">
        <v>50</v>
      </c>
      <c r="C160" s="69">
        <v>20542</v>
      </c>
      <c r="D160" s="160">
        <v>20433</v>
      </c>
      <c r="E160" s="68">
        <v>608541</v>
      </c>
      <c r="F160" s="161" t="s">
        <v>129</v>
      </c>
      <c r="G160" s="161" t="s">
        <v>129</v>
      </c>
      <c r="H160" s="149">
        <v>3979</v>
      </c>
      <c r="I160" s="149">
        <v>50461</v>
      </c>
      <c r="J160" s="149"/>
      <c r="K160" s="149"/>
    </row>
    <row r="161" spans="1:11" ht="15.75">
      <c r="A161" s="137"/>
      <c r="B161" s="137" t="s">
        <v>51</v>
      </c>
      <c r="C161" s="69">
        <v>21653</v>
      </c>
      <c r="D161" s="160">
        <v>21440</v>
      </c>
      <c r="E161" s="68">
        <v>607606</v>
      </c>
      <c r="F161" s="158">
        <v>1242171.72</v>
      </c>
      <c r="G161" s="158">
        <v>10421871.48</v>
      </c>
      <c r="H161" s="149">
        <v>4020</v>
      </c>
      <c r="I161" s="149">
        <v>49530</v>
      </c>
      <c r="J161" s="149"/>
      <c r="K161" s="149"/>
    </row>
    <row r="162" spans="1:11" ht="15.75">
      <c r="A162" s="137"/>
      <c r="B162" s="137"/>
      <c r="C162" s="69"/>
      <c r="D162" s="160"/>
      <c r="E162" s="68"/>
      <c r="F162" s="158"/>
      <c r="G162" s="158"/>
      <c r="H162" s="149"/>
      <c r="I162" s="149"/>
      <c r="J162" s="149"/>
      <c r="K162" s="149"/>
    </row>
    <row r="163" spans="1:11" ht="15.75">
      <c r="A163" s="143" t="s">
        <v>66</v>
      </c>
      <c r="B163" s="140" t="s">
        <v>99</v>
      </c>
      <c r="C163" s="69"/>
      <c r="D163" s="160"/>
      <c r="E163" s="68"/>
      <c r="F163" s="161"/>
      <c r="G163" s="161"/>
      <c r="H163" s="149"/>
      <c r="I163" s="149"/>
      <c r="J163" s="149"/>
      <c r="K163" s="149"/>
    </row>
    <row r="164" spans="1:11" ht="15.75">
      <c r="A164" s="137"/>
      <c r="B164" s="137" t="s">
        <v>52</v>
      </c>
      <c r="C164" s="69">
        <v>22276</v>
      </c>
      <c r="D164" s="160">
        <v>21668</v>
      </c>
      <c r="E164" s="68">
        <v>607485</v>
      </c>
      <c r="F164" s="161" t="s">
        <v>129</v>
      </c>
      <c r="G164" s="161" t="s">
        <v>129</v>
      </c>
      <c r="H164" s="149">
        <v>3188</v>
      </c>
      <c r="I164" s="149">
        <v>46428</v>
      </c>
      <c r="J164" s="149"/>
      <c r="K164" s="149"/>
    </row>
    <row r="165" spans="1:11" ht="15.75">
      <c r="A165" s="137"/>
      <c r="B165" s="137" t="s">
        <v>53</v>
      </c>
      <c r="C165" s="69">
        <v>22616</v>
      </c>
      <c r="D165" s="160">
        <v>21651</v>
      </c>
      <c r="E165" s="68">
        <v>608743</v>
      </c>
      <c r="F165" s="161" t="s">
        <v>129</v>
      </c>
      <c r="G165" s="161" t="s">
        <v>129</v>
      </c>
      <c r="H165" s="149">
        <v>2294</v>
      </c>
      <c r="I165" s="149">
        <v>40482</v>
      </c>
      <c r="J165" s="149"/>
      <c r="K165" s="149"/>
    </row>
    <row r="166" spans="1:11" ht="15.75">
      <c r="A166" s="137"/>
      <c r="B166" s="137" t="s">
        <v>54</v>
      </c>
      <c r="C166" s="69">
        <v>21763</v>
      </c>
      <c r="D166" s="160">
        <v>16162</v>
      </c>
      <c r="E166" s="68">
        <v>615355</v>
      </c>
      <c r="F166" s="158">
        <v>979097.97</v>
      </c>
      <c r="G166" s="158">
        <v>9403556.1999999993</v>
      </c>
      <c r="H166" s="149">
        <v>2555</v>
      </c>
      <c r="I166" s="149">
        <v>46097</v>
      </c>
      <c r="J166" s="149"/>
      <c r="K166" s="149"/>
    </row>
    <row r="167" spans="1:11" ht="15.75">
      <c r="A167" s="137"/>
      <c r="B167" s="137"/>
      <c r="C167" s="69"/>
      <c r="D167" s="160"/>
      <c r="E167" s="68"/>
      <c r="F167" s="158"/>
      <c r="G167" s="158"/>
      <c r="H167" s="149"/>
      <c r="I167" s="149"/>
      <c r="J167" s="149"/>
      <c r="K167" s="149"/>
    </row>
    <row r="168" spans="1:11" ht="15.75">
      <c r="A168" s="143" t="s">
        <v>66</v>
      </c>
      <c r="B168" s="140" t="s">
        <v>100</v>
      </c>
      <c r="C168" s="69"/>
      <c r="D168" s="160"/>
      <c r="E168" s="68"/>
      <c r="F168" s="161"/>
      <c r="G168" s="161"/>
      <c r="H168" s="149"/>
      <c r="I168" s="149"/>
      <c r="J168" s="149"/>
      <c r="K168" s="149"/>
    </row>
    <row r="169" spans="1:11" ht="15.75">
      <c r="A169" s="137"/>
      <c r="B169" s="137" t="s">
        <v>55</v>
      </c>
      <c r="C169" s="69">
        <v>16439</v>
      </c>
      <c r="D169" s="160">
        <v>15610</v>
      </c>
      <c r="E169" s="68">
        <v>617715</v>
      </c>
      <c r="F169" s="161" t="s">
        <v>129</v>
      </c>
      <c r="G169" s="161" t="s">
        <v>129</v>
      </c>
      <c r="H169" s="149">
        <v>2356</v>
      </c>
      <c r="I169" s="149">
        <v>46867</v>
      </c>
      <c r="J169" s="149"/>
      <c r="K169" s="149"/>
    </row>
    <row r="170" spans="1:11" ht="15.75">
      <c r="A170" s="137"/>
      <c r="B170" s="137" t="s">
        <v>56</v>
      </c>
      <c r="C170" s="69">
        <v>15958</v>
      </c>
      <c r="D170" s="160">
        <v>15036</v>
      </c>
      <c r="E170" s="68">
        <v>618936</v>
      </c>
      <c r="F170" s="161" t="s">
        <v>129</v>
      </c>
      <c r="G170" s="161" t="s">
        <v>129</v>
      </c>
      <c r="H170" s="149">
        <v>2745</v>
      </c>
      <c r="I170" s="149">
        <v>56948</v>
      </c>
      <c r="J170" s="149"/>
      <c r="K170" s="149"/>
    </row>
    <row r="171" spans="1:11" ht="15.75">
      <c r="A171" s="137"/>
      <c r="B171" s="137" t="s">
        <v>57</v>
      </c>
      <c r="C171" s="69">
        <v>15369</v>
      </c>
      <c r="D171" s="160">
        <v>14512</v>
      </c>
      <c r="E171" s="68">
        <v>621379</v>
      </c>
      <c r="F171" s="158">
        <v>976395.79</v>
      </c>
      <c r="G171" s="158">
        <v>14532737.5</v>
      </c>
      <c r="H171" s="149">
        <v>2818</v>
      </c>
      <c r="I171" s="149">
        <v>61652</v>
      </c>
      <c r="J171" s="149"/>
      <c r="K171" s="149"/>
    </row>
    <row r="172" spans="1:11" ht="15.75">
      <c r="A172" s="137"/>
      <c r="B172" s="137"/>
      <c r="C172" s="69"/>
      <c r="D172" s="160"/>
      <c r="E172" s="68"/>
      <c r="F172" s="158"/>
      <c r="G172" s="158"/>
      <c r="H172" s="149"/>
      <c r="I172" s="149"/>
      <c r="J172" s="149"/>
      <c r="K172" s="149"/>
    </row>
    <row r="173" spans="1:11" ht="15.75">
      <c r="A173" s="143" t="s">
        <v>66</v>
      </c>
      <c r="B173" s="140" t="s">
        <v>101</v>
      </c>
      <c r="C173" s="69"/>
      <c r="D173" s="160"/>
      <c r="E173" s="68"/>
      <c r="F173" s="161"/>
      <c r="G173" s="161"/>
      <c r="H173" s="149"/>
      <c r="I173" s="149"/>
      <c r="J173" s="149"/>
      <c r="K173" s="149"/>
    </row>
    <row r="174" spans="1:11" ht="15.75">
      <c r="A174" s="137"/>
      <c r="B174" s="137" t="s">
        <v>58</v>
      </c>
      <c r="C174" s="69">
        <v>14856</v>
      </c>
      <c r="D174" s="160">
        <v>14110</v>
      </c>
      <c r="E174" s="68">
        <v>623027</v>
      </c>
      <c r="F174" s="161" t="s">
        <v>129</v>
      </c>
      <c r="G174" s="161" t="s">
        <v>129</v>
      </c>
      <c r="H174" s="149">
        <v>3071</v>
      </c>
      <c r="I174" s="149">
        <v>53347</v>
      </c>
      <c r="J174" s="149"/>
      <c r="K174" s="149"/>
    </row>
    <row r="175" spans="1:11" ht="15.75">
      <c r="A175" s="137"/>
      <c r="B175" s="137" t="s">
        <v>59</v>
      </c>
      <c r="C175" s="69">
        <v>14728</v>
      </c>
      <c r="D175" s="160">
        <v>14305</v>
      </c>
      <c r="E175" s="68">
        <v>626870</v>
      </c>
      <c r="F175" s="161" t="s">
        <v>129</v>
      </c>
      <c r="G175" s="161" t="s">
        <v>129</v>
      </c>
      <c r="H175" s="149">
        <v>2701</v>
      </c>
      <c r="I175" s="149">
        <v>42162</v>
      </c>
      <c r="J175" s="149"/>
      <c r="K175" s="149"/>
    </row>
    <row r="176" spans="1:11" ht="15.75">
      <c r="A176" s="137"/>
      <c r="B176" s="137" t="s">
        <v>60</v>
      </c>
      <c r="C176" s="69">
        <v>15945</v>
      </c>
      <c r="D176" s="160">
        <v>16000</v>
      </c>
      <c r="E176" s="68">
        <v>625178</v>
      </c>
      <c r="F176" s="158">
        <v>790697.38</v>
      </c>
      <c r="G176" s="158">
        <v>12620921.439999999</v>
      </c>
      <c r="H176" s="149">
        <v>2435</v>
      </c>
      <c r="I176" s="149">
        <v>44236</v>
      </c>
      <c r="J176" s="149"/>
      <c r="K176" s="149"/>
    </row>
    <row r="177" spans="1:11" ht="15.75">
      <c r="A177" s="137"/>
      <c r="B177" s="137"/>
      <c r="C177" s="69"/>
      <c r="D177" s="160"/>
      <c r="E177" s="68"/>
      <c r="F177" s="158"/>
      <c r="G177" s="158"/>
      <c r="H177" s="149"/>
      <c r="I177" s="149"/>
      <c r="J177" s="149"/>
      <c r="K177" s="149"/>
    </row>
    <row r="178" spans="1:11" ht="15.75">
      <c r="A178" s="143">
        <v>2005</v>
      </c>
      <c r="B178" s="140" t="s">
        <v>102</v>
      </c>
      <c r="C178" s="69"/>
      <c r="D178" s="160"/>
      <c r="E178" s="68"/>
      <c r="F178" s="161"/>
      <c r="G178" s="161"/>
      <c r="H178" s="149"/>
      <c r="I178" s="149"/>
      <c r="J178" s="149"/>
      <c r="K178" s="149"/>
    </row>
    <row r="179" spans="1:11" ht="15.75">
      <c r="A179" s="137"/>
      <c r="B179" s="137" t="s">
        <v>49</v>
      </c>
      <c r="C179" s="69">
        <v>17449</v>
      </c>
      <c r="D179" s="160">
        <v>17162</v>
      </c>
      <c r="E179" s="68">
        <v>626248</v>
      </c>
      <c r="F179" s="161" t="s">
        <v>129</v>
      </c>
      <c r="G179" s="161" t="s">
        <v>129</v>
      </c>
      <c r="H179" s="149">
        <v>3693</v>
      </c>
      <c r="I179" s="149">
        <v>53875</v>
      </c>
      <c r="J179" s="149"/>
      <c r="K179" s="149"/>
    </row>
    <row r="180" spans="1:11" ht="15.75">
      <c r="A180" s="137"/>
      <c r="B180" s="137" t="s">
        <v>50</v>
      </c>
      <c r="C180" s="69">
        <v>18124</v>
      </c>
      <c r="D180" s="160">
        <v>18481</v>
      </c>
      <c r="E180" s="68">
        <v>627011</v>
      </c>
      <c r="F180" s="161" t="s">
        <v>129</v>
      </c>
      <c r="G180" s="161" t="s">
        <v>129</v>
      </c>
      <c r="H180" s="149">
        <v>3214</v>
      </c>
      <c r="I180" s="149">
        <v>49243</v>
      </c>
      <c r="J180" s="149"/>
      <c r="K180" s="149"/>
    </row>
    <row r="181" spans="1:11" ht="15.75">
      <c r="A181" s="137"/>
      <c r="B181" s="137" t="s">
        <v>51</v>
      </c>
      <c r="C181" s="69">
        <v>19555</v>
      </c>
      <c r="D181" s="160">
        <v>19340</v>
      </c>
      <c r="E181" s="68">
        <v>626754</v>
      </c>
      <c r="F181" s="158">
        <v>755896.21</v>
      </c>
      <c r="G181" s="158">
        <v>9557795.0700000003</v>
      </c>
      <c r="H181" s="149">
        <v>2960</v>
      </c>
      <c r="I181" s="149">
        <v>49939</v>
      </c>
      <c r="J181" s="149"/>
      <c r="K181" s="149"/>
    </row>
    <row r="182" spans="1:11" ht="15.75">
      <c r="A182" s="137"/>
      <c r="B182" s="137"/>
      <c r="C182" s="69"/>
      <c r="D182" s="160"/>
      <c r="E182" s="68"/>
      <c r="F182" s="158"/>
      <c r="G182" s="158"/>
      <c r="H182" s="149"/>
      <c r="I182" s="149"/>
      <c r="J182" s="149"/>
      <c r="K182" s="149"/>
    </row>
    <row r="183" spans="1:11" ht="15.75">
      <c r="A183" s="162" t="s">
        <v>130</v>
      </c>
      <c r="B183" s="137"/>
      <c r="C183" s="69"/>
      <c r="D183" s="160" t="s">
        <v>66</v>
      </c>
      <c r="E183" s="68"/>
      <c r="F183" s="158"/>
      <c r="G183" s="158"/>
      <c r="H183" s="149"/>
      <c r="I183" s="149"/>
      <c r="J183" s="149"/>
      <c r="K183" s="149"/>
    </row>
    <row r="184" spans="1:11" ht="15.75">
      <c r="A184" s="137"/>
      <c r="B184" s="137" t="s">
        <v>66</v>
      </c>
      <c r="C184" s="163" t="s">
        <v>66</v>
      </c>
      <c r="D184" s="149"/>
      <c r="E184" s="138"/>
      <c r="F184" s="138"/>
      <c r="G184" s="138"/>
      <c r="H184" s="138"/>
      <c r="I184" s="138"/>
      <c r="J184" s="138"/>
      <c r="K184" s="138"/>
    </row>
    <row r="185" spans="1:11" ht="15.75">
      <c r="A185" s="137"/>
      <c r="B185" s="137"/>
      <c r="C185" s="69"/>
      <c r="D185" s="160"/>
      <c r="E185" s="68"/>
      <c r="F185" s="158"/>
      <c r="G185" s="158"/>
      <c r="H185" s="149"/>
      <c r="I185" s="149"/>
      <c r="J185" s="149"/>
      <c r="K185" s="149"/>
    </row>
    <row r="186" spans="1:11" ht="15.75">
      <c r="A186" s="136" t="s">
        <v>125</v>
      </c>
      <c r="B186" s="140"/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1:11" ht="22.5">
      <c r="A187" s="136"/>
      <c r="B187" s="140"/>
      <c r="C187" s="138"/>
      <c r="D187" s="138"/>
      <c r="E187" s="138"/>
      <c r="F187" s="138"/>
      <c r="G187" s="138"/>
      <c r="H187" s="856" t="s">
        <v>137</v>
      </c>
      <c r="I187" s="856"/>
      <c r="J187" s="856"/>
      <c r="K187" s="856"/>
    </row>
    <row r="188" spans="1:11" ht="22.5">
      <c r="A188" s="136"/>
      <c r="B188" s="140"/>
      <c r="C188" s="138"/>
      <c r="D188" s="856" t="s">
        <v>138</v>
      </c>
      <c r="E188" s="856"/>
      <c r="F188" s="856" t="s">
        <v>139</v>
      </c>
      <c r="G188" s="856"/>
      <c r="H188" s="856" t="s">
        <v>126</v>
      </c>
      <c r="I188" s="856"/>
      <c r="J188" s="155"/>
      <c r="K188" s="155"/>
    </row>
    <row r="189" spans="1:11" ht="15.75">
      <c r="A189" s="140" t="s">
        <v>82</v>
      </c>
      <c r="B189" s="140" t="s">
        <v>83</v>
      </c>
      <c r="C189" s="156" t="s">
        <v>112</v>
      </c>
      <c r="D189" s="156" t="s">
        <v>127</v>
      </c>
      <c r="E189" s="156" t="s">
        <v>128</v>
      </c>
      <c r="F189" s="156" t="s">
        <v>127</v>
      </c>
      <c r="G189" s="156" t="s">
        <v>128</v>
      </c>
      <c r="H189" s="156" t="s">
        <v>127</v>
      </c>
      <c r="I189" s="156" t="s">
        <v>128</v>
      </c>
      <c r="J189" s="156"/>
      <c r="K189" s="156"/>
    </row>
    <row r="190" spans="1:11" ht="15.75">
      <c r="A190" s="143">
        <v>2005</v>
      </c>
      <c r="B190" s="140" t="s">
        <v>103</v>
      </c>
      <c r="C190" s="69"/>
      <c r="D190" s="160"/>
      <c r="E190" s="68"/>
      <c r="F190" s="161"/>
      <c r="G190" s="161"/>
      <c r="H190" s="149"/>
      <c r="I190" s="149"/>
      <c r="J190" s="149"/>
      <c r="K190" s="149"/>
    </row>
    <row r="191" spans="1:11" ht="15.75">
      <c r="A191" s="137"/>
      <c r="B191" s="137" t="s">
        <v>52</v>
      </c>
      <c r="C191" s="69">
        <v>20895</v>
      </c>
      <c r="D191" s="160">
        <v>20818</v>
      </c>
      <c r="E191" s="68">
        <v>626181</v>
      </c>
      <c r="F191" s="161" t="s">
        <v>129</v>
      </c>
      <c r="G191" s="161" t="s">
        <v>129</v>
      </c>
      <c r="H191" s="149">
        <v>3167</v>
      </c>
      <c r="I191" s="149">
        <v>45745</v>
      </c>
      <c r="J191" s="149"/>
      <c r="K191" s="149"/>
    </row>
    <row r="192" spans="1:11" ht="15.75">
      <c r="A192" s="137"/>
      <c r="B192" s="137" t="s">
        <v>53</v>
      </c>
      <c r="C192" s="69">
        <v>21513</v>
      </c>
      <c r="D192" s="160">
        <v>20870</v>
      </c>
      <c r="E192" s="68">
        <v>626904</v>
      </c>
      <c r="F192" s="161" t="s">
        <v>129</v>
      </c>
      <c r="G192" s="161" t="s">
        <v>129</v>
      </c>
      <c r="H192" s="149">
        <v>3204</v>
      </c>
      <c r="I192" s="149">
        <v>47599</v>
      </c>
      <c r="J192" s="149"/>
      <c r="K192" s="149"/>
    </row>
    <row r="193" spans="1:11" ht="18" customHeight="1">
      <c r="A193" s="137"/>
      <c r="B193" s="137" t="s">
        <v>54</v>
      </c>
      <c r="C193" s="69">
        <v>21185</v>
      </c>
      <c r="D193" s="160">
        <v>20305</v>
      </c>
      <c r="E193" s="68">
        <v>627186</v>
      </c>
      <c r="F193" s="158">
        <v>852623</v>
      </c>
      <c r="G193" s="158">
        <v>8921062</v>
      </c>
      <c r="H193" s="149">
        <v>3274</v>
      </c>
      <c r="I193" s="149">
        <v>48367</v>
      </c>
      <c r="J193" s="149"/>
      <c r="K193" s="149"/>
    </row>
    <row r="194" spans="1:11" ht="18" customHeight="1">
      <c r="A194" s="137"/>
      <c r="B194" s="137"/>
      <c r="C194" s="69"/>
      <c r="D194" s="160"/>
      <c r="E194" s="68"/>
      <c r="F194" s="158"/>
      <c r="G194" s="158"/>
      <c r="H194" s="149"/>
      <c r="I194" s="149"/>
      <c r="J194" s="149"/>
      <c r="K194" s="149"/>
    </row>
    <row r="195" spans="1:11" ht="15.75">
      <c r="A195" s="143" t="s">
        <v>66</v>
      </c>
      <c r="B195" s="140" t="s">
        <v>104</v>
      </c>
      <c r="C195" s="69"/>
      <c r="D195" s="160"/>
      <c r="E195" s="68"/>
      <c r="F195" s="161"/>
      <c r="G195" s="161"/>
      <c r="H195" s="149"/>
      <c r="I195" s="149"/>
      <c r="J195" s="149"/>
      <c r="K195" s="149"/>
    </row>
    <row r="196" spans="1:11" ht="15.75">
      <c r="A196" s="137"/>
      <c r="B196" s="137" t="s">
        <v>55</v>
      </c>
      <c r="C196" s="69">
        <v>20478</v>
      </c>
      <c r="D196" s="160">
        <v>19684</v>
      </c>
      <c r="E196" s="68">
        <v>630691</v>
      </c>
      <c r="F196" s="161" t="s">
        <v>129</v>
      </c>
      <c r="G196" s="161" t="s">
        <v>129</v>
      </c>
      <c r="H196" s="149">
        <v>3042</v>
      </c>
      <c r="I196" s="149">
        <v>47248</v>
      </c>
      <c r="J196" s="149"/>
      <c r="K196" s="149"/>
    </row>
    <row r="197" spans="1:11" ht="15.75">
      <c r="A197" s="137"/>
      <c r="B197" s="137" t="s">
        <v>56</v>
      </c>
      <c r="C197" s="69">
        <v>19953</v>
      </c>
      <c r="D197" s="160">
        <v>19090</v>
      </c>
      <c r="E197" s="68">
        <v>632714</v>
      </c>
      <c r="F197" s="161" t="s">
        <v>129</v>
      </c>
      <c r="G197" s="161" t="s">
        <v>129</v>
      </c>
      <c r="H197" s="149">
        <v>3824</v>
      </c>
      <c r="I197" s="149">
        <v>59643</v>
      </c>
      <c r="J197" s="149"/>
      <c r="K197" s="149"/>
    </row>
    <row r="198" spans="1:11" ht="15.75">
      <c r="A198" s="137"/>
      <c r="B198" s="137" t="s">
        <v>57</v>
      </c>
      <c r="C198" s="69">
        <v>19470</v>
      </c>
      <c r="D198" s="160">
        <v>18604</v>
      </c>
      <c r="E198" s="68">
        <v>632969</v>
      </c>
      <c r="F198" s="158">
        <v>994108</v>
      </c>
      <c r="G198" s="158">
        <f>13888782+242+390</f>
        <v>13889414</v>
      </c>
      <c r="H198" s="149">
        <v>3652</v>
      </c>
      <c r="I198" s="149">
        <v>61655</v>
      </c>
      <c r="J198" s="149"/>
      <c r="K198" s="149"/>
    </row>
    <row r="199" spans="1:11" ht="15.75">
      <c r="A199" s="137"/>
      <c r="B199" s="137"/>
      <c r="C199" s="69"/>
      <c r="D199" s="160"/>
      <c r="E199" s="68"/>
      <c r="F199" s="158"/>
      <c r="G199" s="158"/>
      <c r="H199" s="149"/>
      <c r="I199" s="149"/>
      <c r="J199" s="149"/>
      <c r="K199" s="149"/>
    </row>
    <row r="200" spans="1:11" ht="15.75">
      <c r="A200" s="143" t="s">
        <v>66</v>
      </c>
      <c r="B200" s="140" t="s">
        <v>105</v>
      </c>
      <c r="C200" s="69"/>
      <c r="D200" s="160"/>
      <c r="E200" s="68"/>
      <c r="F200" s="161"/>
      <c r="G200" s="161"/>
      <c r="H200" s="149"/>
      <c r="I200" s="149"/>
      <c r="J200" s="149"/>
      <c r="K200" s="149"/>
    </row>
    <row r="201" spans="1:11" ht="15.75">
      <c r="A201" s="137"/>
      <c r="B201" s="137" t="s">
        <v>58</v>
      </c>
      <c r="C201" s="69">
        <v>18949</v>
      </c>
      <c r="D201" s="160">
        <v>17994</v>
      </c>
      <c r="E201" s="68">
        <v>634708</v>
      </c>
      <c r="F201" s="161" t="s">
        <v>129</v>
      </c>
      <c r="G201" s="161" t="s">
        <v>129</v>
      </c>
      <c r="H201" s="149">
        <v>3992</v>
      </c>
      <c r="I201" s="149">
        <v>58986</v>
      </c>
      <c r="J201" s="149"/>
      <c r="K201" s="149"/>
    </row>
    <row r="202" spans="1:11" ht="15.75">
      <c r="A202" s="137"/>
      <c r="B202" s="137" t="s">
        <v>59</v>
      </c>
      <c r="C202" s="69">
        <v>18457</v>
      </c>
      <c r="D202" s="160">
        <v>18244</v>
      </c>
      <c r="E202" s="68">
        <v>638222</v>
      </c>
      <c r="F202" s="161" t="s">
        <v>129</v>
      </c>
      <c r="G202" s="161" t="s">
        <v>129</v>
      </c>
      <c r="H202" s="149">
        <v>3122</v>
      </c>
      <c r="I202" s="149">
        <v>42629</v>
      </c>
      <c r="J202" s="149"/>
      <c r="K202" s="149"/>
    </row>
    <row r="203" spans="1:11" ht="15.75">
      <c r="A203" s="137"/>
      <c r="B203" s="137" t="s">
        <v>60</v>
      </c>
      <c r="C203" s="69">
        <v>19195</v>
      </c>
      <c r="D203" s="160">
        <v>18990</v>
      </c>
      <c r="E203" s="68">
        <v>638737</v>
      </c>
      <c r="F203" s="158">
        <v>572411</v>
      </c>
      <c r="G203" s="158">
        <v>8559274</v>
      </c>
      <c r="H203" s="149">
        <v>3092</v>
      </c>
      <c r="I203" s="149">
        <v>43927</v>
      </c>
      <c r="J203" s="149"/>
      <c r="K203" s="149"/>
    </row>
    <row r="204" spans="1:11" ht="15.75">
      <c r="A204" s="137"/>
      <c r="B204" s="137"/>
      <c r="C204" s="69"/>
      <c r="D204" s="160"/>
      <c r="E204" s="68"/>
      <c r="F204" s="158"/>
      <c r="G204" s="158"/>
      <c r="H204" s="149"/>
      <c r="I204" s="149"/>
      <c r="J204" s="149"/>
      <c r="K204" s="149"/>
    </row>
    <row r="205" spans="1:11" ht="15.75">
      <c r="A205" s="143">
        <v>2006</v>
      </c>
      <c r="B205" s="140" t="s">
        <v>113</v>
      </c>
      <c r="C205" s="69"/>
      <c r="D205" s="160"/>
      <c r="E205" s="68"/>
      <c r="F205" s="161"/>
      <c r="G205" s="161"/>
      <c r="H205" s="149"/>
      <c r="I205" s="149"/>
      <c r="J205" s="149"/>
      <c r="K205" s="149"/>
    </row>
    <row r="206" spans="1:11" ht="15.75">
      <c r="A206" s="137"/>
      <c r="B206" s="164" t="s">
        <v>49</v>
      </c>
      <c r="C206" s="70">
        <v>20768</v>
      </c>
      <c r="D206" s="165">
        <v>21462</v>
      </c>
      <c r="E206" s="166">
        <v>638705</v>
      </c>
      <c r="F206" s="167" t="s">
        <v>129</v>
      </c>
      <c r="G206" s="167" t="s">
        <v>129</v>
      </c>
      <c r="H206" s="168">
        <v>4590</v>
      </c>
      <c r="I206" s="168">
        <v>52811</v>
      </c>
      <c r="J206" s="168"/>
      <c r="K206" s="168"/>
    </row>
    <row r="207" spans="1:11" ht="15.75">
      <c r="A207" s="137"/>
      <c r="B207" s="164" t="s">
        <v>50</v>
      </c>
      <c r="C207" s="70">
        <v>22662</v>
      </c>
      <c r="D207" s="165">
        <v>23228</v>
      </c>
      <c r="E207" s="166">
        <v>639045</v>
      </c>
      <c r="F207" s="167" t="s">
        <v>129</v>
      </c>
      <c r="G207" s="167" t="s">
        <v>129</v>
      </c>
      <c r="H207" s="168">
        <v>3992</v>
      </c>
      <c r="I207" s="168">
        <v>51791</v>
      </c>
      <c r="J207" s="168"/>
      <c r="K207" s="168"/>
    </row>
    <row r="208" spans="1:11" ht="15.75">
      <c r="A208" s="137"/>
      <c r="B208" s="164" t="s">
        <v>51</v>
      </c>
      <c r="C208" s="70">
        <v>24654</v>
      </c>
      <c r="D208" s="165">
        <v>24867</v>
      </c>
      <c r="E208" s="166">
        <v>638184</v>
      </c>
      <c r="F208" s="169">
        <v>939008.58</v>
      </c>
      <c r="G208" s="169">
        <f>9558181.77+57.04+789.88</f>
        <v>9559028.6899999995</v>
      </c>
      <c r="H208" s="168">
        <v>3812</v>
      </c>
      <c r="I208" s="168">
        <v>52645</v>
      </c>
      <c r="J208" s="168"/>
      <c r="K208" s="168"/>
    </row>
    <row r="209" spans="1:11" ht="18" customHeight="1">
      <c r="A209" s="137"/>
      <c r="B209" s="137"/>
      <c r="C209" s="69"/>
      <c r="D209" s="160"/>
      <c r="E209" s="68"/>
      <c r="F209" s="158"/>
      <c r="G209" s="158"/>
      <c r="H209" s="149"/>
      <c r="I209" s="149"/>
      <c r="J209" s="149"/>
      <c r="K209" s="149"/>
    </row>
    <row r="210" spans="1:11" ht="15.75">
      <c r="A210" s="143" t="s">
        <v>66</v>
      </c>
      <c r="B210" s="140" t="s">
        <v>114</v>
      </c>
      <c r="C210" s="69"/>
      <c r="D210" s="160"/>
      <c r="E210" s="68"/>
      <c r="F210" s="161"/>
      <c r="G210" s="161"/>
      <c r="H210" s="149"/>
      <c r="I210" s="149"/>
      <c r="J210" s="149"/>
      <c r="K210" s="149"/>
    </row>
    <row r="211" spans="1:11" ht="15.75">
      <c r="A211" s="137"/>
      <c r="B211" s="137" t="s">
        <v>52</v>
      </c>
      <c r="C211" s="70">
        <v>25990</v>
      </c>
      <c r="D211" s="165">
        <v>25758</v>
      </c>
      <c r="E211" s="166">
        <v>637657</v>
      </c>
      <c r="F211" s="167" t="s">
        <v>129</v>
      </c>
      <c r="G211" s="167" t="s">
        <v>129</v>
      </c>
      <c r="H211" s="168">
        <v>4017</v>
      </c>
      <c r="I211" s="168">
        <v>47669</v>
      </c>
      <c r="J211" s="168"/>
      <c r="K211" s="168"/>
    </row>
    <row r="212" spans="1:11" ht="15.75">
      <c r="A212" s="137"/>
      <c r="B212" s="137" t="s">
        <v>53</v>
      </c>
      <c r="C212" s="70">
        <v>26722</v>
      </c>
      <c r="D212" s="165">
        <v>26134</v>
      </c>
      <c r="E212" s="166">
        <v>638924</v>
      </c>
      <c r="F212" s="167" t="s">
        <v>129</v>
      </c>
      <c r="G212" s="167" t="s">
        <v>129</v>
      </c>
      <c r="H212" s="168">
        <v>4547</v>
      </c>
      <c r="I212" s="168">
        <v>52078</v>
      </c>
      <c r="J212" s="168"/>
      <c r="K212" s="168"/>
    </row>
    <row r="213" spans="1:11" ht="15.75">
      <c r="A213" s="137"/>
      <c r="B213" s="137" t="s">
        <v>54</v>
      </c>
      <c r="C213" s="70">
        <v>26797</v>
      </c>
      <c r="D213" s="165">
        <v>25999</v>
      </c>
      <c r="E213" s="166">
        <v>639354</v>
      </c>
      <c r="F213" s="169">
        <v>1025471.05</v>
      </c>
      <c r="G213" s="169">
        <f>8667683.42+57.04+675.89</f>
        <v>8668416.3499999996</v>
      </c>
      <c r="H213" s="168">
        <v>4384</v>
      </c>
      <c r="I213" s="168">
        <v>48206</v>
      </c>
      <c r="J213" s="168"/>
      <c r="K213" s="168"/>
    </row>
    <row r="214" spans="1:11" ht="18" customHeight="1">
      <c r="A214" s="137"/>
      <c r="B214" s="137"/>
      <c r="C214" s="69"/>
      <c r="D214" s="160"/>
      <c r="E214" s="68"/>
      <c r="F214" s="158"/>
      <c r="G214" s="158"/>
      <c r="H214" s="149"/>
      <c r="I214" s="149"/>
      <c r="J214" s="149"/>
      <c r="K214" s="149"/>
    </row>
    <row r="215" spans="1:11" ht="22.5">
      <c r="A215" s="136"/>
      <c r="B215" s="137"/>
      <c r="C215" s="856" t="s">
        <v>140</v>
      </c>
      <c r="D215" s="856"/>
      <c r="E215" s="856"/>
      <c r="F215" s="856"/>
      <c r="G215" s="138"/>
      <c r="H215" s="138"/>
      <c r="I215" s="138"/>
      <c r="J215" s="138"/>
      <c r="K215" s="138"/>
    </row>
    <row r="216" spans="1:11" ht="22.5">
      <c r="A216" s="136"/>
      <c r="B216" s="140"/>
      <c r="C216" s="857" t="s">
        <v>131</v>
      </c>
      <c r="D216" s="856"/>
      <c r="E216" s="857" t="s">
        <v>132</v>
      </c>
      <c r="F216" s="856"/>
      <c r="G216" s="856" t="s">
        <v>141</v>
      </c>
      <c r="H216" s="856"/>
      <c r="I216" s="856" t="s">
        <v>142</v>
      </c>
      <c r="J216" s="856"/>
      <c r="K216" s="856"/>
    </row>
    <row r="217" spans="1:11" ht="15.75">
      <c r="A217" s="140" t="s">
        <v>82</v>
      </c>
      <c r="B217" s="140" t="s">
        <v>83</v>
      </c>
      <c r="C217" s="156" t="s">
        <v>127</v>
      </c>
      <c r="D217" s="156" t="s">
        <v>128</v>
      </c>
      <c r="E217" s="156" t="s">
        <v>127</v>
      </c>
      <c r="F217" s="156" t="s">
        <v>128</v>
      </c>
      <c r="G217" s="156" t="s">
        <v>127</v>
      </c>
      <c r="H217" s="156" t="s">
        <v>133</v>
      </c>
      <c r="I217" s="156" t="s">
        <v>127</v>
      </c>
      <c r="J217" s="156"/>
      <c r="K217" s="156"/>
    </row>
    <row r="218" spans="1:11" ht="15.75">
      <c r="A218" s="140"/>
      <c r="B218" s="140" t="s">
        <v>85</v>
      </c>
      <c r="C218" s="156"/>
      <c r="D218" s="156"/>
      <c r="E218" s="156"/>
      <c r="F218" s="156"/>
      <c r="G218" s="156"/>
      <c r="H218" s="156"/>
      <c r="I218" s="156"/>
      <c r="J218" s="156"/>
      <c r="K218" s="156"/>
    </row>
    <row r="219" spans="1:11" ht="15.75">
      <c r="A219" s="143">
        <v>2000</v>
      </c>
      <c r="B219" s="137" t="s">
        <v>57</v>
      </c>
      <c r="C219" s="158">
        <v>0</v>
      </c>
      <c r="D219" s="158">
        <v>420137</v>
      </c>
      <c r="E219" s="138">
        <v>0</v>
      </c>
      <c r="F219" s="149">
        <v>4545</v>
      </c>
      <c r="G219" s="158">
        <v>0</v>
      </c>
      <c r="H219" s="158">
        <f>329562.77+11385.31</f>
        <v>340948.08</v>
      </c>
      <c r="I219" s="158">
        <v>0</v>
      </c>
      <c r="J219" s="158"/>
      <c r="K219" s="158"/>
    </row>
    <row r="220" spans="1:11" ht="15.75">
      <c r="A220" s="137"/>
      <c r="B220" s="137" t="s">
        <v>58</v>
      </c>
      <c r="C220" s="159">
        <v>0</v>
      </c>
      <c r="D220" s="159">
        <v>477340</v>
      </c>
      <c r="E220" s="138">
        <v>0</v>
      </c>
      <c r="F220" s="149">
        <v>4851</v>
      </c>
      <c r="G220" s="159">
        <v>0</v>
      </c>
      <c r="H220" s="159">
        <f>324832.59+12781.56</f>
        <v>337614.15</v>
      </c>
      <c r="I220" s="159">
        <v>0</v>
      </c>
      <c r="J220" s="159"/>
      <c r="K220" s="159"/>
    </row>
    <row r="221" spans="1:11" ht="15.75">
      <c r="A221" s="137"/>
      <c r="B221" s="137" t="s">
        <v>59</v>
      </c>
      <c r="C221" s="159">
        <v>0</v>
      </c>
      <c r="D221" s="159">
        <v>284461</v>
      </c>
      <c r="E221" s="138">
        <v>0</v>
      </c>
      <c r="F221" s="149">
        <v>2789</v>
      </c>
      <c r="G221" s="159">
        <v>0</v>
      </c>
      <c r="H221" s="159">
        <f>294273.9+106.82+7788.04</f>
        <v>302168.76</v>
      </c>
      <c r="I221" s="159">
        <v>0</v>
      </c>
      <c r="J221" s="159"/>
      <c r="K221" s="159"/>
    </row>
    <row r="222" spans="1:11" ht="15.75">
      <c r="A222" s="137"/>
      <c r="B222" s="137" t="s">
        <v>60</v>
      </c>
      <c r="C222" s="159">
        <v>0</v>
      </c>
      <c r="D222" s="161">
        <v>326163</v>
      </c>
      <c r="E222" s="138">
        <v>0</v>
      </c>
      <c r="F222" s="149">
        <v>4933</v>
      </c>
      <c r="G222" s="159">
        <f>29.72</f>
        <v>29.72</v>
      </c>
      <c r="H222" s="159">
        <f>318699.72+9043.51</f>
        <v>327743.23</v>
      </c>
      <c r="I222" s="159">
        <f>18.62</f>
        <v>18.62</v>
      </c>
      <c r="J222" s="159"/>
      <c r="K222" s="159"/>
    </row>
    <row r="223" spans="1:11" ht="15.75">
      <c r="A223" s="137"/>
      <c r="B223" s="137"/>
      <c r="C223" s="138"/>
      <c r="D223" s="161"/>
      <c r="E223" s="138"/>
      <c r="F223" s="149"/>
      <c r="G223" s="170"/>
      <c r="H223" s="159"/>
      <c r="I223" s="170"/>
      <c r="J223" s="170"/>
      <c r="K223" s="170"/>
    </row>
    <row r="224" spans="1:11" ht="15.75">
      <c r="A224" s="137"/>
      <c r="B224" s="140" t="s">
        <v>86</v>
      </c>
      <c r="C224" s="138"/>
      <c r="D224" s="161"/>
      <c r="E224" s="138"/>
      <c r="F224" s="149"/>
      <c r="G224" s="170"/>
      <c r="H224" s="159"/>
      <c r="I224" s="170"/>
      <c r="J224" s="170"/>
      <c r="K224" s="170"/>
    </row>
    <row r="225" spans="1:11" ht="15.75">
      <c r="A225" s="143">
        <v>2001</v>
      </c>
      <c r="B225" s="137" t="s">
        <v>49</v>
      </c>
      <c r="C225" s="159">
        <v>0</v>
      </c>
      <c r="D225" s="161">
        <v>279514</v>
      </c>
      <c r="E225" s="144">
        <v>0</v>
      </c>
      <c r="F225" s="149">
        <v>5161</v>
      </c>
      <c r="G225" s="159">
        <f>113.37</f>
        <v>113.37</v>
      </c>
      <c r="H225" s="159">
        <f>291738.93+7669.67</f>
        <v>299408.59999999998</v>
      </c>
      <c r="I225" s="159">
        <f>11.2</f>
        <v>11.2</v>
      </c>
      <c r="J225" s="159"/>
      <c r="K225" s="159"/>
    </row>
    <row r="226" spans="1:11" ht="15.75">
      <c r="A226" s="137"/>
      <c r="B226" s="137" t="s">
        <v>50</v>
      </c>
      <c r="C226" s="159">
        <v>283</v>
      </c>
      <c r="D226" s="161">
        <v>267968</v>
      </c>
      <c r="E226" s="149">
        <v>2</v>
      </c>
      <c r="F226" s="149">
        <v>3938</v>
      </c>
      <c r="G226" s="159">
        <f>255.54</f>
        <v>255.54</v>
      </c>
      <c r="H226" s="159">
        <f>348963.27+11228.45</f>
        <v>360191.72000000003</v>
      </c>
      <c r="I226" s="159">
        <f>68.72</f>
        <v>68.72</v>
      </c>
      <c r="J226" s="159"/>
      <c r="K226" s="159"/>
    </row>
    <row r="227" spans="1:11" ht="15.75">
      <c r="A227" s="137"/>
      <c r="B227" s="137" t="s">
        <v>51</v>
      </c>
      <c r="C227" s="159">
        <v>3764</v>
      </c>
      <c r="D227" s="161">
        <v>283648</v>
      </c>
      <c r="E227" s="149">
        <v>35</v>
      </c>
      <c r="F227" s="149">
        <v>4681</v>
      </c>
      <c r="G227" s="159">
        <f>748.86</f>
        <v>748.86</v>
      </c>
      <c r="H227" s="159">
        <f>374269.23+101.94+11640.38</f>
        <v>386011.55</v>
      </c>
      <c r="I227" s="159">
        <f>159.67</f>
        <v>159.66999999999999</v>
      </c>
      <c r="J227" s="159"/>
      <c r="K227" s="159"/>
    </row>
    <row r="228" spans="1:11" ht="15.75">
      <c r="A228" s="137"/>
      <c r="B228" s="137"/>
      <c r="C228" s="159"/>
      <c r="D228" s="161"/>
      <c r="E228" s="149"/>
      <c r="F228" s="149"/>
      <c r="G228" s="159"/>
      <c r="H228" s="159"/>
      <c r="I228" s="159"/>
      <c r="J228" s="159"/>
      <c r="K228" s="159"/>
    </row>
    <row r="229" spans="1:11" ht="15.75">
      <c r="A229" s="137"/>
      <c r="B229" s="140" t="s">
        <v>87</v>
      </c>
      <c r="C229" s="138"/>
      <c r="D229" s="161"/>
      <c r="E229" s="138"/>
      <c r="F229" s="149"/>
      <c r="G229" s="170"/>
      <c r="H229" s="159"/>
      <c r="I229" s="170"/>
      <c r="J229" s="170"/>
      <c r="K229" s="170"/>
    </row>
    <row r="230" spans="1:11" ht="15.75">
      <c r="A230" s="143" t="s">
        <v>66</v>
      </c>
      <c r="B230" s="137" t="s">
        <v>52</v>
      </c>
      <c r="C230" s="159">
        <v>10561.77</v>
      </c>
      <c r="D230" s="161">
        <v>330316.06</v>
      </c>
      <c r="E230" s="149">
        <v>65</v>
      </c>
      <c r="F230" s="149">
        <v>2611</v>
      </c>
      <c r="G230" s="159">
        <f>1162.61</f>
        <v>1162.6099999999999</v>
      </c>
      <c r="H230" s="159">
        <f>324781.71+9610.45</f>
        <v>334392.16000000003</v>
      </c>
      <c r="I230" s="159">
        <f>158.73</f>
        <v>158.72999999999999</v>
      </c>
      <c r="J230" s="159"/>
      <c r="K230" s="159"/>
    </row>
    <row r="231" spans="1:11" ht="15.75">
      <c r="A231" s="137"/>
      <c r="B231" s="137" t="s">
        <v>53</v>
      </c>
      <c r="C231" s="159">
        <v>33116.42</v>
      </c>
      <c r="D231" s="161">
        <v>1091388.43</v>
      </c>
      <c r="E231" s="149">
        <v>173</v>
      </c>
      <c r="F231" s="149">
        <v>16265</v>
      </c>
      <c r="G231" s="159">
        <f>2090.31</f>
        <v>2090.31</v>
      </c>
      <c r="H231" s="159">
        <f>289575.03+7665.58</f>
        <v>297240.61000000004</v>
      </c>
      <c r="I231" s="159">
        <f>101.55</f>
        <v>101.55</v>
      </c>
      <c r="J231" s="159"/>
      <c r="K231" s="159"/>
    </row>
    <row r="232" spans="1:11" ht="15.75">
      <c r="A232" s="137"/>
      <c r="B232" s="137" t="s">
        <v>54</v>
      </c>
      <c r="C232" s="158">
        <v>30062.99</v>
      </c>
      <c r="D232" s="158">
        <v>347208.28</v>
      </c>
      <c r="E232" s="149">
        <v>158</v>
      </c>
      <c r="F232" s="149">
        <v>2805</v>
      </c>
      <c r="G232" s="158">
        <f>1985.48</f>
        <v>1985.48</v>
      </c>
      <c r="H232" s="158">
        <f>278017.59+11008.63</f>
        <v>289026.22000000003</v>
      </c>
      <c r="I232" s="158">
        <f>733.08</f>
        <v>733.08</v>
      </c>
      <c r="J232" s="158"/>
      <c r="K232" s="158"/>
    </row>
    <row r="233" spans="1:11" ht="15.75">
      <c r="A233" s="137"/>
      <c r="B233" s="137"/>
      <c r="C233" s="158"/>
      <c r="D233" s="158"/>
      <c r="E233" s="149"/>
      <c r="F233" s="149"/>
      <c r="G233" s="158"/>
      <c r="H233" s="158"/>
      <c r="I233" s="158"/>
      <c r="J233" s="158"/>
      <c r="K233" s="158"/>
    </row>
    <row r="234" spans="1:11" ht="15.75">
      <c r="A234" s="137"/>
      <c r="B234" s="140" t="s">
        <v>88</v>
      </c>
      <c r="C234" s="138"/>
      <c r="D234" s="161"/>
      <c r="E234" s="138"/>
      <c r="F234" s="149"/>
      <c r="G234" s="170"/>
      <c r="H234" s="159"/>
      <c r="I234" s="170"/>
      <c r="J234" s="170"/>
      <c r="K234" s="170"/>
    </row>
    <row r="235" spans="1:11" ht="15.75">
      <c r="A235" s="143" t="s">
        <v>66</v>
      </c>
      <c r="B235" s="137" t="s">
        <v>55</v>
      </c>
      <c r="C235" s="159">
        <v>17553.45</v>
      </c>
      <c r="D235" s="161">
        <v>266740.64</v>
      </c>
      <c r="E235" s="149">
        <v>95</v>
      </c>
      <c r="F235" s="149">
        <v>2203</v>
      </c>
      <c r="G235" s="159">
        <v>3389.09</v>
      </c>
      <c r="H235" s="159">
        <f>274341.38+7048.04</f>
        <v>281389.42</v>
      </c>
      <c r="I235" s="159">
        <v>1489.55</v>
      </c>
      <c r="J235" s="159"/>
      <c r="K235" s="159"/>
    </row>
    <row r="236" spans="1:11" ht="15.75">
      <c r="A236" s="137"/>
      <c r="B236" s="137" t="s">
        <v>56</v>
      </c>
      <c r="C236" s="159">
        <v>24650.6</v>
      </c>
      <c r="D236" s="161">
        <v>333407.84000000003</v>
      </c>
      <c r="E236" s="149">
        <v>146</v>
      </c>
      <c r="F236" s="149">
        <v>2933</v>
      </c>
      <c r="G236" s="159">
        <v>5384.25</v>
      </c>
      <c r="H236" s="159">
        <f>326094.22+3522.05</f>
        <v>329616.26999999996</v>
      </c>
      <c r="I236" s="159">
        <v>1034.92</v>
      </c>
      <c r="J236" s="159"/>
      <c r="K236" s="159"/>
    </row>
    <row r="237" spans="1:11" ht="15.75">
      <c r="A237" s="137"/>
      <c r="B237" s="137" t="s">
        <v>57</v>
      </c>
      <c r="C237" s="158">
        <v>37241.93</v>
      </c>
      <c r="D237" s="158">
        <v>324517.52</v>
      </c>
      <c r="E237" s="149">
        <v>260</v>
      </c>
      <c r="F237" s="149">
        <v>2813</v>
      </c>
      <c r="G237" s="158">
        <v>10446.26</v>
      </c>
      <c r="H237" s="158">
        <f>348081.91+38.02+6068.48</f>
        <v>354188.41</v>
      </c>
      <c r="I237" s="158">
        <v>1505.9</v>
      </c>
      <c r="J237" s="158"/>
      <c r="K237" s="158"/>
    </row>
    <row r="238" spans="1:11" ht="15.75">
      <c r="A238" s="137"/>
      <c r="B238" s="137"/>
      <c r="C238" s="158"/>
      <c r="D238" s="158"/>
      <c r="E238" s="149"/>
      <c r="F238" s="149"/>
      <c r="G238" s="158"/>
      <c r="H238" s="158"/>
      <c r="I238" s="158"/>
      <c r="J238" s="158"/>
      <c r="K238" s="158"/>
    </row>
    <row r="239" spans="1:11" ht="15.75">
      <c r="A239" s="137"/>
      <c r="B239" s="140" t="s">
        <v>89</v>
      </c>
      <c r="C239" s="138"/>
      <c r="D239" s="161"/>
      <c r="E239" s="138"/>
      <c r="F239" s="149"/>
      <c r="G239" s="170"/>
      <c r="H239" s="159"/>
      <c r="I239" s="170"/>
      <c r="J239" s="170"/>
      <c r="K239" s="170"/>
    </row>
    <row r="240" spans="1:11" ht="15.75">
      <c r="A240" s="143" t="s">
        <v>66</v>
      </c>
      <c r="B240" s="137" t="s">
        <v>58</v>
      </c>
      <c r="C240" s="159">
        <v>39131.08</v>
      </c>
      <c r="D240" s="161">
        <f>479072.8+2742.07</f>
        <v>481814.87</v>
      </c>
      <c r="E240" s="149">
        <v>227</v>
      </c>
      <c r="F240" s="149">
        <f>3370+17</f>
        <v>3387</v>
      </c>
      <c r="G240" s="159">
        <v>17877.48</v>
      </c>
      <c r="H240" s="159">
        <f>357370.76+8172.68</f>
        <v>365543.44</v>
      </c>
      <c r="I240" s="159">
        <v>2921.62</v>
      </c>
      <c r="J240" s="159"/>
      <c r="K240" s="159"/>
    </row>
    <row r="241" spans="1:11" ht="15.75">
      <c r="A241" s="137"/>
      <c r="B241" s="137" t="s">
        <v>59</v>
      </c>
      <c r="C241" s="159">
        <v>23344.9</v>
      </c>
      <c r="D241" s="161">
        <f>2440943.83+559.83+475066.57</f>
        <v>2916570.23</v>
      </c>
      <c r="E241" s="149">
        <v>165</v>
      </c>
      <c r="F241" s="149">
        <f>15159+4+1909</f>
        <v>17072</v>
      </c>
      <c r="G241" s="159">
        <v>23505.94</v>
      </c>
      <c r="H241" s="159">
        <f>390328.34+8084.55</f>
        <v>398412.89</v>
      </c>
      <c r="I241" s="159">
        <v>4188.37</v>
      </c>
      <c r="J241" s="159"/>
      <c r="K241" s="159"/>
    </row>
    <row r="242" spans="1:11" ht="15.75">
      <c r="A242" s="137"/>
      <c r="B242" s="137" t="s">
        <v>60</v>
      </c>
      <c r="C242" s="158">
        <v>21091.94</v>
      </c>
      <c r="D242" s="158">
        <f>321854.39+1149.61</f>
        <v>323004</v>
      </c>
      <c r="E242" s="149">
        <v>138</v>
      </c>
      <c r="F242" s="149">
        <f>2582+8</f>
        <v>2590</v>
      </c>
      <c r="G242" s="158">
        <v>30908.74</v>
      </c>
      <c r="H242" s="158">
        <f>339330.65+6438.65</f>
        <v>345769.30000000005</v>
      </c>
      <c r="I242" s="158">
        <v>5359.54</v>
      </c>
      <c r="J242" s="158"/>
      <c r="K242" s="158"/>
    </row>
    <row r="243" spans="1:11" ht="15.75">
      <c r="A243" s="137"/>
      <c r="B243" s="137"/>
      <c r="C243" s="158"/>
      <c r="D243" s="158"/>
      <c r="E243" s="149"/>
      <c r="F243" s="149"/>
      <c r="G243" s="158"/>
      <c r="H243" s="158"/>
      <c r="I243" s="158"/>
      <c r="J243" s="158"/>
      <c r="K243" s="158"/>
    </row>
    <row r="244" spans="1:11" ht="15.75">
      <c r="A244" s="137"/>
      <c r="B244" s="140" t="s">
        <v>90</v>
      </c>
      <c r="C244" s="138"/>
      <c r="D244" s="161"/>
      <c r="E244" s="138"/>
      <c r="F244" s="149"/>
      <c r="G244" s="170"/>
      <c r="H244" s="159"/>
      <c r="I244" s="170"/>
      <c r="J244" s="170"/>
      <c r="K244" s="170"/>
    </row>
    <row r="245" spans="1:11" ht="15.75">
      <c r="A245" s="143">
        <v>2002</v>
      </c>
      <c r="B245" s="137" t="s">
        <v>49</v>
      </c>
      <c r="C245" s="159">
        <v>21698.74</v>
      </c>
      <c r="D245" s="161">
        <f>349139.19+848.85</f>
        <v>349988.04</v>
      </c>
      <c r="E245" s="149">
        <v>153</v>
      </c>
      <c r="F245" s="149">
        <f>2927+8</f>
        <v>2935</v>
      </c>
      <c r="G245" s="159">
        <v>25354.27</v>
      </c>
      <c r="H245" s="159">
        <f>341406.68+6717.63</f>
        <v>348124.31</v>
      </c>
      <c r="I245" s="159">
        <v>4845.2</v>
      </c>
      <c r="J245" s="159"/>
      <c r="K245" s="159"/>
    </row>
    <row r="246" spans="1:11" ht="15.75">
      <c r="A246" s="137"/>
      <c r="B246" s="137" t="s">
        <v>50</v>
      </c>
      <c r="C246" s="159">
        <v>14676.9</v>
      </c>
      <c r="D246" s="161">
        <f>305296.62+1676.18</f>
        <v>306972.79999999999</v>
      </c>
      <c r="E246" s="149">
        <v>101</v>
      </c>
      <c r="F246" s="149">
        <f>2369+5</f>
        <v>2374</v>
      </c>
      <c r="G246" s="159">
        <v>28571.99</v>
      </c>
      <c r="H246" s="159">
        <f>385584.57+10.25+5905.78</f>
        <v>391500.60000000003</v>
      </c>
      <c r="I246" s="159">
        <v>7304.43</v>
      </c>
      <c r="J246" s="159"/>
      <c r="K246" s="159"/>
    </row>
    <row r="247" spans="1:11" ht="15.75">
      <c r="A247" s="137"/>
      <c r="B247" s="137" t="s">
        <v>51</v>
      </c>
      <c r="C247" s="158">
        <v>20668.86</v>
      </c>
      <c r="D247" s="158">
        <f>286552.68+2185.48</f>
        <v>288738.15999999997</v>
      </c>
      <c r="E247" s="149">
        <v>151</v>
      </c>
      <c r="F247" s="149">
        <f>2278+8</f>
        <v>2286</v>
      </c>
      <c r="G247" s="158">
        <v>36564.230000000003</v>
      </c>
      <c r="H247" s="158">
        <f>396862.98+9747.07</f>
        <v>406610.05</v>
      </c>
      <c r="I247" s="158">
        <v>8364.6299999999992</v>
      </c>
      <c r="J247" s="158"/>
      <c r="K247" s="158"/>
    </row>
    <row r="248" spans="1:11" ht="15.75">
      <c r="A248" s="136" t="s">
        <v>134</v>
      </c>
      <c r="B248" s="137"/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1:11" ht="22.5">
      <c r="A249" s="136"/>
      <c r="B249" s="137"/>
      <c r="C249" s="856" t="s">
        <v>140</v>
      </c>
      <c r="D249" s="856"/>
      <c r="E249" s="856"/>
      <c r="F249" s="856"/>
      <c r="G249" s="138"/>
      <c r="H249" s="138"/>
      <c r="I249" s="138"/>
      <c r="J249" s="138"/>
      <c r="K249" s="138"/>
    </row>
    <row r="250" spans="1:11" ht="22.5">
      <c r="A250" s="136"/>
      <c r="B250" s="140"/>
      <c r="C250" s="857" t="s">
        <v>131</v>
      </c>
      <c r="D250" s="856"/>
      <c r="E250" s="857" t="s">
        <v>132</v>
      </c>
      <c r="F250" s="856"/>
      <c r="G250" s="856" t="s">
        <v>141</v>
      </c>
      <c r="H250" s="856"/>
      <c r="I250" s="856" t="s">
        <v>142</v>
      </c>
      <c r="J250" s="856"/>
      <c r="K250" s="856"/>
    </row>
    <row r="251" spans="1:11" ht="15.75">
      <c r="A251" s="140" t="s">
        <v>82</v>
      </c>
      <c r="B251" s="140" t="s">
        <v>83</v>
      </c>
      <c r="C251" s="156" t="s">
        <v>127</v>
      </c>
      <c r="D251" s="156" t="s">
        <v>128</v>
      </c>
      <c r="E251" s="156" t="s">
        <v>127</v>
      </c>
      <c r="F251" s="156" t="s">
        <v>128</v>
      </c>
      <c r="G251" s="156" t="s">
        <v>127</v>
      </c>
      <c r="H251" s="156" t="s">
        <v>133</v>
      </c>
      <c r="I251" s="156" t="s">
        <v>127</v>
      </c>
      <c r="J251" s="156"/>
      <c r="K251" s="156"/>
    </row>
    <row r="252" spans="1:11" ht="15.75">
      <c r="A252" s="137"/>
      <c r="B252" s="137"/>
      <c r="C252" s="158"/>
      <c r="D252" s="158"/>
      <c r="E252" s="149"/>
      <c r="F252" s="149"/>
      <c r="G252" s="158"/>
      <c r="H252" s="158"/>
      <c r="I252" s="158"/>
      <c r="J252" s="158"/>
      <c r="K252" s="158"/>
    </row>
    <row r="253" spans="1:11" ht="15.75">
      <c r="A253" s="137"/>
      <c r="B253" s="140" t="s">
        <v>91</v>
      </c>
      <c r="C253" s="138"/>
      <c r="D253" s="161"/>
      <c r="E253" s="138"/>
      <c r="F253" s="149"/>
      <c r="G253" s="170"/>
      <c r="H253" s="159"/>
      <c r="I253" s="170"/>
      <c r="J253" s="170"/>
      <c r="K253" s="170"/>
    </row>
    <row r="254" spans="1:11" ht="15.75">
      <c r="A254" s="137"/>
      <c r="B254" s="137" t="s">
        <v>52</v>
      </c>
      <c r="C254" s="159">
        <v>25785.87</v>
      </c>
      <c r="D254" s="161">
        <v>327935.67</v>
      </c>
      <c r="E254" s="149">
        <v>143</v>
      </c>
      <c r="F254" s="149">
        <v>2418</v>
      </c>
      <c r="G254" s="159">
        <v>26156.66</v>
      </c>
      <c r="H254" s="159">
        <v>363008.49</v>
      </c>
      <c r="I254" s="159">
        <v>6558.55</v>
      </c>
      <c r="J254" s="159"/>
      <c r="K254" s="159"/>
    </row>
    <row r="255" spans="1:11" ht="15.75">
      <c r="A255" s="137"/>
      <c r="B255" s="137" t="s">
        <v>53</v>
      </c>
      <c r="C255" s="159">
        <v>36267.919999999998</v>
      </c>
      <c r="D255" s="161">
        <v>327403.7</v>
      </c>
      <c r="E255" s="149">
        <v>221</v>
      </c>
      <c r="F255" s="149">
        <v>2414</v>
      </c>
      <c r="G255" s="159">
        <v>28853.13</v>
      </c>
      <c r="H255" s="159">
        <v>376856.36</v>
      </c>
      <c r="I255" s="159">
        <v>11650.72</v>
      </c>
      <c r="J255" s="159"/>
      <c r="K255" s="159"/>
    </row>
    <row r="256" spans="1:11" ht="15.75">
      <c r="A256" s="137"/>
      <c r="B256" s="137" t="s">
        <v>54</v>
      </c>
      <c r="C256" s="158">
        <v>42529.52</v>
      </c>
      <c r="D256" s="158">
        <v>314760.81</v>
      </c>
      <c r="E256" s="149">
        <v>231</v>
      </c>
      <c r="F256" s="149">
        <v>2316</v>
      </c>
      <c r="G256" s="158">
        <v>22193.81</v>
      </c>
      <c r="H256" s="158">
        <v>313063.44</v>
      </c>
      <c r="I256" s="158">
        <v>5789.84</v>
      </c>
      <c r="J256" s="158"/>
      <c r="K256" s="158"/>
    </row>
    <row r="257" spans="1:11" ht="15.75">
      <c r="A257" s="137"/>
      <c r="B257" s="137"/>
      <c r="C257" s="138"/>
      <c r="D257" s="161"/>
      <c r="E257" s="138"/>
      <c r="F257" s="149"/>
      <c r="G257" s="170"/>
      <c r="H257" s="170"/>
      <c r="I257" s="170"/>
      <c r="J257" s="170"/>
      <c r="K257" s="170"/>
    </row>
    <row r="258" spans="1:11" ht="15.75">
      <c r="A258" s="137"/>
      <c r="B258" s="140" t="s">
        <v>92</v>
      </c>
      <c r="C258" s="138"/>
      <c r="D258" s="161"/>
      <c r="E258" s="138"/>
      <c r="F258" s="149"/>
      <c r="G258" s="170"/>
      <c r="H258" s="159"/>
      <c r="I258" s="170"/>
      <c r="J258" s="170"/>
      <c r="K258" s="170"/>
    </row>
    <row r="259" spans="1:11" ht="15.75">
      <c r="A259" s="137"/>
      <c r="B259" s="137" t="s">
        <v>55</v>
      </c>
      <c r="C259" s="159">
        <v>63003.82</v>
      </c>
      <c r="D259" s="161">
        <v>335631.06</v>
      </c>
      <c r="E259" s="149">
        <v>341</v>
      </c>
      <c r="F259" s="149">
        <v>2614</v>
      </c>
      <c r="G259" s="159">
        <v>26491.33</v>
      </c>
      <c r="H259" s="159">
        <f>293325.77+1303.32</f>
        <v>294629.09000000003</v>
      </c>
      <c r="I259" s="159">
        <v>7360.92</v>
      </c>
      <c r="J259" s="159"/>
      <c r="K259" s="159"/>
    </row>
    <row r="260" spans="1:11" ht="15.75">
      <c r="A260" s="137"/>
      <c r="B260" s="137" t="s">
        <v>56</v>
      </c>
      <c r="C260" s="159">
        <v>53162.76</v>
      </c>
      <c r="D260" s="161">
        <v>370227.26</v>
      </c>
      <c r="E260" s="149">
        <v>321</v>
      </c>
      <c r="F260" s="149">
        <v>2915</v>
      </c>
      <c r="G260" s="159">
        <v>26583.95</v>
      </c>
      <c r="H260" s="159">
        <f>362402.54+8194.41</f>
        <v>370596.94999999995</v>
      </c>
      <c r="I260" s="159">
        <v>7001.26</v>
      </c>
      <c r="J260" s="159"/>
      <c r="K260" s="159"/>
    </row>
    <row r="261" spans="1:11" ht="15.75">
      <c r="A261" s="137"/>
      <c r="B261" s="137" t="s">
        <v>57</v>
      </c>
      <c r="C261" s="158">
        <v>50676.26</v>
      </c>
      <c r="D261" s="158">
        <v>357593.03</v>
      </c>
      <c r="E261" s="149">
        <f>280</f>
        <v>280</v>
      </c>
      <c r="F261" s="149">
        <v>2620</v>
      </c>
      <c r="G261" s="158">
        <f>38129.79</f>
        <v>38129.79</v>
      </c>
      <c r="H261" s="158">
        <f>363033.72+4835.45</f>
        <v>367869.17</v>
      </c>
      <c r="I261" s="158">
        <v>10233.01</v>
      </c>
      <c r="J261" s="158"/>
      <c r="K261" s="158"/>
    </row>
    <row r="262" spans="1:11" ht="15.75">
      <c r="A262" s="137"/>
      <c r="B262" s="137"/>
      <c r="C262" s="158"/>
      <c r="D262" s="158"/>
      <c r="E262" s="149"/>
      <c r="F262" s="149"/>
      <c r="G262" s="158"/>
      <c r="H262" s="158"/>
      <c r="I262" s="158"/>
      <c r="J262" s="158"/>
      <c r="K262" s="158"/>
    </row>
    <row r="263" spans="1:11" ht="15.75">
      <c r="A263" s="137"/>
      <c r="B263" s="140" t="s">
        <v>93</v>
      </c>
      <c r="C263" s="138"/>
      <c r="D263" s="161"/>
      <c r="E263" s="138"/>
      <c r="F263" s="149"/>
      <c r="G263" s="170"/>
      <c r="H263" s="159"/>
      <c r="I263" s="170"/>
      <c r="J263" s="170"/>
      <c r="K263" s="170"/>
    </row>
    <row r="264" spans="1:11" ht="15.75">
      <c r="A264" s="137"/>
      <c r="B264" s="137" t="s">
        <v>58</v>
      </c>
      <c r="C264" s="159">
        <v>92011.65</v>
      </c>
      <c r="D264" s="161">
        <v>731204.34</v>
      </c>
      <c r="E264" s="149">
        <v>476</v>
      </c>
      <c r="F264" s="149">
        <v>4969</v>
      </c>
      <c r="G264" s="159">
        <v>47188.76</v>
      </c>
      <c r="H264" s="159">
        <f>396293.01+3498.9</f>
        <v>399791.91000000003</v>
      </c>
      <c r="I264" s="159">
        <v>14221.7</v>
      </c>
      <c r="J264" s="159"/>
      <c r="K264" s="159"/>
    </row>
    <row r="265" spans="1:11" ht="15.75">
      <c r="A265" s="137"/>
      <c r="B265" s="137" t="s">
        <v>59</v>
      </c>
      <c r="C265" s="159">
        <v>45778.18</v>
      </c>
      <c r="D265" s="161">
        <v>438589.15</v>
      </c>
      <c r="E265" s="149">
        <v>275</v>
      </c>
      <c r="F265" s="149">
        <v>3136</v>
      </c>
      <c r="G265" s="159">
        <v>47347.38</v>
      </c>
      <c r="H265" s="159">
        <f>383797.72+4318.6</f>
        <v>388116.31999999995</v>
      </c>
      <c r="I265" s="159">
        <v>12157.16</v>
      </c>
      <c r="J265" s="159"/>
      <c r="K265" s="159"/>
    </row>
    <row r="266" spans="1:11" ht="15.75">
      <c r="A266" s="137"/>
      <c r="B266" s="137" t="s">
        <v>60</v>
      </c>
      <c r="C266" s="158">
        <v>30079.55</v>
      </c>
      <c r="D266" s="158">
        <v>369713.77</v>
      </c>
      <c r="E266" s="149">
        <v>196</v>
      </c>
      <c r="F266" s="149">
        <v>2781</v>
      </c>
      <c r="G266" s="158">
        <v>62435.57</v>
      </c>
      <c r="H266" s="158">
        <f>603086.51+4312.36</f>
        <v>607398.87</v>
      </c>
      <c r="I266" s="158">
        <v>13480.18</v>
      </c>
      <c r="J266" s="158"/>
      <c r="K266" s="158"/>
    </row>
    <row r="267" spans="1:11" ht="15.75">
      <c r="A267" s="137"/>
      <c r="B267" s="137"/>
      <c r="C267" s="158"/>
      <c r="D267" s="158"/>
      <c r="E267" s="149"/>
      <c r="F267" s="149"/>
      <c r="G267" s="158"/>
      <c r="H267" s="158"/>
      <c r="I267" s="158"/>
      <c r="J267" s="158"/>
      <c r="K267" s="158"/>
    </row>
    <row r="268" spans="1:11" ht="15.75">
      <c r="A268" s="143">
        <v>2003</v>
      </c>
      <c r="B268" s="140" t="s">
        <v>94</v>
      </c>
      <c r="C268" s="138"/>
      <c r="D268" s="161"/>
      <c r="E268" s="138"/>
      <c r="F268" s="149"/>
      <c r="G268" s="170"/>
      <c r="H268" s="159"/>
      <c r="I268" s="170"/>
      <c r="J268" s="170"/>
      <c r="K268" s="170"/>
    </row>
    <row r="269" spans="1:11" ht="15.75">
      <c r="A269" s="137"/>
      <c r="B269" s="137" t="s">
        <v>49</v>
      </c>
      <c r="C269" s="159">
        <v>31286.12</v>
      </c>
      <c r="D269" s="161">
        <v>380217.56</v>
      </c>
      <c r="E269" s="149">
        <v>183</v>
      </c>
      <c r="F269" s="149">
        <v>2994</v>
      </c>
      <c r="G269" s="159">
        <v>40508.15</v>
      </c>
      <c r="H269" s="159">
        <f>337220.8+38.02+4959.41</f>
        <v>342218.23</v>
      </c>
      <c r="I269" s="159">
        <v>9831.0400000000009</v>
      </c>
      <c r="J269" s="159"/>
      <c r="K269" s="159"/>
    </row>
    <row r="270" spans="1:11" ht="15.75">
      <c r="A270" s="137"/>
      <c r="B270" s="137" t="s">
        <v>50</v>
      </c>
      <c r="C270" s="159">
        <v>16619.099999999999</v>
      </c>
      <c r="D270" s="161">
        <v>332851.37</v>
      </c>
      <c r="E270" s="149">
        <v>119</v>
      </c>
      <c r="F270" s="149">
        <v>2474</v>
      </c>
      <c r="G270" s="159">
        <v>48104.72</v>
      </c>
      <c r="H270" s="159">
        <f>338775.97+2989.93</f>
        <v>341765.89999999997</v>
      </c>
      <c r="I270" s="159">
        <v>14193.14</v>
      </c>
      <c r="J270" s="159"/>
      <c r="K270" s="159"/>
    </row>
    <row r="271" spans="1:11" ht="15.75">
      <c r="A271" s="137"/>
      <c r="B271" s="137" t="s">
        <v>51</v>
      </c>
      <c r="C271" s="158">
        <v>36593.620000000003</v>
      </c>
      <c r="D271" s="158">
        <v>395962.82</v>
      </c>
      <c r="E271" s="149">
        <v>188</v>
      </c>
      <c r="F271" s="149">
        <v>2758</v>
      </c>
      <c r="G271" s="158">
        <v>56287.86</v>
      </c>
      <c r="H271" s="158">
        <f>443519.8+1616.27</f>
        <v>445136.07</v>
      </c>
      <c r="I271" s="158">
        <v>14767.99</v>
      </c>
      <c r="J271" s="158"/>
      <c r="K271" s="158"/>
    </row>
    <row r="272" spans="1:11" ht="15.75">
      <c r="A272" s="137"/>
      <c r="B272" s="137"/>
      <c r="C272" s="158"/>
      <c r="D272" s="158"/>
      <c r="E272" s="149"/>
      <c r="F272" s="149"/>
      <c r="G272" s="158"/>
      <c r="H272" s="158"/>
      <c r="I272" s="158"/>
      <c r="J272" s="158"/>
      <c r="K272" s="158"/>
    </row>
    <row r="273" spans="1:11" ht="15.75">
      <c r="A273" s="143" t="s">
        <v>66</v>
      </c>
      <c r="B273" s="140" t="s">
        <v>95</v>
      </c>
      <c r="C273" s="138"/>
      <c r="D273" s="161"/>
      <c r="E273" s="138"/>
      <c r="F273" s="149"/>
      <c r="G273" s="170"/>
      <c r="H273" s="159"/>
      <c r="I273" s="170"/>
      <c r="J273" s="170"/>
      <c r="K273" s="170"/>
    </row>
    <row r="274" spans="1:11" ht="15.75">
      <c r="A274" s="137"/>
      <c r="B274" s="137" t="s">
        <v>52</v>
      </c>
      <c r="C274" s="159">
        <v>35343</v>
      </c>
      <c r="D274" s="161">
        <f>364823.98+1002.32</f>
        <v>365826.3</v>
      </c>
      <c r="E274" s="149">
        <v>236</v>
      </c>
      <c r="F274" s="149">
        <v>2679</v>
      </c>
      <c r="G274" s="159">
        <v>47940.81</v>
      </c>
      <c r="H274" s="159">
        <f>381073.77+3641.46+3334.07</f>
        <v>388049.30000000005</v>
      </c>
      <c r="I274" s="159">
        <v>12562.72</v>
      </c>
      <c r="J274" s="159"/>
      <c r="K274" s="159"/>
    </row>
    <row r="275" spans="1:11" ht="15.75">
      <c r="A275" s="137"/>
      <c r="B275" s="137" t="s">
        <v>53</v>
      </c>
      <c r="C275" s="159">
        <v>46613.87</v>
      </c>
      <c r="D275" s="161">
        <f>355154.15+204.63</f>
        <v>355358.78</v>
      </c>
      <c r="E275" s="149">
        <v>294</v>
      </c>
      <c r="F275" s="149">
        <v>2763</v>
      </c>
      <c r="G275" s="159">
        <v>38294.870000000003</v>
      </c>
      <c r="H275" s="159">
        <f>349863.49+1505.05</f>
        <v>351368.54</v>
      </c>
      <c r="I275" s="159">
        <v>11244.45</v>
      </c>
      <c r="J275" s="159"/>
      <c r="K275" s="159"/>
    </row>
    <row r="276" spans="1:11" ht="15.75">
      <c r="A276" s="137"/>
      <c r="B276" s="137" t="s">
        <v>54</v>
      </c>
      <c r="C276" s="158">
        <v>27103.7</v>
      </c>
      <c r="D276" s="158">
        <f>224750.04+74.55</f>
        <v>224824.59</v>
      </c>
      <c r="E276" s="149">
        <v>162</v>
      </c>
      <c r="F276" s="149">
        <v>1741</v>
      </c>
      <c r="G276" s="158">
        <v>28885.77</v>
      </c>
      <c r="H276" s="158">
        <f>314154.62+1394.54</f>
        <v>315549.15999999997</v>
      </c>
      <c r="I276" s="158">
        <v>11155.59</v>
      </c>
      <c r="J276" s="158"/>
      <c r="K276" s="158"/>
    </row>
    <row r="277" spans="1:11" ht="15.75">
      <c r="A277" s="137"/>
      <c r="B277" s="137"/>
      <c r="C277" s="158"/>
      <c r="D277" s="158"/>
      <c r="E277" s="149"/>
      <c r="F277" s="149"/>
      <c r="G277" s="158"/>
      <c r="H277" s="158"/>
      <c r="I277" s="158"/>
      <c r="J277" s="158"/>
      <c r="K277" s="158"/>
    </row>
    <row r="278" spans="1:11" ht="15.75">
      <c r="A278" s="143" t="s">
        <v>66</v>
      </c>
      <c r="B278" s="140" t="s">
        <v>96</v>
      </c>
      <c r="C278" s="138"/>
      <c r="D278" s="161"/>
      <c r="E278" s="138"/>
      <c r="F278" s="149"/>
      <c r="G278" s="170"/>
      <c r="H278" s="159"/>
      <c r="I278" s="170"/>
      <c r="J278" s="170"/>
      <c r="K278" s="170"/>
    </row>
    <row r="279" spans="1:11" ht="15.75">
      <c r="A279" s="137"/>
      <c r="B279" s="137" t="s">
        <v>55</v>
      </c>
      <c r="C279" s="159">
        <v>14828.84</v>
      </c>
      <c r="D279" s="161">
        <v>141422.73000000001</v>
      </c>
      <c r="E279" s="149">
        <v>134</v>
      </c>
      <c r="F279" s="149">
        <v>1615</v>
      </c>
      <c r="G279" s="159">
        <v>27397.06</v>
      </c>
      <c r="H279" s="159">
        <f>311238.21+2982.44</f>
        <v>314220.65000000002</v>
      </c>
      <c r="I279" s="159">
        <v>11134.35</v>
      </c>
      <c r="J279" s="159"/>
      <c r="K279" s="159"/>
    </row>
    <row r="280" spans="1:11" ht="15.75">
      <c r="A280" s="137"/>
      <c r="B280" s="137" t="s">
        <v>56</v>
      </c>
      <c r="C280" s="159">
        <v>29442.85</v>
      </c>
      <c r="D280" s="161">
        <v>148458.70000000001</v>
      </c>
      <c r="E280" s="149">
        <v>185</v>
      </c>
      <c r="F280" s="149">
        <v>1627</v>
      </c>
      <c r="G280" s="159">
        <v>37283.42</v>
      </c>
      <c r="H280" s="159">
        <f>373434.79+2450.61</f>
        <v>375885.39999999997</v>
      </c>
      <c r="I280" s="159">
        <v>12712.65</v>
      </c>
      <c r="J280" s="159"/>
      <c r="K280" s="159"/>
    </row>
    <row r="281" spans="1:11" ht="15.75">
      <c r="A281" s="137"/>
      <c r="B281" s="137" t="s">
        <v>57</v>
      </c>
      <c r="C281" s="158">
        <v>82813.31</v>
      </c>
      <c r="D281" s="158">
        <f>622677.06+504.87</f>
        <v>623181.93000000005</v>
      </c>
      <c r="E281" s="149">
        <v>563</v>
      </c>
      <c r="F281" s="149">
        <v>5988</v>
      </c>
      <c r="G281" s="158">
        <v>47148.33</v>
      </c>
      <c r="H281" s="158">
        <f>419129.17+3059.6</f>
        <v>422188.76999999996</v>
      </c>
      <c r="I281" s="158">
        <v>16994.61</v>
      </c>
      <c r="J281" s="158"/>
      <c r="K281" s="158"/>
    </row>
    <row r="282" spans="1:11" ht="15.75">
      <c r="A282" s="137"/>
      <c r="B282" s="137"/>
      <c r="C282" s="158"/>
      <c r="D282" s="158"/>
      <c r="E282" s="149"/>
      <c r="F282" s="149"/>
      <c r="G282" s="158"/>
      <c r="H282" s="158"/>
      <c r="I282" s="158"/>
      <c r="J282" s="158"/>
      <c r="K282" s="158"/>
    </row>
    <row r="283" spans="1:11" ht="15.75">
      <c r="A283" s="143" t="s">
        <v>66</v>
      </c>
      <c r="B283" s="140" t="s">
        <v>97</v>
      </c>
      <c r="C283" s="138"/>
      <c r="D283" s="161"/>
      <c r="E283" s="138"/>
      <c r="F283" s="149"/>
      <c r="G283" s="170"/>
      <c r="H283" s="159"/>
      <c r="I283" s="170"/>
      <c r="J283" s="170"/>
      <c r="K283" s="170"/>
    </row>
    <row r="284" spans="1:11" ht="15.75">
      <c r="A284" s="137"/>
      <c r="B284" s="137" t="s">
        <v>58</v>
      </c>
      <c r="C284" s="159">
        <v>27726.42</v>
      </c>
      <c r="D284" s="161">
        <v>309729.21000000002</v>
      </c>
      <c r="E284" s="149">
        <v>215</v>
      </c>
      <c r="F284" s="149">
        <f>2969</f>
        <v>2969</v>
      </c>
      <c r="G284" s="159">
        <v>44459.67</v>
      </c>
      <c r="H284" s="159">
        <f>342163.47+3430.79</f>
        <v>345594.25999999995</v>
      </c>
      <c r="I284" s="159">
        <v>10989.38</v>
      </c>
      <c r="J284" s="159"/>
      <c r="K284" s="159"/>
    </row>
    <row r="285" spans="1:11" ht="15.75">
      <c r="A285" s="137"/>
      <c r="B285" s="137" t="s">
        <v>59</v>
      </c>
      <c r="C285" s="159">
        <v>24654.23</v>
      </c>
      <c r="D285" s="161">
        <v>219651.4</v>
      </c>
      <c r="E285" s="149">
        <v>178</v>
      </c>
      <c r="F285" s="149">
        <f>1858</f>
        <v>1858</v>
      </c>
      <c r="G285" s="159">
        <v>33207.86</v>
      </c>
      <c r="H285" s="159">
        <f>368470.26+1863.31</f>
        <v>370333.57</v>
      </c>
      <c r="I285" s="159">
        <v>12959.87</v>
      </c>
      <c r="J285" s="159"/>
      <c r="K285" s="159"/>
    </row>
    <row r="286" spans="1:11" ht="15.75">
      <c r="A286" s="137"/>
      <c r="B286" s="137" t="s">
        <v>60</v>
      </c>
      <c r="C286" s="158">
        <v>30346.42</v>
      </c>
      <c r="D286" s="158">
        <v>267841.08</v>
      </c>
      <c r="E286" s="149">
        <v>189</v>
      </c>
      <c r="F286" s="149">
        <f>2157</f>
        <v>2157</v>
      </c>
      <c r="G286" s="158">
        <v>42992.39</v>
      </c>
      <c r="H286" s="158">
        <f>343632.86+3439.6</f>
        <v>347072.45999999996</v>
      </c>
      <c r="I286" s="158">
        <v>12989.38</v>
      </c>
      <c r="J286" s="158"/>
      <c r="K286" s="158"/>
    </row>
    <row r="287" spans="1:11" ht="15.75">
      <c r="A287" s="137"/>
      <c r="B287" s="137"/>
      <c r="C287" s="158"/>
      <c r="D287" s="158"/>
      <c r="E287" s="149"/>
      <c r="F287" s="149"/>
      <c r="G287" s="158"/>
      <c r="H287" s="158"/>
      <c r="I287" s="158"/>
      <c r="J287" s="158"/>
      <c r="K287" s="158"/>
    </row>
    <row r="288" spans="1:11" ht="15.75">
      <c r="A288" s="143">
        <v>2004</v>
      </c>
      <c r="B288" s="140" t="s">
        <v>98</v>
      </c>
      <c r="C288" s="138"/>
      <c r="D288" s="161"/>
      <c r="E288" s="138"/>
      <c r="F288" s="149"/>
      <c r="G288" s="170"/>
      <c r="H288" s="159"/>
      <c r="I288" s="170"/>
      <c r="J288" s="170"/>
      <c r="K288" s="170"/>
    </row>
    <row r="289" spans="1:11" ht="15.75">
      <c r="A289" s="137"/>
      <c r="B289" s="137" t="s">
        <v>49</v>
      </c>
      <c r="C289" s="159">
        <v>32094.2</v>
      </c>
      <c r="D289" s="161">
        <v>233169.91</v>
      </c>
      <c r="E289" s="149">
        <v>243</v>
      </c>
      <c r="F289" s="149">
        <v>2945</v>
      </c>
      <c r="G289" s="159">
        <v>59149.82</v>
      </c>
      <c r="H289" s="159">
        <f>350099.03+919.02</f>
        <v>351018.05000000005</v>
      </c>
      <c r="I289" s="159">
        <v>12652.19</v>
      </c>
      <c r="J289" s="159"/>
      <c r="K289" s="159"/>
    </row>
    <row r="290" spans="1:11" ht="15.75">
      <c r="A290" s="137"/>
      <c r="B290" s="137" t="s">
        <v>50</v>
      </c>
      <c r="C290" s="159">
        <v>33932.06</v>
      </c>
      <c r="D290" s="161">
        <f>267715.76+112.11</f>
        <v>267827.87</v>
      </c>
      <c r="E290" s="149">
        <v>274</v>
      </c>
      <c r="F290" s="149">
        <v>4122</v>
      </c>
      <c r="G290" s="159">
        <v>41069.370000000003</v>
      </c>
      <c r="H290" s="159">
        <f>390710.18+408.41+2741.33</f>
        <v>393859.92</v>
      </c>
      <c r="I290" s="159">
        <v>19611.7</v>
      </c>
      <c r="J290" s="159"/>
      <c r="K290" s="159"/>
    </row>
    <row r="291" spans="1:11" ht="15.75">
      <c r="A291" s="137"/>
      <c r="B291" s="137" t="s">
        <v>51</v>
      </c>
      <c r="C291" s="158">
        <v>43402.15</v>
      </c>
      <c r="D291" s="158">
        <f>347570.74+206.57</f>
        <v>347777.31</v>
      </c>
      <c r="E291" s="149">
        <v>235</v>
      </c>
      <c r="F291" s="149">
        <v>3167</v>
      </c>
      <c r="G291" s="158">
        <v>46963.4</v>
      </c>
      <c r="H291" s="158">
        <f>385541.1+1341.06+1018.9</f>
        <v>387901.06</v>
      </c>
      <c r="I291" s="158">
        <v>16661.509999999998</v>
      </c>
      <c r="J291" s="158"/>
      <c r="K291" s="158"/>
    </row>
    <row r="292" spans="1:11" ht="15.75">
      <c r="A292" s="137"/>
      <c r="B292" s="137"/>
      <c r="C292" s="158"/>
      <c r="D292" s="158"/>
      <c r="E292" s="149"/>
      <c r="F292" s="149"/>
      <c r="G292" s="158"/>
      <c r="H292" s="158"/>
      <c r="I292" s="158"/>
      <c r="J292" s="158"/>
      <c r="K292" s="158"/>
    </row>
    <row r="293" spans="1:11" ht="15.75">
      <c r="A293" s="143" t="s">
        <v>66</v>
      </c>
      <c r="B293" s="140" t="s">
        <v>99</v>
      </c>
      <c r="C293" s="138"/>
      <c r="D293" s="161"/>
      <c r="E293" s="138"/>
      <c r="F293" s="149"/>
      <c r="G293" s="170"/>
      <c r="H293" s="159"/>
      <c r="I293" s="170"/>
      <c r="J293" s="170"/>
      <c r="K293" s="170"/>
    </row>
    <row r="294" spans="1:11" ht="15.75">
      <c r="A294" s="137"/>
      <c r="B294" s="137" t="s">
        <v>52</v>
      </c>
      <c r="C294" s="159">
        <v>38624.449999999997</v>
      </c>
      <c r="D294" s="161">
        <f>302683.16+580.66</f>
        <v>303263.81999999995</v>
      </c>
      <c r="E294" s="149">
        <v>243</v>
      </c>
      <c r="F294" s="149">
        <f>2943+5</f>
        <v>2948</v>
      </c>
      <c r="G294" s="159">
        <v>55929.86</v>
      </c>
      <c r="H294" s="159">
        <f>414896.63+1276.44</f>
        <v>416173.07</v>
      </c>
      <c r="I294" s="159">
        <v>19344.150000000001</v>
      </c>
      <c r="J294" s="159"/>
      <c r="K294" s="159"/>
    </row>
    <row r="295" spans="1:11" ht="15.75">
      <c r="A295" s="137"/>
      <c r="B295" s="137" t="s">
        <v>53</v>
      </c>
      <c r="C295" s="159">
        <v>44475.82</v>
      </c>
      <c r="D295" s="161">
        <f>278155.08+510.71</f>
        <v>278665.79000000004</v>
      </c>
      <c r="E295" s="149">
        <v>251</v>
      </c>
      <c r="F295" s="149">
        <f>2631+2</f>
        <v>2633</v>
      </c>
      <c r="G295" s="159">
        <v>49710.27</v>
      </c>
      <c r="H295" s="159">
        <f>341647.97+1516.94</f>
        <v>343164.91</v>
      </c>
      <c r="I295" s="159">
        <v>14569.84</v>
      </c>
      <c r="J295" s="159"/>
      <c r="K295" s="159"/>
    </row>
    <row r="296" spans="1:11" ht="15.75">
      <c r="A296" s="137"/>
      <c r="B296" s="137" t="s">
        <v>54</v>
      </c>
      <c r="C296" s="158">
        <v>107301.42</v>
      </c>
      <c r="D296" s="158">
        <f>328296.65</f>
        <v>328296.65000000002</v>
      </c>
      <c r="E296" s="149">
        <v>447</v>
      </c>
      <c r="F296" s="149">
        <f>3410+1</f>
        <v>3411</v>
      </c>
      <c r="G296" s="158">
        <v>46085.120000000003</v>
      </c>
      <c r="H296" s="158">
        <f>297015.62+417.27+2247.5</f>
        <v>299680.39</v>
      </c>
      <c r="I296" s="158">
        <v>21562.720000000001</v>
      </c>
      <c r="J296" s="158"/>
      <c r="K296" s="158"/>
    </row>
    <row r="297" spans="1:11" ht="15.75">
      <c r="A297" s="137"/>
      <c r="B297" s="137"/>
      <c r="C297" s="158"/>
      <c r="D297" s="158"/>
      <c r="E297" s="149"/>
      <c r="F297" s="149"/>
      <c r="G297" s="158"/>
      <c r="H297" s="158"/>
      <c r="I297" s="158"/>
      <c r="J297" s="158"/>
      <c r="K297" s="158"/>
    </row>
    <row r="298" spans="1:11" ht="15.75">
      <c r="A298" s="143" t="s">
        <v>66</v>
      </c>
      <c r="B298" s="140" t="s">
        <v>100</v>
      </c>
      <c r="C298" s="138"/>
      <c r="D298" s="161"/>
      <c r="E298" s="138"/>
      <c r="F298" s="149"/>
      <c r="G298" s="170"/>
      <c r="H298" s="159"/>
      <c r="I298" s="170"/>
      <c r="J298" s="170"/>
      <c r="K298" s="170"/>
    </row>
    <row r="299" spans="1:11" ht="15.75">
      <c r="A299" s="137"/>
      <c r="B299" s="137" t="s">
        <v>55</v>
      </c>
      <c r="C299" s="159">
        <v>66399.570000000007</v>
      </c>
      <c r="D299" s="161">
        <f>236036.75</f>
        <v>236036.75</v>
      </c>
      <c r="E299" s="149">
        <v>399</v>
      </c>
      <c r="F299" s="149">
        <v>3170</v>
      </c>
      <c r="G299" s="159">
        <v>34539.69</v>
      </c>
      <c r="H299" s="159">
        <f>264840.95+2216.99</f>
        <v>267057.94</v>
      </c>
      <c r="I299" s="159">
        <v>14244.09</v>
      </c>
      <c r="J299" s="159"/>
      <c r="K299" s="159"/>
    </row>
    <row r="300" spans="1:11" ht="15.75">
      <c r="A300" s="137"/>
      <c r="B300" s="137" t="s">
        <v>56</v>
      </c>
      <c r="C300" s="159">
        <v>50573.98</v>
      </c>
      <c r="D300" s="161">
        <f>298402.99</f>
        <v>298402.99</v>
      </c>
      <c r="E300" s="149">
        <v>287</v>
      </c>
      <c r="F300" s="149">
        <v>3354</v>
      </c>
      <c r="G300" s="159">
        <v>49601.89</v>
      </c>
      <c r="H300" s="159">
        <f>353145.33+3530.2</f>
        <v>356675.53</v>
      </c>
      <c r="I300" s="159">
        <v>20295.099999999999</v>
      </c>
      <c r="J300" s="159"/>
      <c r="K300" s="159"/>
    </row>
    <row r="301" spans="1:11" ht="15.75">
      <c r="A301" s="137"/>
      <c r="B301" s="137" t="s">
        <v>57</v>
      </c>
      <c r="C301" s="158">
        <v>51128.33</v>
      </c>
      <c r="D301" s="158">
        <f>440193.98+79.56</f>
        <v>440273.54</v>
      </c>
      <c r="E301" s="149">
        <v>288</v>
      </c>
      <c r="F301" s="149">
        <f>3886+2</f>
        <v>3888</v>
      </c>
      <c r="G301" s="158">
        <v>57097.279999999999</v>
      </c>
      <c r="H301" s="158">
        <f>368762.99+1825.95</f>
        <v>370588.94</v>
      </c>
      <c r="I301" s="158">
        <v>16026.52</v>
      </c>
      <c r="J301" s="158"/>
      <c r="K301" s="158"/>
    </row>
    <row r="302" spans="1:11" ht="15.75">
      <c r="A302" s="137"/>
      <c r="B302" s="137"/>
      <c r="C302" s="158"/>
      <c r="D302" s="158"/>
      <c r="E302" s="149"/>
      <c r="F302" s="149"/>
      <c r="G302" s="158"/>
      <c r="H302" s="158"/>
      <c r="I302" s="158"/>
      <c r="J302" s="158"/>
      <c r="K302" s="158"/>
    </row>
    <row r="303" spans="1:11" ht="15.75">
      <c r="A303" s="143" t="s">
        <v>66</v>
      </c>
      <c r="B303" s="140" t="s">
        <v>101</v>
      </c>
      <c r="C303" s="138"/>
      <c r="D303" s="161"/>
      <c r="E303" s="138"/>
      <c r="F303" s="149"/>
      <c r="G303" s="170"/>
      <c r="H303" s="159"/>
      <c r="I303" s="170"/>
      <c r="J303" s="170"/>
      <c r="K303" s="170"/>
    </row>
    <row r="304" spans="1:11" ht="15.75">
      <c r="A304" s="137"/>
      <c r="B304" s="137" t="s">
        <v>58</v>
      </c>
      <c r="C304" s="159">
        <v>44076.31</v>
      </c>
      <c r="D304" s="161">
        <v>386703.35</v>
      </c>
      <c r="E304" s="149">
        <v>249</v>
      </c>
      <c r="F304" s="149">
        <v>3978</v>
      </c>
      <c r="G304" s="159">
        <v>54281.09</v>
      </c>
      <c r="H304" s="159">
        <f>350608.31+413.32+2679.15</f>
        <v>353700.78</v>
      </c>
      <c r="I304" s="159">
        <v>17851.73</v>
      </c>
      <c r="J304" s="159"/>
      <c r="K304" s="159"/>
    </row>
    <row r="305" spans="1:11" ht="15.75">
      <c r="A305" s="137"/>
      <c r="B305" s="137" t="s">
        <v>59</v>
      </c>
      <c r="C305" s="159">
        <v>26230.02</v>
      </c>
      <c r="D305" s="161">
        <v>334899.82</v>
      </c>
      <c r="E305" s="149">
        <v>186</v>
      </c>
      <c r="F305" s="149">
        <v>2888</v>
      </c>
      <c r="G305" s="159">
        <v>105638.23</v>
      </c>
      <c r="H305" s="159">
        <f>386064.08+2446.97</f>
        <v>388511.05</v>
      </c>
      <c r="I305" s="159">
        <v>27644.61</v>
      </c>
      <c r="J305" s="159"/>
      <c r="K305" s="159"/>
    </row>
    <row r="306" spans="1:11" ht="15.75">
      <c r="A306" s="137"/>
      <c r="B306" s="137" t="s">
        <v>60</v>
      </c>
      <c r="C306" s="158">
        <v>19743.59</v>
      </c>
      <c r="D306" s="158">
        <v>365377.53</v>
      </c>
      <c r="E306" s="149">
        <v>136</v>
      </c>
      <c r="F306" s="149">
        <v>3133</v>
      </c>
      <c r="G306" s="158">
        <v>71692.87</v>
      </c>
      <c r="H306" s="158">
        <f>339084.24+1835.05</f>
        <v>340919.29</v>
      </c>
      <c r="I306" s="158">
        <v>19492.330000000002</v>
      </c>
      <c r="J306" s="158"/>
      <c r="K306" s="158"/>
    </row>
    <row r="307" spans="1:11" ht="15.75">
      <c r="A307" s="136" t="s">
        <v>134</v>
      </c>
      <c r="B307" s="137"/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1:11" ht="22.5">
      <c r="A308" s="136"/>
      <c r="B308" s="137"/>
      <c r="C308" s="856" t="s">
        <v>140</v>
      </c>
      <c r="D308" s="856"/>
      <c r="E308" s="856"/>
      <c r="F308" s="856"/>
      <c r="G308" s="138"/>
      <c r="H308" s="138"/>
      <c r="I308" s="138"/>
      <c r="J308" s="138"/>
      <c r="K308" s="138"/>
    </row>
    <row r="309" spans="1:11" ht="22.5">
      <c r="A309" s="136"/>
      <c r="B309" s="140"/>
      <c r="C309" s="857" t="s">
        <v>131</v>
      </c>
      <c r="D309" s="856"/>
      <c r="E309" s="857" t="s">
        <v>132</v>
      </c>
      <c r="F309" s="856"/>
      <c r="G309" s="856" t="s">
        <v>141</v>
      </c>
      <c r="H309" s="856"/>
      <c r="I309" s="856" t="s">
        <v>142</v>
      </c>
      <c r="J309" s="856"/>
      <c r="K309" s="856"/>
    </row>
    <row r="310" spans="1:11" ht="15.75">
      <c r="A310" s="140" t="s">
        <v>82</v>
      </c>
      <c r="B310" s="140" t="s">
        <v>83</v>
      </c>
      <c r="C310" s="156" t="s">
        <v>127</v>
      </c>
      <c r="D310" s="156" t="s">
        <v>128</v>
      </c>
      <c r="E310" s="156" t="s">
        <v>127</v>
      </c>
      <c r="F310" s="156" t="s">
        <v>128</v>
      </c>
      <c r="G310" s="156" t="s">
        <v>127</v>
      </c>
      <c r="H310" s="156" t="s">
        <v>133</v>
      </c>
      <c r="I310" s="156" t="s">
        <v>127</v>
      </c>
      <c r="J310" s="156"/>
      <c r="K310" s="156"/>
    </row>
    <row r="311" spans="1:11" ht="15.75">
      <c r="A311" s="143">
        <v>2005</v>
      </c>
      <c r="B311" s="140" t="s">
        <v>102</v>
      </c>
      <c r="C311" s="138"/>
      <c r="D311" s="161"/>
      <c r="E311" s="138"/>
      <c r="F311" s="149"/>
      <c r="G311" s="170"/>
      <c r="H311" s="159"/>
      <c r="I311" s="170"/>
      <c r="J311" s="170"/>
      <c r="K311" s="170"/>
    </row>
    <row r="312" spans="1:11" ht="15.75">
      <c r="A312" s="137"/>
      <c r="B312" s="137" t="s">
        <v>49</v>
      </c>
      <c r="C312" s="159">
        <v>16997</v>
      </c>
      <c r="D312" s="161">
        <v>231944.86</v>
      </c>
      <c r="E312" s="149">
        <v>139</v>
      </c>
      <c r="F312" s="149">
        <v>2730</v>
      </c>
      <c r="G312" s="159">
        <v>60250.879999999997</v>
      </c>
      <c r="H312" s="159">
        <f>307150.09+2171.08</f>
        <v>309321.17000000004</v>
      </c>
      <c r="I312" s="159">
        <v>22132.71</v>
      </c>
      <c r="J312" s="159"/>
      <c r="K312" s="159"/>
    </row>
    <row r="313" spans="1:11" ht="15.75">
      <c r="A313" s="137"/>
      <c r="B313" s="137" t="s">
        <v>50</v>
      </c>
      <c r="C313" s="159">
        <v>12019.21</v>
      </c>
      <c r="D313" s="161">
        <v>210403.46</v>
      </c>
      <c r="E313" s="149">
        <v>93</v>
      </c>
      <c r="F313" s="149">
        <v>2364</v>
      </c>
      <c r="G313" s="159">
        <v>59181.56</v>
      </c>
      <c r="H313" s="159">
        <f>406726.99+2751.23</f>
        <v>409478.22</v>
      </c>
      <c r="I313" s="159">
        <v>31159.8</v>
      </c>
      <c r="J313" s="159"/>
      <c r="K313" s="159"/>
    </row>
    <row r="314" spans="1:11" ht="15.75">
      <c r="A314" s="137"/>
      <c r="B314" s="137" t="s">
        <v>51</v>
      </c>
      <c r="C314" s="158">
        <v>17894.810000000001</v>
      </c>
      <c r="D314" s="158">
        <v>356228.71</v>
      </c>
      <c r="E314" s="149">
        <v>139</v>
      </c>
      <c r="F314" s="149">
        <v>3134</v>
      </c>
      <c r="G314" s="158">
        <v>58461.91</v>
      </c>
      <c r="H314" s="158">
        <f>435546.28+1470.73</f>
        <v>437017.01</v>
      </c>
      <c r="I314" s="158">
        <v>23345.15</v>
      </c>
      <c r="J314" s="158"/>
      <c r="K314" s="158"/>
    </row>
    <row r="315" spans="1:11" ht="15.75">
      <c r="A315" s="137"/>
      <c r="B315" s="137"/>
      <c r="C315" s="158"/>
      <c r="D315" s="158"/>
      <c r="E315" s="149"/>
      <c r="F315" s="149"/>
      <c r="G315" s="158"/>
      <c r="H315" s="158"/>
      <c r="I315" s="158"/>
      <c r="J315" s="158"/>
      <c r="K315" s="158"/>
    </row>
    <row r="316" spans="1:11" ht="15.75">
      <c r="A316" s="143" t="s">
        <v>66</v>
      </c>
      <c r="B316" s="140" t="s">
        <v>103</v>
      </c>
      <c r="C316" s="138"/>
      <c r="D316" s="161"/>
      <c r="E316" s="138"/>
      <c r="F316" s="149"/>
      <c r="G316" s="170"/>
      <c r="H316" s="159"/>
      <c r="I316" s="170"/>
      <c r="J316" s="170"/>
      <c r="K316" s="170"/>
    </row>
    <row r="317" spans="1:11" ht="15.75">
      <c r="A317" s="137"/>
      <c r="B317" s="137" t="s">
        <v>52</v>
      </c>
      <c r="C317" s="159">
        <v>31549.59</v>
      </c>
      <c r="D317" s="161">
        <v>280050</v>
      </c>
      <c r="E317" s="149">
        <v>191</v>
      </c>
      <c r="F317" s="149">
        <v>2993</v>
      </c>
      <c r="G317" s="159">
        <v>38836.76</v>
      </c>
      <c r="H317" s="159">
        <f>374842.17+1697.2</f>
        <v>376539.37</v>
      </c>
      <c r="I317" s="159">
        <v>20298.68</v>
      </c>
      <c r="J317" s="159"/>
      <c r="K317" s="159"/>
    </row>
    <row r="318" spans="1:11" ht="15.75">
      <c r="A318" s="137"/>
      <c r="B318" s="137" t="s">
        <v>53</v>
      </c>
      <c r="C318" s="159">
        <v>30247.52</v>
      </c>
      <c r="D318" s="161">
        <v>264695.03000000003</v>
      </c>
      <c r="E318" s="149">
        <v>215</v>
      </c>
      <c r="F318" s="149">
        <v>2539</v>
      </c>
      <c r="G318" s="159">
        <v>29590.05</v>
      </c>
      <c r="H318" s="159">
        <f>314840.41+3043.96</f>
        <v>317884.37</v>
      </c>
      <c r="I318" s="159">
        <v>21047</v>
      </c>
      <c r="J318" s="159"/>
      <c r="K318" s="159"/>
    </row>
    <row r="319" spans="1:11" ht="15.75">
      <c r="A319" s="137"/>
      <c r="B319" s="137" t="s">
        <v>54</v>
      </c>
      <c r="C319" s="158">
        <v>30461.83</v>
      </c>
      <c r="D319" s="158">
        <v>339345.1</v>
      </c>
      <c r="E319" s="149">
        <v>217</v>
      </c>
      <c r="F319" s="149">
        <v>3172</v>
      </c>
      <c r="G319" s="158">
        <v>26584.16</v>
      </c>
      <c r="H319" s="158">
        <f>277051.15+6850.57</f>
        <v>283901.72000000003</v>
      </c>
      <c r="I319" s="158">
        <v>16066.77</v>
      </c>
      <c r="J319" s="158"/>
      <c r="K319" s="158"/>
    </row>
    <row r="320" spans="1:11" ht="15.75">
      <c r="A320" s="137"/>
      <c r="B320" s="137"/>
      <c r="C320" s="158"/>
      <c r="D320" s="158"/>
      <c r="E320" s="149"/>
      <c r="F320" s="149"/>
      <c r="G320" s="158"/>
      <c r="H320" s="158"/>
      <c r="I320" s="158"/>
      <c r="J320" s="158"/>
      <c r="K320" s="158"/>
    </row>
    <row r="321" spans="1:11" ht="15.75">
      <c r="A321" s="143" t="s">
        <v>66</v>
      </c>
      <c r="B321" s="140" t="s">
        <v>104</v>
      </c>
      <c r="C321" s="138"/>
      <c r="D321" s="161"/>
      <c r="E321" s="138"/>
      <c r="F321" s="149"/>
      <c r="G321" s="170"/>
      <c r="H321" s="159"/>
      <c r="I321" s="170"/>
      <c r="J321" s="170"/>
      <c r="K321" s="170"/>
    </row>
    <row r="322" spans="1:11" ht="15.75">
      <c r="A322" s="137"/>
      <c r="B322" s="137" t="s">
        <v>55</v>
      </c>
      <c r="C322" s="159">
        <v>34697.93</v>
      </c>
      <c r="D322" s="161">
        <v>258383.34</v>
      </c>
      <c r="E322" s="149">
        <v>254</v>
      </c>
      <c r="F322" s="149">
        <v>3099</v>
      </c>
      <c r="G322" s="159">
        <v>29508.3</v>
      </c>
      <c r="H322" s="159">
        <f>272412.66+1269.9</f>
        <v>273682.56</v>
      </c>
      <c r="I322" s="159">
        <v>19004.93</v>
      </c>
      <c r="J322" s="159"/>
      <c r="K322" s="159"/>
    </row>
    <row r="323" spans="1:11" ht="15.75">
      <c r="A323" s="137"/>
      <c r="B323" s="137" t="s">
        <v>56</v>
      </c>
      <c r="C323" s="159">
        <v>40758.910000000003</v>
      </c>
      <c r="D323" s="161">
        <v>309433.49</v>
      </c>
      <c r="E323" s="149">
        <v>310</v>
      </c>
      <c r="F323" s="149">
        <v>3507</v>
      </c>
      <c r="G323" s="159">
        <v>27717.71</v>
      </c>
      <c r="H323" s="159">
        <f>367231.04+1289.89</f>
        <v>368520.93</v>
      </c>
      <c r="I323" s="159">
        <v>19665.41</v>
      </c>
      <c r="J323" s="159"/>
      <c r="K323" s="159"/>
    </row>
    <row r="324" spans="1:11" ht="15.75">
      <c r="A324" s="137"/>
      <c r="B324" s="137" t="s">
        <v>57</v>
      </c>
      <c r="C324" s="158">
        <v>38152.639999999999</v>
      </c>
      <c r="D324" s="158">
        <v>373976.86</v>
      </c>
      <c r="E324" s="149">
        <v>256</v>
      </c>
      <c r="F324" s="149">
        <v>3240</v>
      </c>
      <c r="G324" s="158">
        <v>36908.050000000003</v>
      </c>
      <c r="H324" s="158">
        <f>365727.85+1571.01</f>
        <v>367298.86</v>
      </c>
      <c r="I324" s="158">
        <v>19394.669999999998</v>
      </c>
      <c r="J324" s="158"/>
      <c r="K324" s="158"/>
    </row>
    <row r="325" spans="1:11" ht="15.75">
      <c r="A325" s="137"/>
      <c r="B325" s="137"/>
      <c r="C325" s="158"/>
      <c r="D325" s="158"/>
      <c r="E325" s="149"/>
      <c r="F325" s="149"/>
      <c r="G325" s="158"/>
      <c r="H325" s="158"/>
      <c r="I325" s="158"/>
      <c r="J325" s="158"/>
      <c r="K325" s="158"/>
    </row>
    <row r="326" spans="1:11" ht="15.75">
      <c r="A326" s="143" t="s">
        <v>66</v>
      </c>
      <c r="B326" s="140" t="s">
        <v>105</v>
      </c>
      <c r="C326" s="138"/>
      <c r="D326" s="161"/>
      <c r="E326" s="138"/>
      <c r="F326" s="149"/>
      <c r="G326" s="170"/>
      <c r="H326" s="159"/>
      <c r="I326" s="170"/>
      <c r="J326" s="170"/>
      <c r="K326" s="170"/>
    </row>
    <row r="327" spans="1:11" ht="15.75">
      <c r="A327" s="137"/>
      <c r="B327" s="137" t="s">
        <v>58</v>
      </c>
      <c r="C327" s="159">
        <v>25261.65</v>
      </c>
      <c r="D327" s="161">
        <v>340869.84</v>
      </c>
      <c r="E327" s="149">
        <v>259</v>
      </c>
      <c r="F327" s="149">
        <v>3703</v>
      </c>
      <c r="G327" s="159">
        <v>45975.9</v>
      </c>
      <c r="H327" s="159">
        <f>373847.45+357.97</f>
        <v>374205.42</v>
      </c>
      <c r="I327" s="159">
        <v>18537.59</v>
      </c>
      <c r="J327" s="159"/>
      <c r="K327" s="159"/>
    </row>
    <row r="328" spans="1:11" ht="15.75">
      <c r="A328" s="137"/>
      <c r="B328" s="137" t="s">
        <v>59</v>
      </c>
      <c r="C328" s="159">
        <v>40505.99</v>
      </c>
      <c r="D328" s="161">
        <v>386814.63</v>
      </c>
      <c r="E328" s="149">
        <v>249</v>
      </c>
      <c r="F328" s="149">
        <v>3426</v>
      </c>
      <c r="G328" s="159">
        <v>48432.84</v>
      </c>
      <c r="H328" s="159">
        <f>439034.83+3604.92+4175.93</f>
        <v>446815.68</v>
      </c>
      <c r="I328" s="159">
        <v>26352.58</v>
      </c>
      <c r="J328" s="159"/>
      <c r="K328" s="159"/>
    </row>
    <row r="329" spans="1:11" ht="15.75">
      <c r="A329" s="137"/>
      <c r="B329" s="137" t="s">
        <v>60</v>
      </c>
      <c r="C329" s="158">
        <f>32863.89+2.52</f>
        <v>32866.409999999996</v>
      </c>
      <c r="D329" s="158">
        <v>438258.21</v>
      </c>
      <c r="E329" s="149">
        <v>221</v>
      </c>
      <c r="F329" s="149">
        <v>3542</v>
      </c>
      <c r="G329" s="158">
        <v>40182.85</v>
      </c>
      <c r="H329" s="158">
        <f>321077.16+506.38</f>
        <v>321583.53999999998</v>
      </c>
      <c r="I329" s="158">
        <v>17004.990000000002</v>
      </c>
      <c r="J329" s="158"/>
      <c r="K329" s="158"/>
    </row>
    <row r="330" spans="1:11" ht="15.75">
      <c r="A330" s="137"/>
      <c r="B330" s="137"/>
      <c r="C330" s="158"/>
      <c r="D330" s="158"/>
      <c r="E330" s="149"/>
      <c r="F330" s="149"/>
      <c r="G330" s="158"/>
      <c r="H330" s="158"/>
      <c r="I330" s="158"/>
      <c r="J330" s="158"/>
      <c r="K330" s="158"/>
    </row>
    <row r="331" spans="1:11" ht="15.75">
      <c r="A331" s="143">
        <v>2006</v>
      </c>
      <c r="B331" s="140" t="s">
        <v>113</v>
      </c>
      <c r="C331" s="138"/>
      <c r="D331" s="161"/>
      <c r="E331" s="138"/>
      <c r="F331" s="149"/>
      <c r="G331" s="170"/>
      <c r="H331" s="159"/>
      <c r="I331" s="170"/>
      <c r="J331" s="170"/>
      <c r="K331" s="170"/>
    </row>
    <row r="332" spans="1:11" ht="15.75">
      <c r="A332" s="137"/>
      <c r="B332" s="164" t="s">
        <v>49</v>
      </c>
      <c r="C332" s="171">
        <v>19900.79</v>
      </c>
      <c r="D332" s="167">
        <f>207114.92+113.99</f>
        <v>207228.91</v>
      </c>
      <c r="E332" s="168">
        <f>187</f>
        <v>187</v>
      </c>
      <c r="F332" s="168">
        <f>2625+1+4</f>
        <v>2630</v>
      </c>
      <c r="G332" s="171">
        <v>32459.52</v>
      </c>
      <c r="H332" s="171">
        <f>287185.63+229.74+819.67</f>
        <v>288235.03999999998</v>
      </c>
      <c r="I332" s="171">
        <f>13765.75</f>
        <v>13765.75</v>
      </c>
      <c r="J332" s="171"/>
      <c r="K332" s="171"/>
    </row>
    <row r="333" spans="1:11" ht="15.75">
      <c r="A333" s="137"/>
      <c r="B333" s="164" t="s">
        <v>50</v>
      </c>
      <c r="C333" s="171">
        <v>24598.39</v>
      </c>
      <c r="D333" s="167">
        <f>265471.62</f>
        <v>265471.62</v>
      </c>
      <c r="E333" s="168">
        <f>165</f>
        <v>165</v>
      </c>
      <c r="F333" s="168">
        <f>2547</f>
        <v>2547</v>
      </c>
      <c r="G333" s="171">
        <v>40037.67</v>
      </c>
      <c r="H333" s="171">
        <f>326409.83</f>
        <v>326409.83</v>
      </c>
      <c r="I333" s="171">
        <f>16444.72</f>
        <v>16444.72</v>
      </c>
      <c r="J333" s="171"/>
      <c r="K333" s="171"/>
    </row>
    <row r="334" spans="1:11" ht="15.75">
      <c r="A334" s="137"/>
      <c r="B334" s="164" t="s">
        <v>51</v>
      </c>
      <c r="C334" s="169">
        <v>22787.33</v>
      </c>
      <c r="D334" s="169">
        <f>368132.56+293.29</f>
        <v>368425.85</v>
      </c>
      <c r="E334" s="168">
        <f>161</f>
        <v>161</v>
      </c>
      <c r="F334" s="168">
        <f>3318+1</f>
        <v>3319</v>
      </c>
      <c r="G334" s="169">
        <v>37254.21</v>
      </c>
      <c r="H334" s="169">
        <f>368138.09+503.26</f>
        <v>368641.35000000003</v>
      </c>
      <c r="I334" s="169">
        <f>14451.4</f>
        <v>14451.4</v>
      </c>
      <c r="J334" s="169"/>
      <c r="K334" s="169"/>
    </row>
    <row r="335" spans="1:11" ht="15.75">
      <c r="A335" s="137"/>
      <c r="B335" s="137"/>
      <c r="C335" s="158"/>
      <c r="D335" s="158"/>
      <c r="E335" s="149"/>
      <c r="F335" s="149"/>
      <c r="G335" s="158"/>
      <c r="H335" s="158"/>
      <c r="I335" s="158"/>
      <c r="J335" s="158"/>
      <c r="K335" s="158"/>
    </row>
    <row r="336" spans="1:11" ht="15.75">
      <c r="A336" s="143" t="s">
        <v>66</v>
      </c>
      <c r="B336" s="140" t="s">
        <v>114</v>
      </c>
      <c r="C336" s="138"/>
      <c r="D336" s="161"/>
      <c r="E336" s="138"/>
      <c r="F336" s="149"/>
      <c r="G336" s="170"/>
      <c r="H336" s="159"/>
      <c r="I336" s="170"/>
      <c r="J336" s="170"/>
      <c r="K336" s="170"/>
    </row>
    <row r="337" spans="1:11" ht="15.75">
      <c r="A337" s="137"/>
      <c r="B337" s="137" t="s">
        <v>52</v>
      </c>
      <c r="C337" s="171">
        <v>31899.25</v>
      </c>
      <c r="D337" s="167">
        <v>280895.61</v>
      </c>
      <c r="E337" s="168">
        <v>210</v>
      </c>
      <c r="F337" s="168">
        <v>2877</v>
      </c>
      <c r="G337" s="171">
        <v>33022.86</v>
      </c>
      <c r="H337" s="171">
        <f>350015.82+467.1</f>
        <v>350482.92</v>
      </c>
      <c r="I337" s="171">
        <v>15191.32</v>
      </c>
      <c r="J337" s="171"/>
      <c r="K337" s="171"/>
    </row>
    <row r="338" spans="1:11" ht="15.75">
      <c r="A338" s="137"/>
      <c r="B338" s="137" t="s">
        <v>53</v>
      </c>
      <c r="C338" s="171">
        <v>43836.1</v>
      </c>
      <c r="D338" s="167">
        <v>344029.88</v>
      </c>
      <c r="E338" s="168">
        <v>252</v>
      </c>
      <c r="F338" s="168">
        <v>3148</v>
      </c>
      <c r="G338" s="171">
        <v>31470.93</v>
      </c>
      <c r="H338" s="171">
        <f>307843.34+12.86</f>
        <v>307856.2</v>
      </c>
      <c r="I338" s="171">
        <v>12343.61</v>
      </c>
      <c r="J338" s="171"/>
      <c r="K338" s="171"/>
    </row>
    <row r="339" spans="1:11" ht="15.75">
      <c r="A339" s="137"/>
      <c r="B339" s="137" t="s">
        <v>54</v>
      </c>
      <c r="C339" s="169">
        <v>45637.26</v>
      </c>
      <c r="D339" s="169">
        <v>326834.40999999997</v>
      </c>
      <c r="E339" s="168">
        <v>280</v>
      </c>
      <c r="F339" s="168">
        <v>3163</v>
      </c>
      <c r="G339" s="169">
        <v>24896.560000000001</v>
      </c>
      <c r="H339" s="169">
        <f>230635.41+415.03</f>
        <v>231050.44</v>
      </c>
      <c r="I339" s="169">
        <v>15336.73</v>
      </c>
      <c r="J339" s="169"/>
      <c r="K339" s="169"/>
    </row>
    <row r="340" spans="1:11" ht="15.75">
      <c r="A340" s="137"/>
      <c r="B340" s="137"/>
      <c r="C340" s="158"/>
      <c r="D340" s="158"/>
      <c r="E340" s="149"/>
      <c r="F340" s="149"/>
      <c r="G340" s="158"/>
      <c r="H340" s="158"/>
      <c r="I340" s="158"/>
      <c r="J340" s="158"/>
      <c r="K340" s="158"/>
    </row>
    <row r="341" spans="1:11" ht="22.5">
      <c r="A341" s="137"/>
      <c r="B341" s="137"/>
      <c r="C341" s="856" t="s">
        <v>143</v>
      </c>
      <c r="D341" s="856"/>
      <c r="E341" s="856" t="s">
        <v>144</v>
      </c>
      <c r="F341" s="856"/>
      <c r="G341" s="159"/>
      <c r="H341" s="159"/>
      <c r="I341" s="159"/>
      <c r="J341" s="159"/>
      <c r="K341" s="159"/>
    </row>
    <row r="342" spans="1:11" ht="15.75">
      <c r="A342" s="140" t="s">
        <v>82</v>
      </c>
      <c r="B342" s="140" t="s">
        <v>83</v>
      </c>
      <c r="C342" s="156" t="s">
        <v>127</v>
      </c>
      <c r="D342" s="156" t="s">
        <v>133</v>
      </c>
      <c r="E342" s="156" t="s">
        <v>127</v>
      </c>
      <c r="F342" s="156" t="s">
        <v>133</v>
      </c>
      <c r="G342" s="159"/>
      <c r="H342" s="159"/>
      <c r="I342" s="159"/>
      <c r="J342" s="159"/>
      <c r="K342" s="159"/>
    </row>
    <row r="343" spans="1:11" ht="15.75">
      <c r="A343" s="140"/>
      <c r="B343" s="140" t="s">
        <v>85</v>
      </c>
      <c r="C343" s="156"/>
      <c r="D343" s="156"/>
      <c r="E343" s="156"/>
      <c r="F343" s="156"/>
      <c r="G343" s="159"/>
      <c r="H343" s="159"/>
      <c r="I343" s="159"/>
      <c r="J343" s="159"/>
      <c r="K343" s="159"/>
    </row>
    <row r="344" spans="1:11" ht="15.75">
      <c r="A344" s="143">
        <v>2000</v>
      </c>
      <c r="B344" s="137" t="s">
        <v>57</v>
      </c>
      <c r="C344" s="159">
        <v>0</v>
      </c>
      <c r="D344" s="159">
        <f>2609+1+73</f>
        <v>2683</v>
      </c>
      <c r="E344" s="159">
        <v>0</v>
      </c>
      <c r="F344" s="159">
        <f>2196+1+124</f>
        <v>2321</v>
      </c>
      <c r="G344" s="159"/>
      <c r="H344" s="159"/>
      <c r="I344" s="159"/>
      <c r="J344" s="159"/>
      <c r="K344" s="159"/>
    </row>
    <row r="345" spans="1:11" ht="15.75">
      <c r="A345" s="137"/>
      <c r="B345" s="137" t="s">
        <v>58</v>
      </c>
      <c r="C345" s="159">
        <v>0</v>
      </c>
      <c r="D345" s="159">
        <f>2558+102</f>
        <v>2660</v>
      </c>
      <c r="E345" s="159">
        <v>0</v>
      </c>
      <c r="F345" s="159">
        <f>2303+152</f>
        <v>2455</v>
      </c>
      <c r="G345" s="159"/>
      <c r="H345" s="159"/>
      <c r="I345" s="159"/>
      <c r="J345" s="159"/>
      <c r="K345" s="159"/>
    </row>
    <row r="346" spans="1:11" ht="15.75">
      <c r="A346" s="137"/>
      <c r="B346" s="137" t="s">
        <v>59</v>
      </c>
      <c r="C346" s="159">
        <v>0</v>
      </c>
      <c r="D346" s="159">
        <f>2486+1+65</f>
        <v>2552</v>
      </c>
      <c r="E346" s="159">
        <v>0</v>
      </c>
      <c r="F346" s="159">
        <f>2554+162</f>
        <v>2716</v>
      </c>
      <c r="G346" s="159"/>
      <c r="H346" s="159"/>
      <c r="I346" s="159"/>
      <c r="J346" s="159"/>
      <c r="K346" s="159"/>
    </row>
    <row r="347" spans="1:11" ht="15.75">
      <c r="A347" s="137"/>
      <c r="B347" s="137" t="s">
        <v>60</v>
      </c>
      <c r="C347" s="159">
        <f>1</f>
        <v>1</v>
      </c>
      <c r="D347" s="159">
        <f>2986+57</f>
        <v>3043</v>
      </c>
      <c r="E347" s="159">
        <f>1</f>
        <v>1</v>
      </c>
      <c r="F347" s="159">
        <f>2326+1+111</f>
        <v>2438</v>
      </c>
      <c r="G347" s="159"/>
      <c r="H347" s="159"/>
      <c r="I347" s="159"/>
      <c r="J347" s="159"/>
      <c r="K347" s="159"/>
    </row>
    <row r="348" spans="1:11" ht="15.75">
      <c r="A348" s="137"/>
      <c r="B348" s="137"/>
      <c r="C348" s="170"/>
      <c r="D348" s="159"/>
      <c r="E348" s="170"/>
      <c r="F348" s="159"/>
      <c r="G348" s="159"/>
      <c r="H348" s="159"/>
      <c r="I348" s="159"/>
      <c r="J348" s="159"/>
      <c r="K348" s="159"/>
    </row>
    <row r="349" spans="1:11" ht="15.75">
      <c r="A349" s="137"/>
      <c r="B349" s="140" t="s">
        <v>86</v>
      </c>
      <c r="C349" s="170"/>
      <c r="D349" s="159"/>
      <c r="E349" s="170"/>
      <c r="F349" s="159"/>
      <c r="G349" s="159"/>
      <c r="H349" s="159"/>
      <c r="I349" s="159"/>
      <c r="J349" s="159"/>
      <c r="K349" s="159"/>
    </row>
    <row r="350" spans="1:11" ht="15.75">
      <c r="A350" s="143">
        <v>2001</v>
      </c>
      <c r="B350" s="137" t="s">
        <v>49</v>
      </c>
      <c r="C350" s="159">
        <f>2</f>
        <v>2</v>
      </c>
      <c r="D350" s="159">
        <f>2979+61</f>
        <v>3040</v>
      </c>
      <c r="E350" s="159">
        <f>2</f>
        <v>2</v>
      </c>
      <c r="F350" s="159">
        <f>2623+1+119</f>
        <v>2743</v>
      </c>
      <c r="G350" s="159"/>
      <c r="H350" s="159"/>
      <c r="I350" s="159"/>
      <c r="J350" s="159"/>
      <c r="K350" s="159"/>
    </row>
    <row r="351" spans="1:11" ht="15.75">
      <c r="A351" s="137"/>
      <c r="B351" s="137" t="s">
        <v>50</v>
      </c>
      <c r="C351" s="159">
        <f>8</f>
        <v>8</v>
      </c>
      <c r="D351" s="159">
        <f>2982+1+54</f>
        <v>3037</v>
      </c>
      <c r="E351" s="159">
        <f>8</f>
        <v>8</v>
      </c>
      <c r="F351" s="159">
        <f>2444+3+110</f>
        <v>2557</v>
      </c>
      <c r="G351" s="159"/>
      <c r="H351" s="159"/>
      <c r="I351" s="159"/>
      <c r="J351" s="159"/>
      <c r="K351" s="159"/>
    </row>
    <row r="352" spans="1:11" ht="15.75">
      <c r="A352" s="137"/>
      <c r="B352" s="137" t="s">
        <v>51</v>
      </c>
      <c r="C352" s="159">
        <f>15</f>
        <v>15</v>
      </c>
      <c r="D352" s="159">
        <f>2841+1+53</f>
        <v>2895</v>
      </c>
      <c r="E352" s="159">
        <f>15</f>
        <v>15</v>
      </c>
      <c r="F352" s="159">
        <f>2405+108</f>
        <v>2513</v>
      </c>
      <c r="G352" s="159"/>
      <c r="H352" s="159"/>
      <c r="I352" s="159"/>
      <c r="J352" s="159"/>
      <c r="K352" s="159"/>
    </row>
    <row r="353" spans="1:11" ht="15.75">
      <c r="A353" s="137"/>
      <c r="B353" s="137"/>
      <c r="C353" s="170"/>
      <c r="D353" s="170"/>
      <c r="E353" s="170"/>
      <c r="F353" s="170"/>
      <c r="G353" s="159"/>
      <c r="H353" s="159"/>
      <c r="I353" s="159"/>
      <c r="J353" s="159"/>
      <c r="K353" s="159"/>
    </row>
    <row r="354" spans="1:11" ht="15.75">
      <c r="A354" s="137"/>
      <c r="B354" s="140" t="s">
        <v>87</v>
      </c>
      <c r="C354" s="170"/>
      <c r="D354" s="159"/>
      <c r="E354" s="170"/>
      <c r="F354" s="159"/>
      <c r="G354" s="159"/>
      <c r="H354" s="159"/>
      <c r="I354" s="159"/>
      <c r="J354" s="159"/>
      <c r="K354" s="159"/>
    </row>
    <row r="355" spans="1:11" ht="15.75">
      <c r="A355" s="143" t="s">
        <v>66</v>
      </c>
      <c r="B355" s="137" t="s">
        <v>52</v>
      </c>
      <c r="C355" s="159">
        <f>15</f>
        <v>15</v>
      </c>
      <c r="D355" s="159">
        <f>2546+1+49</f>
        <v>2596</v>
      </c>
      <c r="E355" s="159">
        <f>9</f>
        <v>9</v>
      </c>
      <c r="F355" s="159">
        <f>2187+1+96</f>
        <v>2284</v>
      </c>
      <c r="G355" s="159"/>
      <c r="H355" s="159"/>
      <c r="I355" s="159"/>
      <c r="J355" s="159"/>
      <c r="K355" s="159"/>
    </row>
    <row r="356" spans="1:11" ht="15.75">
      <c r="A356" s="137"/>
      <c r="B356" s="137" t="s">
        <v>53</v>
      </c>
      <c r="C356" s="159">
        <f>17</f>
        <v>17</v>
      </c>
      <c r="D356" s="159">
        <f>2301+47</f>
        <v>2348</v>
      </c>
      <c r="E356" s="159">
        <f>5</f>
        <v>5</v>
      </c>
      <c r="F356" s="159">
        <f>2045+1+107</f>
        <v>2153</v>
      </c>
      <c r="G356" s="159"/>
      <c r="H356" s="159"/>
      <c r="I356" s="159"/>
      <c r="J356" s="159"/>
      <c r="K356" s="159"/>
    </row>
    <row r="357" spans="1:11" ht="15.75">
      <c r="A357" s="137"/>
      <c r="B357" s="137" t="s">
        <v>54</v>
      </c>
      <c r="C357" s="159">
        <f>12</f>
        <v>12</v>
      </c>
      <c r="D357" s="159">
        <f>2350+1+62</f>
        <v>2413</v>
      </c>
      <c r="E357" s="159">
        <f>20</f>
        <v>20</v>
      </c>
      <c r="F357" s="159">
        <f>2008+2+114</f>
        <v>2124</v>
      </c>
      <c r="G357" s="159"/>
      <c r="H357" s="159"/>
      <c r="I357" s="159"/>
      <c r="J357" s="159"/>
      <c r="K357" s="159"/>
    </row>
    <row r="358" spans="1:11" ht="15.75">
      <c r="A358" s="137"/>
      <c r="B358" s="140" t="s">
        <v>88</v>
      </c>
      <c r="C358" s="170"/>
      <c r="D358" s="159"/>
      <c r="E358" s="170"/>
      <c r="F358" s="159"/>
      <c r="G358" s="159"/>
      <c r="H358" s="159"/>
      <c r="I358" s="159"/>
      <c r="J358" s="159"/>
      <c r="K358" s="159"/>
    </row>
    <row r="359" spans="1:11" ht="15.75">
      <c r="A359" s="143" t="s">
        <v>66</v>
      </c>
      <c r="B359" s="137" t="s">
        <v>55</v>
      </c>
      <c r="C359" s="159">
        <v>26</v>
      </c>
      <c r="D359" s="159">
        <f>2306+51</f>
        <v>2357</v>
      </c>
      <c r="E359" s="159">
        <v>30</v>
      </c>
      <c r="F359" s="159">
        <f>2253+109</f>
        <v>2362</v>
      </c>
      <c r="G359" s="159"/>
      <c r="H359" s="159"/>
      <c r="I359" s="159"/>
      <c r="J359" s="159"/>
      <c r="K359" s="159"/>
    </row>
    <row r="360" spans="1:11" ht="15.75">
      <c r="A360" s="137"/>
      <c r="B360" s="137" t="s">
        <v>56</v>
      </c>
      <c r="C360" s="159">
        <v>49</v>
      </c>
      <c r="D360" s="159">
        <f>2565+31</f>
        <v>2596</v>
      </c>
      <c r="E360" s="159">
        <v>20</v>
      </c>
      <c r="F360" s="159">
        <f>2172+89</f>
        <v>2261</v>
      </c>
      <c r="G360" s="159"/>
      <c r="H360" s="159"/>
      <c r="I360" s="159"/>
      <c r="J360" s="159"/>
      <c r="K360" s="159"/>
    </row>
    <row r="361" spans="1:11" ht="15.75">
      <c r="A361" s="137"/>
      <c r="B361" s="137" t="s">
        <v>57</v>
      </c>
      <c r="C361" s="159">
        <v>108</v>
      </c>
      <c r="D361" s="159">
        <f>2611+1+38</f>
        <v>2650</v>
      </c>
      <c r="E361" s="159">
        <v>44</v>
      </c>
      <c r="F361" s="159">
        <f>2129+1+79</f>
        <v>2209</v>
      </c>
      <c r="G361" s="159"/>
      <c r="H361" s="159"/>
      <c r="I361" s="159"/>
      <c r="J361" s="159"/>
      <c r="K361" s="159"/>
    </row>
    <row r="362" spans="1:11" ht="15.75">
      <c r="A362" s="137"/>
      <c r="B362" s="137"/>
      <c r="C362" s="159"/>
      <c r="D362" s="161"/>
      <c r="E362" s="149"/>
      <c r="F362" s="149"/>
      <c r="G362" s="159"/>
      <c r="H362" s="159"/>
      <c r="I362" s="159"/>
      <c r="J362" s="159"/>
      <c r="K362" s="159"/>
    </row>
    <row r="363" spans="1:11" ht="15.75">
      <c r="A363" s="137"/>
      <c r="B363" s="140" t="s">
        <v>89</v>
      </c>
      <c r="C363" s="170"/>
      <c r="D363" s="159"/>
      <c r="E363" s="170"/>
      <c r="F363" s="159"/>
      <c r="G363" s="159"/>
      <c r="H363" s="159"/>
      <c r="I363" s="159"/>
      <c r="J363" s="159"/>
      <c r="K363" s="159"/>
    </row>
    <row r="364" spans="1:11" ht="15.75">
      <c r="A364" s="137"/>
      <c r="B364" s="137" t="s">
        <v>58</v>
      </c>
      <c r="C364" s="159">
        <v>151</v>
      </c>
      <c r="D364" s="159">
        <f>2584+39</f>
        <v>2623</v>
      </c>
      <c r="E364" s="159">
        <v>79</v>
      </c>
      <c r="F364" s="159">
        <f>2253+109</f>
        <v>2362</v>
      </c>
      <c r="G364" s="159"/>
      <c r="H364" s="159"/>
      <c r="I364" s="159"/>
      <c r="J364" s="159"/>
      <c r="K364" s="159"/>
    </row>
    <row r="365" spans="1:11" ht="15.75">
      <c r="A365" s="137"/>
      <c r="B365" s="137" t="s">
        <v>59</v>
      </c>
      <c r="C365" s="159">
        <v>190</v>
      </c>
      <c r="D365" s="159">
        <f>3149+51</f>
        <v>3200</v>
      </c>
      <c r="E365" s="159">
        <v>99</v>
      </c>
      <c r="F365" s="159">
        <f>2528+1+116</f>
        <v>2645</v>
      </c>
      <c r="G365" s="159"/>
      <c r="H365" s="159"/>
      <c r="I365" s="159"/>
      <c r="J365" s="159"/>
      <c r="K365" s="159"/>
    </row>
    <row r="366" spans="1:11" ht="15.75">
      <c r="A366" s="137"/>
      <c r="B366" s="137" t="s">
        <v>60</v>
      </c>
      <c r="C366" s="159">
        <v>197</v>
      </c>
      <c r="D366" s="159">
        <f>3003+48</f>
        <v>3051</v>
      </c>
      <c r="E366" s="159">
        <v>140</v>
      </c>
      <c r="F366" s="159">
        <f>2601+105</f>
        <v>2706</v>
      </c>
      <c r="G366" s="170"/>
      <c r="H366" s="170"/>
      <c r="I366" s="138"/>
      <c r="J366" s="138"/>
      <c r="K366" s="138"/>
    </row>
    <row r="367" spans="1:11" ht="15.75">
      <c r="A367" s="136" t="s">
        <v>134</v>
      </c>
      <c r="B367" s="137"/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1:11" ht="22.5">
      <c r="A368" s="137"/>
      <c r="B368" s="137"/>
      <c r="C368" s="856" t="s">
        <v>143</v>
      </c>
      <c r="D368" s="856"/>
      <c r="E368" s="856" t="s">
        <v>144</v>
      </c>
      <c r="F368" s="856"/>
      <c r="G368" s="159"/>
      <c r="H368" s="159"/>
      <c r="I368" s="159"/>
      <c r="J368" s="159"/>
      <c r="K368" s="159"/>
    </row>
    <row r="369" spans="1:11" ht="15.75">
      <c r="A369" s="140" t="s">
        <v>82</v>
      </c>
      <c r="B369" s="140" t="s">
        <v>83</v>
      </c>
      <c r="C369" s="156" t="s">
        <v>127</v>
      </c>
      <c r="D369" s="156" t="s">
        <v>133</v>
      </c>
      <c r="E369" s="156" t="s">
        <v>127</v>
      </c>
      <c r="F369" s="156" t="s">
        <v>133</v>
      </c>
      <c r="G369" s="159"/>
      <c r="H369" s="159"/>
      <c r="I369" s="159"/>
      <c r="J369" s="159"/>
      <c r="K369" s="159"/>
    </row>
    <row r="370" spans="1:11" ht="15.75">
      <c r="A370" s="140"/>
      <c r="B370" s="140"/>
      <c r="C370" s="156"/>
      <c r="D370" s="156"/>
      <c r="E370" s="156"/>
      <c r="F370" s="156"/>
      <c r="G370" s="159"/>
      <c r="H370" s="159"/>
      <c r="I370" s="159"/>
      <c r="J370" s="159"/>
      <c r="K370" s="159"/>
    </row>
    <row r="371" spans="1:11" ht="15.75">
      <c r="A371" s="137"/>
      <c r="B371" s="140" t="s">
        <v>90</v>
      </c>
      <c r="C371" s="170"/>
      <c r="D371" s="159"/>
      <c r="E371" s="170"/>
      <c r="F371" s="159"/>
      <c r="G371" s="170"/>
      <c r="H371" s="170"/>
      <c r="I371" s="138"/>
      <c r="J371" s="138"/>
      <c r="K371" s="138"/>
    </row>
    <row r="372" spans="1:11" ht="15.75">
      <c r="A372" s="143">
        <v>2002</v>
      </c>
      <c r="B372" s="137" t="s">
        <v>49</v>
      </c>
      <c r="C372" s="159">
        <v>182</v>
      </c>
      <c r="D372" s="159">
        <f>2579+26</f>
        <v>2605</v>
      </c>
      <c r="E372" s="159">
        <v>152</v>
      </c>
      <c r="F372" s="159">
        <v>2232</v>
      </c>
      <c r="G372" s="170"/>
      <c r="H372" s="170"/>
      <c r="I372" s="138"/>
      <c r="J372" s="138"/>
      <c r="K372" s="138"/>
    </row>
    <row r="373" spans="1:11" ht="15.75">
      <c r="A373" s="137"/>
      <c r="B373" s="137" t="s">
        <v>50</v>
      </c>
      <c r="C373" s="159">
        <v>202</v>
      </c>
      <c r="D373" s="159">
        <f>2670+1+29</f>
        <v>2700</v>
      </c>
      <c r="E373" s="159">
        <f>185</f>
        <v>185</v>
      </c>
      <c r="F373" s="159">
        <v>2550</v>
      </c>
      <c r="G373" s="170"/>
      <c r="H373" s="170"/>
      <c r="I373" s="138"/>
      <c r="J373" s="138"/>
      <c r="K373" s="138"/>
    </row>
    <row r="374" spans="1:11" ht="15.75">
      <c r="A374" s="137"/>
      <c r="B374" s="137" t="s">
        <v>51</v>
      </c>
      <c r="C374" s="159">
        <v>207</v>
      </c>
      <c r="D374" s="159">
        <f>2592+29</f>
        <v>2621</v>
      </c>
      <c r="E374" s="159">
        <v>196</v>
      </c>
      <c r="F374" s="159">
        <v>2739</v>
      </c>
      <c r="G374" s="170"/>
      <c r="H374" s="170"/>
      <c r="I374" s="138"/>
      <c r="J374" s="138"/>
      <c r="K374" s="138"/>
    </row>
    <row r="375" spans="1:11" ht="15.75">
      <c r="A375" s="137"/>
      <c r="B375" s="137"/>
      <c r="C375" s="159"/>
      <c r="D375" s="159"/>
      <c r="E375" s="159"/>
      <c r="F375" s="159"/>
      <c r="G375" s="170"/>
      <c r="H375" s="170"/>
      <c r="I375" s="138"/>
      <c r="J375" s="138"/>
      <c r="K375" s="138"/>
    </row>
    <row r="376" spans="1:11" ht="15.75">
      <c r="A376" s="137"/>
      <c r="B376" s="140" t="s">
        <v>91</v>
      </c>
      <c r="C376" s="170"/>
      <c r="D376" s="159"/>
      <c r="E376" s="170"/>
      <c r="F376" s="159"/>
      <c r="G376" s="170"/>
      <c r="H376" s="170"/>
      <c r="I376" s="138"/>
      <c r="J376" s="138"/>
      <c r="K376" s="138"/>
    </row>
    <row r="377" spans="1:11" ht="15.75">
      <c r="A377" s="137"/>
      <c r="B377" s="137" t="s">
        <v>52</v>
      </c>
      <c r="C377" s="159">
        <v>167</v>
      </c>
      <c r="D377" s="159">
        <v>2405</v>
      </c>
      <c r="E377" s="159">
        <v>151</v>
      </c>
      <c r="F377" s="159">
        <v>1931</v>
      </c>
      <c r="G377" s="170"/>
      <c r="H377" s="170"/>
      <c r="I377" s="138"/>
      <c r="J377" s="138"/>
      <c r="K377" s="138"/>
    </row>
    <row r="378" spans="1:11" ht="15.75">
      <c r="A378" s="137"/>
      <c r="B378" s="137" t="s">
        <v>53</v>
      </c>
      <c r="C378" s="159">
        <v>189</v>
      </c>
      <c r="D378" s="159">
        <v>2434</v>
      </c>
      <c r="E378" s="159">
        <v>173</v>
      </c>
      <c r="F378" s="159">
        <v>2271</v>
      </c>
      <c r="G378" s="170"/>
      <c r="H378" s="170"/>
      <c r="I378" s="138"/>
      <c r="J378" s="138"/>
      <c r="K378" s="138"/>
    </row>
    <row r="379" spans="1:11" ht="15.75">
      <c r="A379" s="137"/>
      <c r="B379" s="137" t="s">
        <v>54</v>
      </c>
      <c r="C379" s="159">
        <v>144</v>
      </c>
      <c r="D379" s="159">
        <v>2175</v>
      </c>
      <c r="E379" s="159">
        <v>124</v>
      </c>
      <c r="F379" s="159">
        <v>2120</v>
      </c>
      <c r="G379" s="170"/>
      <c r="H379" s="170"/>
      <c r="I379" s="138"/>
      <c r="J379" s="138"/>
      <c r="K379" s="138"/>
    </row>
    <row r="380" spans="1:11" ht="15.75">
      <c r="A380" s="137"/>
      <c r="B380" s="137"/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1:11" ht="15.75">
      <c r="A381" s="137"/>
      <c r="B381" s="140" t="s">
        <v>92</v>
      </c>
      <c r="C381" s="170"/>
      <c r="D381" s="159"/>
      <c r="E381" s="170"/>
      <c r="F381" s="159"/>
      <c r="G381" s="170"/>
      <c r="H381" s="170"/>
      <c r="I381" s="138"/>
      <c r="J381" s="138"/>
      <c r="K381" s="138"/>
    </row>
    <row r="382" spans="1:11" ht="15.75">
      <c r="A382" s="137"/>
      <c r="B382" s="137" t="s">
        <v>55</v>
      </c>
      <c r="C382" s="159">
        <v>160</v>
      </c>
      <c r="D382" s="159">
        <v>2096</v>
      </c>
      <c r="E382" s="159">
        <v>147</v>
      </c>
      <c r="F382" s="159">
        <v>1936</v>
      </c>
      <c r="G382" s="170"/>
      <c r="H382" s="170"/>
      <c r="I382" s="138"/>
      <c r="J382" s="138"/>
      <c r="K382" s="138"/>
    </row>
    <row r="383" spans="1:11" ht="15.75">
      <c r="A383" s="137"/>
      <c r="B383" s="137" t="s">
        <v>56</v>
      </c>
      <c r="C383" s="159">
        <v>177</v>
      </c>
      <c r="D383" s="159">
        <v>2447</v>
      </c>
      <c r="E383" s="159">
        <v>158</v>
      </c>
      <c r="F383" s="159">
        <v>2138</v>
      </c>
      <c r="G383" s="170"/>
      <c r="H383" s="170"/>
      <c r="I383" s="138"/>
      <c r="J383" s="138"/>
      <c r="K383" s="138"/>
    </row>
    <row r="384" spans="1:11" ht="15.75">
      <c r="A384" s="137"/>
      <c r="B384" s="137" t="s">
        <v>57</v>
      </c>
      <c r="C384" s="159">
        <v>252</v>
      </c>
      <c r="D384" s="159">
        <v>2321</v>
      </c>
      <c r="E384" s="159">
        <v>192</v>
      </c>
      <c r="F384" s="159">
        <v>1850</v>
      </c>
      <c r="G384" s="170"/>
      <c r="H384" s="170"/>
      <c r="I384" s="138"/>
      <c r="J384" s="138"/>
      <c r="K384" s="138"/>
    </row>
    <row r="385" spans="1:11" ht="15.75">
      <c r="A385" s="137"/>
      <c r="B385" s="137"/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1:11" ht="15.75">
      <c r="A386" s="137"/>
      <c r="B386" s="140" t="s">
        <v>93</v>
      </c>
      <c r="C386" s="170"/>
      <c r="D386" s="159"/>
      <c r="E386" s="170"/>
      <c r="F386" s="159"/>
      <c r="G386" s="138"/>
      <c r="H386" s="138"/>
      <c r="I386" s="138"/>
      <c r="J386" s="138"/>
      <c r="K386" s="138"/>
    </row>
    <row r="387" spans="1:11" ht="15.75">
      <c r="A387" s="137"/>
      <c r="B387" s="137" t="s">
        <v>58</v>
      </c>
      <c r="C387" s="159">
        <v>295</v>
      </c>
      <c r="D387" s="159">
        <v>2477</v>
      </c>
      <c r="E387" s="159">
        <v>208</v>
      </c>
      <c r="F387" s="159">
        <v>2201</v>
      </c>
      <c r="G387" s="138"/>
      <c r="H387" s="138"/>
      <c r="I387" s="138"/>
      <c r="J387" s="138"/>
      <c r="K387" s="138"/>
    </row>
    <row r="388" spans="1:11" ht="15.75">
      <c r="A388" s="137"/>
      <c r="B388" s="137" t="s">
        <v>59</v>
      </c>
      <c r="C388" s="159">
        <v>321</v>
      </c>
      <c r="D388" s="159">
        <v>2663</v>
      </c>
      <c r="E388" s="159">
        <v>233</v>
      </c>
      <c r="F388" s="159">
        <v>2070</v>
      </c>
      <c r="G388" s="138"/>
      <c r="H388" s="138"/>
      <c r="I388" s="138"/>
      <c r="J388" s="138"/>
      <c r="K388" s="138"/>
    </row>
    <row r="389" spans="1:11" ht="15.75">
      <c r="A389" s="137"/>
      <c r="B389" s="137" t="s">
        <v>60</v>
      </c>
      <c r="C389" s="159">
        <v>362</v>
      </c>
      <c r="D389" s="159">
        <v>2740</v>
      </c>
      <c r="E389" s="159">
        <v>248</v>
      </c>
      <c r="F389" s="159">
        <v>2016</v>
      </c>
      <c r="G389" s="138"/>
      <c r="H389" s="138"/>
      <c r="I389" s="138"/>
      <c r="J389" s="138"/>
      <c r="K389" s="138"/>
    </row>
    <row r="390" spans="1:11" ht="15.75">
      <c r="A390" s="137"/>
      <c r="B390" s="137"/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1:11" ht="15.75">
      <c r="A391" s="143">
        <v>2003</v>
      </c>
      <c r="B391" s="140" t="s">
        <v>94</v>
      </c>
      <c r="C391" s="170"/>
      <c r="D391" s="159"/>
      <c r="E391" s="170"/>
      <c r="F391" s="159"/>
      <c r="G391" s="138"/>
      <c r="H391" s="138"/>
      <c r="I391" s="138"/>
      <c r="J391" s="138"/>
      <c r="K391" s="138"/>
    </row>
    <row r="392" spans="1:11" ht="15.75">
      <c r="A392" s="137"/>
      <c r="B392" s="137" t="s">
        <v>49</v>
      </c>
      <c r="C392" s="159">
        <v>263</v>
      </c>
      <c r="D392" s="159">
        <v>2439</v>
      </c>
      <c r="E392" s="159">
        <v>206</v>
      </c>
      <c r="F392" s="159">
        <v>1983</v>
      </c>
      <c r="G392" s="138"/>
      <c r="H392" s="138"/>
      <c r="I392" s="138"/>
      <c r="J392" s="138"/>
      <c r="K392" s="138"/>
    </row>
    <row r="393" spans="1:11" ht="15.75">
      <c r="A393" s="137"/>
      <c r="B393" s="137" t="s">
        <v>50</v>
      </c>
      <c r="C393" s="159">
        <v>292</v>
      </c>
      <c r="D393" s="159">
        <v>2546</v>
      </c>
      <c r="E393" s="159">
        <v>234</v>
      </c>
      <c r="F393" s="159">
        <v>2072</v>
      </c>
      <c r="G393" s="138"/>
      <c r="H393" s="138"/>
      <c r="I393" s="138"/>
      <c r="J393" s="138"/>
      <c r="K393" s="138"/>
    </row>
    <row r="394" spans="1:11" ht="15.75">
      <c r="A394" s="137"/>
      <c r="B394" s="137" t="s">
        <v>51</v>
      </c>
      <c r="C394" s="159">
        <v>288</v>
      </c>
      <c r="D394" s="159">
        <v>2705</v>
      </c>
      <c r="E394" s="159">
        <v>266</v>
      </c>
      <c r="F394" s="159">
        <v>2201</v>
      </c>
      <c r="G394" s="138"/>
      <c r="H394" s="138"/>
      <c r="I394" s="138"/>
      <c r="J394" s="138"/>
      <c r="K394" s="138"/>
    </row>
    <row r="395" spans="1:11" ht="15.75">
      <c r="A395" s="137"/>
      <c r="B395" s="137"/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1:11" ht="15.75">
      <c r="A396" s="143" t="s">
        <v>66</v>
      </c>
      <c r="B396" s="140" t="s">
        <v>95</v>
      </c>
      <c r="C396" s="170"/>
      <c r="D396" s="159"/>
      <c r="E396" s="170"/>
      <c r="F396" s="159"/>
      <c r="G396" s="138"/>
      <c r="H396" s="138"/>
      <c r="I396" s="138"/>
      <c r="J396" s="138"/>
      <c r="K396" s="138"/>
    </row>
    <row r="397" spans="1:11" ht="15.75">
      <c r="A397" s="137"/>
      <c r="B397" s="137" t="s">
        <v>52</v>
      </c>
      <c r="C397" s="159">
        <v>263</v>
      </c>
      <c r="D397" s="159">
        <v>2531</v>
      </c>
      <c r="E397" s="159">
        <v>221</v>
      </c>
      <c r="F397" s="159">
        <v>2241</v>
      </c>
      <c r="G397" s="138"/>
      <c r="H397" s="138"/>
      <c r="I397" s="138"/>
      <c r="J397" s="138"/>
      <c r="K397" s="138"/>
    </row>
    <row r="398" spans="1:11" ht="15.75">
      <c r="A398" s="137"/>
      <c r="B398" s="137" t="s">
        <v>53</v>
      </c>
      <c r="C398" s="159">
        <v>225</v>
      </c>
      <c r="D398" s="159">
        <v>2437</v>
      </c>
      <c r="E398" s="159">
        <v>210</v>
      </c>
      <c r="F398" s="159">
        <v>2006</v>
      </c>
      <c r="G398" s="138"/>
      <c r="H398" s="138"/>
      <c r="I398" s="138"/>
      <c r="J398" s="138"/>
      <c r="K398" s="138"/>
    </row>
    <row r="399" spans="1:11" ht="15.75">
      <c r="A399" s="137"/>
      <c r="B399" s="137" t="s">
        <v>54</v>
      </c>
      <c r="C399" s="159">
        <v>169</v>
      </c>
      <c r="D399" s="159">
        <v>2219</v>
      </c>
      <c r="E399" s="159">
        <v>166</v>
      </c>
      <c r="F399" s="159">
        <v>1889</v>
      </c>
      <c r="G399" s="138"/>
      <c r="H399" s="138"/>
      <c r="I399" s="138"/>
      <c r="J399" s="138"/>
      <c r="K399" s="138"/>
    </row>
    <row r="400" spans="1:11" ht="15.75">
      <c r="A400" s="137"/>
      <c r="B400" s="137"/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1:11" ht="15.75">
      <c r="A401" s="143" t="s">
        <v>66</v>
      </c>
      <c r="B401" s="140" t="s">
        <v>96</v>
      </c>
      <c r="C401" s="170"/>
      <c r="D401" s="159"/>
      <c r="E401" s="170"/>
      <c r="F401" s="159"/>
      <c r="G401" s="138"/>
      <c r="H401" s="138"/>
      <c r="I401" s="138"/>
      <c r="J401" s="138"/>
      <c r="K401" s="138"/>
    </row>
    <row r="402" spans="1:11" ht="15.75">
      <c r="A402" s="137"/>
      <c r="B402" s="137" t="s">
        <v>55</v>
      </c>
      <c r="C402" s="159">
        <v>179</v>
      </c>
      <c r="D402" s="159">
        <f>2122+7</f>
        <v>2129</v>
      </c>
      <c r="E402" s="159">
        <v>157</v>
      </c>
      <c r="F402" s="159">
        <f>1959+33</f>
        <v>1992</v>
      </c>
      <c r="G402" s="138"/>
      <c r="H402" s="138"/>
      <c r="I402" s="138"/>
      <c r="J402" s="138"/>
      <c r="K402" s="138"/>
    </row>
    <row r="403" spans="1:11" ht="15.75">
      <c r="A403" s="137"/>
      <c r="B403" s="137" t="s">
        <v>56</v>
      </c>
      <c r="C403" s="159">
        <v>208</v>
      </c>
      <c r="D403" s="159">
        <f>2493+15</f>
        <v>2508</v>
      </c>
      <c r="E403" s="159">
        <v>177</v>
      </c>
      <c r="F403" s="159">
        <f>2169+43</f>
        <v>2212</v>
      </c>
      <c r="G403" s="138"/>
      <c r="H403" s="138"/>
      <c r="I403" s="138"/>
      <c r="J403" s="138"/>
      <c r="K403" s="138"/>
    </row>
    <row r="404" spans="1:11" ht="15.75">
      <c r="A404" s="137"/>
      <c r="B404" s="137" t="s">
        <v>57</v>
      </c>
      <c r="C404" s="159">
        <v>359</v>
      </c>
      <c r="D404" s="159">
        <f>2914+10</f>
        <v>2924</v>
      </c>
      <c r="E404" s="159">
        <v>238</v>
      </c>
      <c r="F404" s="159">
        <f>2327+25</f>
        <v>2352</v>
      </c>
      <c r="G404" s="138"/>
      <c r="H404" s="138"/>
      <c r="I404" s="138"/>
      <c r="J404" s="138"/>
      <c r="K404" s="138"/>
    </row>
    <row r="405" spans="1:11" ht="15.75">
      <c r="A405" s="137"/>
      <c r="B405" s="137"/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1:11" ht="15.75">
      <c r="A406" s="143" t="s">
        <v>66</v>
      </c>
      <c r="B406" s="140" t="s">
        <v>97</v>
      </c>
      <c r="C406" s="170"/>
      <c r="D406" s="159"/>
      <c r="E406" s="170"/>
      <c r="F406" s="159"/>
      <c r="G406" s="138"/>
      <c r="H406" s="138"/>
      <c r="I406" s="138"/>
      <c r="J406" s="138"/>
      <c r="K406" s="138"/>
    </row>
    <row r="407" spans="1:11" ht="15.75">
      <c r="A407" s="137"/>
      <c r="B407" s="137" t="s">
        <v>58</v>
      </c>
      <c r="C407" s="159">
        <v>298</v>
      </c>
      <c r="D407" s="159">
        <f>2430</f>
        <v>2430</v>
      </c>
      <c r="E407" s="159">
        <v>197</v>
      </c>
      <c r="F407" s="159">
        <f>2046</f>
        <v>2046</v>
      </c>
      <c r="G407" s="138"/>
      <c r="H407" s="138"/>
      <c r="I407" s="138"/>
      <c r="J407" s="138"/>
      <c r="K407" s="138"/>
    </row>
    <row r="408" spans="1:11" ht="15.75">
      <c r="A408" s="137"/>
      <c r="B408" s="137" t="s">
        <v>59</v>
      </c>
      <c r="C408" s="159">
        <v>271</v>
      </c>
      <c r="D408" s="159">
        <f>2749</f>
        <v>2749</v>
      </c>
      <c r="E408" s="159">
        <v>191</v>
      </c>
      <c r="F408" s="159">
        <f>2098</f>
        <v>2098</v>
      </c>
      <c r="G408" s="138"/>
      <c r="H408" s="138"/>
      <c r="I408" s="138"/>
      <c r="J408" s="138"/>
      <c r="K408" s="138"/>
    </row>
    <row r="409" spans="1:11" ht="15.75">
      <c r="A409" s="137"/>
      <c r="B409" s="137" t="s">
        <v>60</v>
      </c>
      <c r="C409" s="159">
        <v>300</v>
      </c>
      <c r="D409" s="159">
        <f>2833</f>
        <v>2833</v>
      </c>
      <c r="E409" s="159">
        <v>212</v>
      </c>
      <c r="F409" s="159">
        <f>2019</f>
        <v>2019</v>
      </c>
      <c r="G409" s="138"/>
      <c r="H409" s="138"/>
      <c r="I409" s="138"/>
      <c r="J409" s="138"/>
      <c r="K409" s="138"/>
    </row>
    <row r="410" spans="1:11" ht="15.75">
      <c r="A410" s="137"/>
      <c r="B410" s="137"/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1:11" ht="15.75">
      <c r="A411" s="143">
        <v>2004</v>
      </c>
      <c r="B411" s="140" t="s">
        <v>98</v>
      </c>
      <c r="C411" s="170"/>
      <c r="D411" s="159"/>
      <c r="E411" s="170"/>
      <c r="F411" s="159"/>
      <c r="G411" s="138"/>
      <c r="H411" s="138"/>
      <c r="I411" s="138"/>
      <c r="J411" s="138"/>
      <c r="K411" s="138"/>
    </row>
    <row r="412" spans="1:11" ht="15.75">
      <c r="A412" s="137"/>
      <c r="B412" s="137" t="s">
        <v>49</v>
      </c>
      <c r="C412" s="159">
        <v>347</v>
      </c>
      <c r="D412" s="159">
        <f>3030</f>
        <v>3030</v>
      </c>
      <c r="E412" s="159">
        <v>249</v>
      </c>
      <c r="F412" s="159">
        <f>2112</f>
        <v>2112</v>
      </c>
      <c r="G412" s="138"/>
      <c r="H412" s="138"/>
      <c r="I412" s="138"/>
      <c r="J412" s="138"/>
      <c r="K412" s="138"/>
    </row>
    <row r="413" spans="1:11" ht="15.75">
      <c r="A413" s="137"/>
      <c r="B413" s="137" t="s">
        <v>50</v>
      </c>
      <c r="C413" s="159">
        <v>283</v>
      </c>
      <c r="D413" s="159">
        <f>2992</f>
        <v>2992</v>
      </c>
      <c r="E413" s="159">
        <v>289</v>
      </c>
      <c r="F413" s="159">
        <f>2618</f>
        <v>2618</v>
      </c>
      <c r="G413" s="138"/>
      <c r="H413" s="138"/>
      <c r="I413" s="138"/>
      <c r="J413" s="138"/>
      <c r="K413" s="138"/>
    </row>
    <row r="414" spans="1:11" ht="15.75">
      <c r="A414" s="137"/>
      <c r="B414" s="137" t="s">
        <v>51</v>
      </c>
      <c r="C414" s="159">
        <v>246</v>
      </c>
      <c r="D414" s="159">
        <f>2867</f>
        <v>2867</v>
      </c>
      <c r="E414" s="159">
        <v>244</v>
      </c>
      <c r="F414" s="159">
        <v>2643</v>
      </c>
      <c r="G414" s="138"/>
      <c r="H414" s="138"/>
      <c r="I414" s="138"/>
      <c r="J414" s="138"/>
      <c r="K414" s="138"/>
    </row>
    <row r="415" spans="1:11" ht="15.75">
      <c r="A415" s="137"/>
      <c r="B415" s="137"/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1:11" ht="15.75">
      <c r="A416" s="143" t="s">
        <v>66</v>
      </c>
      <c r="B416" s="140" t="s">
        <v>99</v>
      </c>
      <c r="C416" s="170"/>
      <c r="D416" s="159"/>
      <c r="E416" s="170"/>
      <c r="F416" s="159"/>
      <c r="G416" s="138"/>
      <c r="H416" s="138"/>
      <c r="I416" s="138"/>
      <c r="J416" s="138"/>
      <c r="K416" s="138"/>
    </row>
    <row r="417" spans="1:11" ht="15.75">
      <c r="A417" s="137"/>
      <c r="B417" s="137" t="s">
        <v>52</v>
      </c>
      <c r="C417" s="159">
        <v>293</v>
      </c>
      <c r="D417" s="159">
        <f>2899+3+10</f>
        <v>2912</v>
      </c>
      <c r="E417" s="159">
        <v>267</v>
      </c>
      <c r="F417" s="159">
        <f>2344+14</f>
        <v>2358</v>
      </c>
      <c r="G417" s="138"/>
      <c r="H417" s="138"/>
      <c r="I417" s="138"/>
      <c r="J417" s="138"/>
      <c r="K417" s="138"/>
    </row>
    <row r="418" spans="1:11" ht="15.75">
      <c r="A418" s="137"/>
      <c r="B418" s="137" t="s">
        <v>53</v>
      </c>
      <c r="C418" s="159">
        <v>256</v>
      </c>
      <c r="D418" s="159">
        <f>2487+1+8</f>
        <v>2496</v>
      </c>
      <c r="E418" s="159">
        <v>221</v>
      </c>
      <c r="F418" s="159">
        <f>2068+21</f>
        <v>2089</v>
      </c>
      <c r="G418" s="138"/>
      <c r="H418" s="138"/>
      <c r="I418" s="138"/>
      <c r="J418" s="138"/>
      <c r="K418" s="138"/>
    </row>
    <row r="419" spans="1:11" ht="15.75">
      <c r="A419" s="137"/>
      <c r="B419" s="137" t="s">
        <v>54</v>
      </c>
      <c r="C419" s="159">
        <v>232</v>
      </c>
      <c r="D419" s="159">
        <f>2290+1+1+9</f>
        <v>2301</v>
      </c>
      <c r="E419" s="159">
        <v>231</v>
      </c>
      <c r="F419" s="159">
        <f>1954+1+20</f>
        <v>1975</v>
      </c>
      <c r="G419" s="138"/>
      <c r="H419" s="138"/>
      <c r="I419" s="138"/>
      <c r="J419" s="138"/>
      <c r="K419" s="138"/>
    </row>
    <row r="420" spans="1:11" ht="15.75">
      <c r="A420" s="137"/>
      <c r="B420" s="137"/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1:11" ht="15.75">
      <c r="A421" s="143" t="s">
        <v>66</v>
      </c>
      <c r="B421" s="140" t="s">
        <v>100</v>
      </c>
      <c r="C421" s="170"/>
      <c r="D421" s="159"/>
      <c r="E421" s="170"/>
      <c r="F421" s="159"/>
      <c r="G421" s="138"/>
      <c r="H421" s="138"/>
      <c r="I421" s="138"/>
      <c r="J421" s="138"/>
      <c r="K421" s="138"/>
    </row>
    <row r="422" spans="1:11" ht="15.75">
      <c r="A422" s="137"/>
      <c r="B422" s="137" t="s">
        <v>55</v>
      </c>
      <c r="C422" s="159">
        <v>173</v>
      </c>
      <c r="D422" s="159">
        <f>2002+6</f>
        <v>2008</v>
      </c>
      <c r="E422" s="159">
        <v>176</v>
      </c>
      <c r="F422" s="159">
        <f>1840+19</f>
        <v>1859</v>
      </c>
      <c r="G422" s="138"/>
      <c r="H422" s="138"/>
      <c r="I422" s="138"/>
      <c r="J422" s="138"/>
      <c r="K422" s="138"/>
    </row>
    <row r="423" spans="1:11" ht="15.75">
      <c r="A423" s="137"/>
      <c r="B423" s="137" t="s">
        <v>56</v>
      </c>
      <c r="C423" s="159">
        <v>261</v>
      </c>
      <c r="D423" s="159">
        <f>2546+18</f>
        <v>2564</v>
      </c>
      <c r="E423" s="159">
        <v>265</v>
      </c>
      <c r="F423" s="159">
        <f>2210+1+33</f>
        <v>2244</v>
      </c>
      <c r="G423" s="138"/>
      <c r="H423" s="138"/>
      <c r="I423" s="138"/>
      <c r="J423" s="138"/>
      <c r="K423" s="138"/>
    </row>
    <row r="424" spans="1:11" ht="15.75">
      <c r="A424" s="137"/>
      <c r="B424" s="137" t="s">
        <v>57</v>
      </c>
      <c r="C424" s="159">
        <v>263</v>
      </c>
      <c r="D424" s="159">
        <f>2577+12</f>
        <v>2589</v>
      </c>
      <c r="E424" s="159">
        <v>227</v>
      </c>
      <c r="F424" s="159">
        <f>2045+18</f>
        <v>2063</v>
      </c>
      <c r="G424" s="138"/>
      <c r="H424" s="138"/>
      <c r="I424" s="138"/>
      <c r="J424" s="138"/>
      <c r="K424" s="138"/>
    </row>
    <row r="425" spans="1:11" ht="15.75">
      <c r="A425" s="136" t="s">
        <v>134</v>
      </c>
      <c r="B425" s="137"/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1:11" ht="22.5">
      <c r="A426" s="137"/>
      <c r="B426" s="137"/>
      <c r="C426" s="856" t="s">
        <v>143</v>
      </c>
      <c r="D426" s="856"/>
      <c r="E426" s="856" t="s">
        <v>144</v>
      </c>
      <c r="F426" s="856"/>
      <c r="G426" s="159"/>
      <c r="H426" s="159"/>
      <c r="I426" s="159"/>
      <c r="J426" s="159"/>
      <c r="K426" s="159"/>
    </row>
    <row r="427" spans="1:11" ht="15.75">
      <c r="A427" s="140" t="s">
        <v>82</v>
      </c>
      <c r="B427" s="140" t="s">
        <v>83</v>
      </c>
      <c r="C427" s="156" t="s">
        <v>127</v>
      </c>
      <c r="D427" s="156" t="s">
        <v>133</v>
      </c>
      <c r="E427" s="156" t="s">
        <v>127</v>
      </c>
      <c r="F427" s="156" t="s">
        <v>133</v>
      </c>
      <c r="G427" s="159"/>
      <c r="H427" s="159"/>
      <c r="I427" s="159"/>
      <c r="J427" s="159"/>
      <c r="K427" s="159"/>
    </row>
    <row r="428" spans="1:11" ht="15.75">
      <c r="A428" s="137"/>
      <c r="B428" s="137"/>
      <c r="C428" s="159"/>
      <c r="D428" s="159"/>
      <c r="E428" s="159"/>
      <c r="F428" s="159"/>
      <c r="G428" s="138"/>
      <c r="H428" s="138"/>
      <c r="I428" s="138"/>
      <c r="J428" s="138"/>
      <c r="K428" s="138"/>
    </row>
    <row r="429" spans="1:11" ht="15.75">
      <c r="A429" s="143" t="s">
        <v>66</v>
      </c>
      <c r="B429" s="140" t="s">
        <v>101</v>
      </c>
      <c r="C429" s="170"/>
      <c r="D429" s="159"/>
      <c r="E429" s="170"/>
      <c r="F429" s="159"/>
      <c r="G429" s="138"/>
      <c r="H429" s="138"/>
      <c r="I429" s="138"/>
      <c r="J429" s="138"/>
      <c r="K429" s="138"/>
    </row>
    <row r="430" spans="1:11" ht="15.75">
      <c r="A430" s="137"/>
      <c r="B430" s="137" t="s">
        <v>58</v>
      </c>
      <c r="C430" s="159">
        <v>287</v>
      </c>
      <c r="D430" s="159">
        <v>2412</v>
      </c>
      <c r="E430" s="159">
        <v>250</v>
      </c>
      <c r="F430" s="159">
        <v>1908</v>
      </c>
      <c r="G430" s="138"/>
      <c r="H430" s="138"/>
      <c r="I430" s="138"/>
      <c r="J430" s="138"/>
      <c r="K430" s="138"/>
    </row>
    <row r="431" spans="1:11" ht="15.75">
      <c r="A431" s="137"/>
      <c r="B431" s="137" t="s">
        <v>59</v>
      </c>
      <c r="C431" s="159">
        <v>409</v>
      </c>
      <c r="D431" s="159">
        <v>2790</v>
      </c>
      <c r="E431" s="159">
        <v>334</v>
      </c>
      <c r="F431" s="159">
        <v>2400</v>
      </c>
      <c r="G431" s="138"/>
      <c r="H431" s="138"/>
      <c r="I431" s="138"/>
      <c r="J431" s="138"/>
      <c r="K431" s="138"/>
    </row>
    <row r="432" spans="1:11" ht="15.75">
      <c r="A432" s="137"/>
      <c r="B432" s="137" t="s">
        <v>60</v>
      </c>
      <c r="C432" s="159">
        <v>343</v>
      </c>
      <c r="D432" s="159">
        <v>2596</v>
      </c>
      <c r="E432" s="159">
        <v>266</v>
      </c>
      <c r="F432" s="159">
        <v>2124</v>
      </c>
      <c r="G432" s="138"/>
      <c r="H432" s="138"/>
      <c r="I432" s="138"/>
      <c r="J432" s="138"/>
      <c r="K432" s="138"/>
    </row>
    <row r="433" spans="1:11" ht="15.75">
      <c r="A433" s="137"/>
      <c r="B433" s="137"/>
      <c r="C433" s="159"/>
      <c r="D433" s="159"/>
      <c r="E433" s="159"/>
      <c r="F433" s="159"/>
      <c r="G433" s="138"/>
      <c r="H433" s="138"/>
      <c r="I433" s="138"/>
      <c r="J433" s="138"/>
      <c r="K433" s="138"/>
    </row>
    <row r="434" spans="1:11" ht="15.75">
      <c r="A434" s="143">
        <v>2005</v>
      </c>
      <c r="B434" s="140" t="s">
        <v>102</v>
      </c>
      <c r="C434" s="170"/>
      <c r="D434" s="159"/>
      <c r="E434" s="170"/>
      <c r="F434" s="159"/>
      <c r="G434" s="138"/>
      <c r="H434" s="138"/>
      <c r="I434" s="138"/>
      <c r="J434" s="138"/>
      <c r="K434" s="138"/>
    </row>
    <row r="435" spans="1:11" ht="15.75">
      <c r="A435" s="137"/>
      <c r="B435" s="137" t="s">
        <v>49</v>
      </c>
      <c r="C435" s="159">
        <v>277</v>
      </c>
      <c r="D435" s="159">
        <v>2483</v>
      </c>
      <c r="E435" s="159">
        <v>258</v>
      </c>
      <c r="F435" s="159">
        <v>1977</v>
      </c>
      <c r="G435" s="138"/>
      <c r="H435" s="138"/>
      <c r="I435" s="138"/>
      <c r="J435" s="138"/>
      <c r="K435" s="138"/>
    </row>
    <row r="436" spans="1:11" ht="15.75">
      <c r="A436" s="137"/>
      <c r="B436" s="137" t="s">
        <v>50</v>
      </c>
      <c r="C436" s="159">
        <v>281</v>
      </c>
      <c r="D436" s="159">
        <v>2895</v>
      </c>
      <c r="E436" s="159">
        <v>317</v>
      </c>
      <c r="F436" s="159">
        <v>2405</v>
      </c>
      <c r="G436" s="138"/>
      <c r="H436" s="138"/>
      <c r="I436" s="138"/>
      <c r="J436" s="138"/>
      <c r="K436" s="138"/>
    </row>
    <row r="437" spans="1:11" ht="15.75">
      <c r="A437" s="137"/>
      <c r="B437" s="137" t="s">
        <v>51</v>
      </c>
      <c r="C437" s="159">
        <v>250</v>
      </c>
      <c r="D437" s="159">
        <v>2926</v>
      </c>
      <c r="E437" s="159">
        <v>276</v>
      </c>
      <c r="F437" s="159">
        <v>2481</v>
      </c>
      <c r="G437" s="138"/>
      <c r="H437" s="138"/>
      <c r="I437" s="138"/>
      <c r="J437" s="138"/>
      <c r="K437" s="138"/>
    </row>
    <row r="438" spans="1:11" ht="15.75">
      <c r="A438" s="137"/>
      <c r="B438" s="137"/>
      <c r="C438" s="159"/>
      <c r="D438" s="159"/>
      <c r="E438" s="159"/>
      <c r="F438" s="159"/>
      <c r="G438" s="138"/>
      <c r="H438" s="138"/>
      <c r="I438" s="138"/>
      <c r="J438" s="138"/>
      <c r="K438" s="138"/>
    </row>
    <row r="439" spans="1:11" ht="15.75">
      <c r="A439" s="143" t="s">
        <v>66</v>
      </c>
      <c r="B439" s="140" t="s">
        <v>103</v>
      </c>
      <c r="C439" s="170"/>
      <c r="D439" s="159"/>
      <c r="E439" s="170"/>
      <c r="F439" s="159"/>
      <c r="G439" s="138"/>
      <c r="H439" s="138"/>
      <c r="I439" s="138"/>
      <c r="J439" s="138"/>
      <c r="K439" s="138"/>
    </row>
    <row r="440" spans="1:11" ht="15.75">
      <c r="A440" s="137"/>
      <c r="B440" s="137" t="s">
        <v>52</v>
      </c>
      <c r="C440" s="159">
        <v>194</v>
      </c>
      <c r="D440" s="159">
        <f>2580+10</f>
        <v>2590</v>
      </c>
      <c r="E440" s="159">
        <v>231</v>
      </c>
      <c r="F440" s="159">
        <f>2461+13</f>
        <v>2474</v>
      </c>
      <c r="G440" s="138"/>
      <c r="H440" s="138"/>
      <c r="I440" s="138"/>
      <c r="J440" s="138"/>
      <c r="K440" s="138"/>
    </row>
    <row r="441" spans="1:11" ht="15.75">
      <c r="A441" s="137"/>
      <c r="B441" s="137" t="s">
        <v>53</v>
      </c>
      <c r="C441" s="159">
        <v>167</v>
      </c>
      <c r="D441" s="159">
        <f>2223+7</f>
        <v>2230</v>
      </c>
      <c r="E441" s="159">
        <v>202</v>
      </c>
      <c r="F441" s="159">
        <f>2115+15</f>
        <v>2130</v>
      </c>
      <c r="G441" s="138"/>
      <c r="H441" s="138"/>
      <c r="I441" s="138"/>
      <c r="J441" s="138"/>
      <c r="K441" s="138"/>
    </row>
    <row r="442" spans="1:11" ht="15.75">
      <c r="A442" s="137"/>
      <c r="B442" s="137" t="s">
        <v>54</v>
      </c>
      <c r="C442" s="159">
        <v>153</v>
      </c>
      <c r="D442" s="159">
        <f>2101+11</f>
        <v>2112</v>
      </c>
      <c r="E442" s="159">
        <v>179</v>
      </c>
      <c r="F442" s="159">
        <f>1885+14</f>
        <v>1899</v>
      </c>
      <c r="G442" s="138"/>
      <c r="H442" s="138"/>
      <c r="I442" s="138"/>
      <c r="J442" s="138"/>
      <c r="K442" s="138"/>
    </row>
    <row r="443" spans="1:11" ht="15.75">
      <c r="A443" s="137"/>
      <c r="B443" s="137"/>
      <c r="C443" s="159"/>
      <c r="D443" s="159"/>
      <c r="E443" s="159"/>
      <c r="F443" s="159"/>
      <c r="G443" s="138"/>
      <c r="H443" s="138"/>
      <c r="I443" s="138"/>
      <c r="J443" s="138"/>
      <c r="K443" s="138"/>
    </row>
    <row r="444" spans="1:11" ht="15.75">
      <c r="A444" s="143" t="s">
        <v>66</v>
      </c>
      <c r="B444" s="140" t="s">
        <v>104</v>
      </c>
      <c r="C444" s="170"/>
      <c r="D444" s="159"/>
      <c r="E444" s="170"/>
      <c r="F444" s="159"/>
      <c r="G444" s="138"/>
      <c r="H444" s="138"/>
      <c r="I444" s="138"/>
      <c r="J444" s="138"/>
      <c r="K444" s="138"/>
    </row>
    <row r="445" spans="1:11" ht="15.75">
      <c r="A445" s="137"/>
      <c r="B445" s="137" t="s">
        <v>55</v>
      </c>
      <c r="C445" s="159">
        <v>140</v>
      </c>
      <c r="D445" s="159">
        <v>1961</v>
      </c>
      <c r="E445" s="159">
        <v>153</v>
      </c>
      <c r="F445" s="159">
        <v>1861</v>
      </c>
      <c r="G445" s="138"/>
      <c r="H445" s="138"/>
      <c r="I445" s="138"/>
      <c r="J445" s="138"/>
      <c r="K445" s="138"/>
    </row>
    <row r="446" spans="1:11" ht="15.75">
      <c r="A446" s="137"/>
      <c r="B446" s="137" t="s">
        <v>56</v>
      </c>
      <c r="C446" s="159">
        <v>177</v>
      </c>
      <c r="D446" s="159">
        <v>2588</v>
      </c>
      <c r="E446" s="159">
        <v>201</v>
      </c>
      <c r="F446" s="159">
        <v>2263</v>
      </c>
      <c r="G446" s="138"/>
      <c r="H446" s="138"/>
      <c r="I446" s="138"/>
      <c r="J446" s="138"/>
      <c r="K446" s="138"/>
    </row>
    <row r="447" spans="1:11" ht="15.75">
      <c r="A447" s="137"/>
      <c r="B447" s="137" t="s">
        <v>57</v>
      </c>
      <c r="C447" s="159">
        <v>225</v>
      </c>
      <c r="D447" s="159">
        <v>2517</v>
      </c>
      <c r="E447" s="159">
        <v>218</v>
      </c>
      <c r="F447" s="159">
        <v>2302</v>
      </c>
      <c r="G447" s="138"/>
      <c r="H447" s="138"/>
      <c r="I447" s="138"/>
      <c r="J447" s="138"/>
      <c r="K447" s="138"/>
    </row>
    <row r="448" spans="1:11" ht="15.75">
      <c r="A448" s="137"/>
      <c r="B448" s="137"/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1:11" ht="15.75">
      <c r="A449" s="143" t="s">
        <v>66</v>
      </c>
      <c r="B449" s="140" t="s">
        <v>105</v>
      </c>
      <c r="C449" s="170"/>
      <c r="D449" s="159"/>
      <c r="E449" s="170"/>
      <c r="F449" s="159"/>
      <c r="G449" s="138"/>
      <c r="H449" s="138"/>
      <c r="I449" s="138"/>
      <c r="J449" s="138"/>
      <c r="K449" s="138"/>
    </row>
    <row r="450" spans="1:11" ht="15.75">
      <c r="A450" s="137"/>
      <c r="B450" s="137" t="s">
        <v>58</v>
      </c>
      <c r="C450" s="159">
        <v>257</v>
      </c>
      <c r="D450" s="159">
        <f>2519+3</f>
        <v>2522</v>
      </c>
      <c r="E450" s="159">
        <f>248</f>
        <v>248</v>
      </c>
      <c r="F450" s="159">
        <f>2370+6</f>
        <v>2376</v>
      </c>
      <c r="G450" s="138"/>
      <c r="H450" s="138"/>
      <c r="I450" s="138"/>
      <c r="J450" s="138"/>
      <c r="K450" s="138"/>
    </row>
    <row r="451" spans="1:11" ht="15.75">
      <c r="A451" s="137"/>
      <c r="B451" s="137" t="s">
        <v>59</v>
      </c>
      <c r="C451" s="159">
        <v>274</v>
      </c>
      <c r="D451" s="159">
        <f>3064+1+17</f>
        <v>3082</v>
      </c>
      <c r="E451" s="159">
        <v>248</v>
      </c>
      <c r="F451" s="159">
        <f>2623+1+24</f>
        <v>2648</v>
      </c>
      <c r="G451" s="138"/>
      <c r="H451" s="138"/>
      <c r="I451" s="138"/>
      <c r="J451" s="138"/>
      <c r="K451" s="138"/>
    </row>
    <row r="452" spans="1:11" ht="15.75">
      <c r="A452" s="137"/>
      <c r="B452" s="137" t="s">
        <v>60</v>
      </c>
      <c r="C452" s="159">
        <v>278</v>
      </c>
      <c r="D452" s="159">
        <f>2580+4</f>
        <v>2584</v>
      </c>
      <c r="E452" s="159">
        <v>224</v>
      </c>
      <c r="F452" s="159">
        <f>2003+9</f>
        <v>2012</v>
      </c>
      <c r="G452" s="138"/>
      <c r="H452" s="138"/>
      <c r="I452" s="138"/>
      <c r="J452" s="138"/>
      <c r="K452" s="138"/>
    </row>
    <row r="453" spans="1:11" ht="15.75">
      <c r="A453" s="137"/>
      <c r="B453" s="137"/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1:11" ht="15.75">
      <c r="A454" s="143">
        <v>2006</v>
      </c>
      <c r="B454" s="140" t="s">
        <v>113</v>
      </c>
      <c r="C454" s="170"/>
      <c r="D454" s="159"/>
      <c r="E454" s="170"/>
      <c r="F454" s="159"/>
      <c r="G454" s="138"/>
      <c r="H454" s="138"/>
      <c r="I454" s="138"/>
      <c r="J454" s="138"/>
      <c r="K454" s="138"/>
    </row>
    <row r="455" spans="1:11" ht="15.75">
      <c r="A455" s="137"/>
      <c r="B455" s="164" t="s">
        <v>49</v>
      </c>
      <c r="C455" s="171">
        <v>221</v>
      </c>
      <c r="D455" s="171">
        <f>2418+1+4</f>
        <v>2423</v>
      </c>
      <c r="E455" s="171">
        <v>190</v>
      </c>
      <c r="F455" s="171">
        <f>2012+1+8</f>
        <v>2021</v>
      </c>
      <c r="G455" s="138"/>
      <c r="H455" s="138"/>
      <c r="I455" s="138"/>
      <c r="J455" s="138"/>
      <c r="K455" s="138"/>
    </row>
    <row r="456" spans="1:11" ht="15.75">
      <c r="A456" s="137"/>
      <c r="B456" s="164" t="s">
        <v>50</v>
      </c>
      <c r="C456" s="171">
        <v>241</v>
      </c>
      <c r="D456" s="171">
        <f>2458</f>
        <v>2458</v>
      </c>
      <c r="E456" s="171">
        <v>248</v>
      </c>
      <c r="F456" s="171">
        <f>2172+6</f>
        <v>2178</v>
      </c>
      <c r="G456" s="138"/>
      <c r="H456" s="138"/>
      <c r="I456" s="138"/>
      <c r="J456" s="138"/>
      <c r="K456" s="138"/>
    </row>
    <row r="457" spans="1:11" ht="15.75">
      <c r="A457" s="137"/>
      <c r="B457" s="164" t="s">
        <v>51</v>
      </c>
      <c r="C457" s="171">
        <v>197</v>
      </c>
      <c r="D457" s="171">
        <f>2502+4</f>
        <v>2506</v>
      </c>
      <c r="E457" s="171">
        <v>227</v>
      </c>
      <c r="F457" s="171">
        <f>2253+9</f>
        <v>2262</v>
      </c>
      <c r="G457" s="138"/>
      <c r="H457" s="138"/>
      <c r="I457" s="138"/>
      <c r="J457" s="138"/>
      <c r="K457" s="138"/>
    </row>
    <row r="458" spans="1:11" ht="15.75">
      <c r="A458" s="137"/>
      <c r="B458" s="137"/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1:11" ht="15.75">
      <c r="A459" s="143" t="s">
        <v>66</v>
      </c>
      <c r="B459" s="140" t="s">
        <v>114</v>
      </c>
      <c r="C459" s="170"/>
      <c r="D459" s="159"/>
      <c r="E459" s="170"/>
      <c r="F459" s="159"/>
      <c r="G459" s="138"/>
      <c r="H459" s="138"/>
      <c r="I459" s="138"/>
      <c r="J459" s="138"/>
      <c r="K459" s="138"/>
    </row>
    <row r="460" spans="1:11" ht="15.75">
      <c r="A460" s="137"/>
      <c r="B460" s="137" t="s">
        <v>52</v>
      </c>
      <c r="C460" s="171">
        <v>173</v>
      </c>
      <c r="D460" s="171">
        <f>2370+1</f>
        <v>2371</v>
      </c>
      <c r="E460" s="171">
        <f>205</f>
        <v>205</v>
      </c>
      <c r="F460" s="171">
        <f>2250+17</f>
        <v>2267</v>
      </c>
      <c r="G460" s="138"/>
      <c r="H460" s="138"/>
      <c r="I460" s="138"/>
      <c r="J460" s="138"/>
      <c r="K460" s="138"/>
    </row>
    <row r="461" spans="1:11" ht="15.75">
      <c r="A461" s="137"/>
      <c r="B461" s="137" t="s">
        <v>53</v>
      </c>
      <c r="C461" s="171">
        <v>174</v>
      </c>
      <c r="D461" s="171">
        <f>2087+1</f>
        <v>2088</v>
      </c>
      <c r="E461" s="171">
        <f>185</f>
        <v>185</v>
      </c>
      <c r="F461" s="171">
        <f>1803+9</f>
        <v>1812</v>
      </c>
      <c r="G461" s="138"/>
      <c r="H461" s="138"/>
      <c r="I461" s="138"/>
      <c r="J461" s="138"/>
      <c r="K461" s="138"/>
    </row>
    <row r="462" spans="1:11" ht="15.75">
      <c r="A462" s="137"/>
      <c r="B462" s="137" t="s">
        <v>54</v>
      </c>
      <c r="C462" s="171">
        <v>144</v>
      </c>
      <c r="D462" s="171">
        <f>1923+3</f>
        <v>1926</v>
      </c>
      <c r="E462" s="171">
        <f>198</f>
        <v>198</v>
      </c>
      <c r="F462" s="171">
        <f>1958+5</f>
        <v>1963</v>
      </c>
      <c r="G462" s="138"/>
      <c r="H462" s="138"/>
      <c r="I462" s="138"/>
      <c r="J462" s="138"/>
      <c r="K462" s="138"/>
    </row>
    <row r="463" spans="1:11" ht="15.75">
      <c r="A463" s="137"/>
      <c r="B463" s="164"/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1:11" ht="15.75">
      <c r="A464" s="140" t="s">
        <v>145</v>
      </c>
      <c r="B464" s="137"/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1:11" ht="15.75">
      <c r="A465" s="140" t="s">
        <v>66</v>
      </c>
      <c r="B465" s="137"/>
      <c r="C465" s="156"/>
      <c r="D465" s="138"/>
      <c r="E465" s="138"/>
      <c r="F465" s="138"/>
      <c r="G465" s="138"/>
      <c r="H465" s="138"/>
      <c r="I465" s="138"/>
      <c r="J465" s="138"/>
      <c r="K465" s="138"/>
    </row>
    <row r="466" spans="1:11" ht="15.75">
      <c r="A466" s="137" t="s">
        <v>135</v>
      </c>
      <c r="B466" s="137"/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1:11" ht="15">
      <c r="A467" s="172"/>
    </row>
  </sheetData>
  <mergeCells count="38">
    <mergeCell ref="I309:K309"/>
    <mergeCell ref="F87:G87"/>
    <mergeCell ref="E250:F250"/>
    <mergeCell ref="G250:H250"/>
    <mergeCell ref="I250:K250"/>
    <mergeCell ref="G309:H309"/>
    <mergeCell ref="C308:F308"/>
    <mergeCell ref="C309:D309"/>
    <mergeCell ref="E309:F309"/>
    <mergeCell ref="C250:D250"/>
    <mergeCell ref="H187:K187"/>
    <mergeCell ref="D188:E188"/>
    <mergeCell ref="F188:G188"/>
    <mergeCell ref="H188:I188"/>
    <mergeCell ref="C216:D216"/>
    <mergeCell ref="C249:F249"/>
    <mergeCell ref="A3:I3"/>
    <mergeCell ref="A1:I1"/>
    <mergeCell ref="A4:I4"/>
    <mergeCell ref="A5:I5"/>
    <mergeCell ref="A6:I6"/>
    <mergeCell ref="C368:D368"/>
    <mergeCell ref="E368:F368"/>
    <mergeCell ref="C341:D341"/>
    <mergeCell ref="E341:F341"/>
    <mergeCell ref="C426:D426"/>
    <mergeCell ref="E426:F426"/>
    <mergeCell ref="C215:F215"/>
    <mergeCell ref="H86:K86"/>
    <mergeCell ref="I216:K216"/>
    <mergeCell ref="G216:H216"/>
    <mergeCell ref="E216:F216"/>
    <mergeCell ref="H136:K136"/>
    <mergeCell ref="D137:E137"/>
    <mergeCell ref="F137:G137"/>
    <mergeCell ref="H137:I137"/>
    <mergeCell ref="H87:I87"/>
    <mergeCell ref="D87:E87"/>
  </mergeCells>
  <phoneticPr fontId="24" type="noConversion"/>
  <printOptions horizontalCentered="1"/>
  <pageMargins left="0.25" right="0.25" top="0.5" bottom="0.25" header="0.5" footer="0.5"/>
  <pageSetup scale="63" orientation="landscape" horizontalDpi="4294967292" r:id="rId1"/>
  <headerFooter alignWithMargins="0"/>
  <rowBreaks count="7" manualBreakCount="7">
    <brk id="84" max="18" man="1"/>
    <brk id="134" max="18" man="1"/>
    <brk id="185" max="18" man="1"/>
    <brk id="247" max="18" man="1"/>
    <brk id="306" max="18" man="1"/>
    <brk id="366" max="18" man="1"/>
    <brk id="424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opLeftCell="A4" workbookViewId="0">
      <selection activeCell="D16" sqref="D16:E16"/>
    </sheetView>
  </sheetViews>
  <sheetFormatPr defaultRowHeight="12.75"/>
  <cols>
    <col min="1" max="1" width="28.7109375" customWidth="1"/>
    <col min="2" max="2" width="12.7109375" customWidth="1"/>
    <col min="3" max="3" width="13.5703125" customWidth="1"/>
    <col min="4" max="4" width="11.28515625" customWidth="1"/>
    <col min="5" max="5" width="14" customWidth="1"/>
    <col min="6" max="6" width="11.42578125" customWidth="1"/>
    <col min="7" max="7" width="12.85546875" style="115" customWidth="1"/>
    <col min="8" max="8" width="12.42578125" customWidth="1"/>
    <col min="9" max="9" width="12" customWidth="1"/>
    <col min="10" max="10" width="12.28515625" customWidth="1"/>
    <col min="19" max="19" width="10.7109375" customWidth="1"/>
  </cols>
  <sheetData>
    <row r="1" spans="1:18">
      <c r="A1" s="861" t="s">
        <v>151</v>
      </c>
      <c r="B1" s="861"/>
      <c r="C1" s="861"/>
      <c r="D1" s="861"/>
      <c r="E1" s="861"/>
      <c r="F1" s="861"/>
      <c r="G1" s="861"/>
      <c r="H1" s="861"/>
      <c r="I1" s="861"/>
      <c r="J1" s="861"/>
    </row>
    <row r="2" spans="1:18" ht="13.5" thickBot="1"/>
    <row r="3" spans="1:18" ht="16.5" thickBot="1">
      <c r="A3" s="1" t="s">
        <v>64</v>
      </c>
      <c r="B3" s="23">
        <f>'Table B (Participation)'!I25</f>
        <v>290078</v>
      </c>
      <c r="C3" s="74"/>
      <c r="F3" s="13"/>
      <c r="G3" s="90"/>
      <c r="H3" s="13"/>
      <c r="I3" s="13"/>
      <c r="J3" s="13"/>
      <c r="K3" s="13"/>
      <c r="L3" s="13"/>
      <c r="M3" s="13"/>
      <c r="N3" s="13"/>
    </row>
    <row r="4" spans="1:18" ht="16.5" thickBot="1">
      <c r="A4" s="22" t="s">
        <v>70</v>
      </c>
      <c r="B4" s="32">
        <v>8</v>
      </c>
      <c r="C4" s="75"/>
      <c r="D4" s="7"/>
      <c r="E4" s="3"/>
      <c r="F4" s="30"/>
      <c r="G4" s="9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>
      <c r="A5" s="18" t="s">
        <v>16</v>
      </c>
      <c r="B5" s="109">
        <f>B4*B3</f>
        <v>2320624</v>
      </c>
      <c r="C5" s="110"/>
      <c r="F5" s="30"/>
      <c r="G5" s="91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>
      <c r="A6" s="10" t="s">
        <v>17</v>
      </c>
      <c r="B6" s="111" t="e">
        <f>#REF!</f>
        <v>#REF!</v>
      </c>
      <c r="E6" s="83"/>
      <c r="F6" s="30"/>
      <c r="G6" s="91"/>
      <c r="H6" s="36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3.5" thickBot="1">
      <c r="A7" s="20" t="s">
        <v>18</v>
      </c>
      <c r="B7" s="112"/>
      <c r="E7" s="21"/>
      <c r="F7" s="30"/>
      <c r="G7" s="91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3.5" thickBot="1">
      <c r="E8" s="12"/>
      <c r="F8" s="30"/>
      <c r="G8" s="91"/>
      <c r="H8" s="35"/>
      <c r="I8" s="33"/>
      <c r="J8" s="30"/>
      <c r="K8" s="30"/>
      <c r="L8" s="30"/>
      <c r="M8" s="30"/>
      <c r="N8" s="30"/>
      <c r="O8" s="30"/>
      <c r="P8" s="30"/>
      <c r="Q8" s="30"/>
      <c r="R8" s="30"/>
    </row>
    <row r="9" spans="1:18" ht="15.75" thickBot="1">
      <c r="A9" s="27" t="s">
        <v>0</v>
      </c>
      <c r="B9" s="28"/>
      <c r="E9" s="4"/>
      <c r="F9" s="30"/>
      <c r="G9" s="91"/>
      <c r="H9" s="35"/>
      <c r="I9" s="33"/>
      <c r="J9" s="30"/>
      <c r="K9" s="30"/>
      <c r="L9" s="30"/>
      <c r="M9" s="30"/>
      <c r="N9" s="30"/>
      <c r="O9" s="30"/>
      <c r="P9" s="30"/>
      <c r="Q9" s="30"/>
      <c r="R9" s="30"/>
    </row>
    <row r="10" spans="1:18" ht="13.5" thickBot="1">
      <c r="A10" s="53"/>
      <c r="B10" s="52" t="s">
        <v>1</v>
      </c>
      <c r="C10" s="108" t="s">
        <v>76</v>
      </c>
      <c r="D10" s="29" t="s">
        <v>2</v>
      </c>
      <c r="F10" s="30"/>
      <c r="G10" s="91"/>
      <c r="H10" s="37"/>
      <c r="I10" s="31"/>
      <c r="J10" s="30"/>
      <c r="K10" s="30"/>
      <c r="L10" s="30"/>
      <c r="M10" s="30"/>
      <c r="N10" s="30"/>
      <c r="O10" s="30"/>
      <c r="P10" s="30"/>
      <c r="Q10" s="30"/>
    </row>
    <row r="11" spans="1:18" ht="13.5" thickBot="1">
      <c r="A11" s="14" t="s">
        <v>22</v>
      </c>
      <c r="B11" s="47">
        <f>(78/96)*(B4*12)</f>
        <v>78</v>
      </c>
      <c r="C11" s="48">
        <v>1</v>
      </c>
      <c r="D11" s="49">
        <f>+B11*$B$3*C11/12</f>
        <v>1885507</v>
      </c>
      <c r="F11" s="93"/>
      <c r="G11" s="91"/>
      <c r="H11" s="35"/>
      <c r="I11" s="33"/>
      <c r="J11" s="31"/>
      <c r="K11" s="30"/>
      <c r="L11" s="30"/>
      <c r="M11" s="30"/>
      <c r="N11" s="30"/>
      <c r="O11" s="30"/>
      <c r="P11" s="30"/>
      <c r="Q11" s="30"/>
      <c r="R11" s="30"/>
    </row>
    <row r="12" spans="1:18">
      <c r="A12" s="14" t="s">
        <v>20</v>
      </c>
      <c r="B12" s="54">
        <v>100</v>
      </c>
      <c r="C12" s="13">
        <v>1</v>
      </c>
      <c r="D12" s="49">
        <f>+B12*$B$3*C12/12</f>
        <v>2417316.6666666665</v>
      </c>
      <c r="F12" s="30"/>
      <c r="G12" s="91"/>
      <c r="H12" s="35"/>
      <c r="I12" s="33"/>
      <c r="J12" s="31"/>
      <c r="K12" s="30"/>
      <c r="L12" s="30"/>
      <c r="M12" s="30"/>
      <c r="N12" s="30"/>
      <c r="O12" s="30"/>
      <c r="P12" s="30"/>
      <c r="Q12" s="30"/>
      <c r="R12" s="30"/>
    </row>
    <row r="13" spans="1:18" ht="15.75">
      <c r="A13" s="24" t="s">
        <v>3</v>
      </c>
      <c r="B13" s="54">
        <v>0.75</v>
      </c>
      <c r="C13" s="55">
        <v>1.19</v>
      </c>
      <c r="D13" s="49">
        <f>+B13*$B$3*C13/12</f>
        <v>21574.55125</v>
      </c>
      <c r="G13" s="92"/>
      <c r="H13" s="38"/>
      <c r="I13" s="33"/>
      <c r="J13" s="31"/>
      <c r="K13" s="30"/>
      <c r="L13" s="30"/>
      <c r="M13" s="30"/>
      <c r="N13" t="s">
        <v>23</v>
      </c>
      <c r="O13" s="30" t="s">
        <v>24</v>
      </c>
      <c r="P13" s="30"/>
      <c r="Q13" s="30"/>
      <c r="R13" s="30"/>
    </row>
    <row r="14" spans="1:18" ht="13.5" thickBot="1">
      <c r="A14" s="25" t="s">
        <v>4</v>
      </c>
      <c r="B14" s="113">
        <v>30</v>
      </c>
      <c r="C14" s="50">
        <v>0.03</v>
      </c>
      <c r="D14" s="51">
        <f>+B14*$B$3*C14/12</f>
        <v>21755.85</v>
      </c>
      <c r="G14" s="114"/>
      <c r="H14" s="36"/>
      <c r="I14" s="30"/>
      <c r="J14" s="31"/>
      <c r="K14" s="30"/>
      <c r="L14" s="30"/>
      <c r="M14" s="30"/>
      <c r="N14" s="12">
        <f>+C14*B3/12</f>
        <v>725.19500000000005</v>
      </c>
      <c r="O14" s="57">
        <v>1460</v>
      </c>
      <c r="P14" s="30"/>
      <c r="Q14" s="30"/>
      <c r="R14" s="30"/>
    </row>
    <row r="15" spans="1:18" ht="13.5" thickBot="1">
      <c r="B15" s="5"/>
      <c r="C15" s="5"/>
      <c r="D15" s="26"/>
      <c r="F15" s="30"/>
      <c r="G15" s="114"/>
      <c r="H15" s="31"/>
      <c r="I15" s="30"/>
      <c r="J15" s="31"/>
      <c r="K15" s="30"/>
      <c r="L15" s="30"/>
      <c r="M15" s="30"/>
      <c r="N15" s="30"/>
      <c r="O15" s="30"/>
      <c r="P15" s="30"/>
      <c r="Q15" s="30"/>
      <c r="R15" s="30"/>
    </row>
    <row r="16" spans="1:18" ht="13.5" thickBot="1">
      <c r="B16" s="859" t="s">
        <v>25</v>
      </c>
      <c r="C16" s="860"/>
      <c r="D16" s="859" t="s">
        <v>152</v>
      </c>
      <c r="E16" s="860"/>
    </row>
    <row r="17" spans="1:14" ht="13.5" thickBot="1">
      <c r="A17" s="8" t="s">
        <v>5</v>
      </c>
      <c r="B17" s="9" t="s">
        <v>19</v>
      </c>
      <c r="C17" s="9" t="s">
        <v>21</v>
      </c>
      <c r="D17" s="9" t="s">
        <v>19</v>
      </c>
      <c r="E17" s="9" t="s">
        <v>21</v>
      </c>
    </row>
    <row r="18" spans="1:14">
      <c r="A18" s="10" t="s">
        <v>7</v>
      </c>
      <c r="B18" s="11">
        <f>+D11</f>
        <v>1885507</v>
      </c>
      <c r="C18" s="11">
        <f>+D12</f>
        <v>2417316.6666666665</v>
      </c>
      <c r="D18" s="11">
        <f>B18</f>
        <v>1885507</v>
      </c>
      <c r="E18" s="11">
        <f>C18</f>
        <v>2417316.6666666665</v>
      </c>
      <c r="I18" s="6"/>
      <c r="J18" s="5"/>
      <c r="K18" s="5"/>
    </row>
    <row r="19" spans="1:14">
      <c r="A19" s="10" t="s">
        <v>8</v>
      </c>
      <c r="B19" s="11">
        <f>+D13</f>
        <v>21574.55125</v>
      </c>
      <c r="C19" s="11">
        <f>+B19</f>
        <v>21574.55125</v>
      </c>
      <c r="D19" s="11">
        <f>B19</f>
        <v>21574.55125</v>
      </c>
      <c r="E19" s="11">
        <f>+D19</f>
        <v>21574.55125</v>
      </c>
      <c r="H19" s="7"/>
      <c r="I19" s="116"/>
      <c r="J19" s="5"/>
      <c r="K19" s="5"/>
    </row>
    <row r="20" spans="1:14" ht="13.5" thickBot="1">
      <c r="A20" s="10" t="s">
        <v>9</v>
      </c>
      <c r="B20" s="11">
        <f>+D14</f>
        <v>21755.85</v>
      </c>
      <c r="C20" s="11">
        <f>+B20</f>
        <v>21755.85</v>
      </c>
      <c r="D20" s="11">
        <f>N14*O14</f>
        <v>1058784.7000000002</v>
      </c>
      <c r="E20" s="11">
        <f>+D20</f>
        <v>1058784.7000000002</v>
      </c>
      <c r="H20" s="7"/>
      <c r="I20" s="116"/>
      <c r="J20" s="21"/>
    </row>
    <row r="21" spans="1:14" ht="13.5" thickBot="1">
      <c r="A21" s="2" t="s">
        <v>10</v>
      </c>
      <c r="B21" s="39">
        <f>SUM(B18:B20)</f>
        <v>1928837.4012500001</v>
      </c>
      <c r="C21" s="39">
        <f>SUM(C18:C20)</f>
        <v>2460647.0679166666</v>
      </c>
      <c r="D21" s="39">
        <f>SUM(D18:D20)</f>
        <v>2965866.2512500002</v>
      </c>
      <c r="E21" s="39">
        <f>SUM(E18:E20)</f>
        <v>3497675.9179166667</v>
      </c>
      <c r="I21" s="12"/>
      <c r="J21" s="21"/>
    </row>
    <row r="22" spans="1:14" ht="13.5" thickBot="1">
      <c r="A22" s="40" t="s">
        <v>11</v>
      </c>
      <c r="B22" s="41"/>
      <c r="C22" s="41"/>
      <c r="D22" s="41"/>
      <c r="E22" s="41"/>
    </row>
    <row r="23" spans="1:14">
      <c r="A23" s="42" t="s">
        <v>26</v>
      </c>
      <c r="B23" s="43" t="e">
        <f>B6</f>
        <v>#REF!</v>
      </c>
      <c r="C23" s="43" t="e">
        <f>+B23</f>
        <v>#REF!</v>
      </c>
      <c r="D23" s="43" t="e">
        <f>C23</f>
        <v>#REF!</v>
      </c>
      <c r="E23" s="43" t="e">
        <f>+D23</f>
        <v>#REF!</v>
      </c>
      <c r="I23" s="16"/>
      <c r="J23" s="16"/>
    </row>
    <row r="24" spans="1:14" ht="13.5" thickBot="1">
      <c r="A24" s="44" t="s">
        <v>6</v>
      </c>
      <c r="B24" s="45">
        <f>+B5</f>
        <v>2320624</v>
      </c>
      <c r="C24" s="45">
        <f>+B24</f>
        <v>2320624</v>
      </c>
      <c r="D24" s="45">
        <f>B24</f>
        <v>2320624</v>
      </c>
      <c r="E24" s="45">
        <f>+D24</f>
        <v>2320624</v>
      </c>
      <c r="H24" s="7"/>
      <c r="I24" s="7"/>
      <c r="J24" s="16"/>
    </row>
    <row r="25" spans="1:14" ht="13.5" thickBot="1">
      <c r="A25" s="2" t="s">
        <v>12</v>
      </c>
      <c r="B25" s="39" t="e">
        <f>SUM(B23:B24)</f>
        <v>#REF!</v>
      </c>
      <c r="C25" s="39" t="e">
        <f>SUM(C23:C24)</f>
        <v>#REF!</v>
      </c>
      <c r="D25" s="39" t="e">
        <f>SUM(D23:D24)</f>
        <v>#REF!</v>
      </c>
      <c r="E25" s="39" t="e">
        <f>SUM(E23:E24)</f>
        <v>#REF!</v>
      </c>
      <c r="I25" s="63"/>
      <c r="J25" s="83"/>
    </row>
    <row r="26" spans="1:14" ht="13.5" thickBot="1">
      <c r="B26" s="24"/>
      <c r="C26" s="24"/>
      <c r="D26" s="24"/>
      <c r="E26" s="24"/>
      <c r="G26" s="117"/>
      <c r="H26" s="118"/>
      <c r="I26" s="118"/>
      <c r="J26" s="16"/>
    </row>
    <row r="27" spans="1:14" ht="13.5" thickBot="1">
      <c r="A27" s="1" t="s">
        <v>13</v>
      </c>
      <c r="B27" s="46" t="e">
        <f>+B21/B25</f>
        <v>#REF!</v>
      </c>
      <c r="C27" s="46" t="e">
        <f>+C21/C25</f>
        <v>#REF!</v>
      </c>
      <c r="D27" s="46" t="e">
        <f>+D21/D25</f>
        <v>#REF!</v>
      </c>
      <c r="E27" s="46" t="e">
        <f>+E21/E25</f>
        <v>#REF!</v>
      </c>
      <c r="G27" s="117"/>
      <c r="H27" s="118"/>
      <c r="I27" s="118"/>
      <c r="J27" s="15"/>
    </row>
    <row r="28" spans="1:14" ht="13.5" thickBot="1">
      <c r="A28" s="20" t="s">
        <v>14</v>
      </c>
      <c r="B28" s="119" t="e">
        <f>+B21-B25</f>
        <v>#REF!</v>
      </c>
      <c r="C28" s="119" t="e">
        <f>+C21-C25</f>
        <v>#REF!</v>
      </c>
      <c r="D28" s="119" t="e">
        <f>+D21-D25</f>
        <v>#REF!</v>
      </c>
      <c r="E28" s="119" t="e">
        <f>+E21-E25</f>
        <v>#REF!</v>
      </c>
      <c r="G28" s="117"/>
      <c r="H28" s="118"/>
      <c r="I28" s="118"/>
      <c r="J28" s="16"/>
    </row>
    <row r="29" spans="1:14" ht="13.5" thickBot="1">
      <c r="A29" s="83"/>
      <c r="C29" s="30"/>
      <c r="D29" s="30"/>
      <c r="G29" s="114"/>
      <c r="H29" s="19"/>
      <c r="I29" s="58"/>
      <c r="J29" s="16"/>
      <c r="K29" s="17"/>
      <c r="L29" s="7"/>
      <c r="M29" s="7"/>
      <c r="N29" s="7"/>
    </row>
    <row r="30" spans="1:14" ht="51.75" thickBot="1">
      <c r="A30" s="98" t="s">
        <v>71</v>
      </c>
      <c r="B30" s="96" t="s">
        <v>74</v>
      </c>
      <c r="C30" s="95" t="s">
        <v>42</v>
      </c>
      <c r="D30" s="97" t="s">
        <v>72</v>
      </c>
      <c r="E30" s="96" t="s">
        <v>43</v>
      </c>
      <c r="F30" s="97" t="s">
        <v>69</v>
      </c>
      <c r="G30" s="96" t="s">
        <v>77</v>
      </c>
      <c r="H30" s="97" t="s">
        <v>15</v>
      </c>
      <c r="I30" s="98" t="s">
        <v>14</v>
      </c>
      <c r="J30" s="99" t="s">
        <v>75</v>
      </c>
      <c r="K30" s="17"/>
      <c r="L30" s="7"/>
      <c r="M30" s="7"/>
      <c r="N30" s="7"/>
    </row>
    <row r="31" spans="1:14">
      <c r="A31" s="100" t="s">
        <v>31</v>
      </c>
      <c r="B31" s="102" t="e">
        <f>#REF!</f>
        <v>#REF!</v>
      </c>
      <c r="C31" s="111" t="e">
        <f>#REF!</f>
        <v>#REF!</v>
      </c>
      <c r="D31" s="120" t="e">
        <f t="shared" ref="D31:D41" si="0">C31/$C$42</f>
        <v>#REF!</v>
      </c>
      <c r="E31" s="121" t="e">
        <f t="shared" ref="E31:E41" si="1">+C31/B31</f>
        <v>#REF!</v>
      </c>
      <c r="F31" s="122" t="e">
        <f t="shared" ref="F31:F41" si="2">+E31/12</f>
        <v>#REF!</v>
      </c>
      <c r="G31" s="123" t="e">
        <f t="shared" ref="G31:G41" si="3">+D31*$C$21</f>
        <v>#REF!</v>
      </c>
      <c r="H31" s="88" t="e">
        <f t="shared" ref="H31:H41" si="4">C31</f>
        <v>#REF!</v>
      </c>
      <c r="I31" s="111" t="e">
        <f t="shared" ref="I31:I41" si="5">+G31-H31</f>
        <v>#REF!</v>
      </c>
      <c r="J31" s="124" t="e">
        <f t="shared" ref="J31:J41" si="6">+I31/B31/12*100</f>
        <v>#REF!</v>
      </c>
      <c r="K31" s="17"/>
      <c r="L31" s="7"/>
      <c r="M31" s="7"/>
      <c r="N31" s="7"/>
    </row>
    <row r="32" spans="1:14">
      <c r="A32" s="100" t="s">
        <v>32</v>
      </c>
      <c r="B32" s="102" t="e">
        <f>#REF!</f>
        <v>#REF!</v>
      </c>
      <c r="C32" s="111" t="e">
        <f>#REF!</f>
        <v>#REF!</v>
      </c>
      <c r="D32" s="120" t="e">
        <f t="shared" si="0"/>
        <v>#REF!</v>
      </c>
      <c r="E32" s="121" t="e">
        <f t="shared" si="1"/>
        <v>#REF!</v>
      </c>
      <c r="F32" s="122" t="e">
        <f t="shared" si="2"/>
        <v>#REF!</v>
      </c>
      <c r="G32" s="123" t="e">
        <f t="shared" si="3"/>
        <v>#REF!</v>
      </c>
      <c r="H32" s="88" t="e">
        <f t="shared" si="4"/>
        <v>#REF!</v>
      </c>
      <c r="I32" s="111" t="e">
        <f t="shared" si="5"/>
        <v>#REF!</v>
      </c>
      <c r="J32" s="125" t="e">
        <f t="shared" si="6"/>
        <v>#REF!</v>
      </c>
    </row>
    <row r="33" spans="1:20">
      <c r="A33" s="100" t="s">
        <v>33</v>
      </c>
      <c r="B33" s="102" t="e">
        <f>#REF!</f>
        <v>#REF!</v>
      </c>
      <c r="C33" s="111" t="e">
        <f>#REF!</f>
        <v>#REF!</v>
      </c>
      <c r="D33" s="120" t="e">
        <f t="shared" si="0"/>
        <v>#REF!</v>
      </c>
      <c r="E33" s="121" t="e">
        <f t="shared" si="1"/>
        <v>#REF!</v>
      </c>
      <c r="F33" s="122" t="e">
        <f t="shared" si="2"/>
        <v>#REF!</v>
      </c>
      <c r="G33" s="123" t="e">
        <f t="shared" si="3"/>
        <v>#REF!</v>
      </c>
      <c r="H33" s="88" t="e">
        <f t="shared" si="4"/>
        <v>#REF!</v>
      </c>
      <c r="I33" s="111" t="e">
        <f t="shared" si="5"/>
        <v>#REF!</v>
      </c>
      <c r="J33" s="125" t="e">
        <f t="shared" si="6"/>
        <v>#REF!</v>
      </c>
      <c r="S33" s="56" t="s">
        <v>73</v>
      </c>
      <c r="T33" s="116"/>
    </row>
    <row r="34" spans="1:20">
      <c r="A34" s="100" t="s">
        <v>34</v>
      </c>
      <c r="B34" s="102" t="e">
        <f>#REF!</f>
        <v>#REF!</v>
      </c>
      <c r="C34" s="111" t="e">
        <f>#REF!</f>
        <v>#REF!</v>
      </c>
      <c r="D34" s="120" t="e">
        <f t="shared" si="0"/>
        <v>#REF!</v>
      </c>
      <c r="E34" s="121" t="e">
        <f t="shared" si="1"/>
        <v>#REF!</v>
      </c>
      <c r="F34" s="122" t="e">
        <f t="shared" si="2"/>
        <v>#REF!</v>
      </c>
      <c r="G34" s="123" t="e">
        <f t="shared" si="3"/>
        <v>#REF!</v>
      </c>
      <c r="H34" s="88" t="e">
        <f t="shared" si="4"/>
        <v>#REF!</v>
      </c>
      <c r="I34" s="111" t="e">
        <f t="shared" si="5"/>
        <v>#REF!</v>
      </c>
      <c r="J34" s="125" t="e">
        <f t="shared" si="6"/>
        <v>#REF!</v>
      </c>
      <c r="S34" s="62" t="e">
        <f>#REF!</f>
        <v>#REF!</v>
      </c>
      <c r="T34" s="126" t="e">
        <f t="shared" ref="T34:T45" si="7">+S34/$S$46</f>
        <v>#REF!</v>
      </c>
    </row>
    <row r="35" spans="1:20">
      <c r="A35" s="100" t="s">
        <v>35</v>
      </c>
      <c r="B35" s="102" t="e">
        <f>#REF!</f>
        <v>#REF!</v>
      </c>
      <c r="C35" s="111" t="e">
        <f>#REF!</f>
        <v>#REF!</v>
      </c>
      <c r="D35" s="120" t="e">
        <f t="shared" si="0"/>
        <v>#REF!</v>
      </c>
      <c r="E35" s="121" t="e">
        <f t="shared" si="1"/>
        <v>#REF!</v>
      </c>
      <c r="F35" s="122" t="e">
        <f t="shared" si="2"/>
        <v>#REF!</v>
      </c>
      <c r="G35" s="123" t="e">
        <f t="shared" si="3"/>
        <v>#REF!</v>
      </c>
      <c r="H35" s="88" t="e">
        <f t="shared" si="4"/>
        <v>#REF!</v>
      </c>
      <c r="I35" s="111" t="e">
        <f t="shared" si="5"/>
        <v>#REF!</v>
      </c>
      <c r="J35" s="125" t="e">
        <f t="shared" si="6"/>
        <v>#REF!</v>
      </c>
      <c r="S35" s="62" t="e">
        <f>#REF!</f>
        <v>#REF!</v>
      </c>
      <c r="T35" s="126" t="e">
        <f t="shared" si="7"/>
        <v>#REF!</v>
      </c>
    </row>
    <row r="36" spans="1:20">
      <c r="A36" s="100" t="s">
        <v>36</v>
      </c>
      <c r="B36" s="102" t="e">
        <f>#REF!</f>
        <v>#REF!</v>
      </c>
      <c r="C36" s="111" t="e">
        <f>#REF!</f>
        <v>#REF!</v>
      </c>
      <c r="D36" s="120" t="e">
        <f t="shared" si="0"/>
        <v>#REF!</v>
      </c>
      <c r="E36" s="121" t="e">
        <f t="shared" si="1"/>
        <v>#REF!</v>
      </c>
      <c r="F36" s="122" t="e">
        <f t="shared" si="2"/>
        <v>#REF!</v>
      </c>
      <c r="G36" s="123" t="e">
        <f t="shared" si="3"/>
        <v>#REF!</v>
      </c>
      <c r="H36" s="88" t="e">
        <f t="shared" si="4"/>
        <v>#REF!</v>
      </c>
      <c r="I36" s="111" t="e">
        <f t="shared" si="5"/>
        <v>#REF!</v>
      </c>
      <c r="J36" s="125" t="e">
        <f t="shared" si="6"/>
        <v>#REF!</v>
      </c>
      <c r="S36" s="62" t="e">
        <f>#REF!</f>
        <v>#REF!</v>
      </c>
      <c r="T36" s="126" t="e">
        <f t="shared" si="7"/>
        <v>#REF!</v>
      </c>
    </row>
    <row r="37" spans="1:20">
      <c r="A37" s="100" t="s">
        <v>37</v>
      </c>
      <c r="B37" s="102" t="e">
        <f>#REF!</f>
        <v>#REF!</v>
      </c>
      <c r="C37" s="111" t="e">
        <f>#REF!</f>
        <v>#REF!</v>
      </c>
      <c r="D37" s="120" t="e">
        <f t="shared" si="0"/>
        <v>#REF!</v>
      </c>
      <c r="E37" s="121" t="e">
        <f t="shared" si="1"/>
        <v>#REF!</v>
      </c>
      <c r="F37" s="122" t="e">
        <f t="shared" si="2"/>
        <v>#REF!</v>
      </c>
      <c r="G37" s="123" t="e">
        <f t="shared" si="3"/>
        <v>#REF!</v>
      </c>
      <c r="H37" s="88" t="e">
        <f t="shared" si="4"/>
        <v>#REF!</v>
      </c>
      <c r="I37" s="111" t="e">
        <f t="shared" si="5"/>
        <v>#REF!</v>
      </c>
      <c r="J37" s="125" t="e">
        <f t="shared" si="6"/>
        <v>#REF!</v>
      </c>
      <c r="S37" s="62" t="e">
        <f>#REF!</f>
        <v>#REF!</v>
      </c>
      <c r="T37" s="126" t="e">
        <f t="shared" si="7"/>
        <v>#REF!</v>
      </c>
    </row>
    <row r="38" spans="1:20">
      <c r="A38" s="100" t="s">
        <v>38</v>
      </c>
      <c r="B38" s="102" t="e">
        <f>#REF!</f>
        <v>#REF!</v>
      </c>
      <c r="C38" s="111" t="e">
        <f>#REF!</f>
        <v>#REF!</v>
      </c>
      <c r="D38" s="120" t="e">
        <f t="shared" si="0"/>
        <v>#REF!</v>
      </c>
      <c r="E38" s="121" t="e">
        <f t="shared" si="1"/>
        <v>#REF!</v>
      </c>
      <c r="F38" s="122" t="e">
        <f t="shared" si="2"/>
        <v>#REF!</v>
      </c>
      <c r="G38" s="123" t="e">
        <f t="shared" si="3"/>
        <v>#REF!</v>
      </c>
      <c r="H38" s="88" t="e">
        <f t="shared" si="4"/>
        <v>#REF!</v>
      </c>
      <c r="I38" s="111" t="e">
        <f t="shared" si="5"/>
        <v>#REF!</v>
      </c>
      <c r="J38" s="125" t="e">
        <f t="shared" si="6"/>
        <v>#REF!</v>
      </c>
      <c r="S38" s="62" t="e">
        <f>#REF!</f>
        <v>#REF!</v>
      </c>
      <c r="T38" s="126" t="e">
        <f t="shared" si="7"/>
        <v>#REF!</v>
      </c>
    </row>
    <row r="39" spans="1:20">
      <c r="A39" s="100" t="s">
        <v>39</v>
      </c>
      <c r="B39" s="102" t="e">
        <f>#REF!</f>
        <v>#REF!</v>
      </c>
      <c r="C39" s="111" t="e">
        <f>#REF!</f>
        <v>#REF!</v>
      </c>
      <c r="D39" s="120" t="e">
        <f t="shared" si="0"/>
        <v>#REF!</v>
      </c>
      <c r="E39" s="121" t="e">
        <f t="shared" si="1"/>
        <v>#REF!</v>
      </c>
      <c r="F39" s="122" t="e">
        <f t="shared" si="2"/>
        <v>#REF!</v>
      </c>
      <c r="G39" s="123" t="e">
        <f t="shared" si="3"/>
        <v>#REF!</v>
      </c>
      <c r="H39" s="88" t="e">
        <f t="shared" si="4"/>
        <v>#REF!</v>
      </c>
      <c r="I39" s="111" t="e">
        <f t="shared" si="5"/>
        <v>#REF!</v>
      </c>
      <c r="J39" s="125" t="e">
        <f t="shared" si="6"/>
        <v>#REF!</v>
      </c>
      <c r="S39" s="62" t="e">
        <f>#REF!</f>
        <v>#REF!</v>
      </c>
      <c r="T39" s="126" t="e">
        <f t="shared" si="7"/>
        <v>#REF!</v>
      </c>
    </row>
    <row r="40" spans="1:20">
      <c r="A40" s="100" t="s">
        <v>40</v>
      </c>
      <c r="B40" s="102" t="e">
        <f>#REF!</f>
        <v>#REF!</v>
      </c>
      <c r="C40" s="111" t="e">
        <f>#REF!</f>
        <v>#REF!</v>
      </c>
      <c r="D40" s="120" t="e">
        <f t="shared" si="0"/>
        <v>#REF!</v>
      </c>
      <c r="E40" s="121" t="e">
        <f t="shared" si="1"/>
        <v>#REF!</v>
      </c>
      <c r="F40" s="122" t="e">
        <f t="shared" si="2"/>
        <v>#REF!</v>
      </c>
      <c r="G40" s="123" t="e">
        <f t="shared" si="3"/>
        <v>#REF!</v>
      </c>
      <c r="H40" s="88" t="e">
        <f t="shared" si="4"/>
        <v>#REF!</v>
      </c>
      <c r="I40" s="111" t="e">
        <f t="shared" si="5"/>
        <v>#REF!</v>
      </c>
      <c r="J40" s="125" t="e">
        <f t="shared" si="6"/>
        <v>#REF!</v>
      </c>
      <c r="S40" s="62" t="e">
        <f>#REF!</f>
        <v>#REF!</v>
      </c>
      <c r="T40" s="126" t="e">
        <f t="shared" si="7"/>
        <v>#REF!</v>
      </c>
    </row>
    <row r="41" spans="1:20" ht="13.5" thickBot="1">
      <c r="A41" s="101" t="s">
        <v>41</v>
      </c>
      <c r="B41" s="103" t="e">
        <f>#REF!</f>
        <v>#REF!</v>
      </c>
      <c r="C41" s="112" t="e">
        <f>#REF!</f>
        <v>#REF!</v>
      </c>
      <c r="D41" s="127" t="e">
        <f t="shared" si="0"/>
        <v>#REF!</v>
      </c>
      <c r="E41" s="128" t="e">
        <f t="shared" si="1"/>
        <v>#REF!</v>
      </c>
      <c r="F41" s="129" t="e">
        <f t="shared" si="2"/>
        <v>#REF!</v>
      </c>
      <c r="G41" s="130" t="e">
        <f t="shared" si="3"/>
        <v>#REF!</v>
      </c>
      <c r="H41" s="89" t="e">
        <f t="shared" si="4"/>
        <v>#REF!</v>
      </c>
      <c r="I41" s="112" t="e">
        <f t="shared" si="5"/>
        <v>#REF!</v>
      </c>
      <c r="J41" s="131" t="e">
        <f t="shared" si="6"/>
        <v>#REF!</v>
      </c>
      <c r="S41" s="62" t="e">
        <f>#REF!</f>
        <v>#REF!</v>
      </c>
      <c r="T41" s="126" t="e">
        <f t="shared" si="7"/>
        <v>#REF!</v>
      </c>
    </row>
    <row r="42" spans="1:20" ht="13.5" thickBot="1">
      <c r="A42" s="59"/>
      <c r="B42" s="104" t="e">
        <f>SUM(B31:B41)</f>
        <v>#REF!</v>
      </c>
      <c r="C42" s="132" t="e">
        <f>SUM(C31:C41)</f>
        <v>#REF!</v>
      </c>
      <c r="E42" s="116"/>
      <c r="F42" s="116"/>
      <c r="G42" s="105" t="e">
        <f>SUM(G31:G41)</f>
        <v>#REF!</v>
      </c>
      <c r="H42" s="106" t="e">
        <f>SUM(H31:H41)</f>
        <v>#REF!</v>
      </c>
      <c r="I42" s="107" t="e">
        <f>G42-H42</f>
        <v>#REF!</v>
      </c>
      <c r="J42" s="115"/>
      <c r="S42" s="62" t="e">
        <f>#REF!</f>
        <v>#REF!</v>
      </c>
      <c r="T42" s="126" t="e">
        <f t="shared" si="7"/>
        <v>#REF!</v>
      </c>
    </row>
    <row r="43" spans="1:20">
      <c r="D43" s="60"/>
      <c r="G43"/>
      <c r="J43" s="115"/>
      <c r="S43" s="62" t="e">
        <f>#REF!</f>
        <v>#REF!</v>
      </c>
      <c r="T43" s="126" t="e">
        <f t="shared" si="7"/>
        <v>#REF!</v>
      </c>
    </row>
    <row r="44" spans="1:20">
      <c r="I44" s="19"/>
      <c r="S44" s="62" t="e">
        <f>#REF!</f>
        <v>#REF!</v>
      </c>
      <c r="T44" s="126" t="e">
        <f t="shared" si="7"/>
        <v>#REF!</v>
      </c>
    </row>
    <row r="45" spans="1:20">
      <c r="S45" s="62" t="e">
        <f>#REF!</f>
        <v>#REF!</v>
      </c>
      <c r="T45" s="126" t="e">
        <f t="shared" si="7"/>
        <v>#REF!</v>
      </c>
    </row>
    <row r="46" spans="1:20">
      <c r="C46" s="116"/>
      <c r="S46" s="60" t="e">
        <f>SUM(S34:S45)</f>
        <v>#REF!</v>
      </c>
      <c r="T46" s="5"/>
    </row>
    <row r="47" spans="1:20" s="94" customFormat="1"/>
    <row r="61" spans="7:9">
      <c r="G61"/>
      <c r="I61" s="115"/>
    </row>
    <row r="62" spans="7:9">
      <c r="G62"/>
      <c r="H62" s="115"/>
    </row>
  </sheetData>
  <mergeCells count="3">
    <mergeCell ref="B16:C16"/>
    <mergeCell ref="D16:E16"/>
    <mergeCell ref="A1:J1"/>
  </mergeCells>
  <phoneticPr fontId="0" type="noConversion"/>
  <pageMargins left="0.75" right="0.75" top="1" bottom="1" header="0.5" footer="0.5"/>
  <pageSetup paperSize="9" scale="8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Normal="80" zoomScaleSheetLayoutView="100" workbookViewId="0">
      <selection activeCell="A20" sqref="A20"/>
    </sheetView>
  </sheetViews>
  <sheetFormatPr defaultRowHeight="12.75"/>
  <cols>
    <col min="1" max="1" width="22.5703125" customWidth="1"/>
    <col min="2" max="2" width="11.140625" bestFit="1" customWidth="1"/>
    <col min="3" max="3" width="11.5703125" bestFit="1" customWidth="1"/>
    <col min="4" max="4" width="10" bestFit="1" customWidth="1"/>
    <col min="5" max="5" width="14.42578125" bestFit="1" customWidth="1"/>
    <col min="6" max="6" width="1.7109375" bestFit="1" customWidth="1"/>
    <col min="7" max="7" width="12.7109375" customWidth="1"/>
    <col min="8" max="8" width="17.5703125" bestFit="1" customWidth="1"/>
    <col min="9" max="9" width="8.7109375" bestFit="1" customWidth="1"/>
  </cols>
  <sheetData>
    <row r="1" spans="1:14" ht="18">
      <c r="A1" s="271" t="s">
        <v>296</v>
      </c>
      <c r="B1" s="271"/>
      <c r="C1" s="271"/>
      <c r="D1" s="271"/>
      <c r="E1" s="271"/>
      <c r="F1" s="272"/>
      <c r="G1" s="271"/>
      <c r="H1" s="271"/>
      <c r="I1" s="271"/>
    </row>
    <row r="2" spans="1:14" ht="18">
      <c r="A2" s="271" t="s">
        <v>330</v>
      </c>
      <c r="B2" s="271"/>
      <c r="C2" s="271"/>
      <c r="D2" s="271"/>
      <c r="E2" s="271"/>
      <c r="F2" s="272"/>
      <c r="G2" s="271"/>
      <c r="H2" s="271"/>
      <c r="I2" s="271"/>
    </row>
    <row r="3" spans="1:14" ht="18">
      <c r="A3" s="271" t="s">
        <v>691</v>
      </c>
      <c r="B3" s="271"/>
      <c r="C3" s="271"/>
      <c r="D3" s="271"/>
      <c r="E3" s="271"/>
      <c r="F3" s="272"/>
      <c r="G3" s="271"/>
      <c r="H3" s="271"/>
      <c r="I3" s="271"/>
    </row>
    <row r="4" spans="1:14" ht="15.75">
      <c r="A4" s="77"/>
      <c r="B4" s="76"/>
      <c r="C4" s="76"/>
      <c r="D4" s="76"/>
      <c r="E4" s="76"/>
      <c r="G4" s="76"/>
      <c r="H4" s="76"/>
      <c r="I4" s="76"/>
    </row>
    <row r="5" spans="1:14">
      <c r="A5" s="59"/>
      <c r="B5" s="78"/>
      <c r="C5" s="78"/>
      <c r="D5" s="80"/>
      <c r="E5" s="80"/>
      <c r="G5" s="80"/>
      <c r="H5" s="80"/>
      <c r="I5" s="80"/>
    </row>
    <row r="6" spans="1:14">
      <c r="B6" s="78" t="s">
        <v>27</v>
      </c>
      <c r="C6" s="78" t="s">
        <v>321</v>
      </c>
      <c r="D6" s="244" t="s">
        <v>323</v>
      </c>
      <c r="E6" s="244"/>
      <c r="F6" s="78"/>
      <c r="G6" s="244" t="s">
        <v>325</v>
      </c>
      <c r="H6" s="244"/>
      <c r="I6" s="244"/>
    </row>
    <row r="7" spans="1:14">
      <c r="A7" s="59"/>
      <c r="B7" s="78" t="s">
        <v>28</v>
      </c>
      <c r="C7" s="78" t="s">
        <v>30</v>
      </c>
      <c r="D7" s="80" t="s">
        <v>247</v>
      </c>
      <c r="E7" s="266" t="s">
        <v>30</v>
      </c>
      <c r="F7" s="78"/>
      <c r="G7" s="80" t="s">
        <v>247</v>
      </c>
      <c r="H7" s="244" t="s">
        <v>30</v>
      </c>
      <c r="I7" s="244"/>
    </row>
    <row r="8" spans="1:14">
      <c r="A8" s="79" t="s">
        <v>71</v>
      </c>
      <c r="B8" s="79" t="s">
        <v>29</v>
      </c>
      <c r="C8" s="241" t="s">
        <v>262</v>
      </c>
      <c r="D8" s="79" t="s">
        <v>322</v>
      </c>
      <c r="E8" s="79" t="s">
        <v>131</v>
      </c>
      <c r="F8" s="230"/>
      <c r="G8" s="79" t="s">
        <v>322</v>
      </c>
      <c r="H8" s="79" t="s">
        <v>131</v>
      </c>
      <c r="I8" s="79" t="s">
        <v>251</v>
      </c>
    </row>
    <row r="9" spans="1:14">
      <c r="A9" s="245">
        <v>1</v>
      </c>
      <c r="B9" s="246">
        <f>A9+1</f>
        <v>2</v>
      </c>
      <c r="C9" s="246">
        <f>MAX($A9:B9)+1</f>
        <v>3</v>
      </c>
      <c r="D9" s="246">
        <f>MAX($A9:C9)+1</f>
        <v>4</v>
      </c>
      <c r="E9" s="246">
        <f>MAX($A9:D9)+1</f>
        <v>5</v>
      </c>
      <c r="F9" s="230"/>
      <c r="G9" s="246">
        <f>MAX($A9:F9)+1</f>
        <v>6</v>
      </c>
      <c r="H9" s="246">
        <f>MAX($A9:G9)+1</f>
        <v>7</v>
      </c>
      <c r="I9" s="246">
        <f>MAX($A9:H9)+1</f>
        <v>8</v>
      </c>
    </row>
    <row r="10" spans="1:14">
      <c r="A10" s="59"/>
      <c r="B10" s="80"/>
      <c r="C10" s="242"/>
      <c r="D10" s="80"/>
      <c r="E10" s="243" t="str">
        <f>$B9&amp;"x"&amp;D9</f>
        <v>2x4</v>
      </c>
      <c r="F10" s="230"/>
      <c r="G10" s="80"/>
      <c r="H10" s="243" t="str">
        <f>$B9&amp;"x"&amp;G9</f>
        <v>2x6</v>
      </c>
      <c r="I10" s="243" t="str">
        <f>H9&amp;"/"&amp;$C9</f>
        <v>7/3</v>
      </c>
    </row>
    <row r="11" spans="1:14" ht="24" customHeight="1">
      <c r="A11" s="59" t="s">
        <v>327</v>
      </c>
      <c r="B11" s="81">
        <f>'Table A GRC'!G18+'Table A GRC'!G19-B29</f>
        <v>715266.11750000005</v>
      </c>
      <c r="C11" s="82">
        <f>'Table A GRC'!M15+'Table A GRC'!M16-C29</f>
        <v>658895.12551007047</v>
      </c>
      <c r="D11" s="247">
        <v>0.26</v>
      </c>
      <c r="E11" s="82">
        <f t="shared" ref="E11:E22" si="0">D11*B11*12</f>
        <v>2231630.2866000002</v>
      </c>
      <c r="F11" s="126"/>
      <c r="G11" s="247">
        <f>MIN(50,ROUND(H11/(B11*12),2))</f>
        <v>0.2</v>
      </c>
      <c r="H11" s="82">
        <f>C11*I11*1000</f>
        <v>1758257.1283623469</v>
      </c>
      <c r="I11" s="273">
        <f>(H24-H14-H15-H22)/SUM(C11:C13,C16:C21,C23)/1000</f>
        <v>2.6684931490443603E-3</v>
      </c>
      <c r="J11" s="247"/>
      <c r="K11" s="281"/>
      <c r="N11" s="289"/>
    </row>
    <row r="12" spans="1:14">
      <c r="A12" s="59" t="s">
        <v>32</v>
      </c>
      <c r="B12" s="81">
        <f>'Table A GRC'!G23</f>
        <v>15385</v>
      </c>
      <c r="C12" s="81">
        <f>'Table A GRC'!M23</f>
        <v>523880.57099999994</v>
      </c>
      <c r="D12" s="247">
        <v>8.91</v>
      </c>
      <c r="E12" s="82">
        <f t="shared" si="0"/>
        <v>1644964.2000000002</v>
      </c>
      <c r="F12" s="126"/>
      <c r="G12" s="247">
        <f>MIN(50,ROUND(H12/(B12*12),2))</f>
        <v>7.57</v>
      </c>
      <c r="H12" s="82">
        <f>C12*I12*1000</f>
        <v>1397971.7146309474</v>
      </c>
      <c r="I12" s="249">
        <f>$I$11</f>
        <v>2.6684931490443603E-3</v>
      </c>
      <c r="J12" s="247"/>
      <c r="K12" s="281"/>
      <c r="N12" s="289"/>
    </row>
    <row r="13" spans="1:14">
      <c r="A13" s="59" t="s">
        <v>33</v>
      </c>
      <c r="B13" s="81">
        <f>'Table A GRC'!G41</f>
        <v>8046</v>
      </c>
      <c r="C13" s="81">
        <f>'Table A GRC'!M41</f>
        <v>2999.06</v>
      </c>
      <c r="D13" s="247">
        <v>0.13</v>
      </c>
      <c r="E13" s="82">
        <f t="shared" si="0"/>
        <v>12551.76</v>
      </c>
      <c r="F13" s="126"/>
      <c r="G13" s="247">
        <f>MIN(50,ROUND(H13/(B13*12),2))</f>
        <v>0.08</v>
      </c>
      <c r="H13" s="82">
        <f>C13*I13*1000</f>
        <v>8002.9710635729789</v>
      </c>
      <c r="I13" s="249">
        <f>$I$11</f>
        <v>2.6684931490443603E-3</v>
      </c>
      <c r="J13" s="247"/>
      <c r="K13" s="281"/>
      <c r="N13" s="289"/>
    </row>
    <row r="14" spans="1:14">
      <c r="A14" s="59" t="s">
        <v>34</v>
      </c>
      <c r="B14" s="81">
        <f>'Table A GRC'!G24</f>
        <v>274</v>
      </c>
      <c r="C14" s="81">
        <f>'Table A GRC'!M24</f>
        <v>165622.60700000002</v>
      </c>
      <c r="D14" s="247">
        <v>50</v>
      </c>
      <c r="E14" s="82">
        <f t="shared" si="0"/>
        <v>164400</v>
      </c>
      <c r="F14" s="126"/>
      <c r="G14" s="260">
        <v>50</v>
      </c>
      <c r="H14" s="261">
        <f>G14*B14*12</f>
        <v>164400</v>
      </c>
      <c r="I14" s="262">
        <f>H14/($C14*1000)</f>
        <v>9.926181152310927E-4</v>
      </c>
      <c r="J14" s="260"/>
      <c r="K14" s="281"/>
      <c r="N14" s="289"/>
    </row>
    <row r="15" spans="1:14">
      <c r="A15" s="59" t="s">
        <v>318</v>
      </c>
      <c r="B15" s="81">
        <f>'Table A GRC'!G27</f>
        <v>158</v>
      </c>
      <c r="C15" s="81">
        <f>'Table A GRC'!M27</f>
        <v>284116.64299999998</v>
      </c>
      <c r="D15" s="247">
        <v>50</v>
      </c>
      <c r="E15" s="82">
        <f t="shared" si="0"/>
        <v>94800</v>
      </c>
      <c r="F15" s="126"/>
      <c r="G15" s="260">
        <v>50</v>
      </c>
      <c r="H15" s="261">
        <f>G15*B15*12</f>
        <v>94800</v>
      </c>
      <c r="I15" s="262">
        <f>H15/($C15*1000)</f>
        <v>3.3366577543294428E-4</v>
      </c>
      <c r="J15" s="260"/>
      <c r="K15" s="281"/>
      <c r="N15" s="289"/>
    </row>
    <row r="16" spans="1:14">
      <c r="A16" s="59" t="s">
        <v>36</v>
      </c>
      <c r="B16" s="81">
        <f>'Table A GRC'!G30</f>
        <v>3045.3333333333335</v>
      </c>
      <c r="C16" s="81">
        <f>'Table A GRC'!M30</f>
        <v>14348.057999999999</v>
      </c>
      <c r="D16" s="247">
        <v>1.25</v>
      </c>
      <c r="E16" s="82">
        <f t="shared" si="0"/>
        <v>45680</v>
      </c>
      <c r="F16" s="126"/>
      <c r="G16" s="247">
        <f t="shared" ref="G16:G21" si="1">MIN(50,ROUND(H16/(B16*12),2))</f>
        <v>1.05</v>
      </c>
      <c r="H16" s="82">
        <f t="shared" ref="H16:H21" si="2">C16*I16*1000</f>
        <v>38287.694475091121</v>
      </c>
      <c r="I16" s="249">
        <f t="shared" ref="I16:I21" si="3">$I$11</f>
        <v>2.6684931490443603E-3</v>
      </c>
      <c r="J16" s="247"/>
      <c r="K16" s="281"/>
      <c r="N16" s="289"/>
    </row>
    <row r="17" spans="1:14">
      <c r="A17" s="59" t="s">
        <v>37</v>
      </c>
      <c r="B17" s="81">
        <f>'Table A GRC'!G42</f>
        <v>809.41666666666663</v>
      </c>
      <c r="C17" s="81">
        <f>'Table A GRC'!M42</f>
        <v>4979.3900000000003</v>
      </c>
      <c r="D17" s="247">
        <v>2.2400000000000002</v>
      </c>
      <c r="E17" s="82">
        <f t="shared" si="0"/>
        <v>21757.120000000003</v>
      </c>
      <c r="F17" s="126"/>
      <c r="G17" s="247">
        <f t="shared" si="1"/>
        <v>1.37</v>
      </c>
      <c r="H17" s="82">
        <f t="shared" si="2"/>
        <v>13287.468101419998</v>
      </c>
      <c r="I17" s="249">
        <f t="shared" si="3"/>
        <v>2.6684931490443603E-3</v>
      </c>
      <c r="J17" s="247"/>
      <c r="K17" s="281"/>
      <c r="N17" s="289"/>
    </row>
    <row r="18" spans="1:14">
      <c r="A18" s="59" t="s">
        <v>319</v>
      </c>
      <c r="B18" s="81">
        <f>'Table A GRC'!G43</f>
        <v>839</v>
      </c>
      <c r="C18" s="81">
        <f>'Table A GRC'!M43</f>
        <v>4144.8670000000002</v>
      </c>
      <c r="D18" s="247">
        <v>1.35</v>
      </c>
      <c r="E18" s="82">
        <f t="shared" si="0"/>
        <v>13591.800000000001</v>
      </c>
      <c r="F18" s="126"/>
      <c r="G18" s="247">
        <f t="shared" si="1"/>
        <v>1.1000000000000001</v>
      </c>
      <c r="H18" s="82">
        <f t="shared" si="2"/>
        <v>11060.549193200051</v>
      </c>
      <c r="I18" s="249">
        <f t="shared" si="3"/>
        <v>2.6684931490443603E-3</v>
      </c>
      <c r="J18" s="247"/>
      <c r="K18" s="281"/>
      <c r="N18" s="289"/>
    </row>
    <row r="19" spans="1:14">
      <c r="A19" s="59" t="s">
        <v>320</v>
      </c>
      <c r="B19" s="81">
        <f>'Table A GRC'!G44+'Table A GRC'!G45</f>
        <v>2981</v>
      </c>
      <c r="C19" s="81">
        <f>'Table A GRC'!M44+'Table A GRC'!M45</f>
        <v>1916.63</v>
      </c>
      <c r="D19" s="247">
        <v>0.19</v>
      </c>
      <c r="E19" s="82">
        <f t="shared" si="0"/>
        <v>6796.68</v>
      </c>
      <c r="F19" s="126"/>
      <c r="G19" s="247">
        <f t="shared" si="1"/>
        <v>0.14000000000000001</v>
      </c>
      <c r="H19" s="82">
        <f t="shared" si="2"/>
        <v>5114.5140242528933</v>
      </c>
      <c r="I19" s="249">
        <f t="shared" si="3"/>
        <v>2.6684931490443603E-3</v>
      </c>
      <c r="J19" s="247"/>
      <c r="K19" s="281"/>
      <c r="N19" s="289"/>
    </row>
    <row r="20" spans="1:14">
      <c r="A20" s="59" t="s">
        <v>39</v>
      </c>
      <c r="B20" s="81">
        <f>'Table A GRC'!G31</f>
        <v>5</v>
      </c>
      <c r="C20" s="81">
        <f>'Table A GRC'!M31</f>
        <v>469.04300000000001</v>
      </c>
      <c r="D20" s="247">
        <v>16.64</v>
      </c>
      <c r="E20" s="82">
        <f t="shared" si="0"/>
        <v>998.40000000000009</v>
      </c>
      <c r="F20" s="126"/>
      <c r="G20" s="247">
        <f t="shared" si="1"/>
        <v>20.86</v>
      </c>
      <c r="H20" s="82">
        <f t="shared" si="2"/>
        <v>1251.6380321072138</v>
      </c>
      <c r="I20" s="249">
        <f t="shared" si="3"/>
        <v>2.6684931490443603E-3</v>
      </c>
      <c r="J20" s="247"/>
      <c r="K20" s="281"/>
      <c r="N20" s="289"/>
    </row>
    <row r="21" spans="1:14">
      <c r="A21" s="59" t="s">
        <v>328</v>
      </c>
      <c r="B21" s="81">
        <f>'Table A GRC'!G32</f>
        <v>82668</v>
      </c>
      <c r="C21" s="81">
        <f>'Table A GRC'!M32</f>
        <v>139064.459</v>
      </c>
      <c r="D21" s="247">
        <v>0.45</v>
      </c>
      <c r="E21" s="82">
        <f t="shared" si="0"/>
        <v>446407.19999999995</v>
      </c>
      <c r="F21" s="126"/>
      <c r="G21" s="247">
        <f t="shared" si="1"/>
        <v>0.37</v>
      </c>
      <c r="H21" s="82">
        <f t="shared" si="2"/>
        <v>371092.5561170603</v>
      </c>
      <c r="I21" s="249">
        <f t="shared" si="3"/>
        <v>2.6684931490443603E-3</v>
      </c>
      <c r="J21" s="247"/>
      <c r="K21" s="281"/>
      <c r="N21" s="289"/>
    </row>
    <row r="22" spans="1:14">
      <c r="A22" s="59" t="s">
        <v>41</v>
      </c>
      <c r="B22" s="81">
        <f>'Table A GRC'!G33</f>
        <v>4</v>
      </c>
      <c r="C22" s="81">
        <f>'Table A GRC'!M33</f>
        <v>4361.3409999999994</v>
      </c>
      <c r="D22" s="247">
        <v>50</v>
      </c>
      <c r="E22" s="82">
        <f t="shared" si="0"/>
        <v>2400</v>
      </c>
      <c r="F22" s="126"/>
      <c r="G22" s="260">
        <v>50</v>
      </c>
      <c r="H22" s="261">
        <f>G22*B22*12</f>
        <v>2400</v>
      </c>
      <c r="I22" s="262">
        <f>H22/($C22*1000)</f>
        <v>5.5028946372228185E-4</v>
      </c>
      <c r="J22" s="260"/>
      <c r="K22" s="281"/>
      <c r="N22" s="289"/>
    </row>
    <row r="23" spans="1:14" ht="5.25" customHeight="1">
      <c r="A23" s="258"/>
      <c r="B23" s="239"/>
      <c r="C23" s="239"/>
      <c r="D23" s="248"/>
      <c r="E23" s="240"/>
      <c r="F23" s="126"/>
      <c r="G23" s="267"/>
      <c r="H23" s="86"/>
      <c r="I23" s="250"/>
      <c r="K23" s="279"/>
    </row>
    <row r="24" spans="1:14">
      <c r="A24" s="59" t="s">
        <v>172</v>
      </c>
      <c r="B24" s="81">
        <f>SUM(B11:B23)</f>
        <v>829480.86750000005</v>
      </c>
      <c r="C24" s="82">
        <f>SUM(C11:C23)</f>
        <v>1804797.7945100705</v>
      </c>
      <c r="D24" s="76"/>
      <c r="E24" s="82">
        <f>SUM(E11:E23)</f>
        <v>4685977.4466000004</v>
      </c>
      <c r="G24" s="76"/>
      <c r="H24" s="82">
        <f>SUM(H25:H27)</f>
        <v>3865926.2339999992</v>
      </c>
      <c r="I24" s="249">
        <f>H24/($C24*1000)</f>
        <v>2.1420273483043796E-3</v>
      </c>
      <c r="K24" s="854">
        <f>E24-H24</f>
        <v>820051.21260000113</v>
      </c>
    </row>
    <row r="25" spans="1:14" s="256" customFormat="1">
      <c r="A25" s="251" t="s">
        <v>329</v>
      </c>
      <c r="B25" s="251"/>
      <c r="C25" s="251"/>
      <c r="D25" s="251"/>
      <c r="E25" s="264">
        <v>30000</v>
      </c>
      <c r="G25" s="259"/>
      <c r="H25" s="264">
        <v>30000</v>
      </c>
      <c r="I25" s="257"/>
    </row>
    <row r="26" spans="1:14" s="256" customFormat="1">
      <c r="A26" s="251" t="s">
        <v>324</v>
      </c>
      <c r="B26" s="251"/>
      <c r="C26" s="251"/>
      <c r="D26" s="251"/>
      <c r="E26" s="264">
        <v>0</v>
      </c>
      <c r="G26" s="251"/>
      <c r="H26" s="264">
        <v>0</v>
      </c>
      <c r="I26" s="257"/>
    </row>
    <row r="27" spans="1:14" s="228" customFormat="1">
      <c r="A27" s="59" t="s">
        <v>68</v>
      </c>
      <c r="B27" s="59"/>
      <c r="C27" s="59"/>
      <c r="D27" s="59"/>
      <c r="E27" s="238">
        <f>E24-E25-E26</f>
        <v>4655977.4466000004</v>
      </c>
      <c r="G27" s="59"/>
      <c r="H27" s="849">
        <f>-H29</f>
        <v>3835926.2339999992</v>
      </c>
      <c r="I27" s="238"/>
    </row>
    <row r="28" spans="1:14" s="256" customFormat="1">
      <c r="A28" s="251" t="s">
        <v>560</v>
      </c>
      <c r="B28" s="252">
        <f>370465/12</f>
        <v>30872.083333333332</v>
      </c>
      <c r="C28" s="253">
        <f>'Blocking GRC'!O48/1000</f>
        <v>23109.707999999999</v>
      </c>
      <c r="D28" s="265">
        <v>-12.6</v>
      </c>
      <c r="G28" s="254">
        <v>-12.6</v>
      </c>
      <c r="I28" s="255"/>
    </row>
    <row r="29" spans="1:14" s="256" customFormat="1">
      <c r="A29" s="251" t="s">
        <v>559</v>
      </c>
      <c r="B29" s="252">
        <f>'Page 1 - Est Participants'!J22</f>
        <v>25369.882499999996</v>
      </c>
      <c r="C29" s="253">
        <f>C28/B28*B29</f>
        <v>18990.962489929465</v>
      </c>
      <c r="D29" s="265"/>
      <c r="E29" s="274">
        <f>$B29*D28*12</f>
        <v>-3835926.2339999992</v>
      </c>
      <c r="G29" s="254"/>
      <c r="H29" s="274">
        <f>$B29*G28*12</f>
        <v>-3835926.2339999992</v>
      </c>
      <c r="I29" s="255"/>
    </row>
    <row r="30" spans="1:14" ht="13.5" thickBot="1">
      <c r="A30" s="268" t="s">
        <v>326</v>
      </c>
      <c r="B30" s="269"/>
      <c r="C30" s="269"/>
      <c r="D30" s="269"/>
      <c r="E30" s="270">
        <f>SUM(E27:E29)</f>
        <v>820051.21260000113</v>
      </c>
      <c r="G30" s="269"/>
      <c r="H30" s="270">
        <f>SUM(H27:H29)</f>
        <v>0</v>
      </c>
      <c r="I30" s="270"/>
    </row>
    <row r="31" spans="1:14" ht="13.5" thickTop="1">
      <c r="A31" s="280"/>
      <c r="B31" s="285"/>
      <c r="C31" s="285"/>
      <c r="D31" s="285"/>
      <c r="E31" s="286"/>
      <c r="G31" s="285"/>
      <c r="H31" s="286"/>
      <c r="I31" s="286"/>
    </row>
    <row r="32" spans="1:14">
      <c r="A32" s="85"/>
      <c r="B32" s="76"/>
      <c r="C32" s="76"/>
      <c r="D32" s="76" t="s">
        <v>737</v>
      </c>
      <c r="E32" s="82"/>
      <c r="G32" s="76"/>
      <c r="H32" s="287">
        <f>(H24-E24)/E24</f>
        <v>-0.17500110103923031</v>
      </c>
      <c r="I32" s="82"/>
    </row>
    <row r="33" spans="1:9" ht="15" customHeight="1">
      <c r="A33" s="85"/>
      <c r="B33" s="76"/>
      <c r="C33" s="76"/>
      <c r="D33" s="76"/>
      <c r="E33" s="82"/>
      <c r="G33" s="76"/>
      <c r="H33" s="82"/>
      <c r="I33" s="82"/>
    </row>
    <row r="34" spans="1:9">
      <c r="A34" s="85"/>
      <c r="B34" s="76"/>
      <c r="C34" s="76"/>
      <c r="D34" s="76"/>
      <c r="E34" s="82"/>
      <c r="F34" t="s">
        <v>66</v>
      </c>
      <c r="G34" s="76"/>
      <c r="H34" s="82"/>
      <c r="I34" s="82"/>
    </row>
    <row r="35" spans="1:9">
      <c r="A35" s="87"/>
      <c r="B35" s="76"/>
      <c r="C35" s="76"/>
      <c r="D35" s="76"/>
      <c r="E35" s="76"/>
      <c r="G35" s="76"/>
      <c r="H35" s="76"/>
      <c r="I35" s="76"/>
    </row>
    <row r="36" spans="1:9">
      <c r="A36" s="85"/>
      <c r="B36" s="82"/>
      <c r="C36" s="82"/>
      <c r="D36" s="76"/>
      <c r="E36" s="76"/>
      <c r="G36" s="76"/>
      <c r="H36" s="76"/>
      <c r="I36" s="76"/>
    </row>
    <row r="37" spans="1:9">
      <c r="A37" s="231"/>
      <c r="B37" s="81"/>
      <c r="C37" s="81"/>
      <c r="D37" s="76"/>
      <c r="E37" s="76"/>
      <c r="G37" s="76"/>
      <c r="H37" s="76"/>
      <c r="I37" s="76"/>
    </row>
    <row r="38" spans="1:9">
      <c r="A38" s="85"/>
      <c r="B38" s="229"/>
      <c r="C38" s="229"/>
      <c r="D38" s="76"/>
      <c r="E38" s="76"/>
      <c r="G38" s="76"/>
      <c r="H38" s="76"/>
      <c r="I38" s="76"/>
    </row>
    <row r="39" spans="1:9">
      <c r="A39" s="85"/>
      <c r="B39" s="82"/>
      <c r="C39" s="82"/>
      <c r="D39" s="76"/>
      <c r="E39" s="76"/>
      <c r="G39" s="76"/>
      <c r="H39" s="76"/>
      <c r="I39" s="76"/>
    </row>
    <row r="40" spans="1:9">
      <c r="A40" s="85"/>
      <c r="B40" s="82"/>
      <c r="C40" s="82"/>
      <c r="D40" s="76"/>
      <c r="E40" s="76"/>
      <c r="G40" s="76"/>
      <c r="H40" s="76"/>
      <c r="I40" s="76"/>
    </row>
    <row r="41" spans="1:9">
      <c r="A41" s="85"/>
      <c r="B41" s="82"/>
      <c r="C41" s="82"/>
      <c r="D41" s="76"/>
      <c r="E41" s="76"/>
      <c r="G41" s="76"/>
      <c r="H41" s="76"/>
      <c r="I41" s="76"/>
    </row>
    <row r="42" spans="1:9">
      <c r="A42" s="231"/>
      <c r="B42" s="81"/>
      <c r="C42" s="81"/>
      <c r="D42" s="76"/>
      <c r="E42" s="76"/>
      <c r="G42" s="76"/>
      <c r="H42" s="76"/>
      <c r="I42" s="76"/>
    </row>
    <row r="43" spans="1:9">
      <c r="A43" s="85"/>
      <c r="B43" s="229"/>
      <c r="C43" s="229"/>
      <c r="D43" s="76"/>
      <c r="E43" s="76"/>
      <c r="G43" s="76"/>
      <c r="H43" s="76"/>
      <c r="I43" s="76"/>
    </row>
    <row r="44" spans="1:9">
      <c r="A44" s="85"/>
      <c r="B44" s="82"/>
      <c r="C44" s="82"/>
      <c r="D44" s="76"/>
      <c r="E44" s="76"/>
      <c r="G44" s="76"/>
      <c r="H44" s="76"/>
      <c r="I44" s="76"/>
    </row>
    <row r="45" spans="1:9">
      <c r="A45" s="85"/>
      <c r="B45" s="84"/>
      <c r="C45" s="84"/>
      <c r="D45" s="76"/>
      <c r="E45" s="76"/>
      <c r="G45" s="76"/>
      <c r="H45" s="76"/>
      <c r="I45" s="76"/>
    </row>
    <row r="46" spans="1:9">
      <c r="A46" s="85"/>
      <c r="B46" s="82"/>
      <c r="C46" s="82"/>
      <c r="D46" s="76"/>
      <c r="E46" s="76"/>
      <c r="G46" s="76"/>
      <c r="H46" s="76"/>
      <c r="I46" s="76"/>
    </row>
    <row r="47" spans="1:9">
      <c r="A47" s="76"/>
      <c r="B47" s="76"/>
      <c r="C47" s="76"/>
      <c r="D47" s="76"/>
      <c r="E47" s="76"/>
      <c r="G47" s="76"/>
      <c r="H47" s="76"/>
      <c r="I47" s="76"/>
    </row>
    <row r="48" spans="1:9">
      <c r="A48" s="59"/>
      <c r="B48" s="76"/>
      <c r="C48" s="76"/>
      <c r="D48" s="76"/>
      <c r="E48" s="76"/>
      <c r="G48" s="76"/>
      <c r="H48" s="76"/>
      <c r="I48" s="76"/>
    </row>
    <row r="49" spans="1:9">
      <c r="A49" s="59"/>
      <c r="B49" s="76"/>
      <c r="C49" s="76"/>
      <c r="D49" s="76"/>
      <c r="E49" s="76"/>
      <c r="G49" s="76"/>
      <c r="H49" s="76"/>
      <c r="I49" s="76"/>
    </row>
    <row r="50" spans="1:9">
      <c r="A50" s="59"/>
      <c r="B50" s="76"/>
      <c r="C50" s="76"/>
      <c r="D50" s="76"/>
      <c r="E50" s="76"/>
      <c r="G50" s="76"/>
      <c r="H50" s="76"/>
      <c r="I50" s="76"/>
    </row>
    <row r="51" spans="1:9">
      <c r="A51" s="59"/>
      <c r="B51" s="76"/>
      <c r="C51" s="76"/>
      <c r="D51" s="76"/>
      <c r="E51" s="76"/>
      <c r="G51" s="76"/>
      <c r="H51" s="76"/>
      <c r="I51" s="76"/>
    </row>
    <row r="52" spans="1:9">
      <c r="A52" s="59"/>
      <c r="B52" s="76"/>
      <c r="C52" s="76"/>
      <c r="D52" s="76"/>
      <c r="E52" s="76"/>
      <c r="G52" s="76"/>
      <c r="H52" s="76"/>
      <c r="I52" s="76"/>
    </row>
    <row r="53" spans="1:9">
      <c r="A53" s="59"/>
      <c r="B53" s="76"/>
      <c r="C53" s="76"/>
      <c r="D53" s="76"/>
      <c r="E53" s="76"/>
      <c r="G53" s="76"/>
      <c r="H53" s="76"/>
      <c r="I53" s="76"/>
    </row>
    <row r="54" spans="1:9">
      <c r="A54" s="59"/>
      <c r="B54" s="76"/>
      <c r="C54" s="76"/>
      <c r="D54" s="76"/>
      <c r="E54" s="76"/>
      <c r="G54" s="76"/>
      <c r="H54" s="76"/>
      <c r="I54" s="76"/>
    </row>
  </sheetData>
  <phoneticPr fontId="18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Normal="80" zoomScaleSheetLayoutView="100" workbookViewId="0">
      <selection activeCell="G10" sqref="G10"/>
    </sheetView>
  </sheetViews>
  <sheetFormatPr defaultRowHeight="12.75"/>
  <cols>
    <col min="1" max="1" width="22.5703125" customWidth="1"/>
    <col min="2" max="2" width="11.140625" bestFit="1" customWidth="1"/>
    <col min="3" max="3" width="11.5703125" bestFit="1" customWidth="1"/>
    <col min="4" max="4" width="10" bestFit="1" customWidth="1"/>
    <col min="5" max="5" width="14.42578125" bestFit="1" customWidth="1"/>
    <col min="6" max="6" width="1.7109375" bestFit="1" customWidth="1"/>
    <col min="7" max="7" width="12.7109375" customWidth="1"/>
    <col min="8" max="8" width="15" customWidth="1"/>
    <col min="9" max="9" width="11.5703125" customWidth="1"/>
  </cols>
  <sheetData>
    <row r="1" spans="1:13" ht="18">
      <c r="A1" s="271" t="s">
        <v>296</v>
      </c>
      <c r="B1" s="271"/>
      <c r="C1" s="271"/>
      <c r="D1" s="271"/>
      <c r="E1" s="271"/>
      <c r="F1" s="272"/>
      <c r="G1" s="271"/>
      <c r="H1" s="271"/>
      <c r="I1" s="271"/>
    </row>
    <row r="2" spans="1:13" ht="18">
      <c r="A2" s="271" t="s">
        <v>740</v>
      </c>
      <c r="B2" s="271"/>
      <c r="C2" s="271"/>
      <c r="D2" s="271"/>
      <c r="E2" s="271"/>
      <c r="F2" s="272"/>
      <c r="G2" s="271"/>
      <c r="H2" s="271"/>
      <c r="I2" s="271"/>
    </row>
    <row r="3" spans="1:13" ht="18">
      <c r="A3" s="271" t="s">
        <v>691</v>
      </c>
      <c r="B3" s="271"/>
      <c r="C3" s="271"/>
      <c r="D3" s="271"/>
      <c r="E3" s="271"/>
      <c r="F3" s="272"/>
      <c r="G3" s="271"/>
      <c r="H3" s="271"/>
      <c r="I3" s="271"/>
    </row>
    <row r="4" spans="1:13" ht="15.75">
      <c r="A4" s="77"/>
      <c r="B4" s="76"/>
      <c r="C4" s="76"/>
      <c r="D4" s="76"/>
      <c r="E4" s="76"/>
      <c r="G4" s="76"/>
      <c r="H4" s="76"/>
      <c r="I4" s="76"/>
    </row>
    <row r="5" spans="1:13">
      <c r="A5" s="59"/>
      <c r="B5" s="78"/>
      <c r="C5" s="78"/>
      <c r="D5" s="80"/>
      <c r="E5" s="80"/>
      <c r="G5" s="80"/>
      <c r="H5" s="80"/>
      <c r="I5" s="80"/>
    </row>
    <row r="6" spans="1:13">
      <c r="B6" s="78" t="s">
        <v>27</v>
      </c>
      <c r="C6" s="78" t="s">
        <v>321</v>
      </c>
      <c r="D6" s="244" t="s">
        <v>323</v>
      </c>
      <c r="E6" s="244"/>
      <c r="F6" s="78"/>
      <c r="G6" s="244" t="s">
        <v>742</v>
      </c>
      <c r="H6" s="244"/>
      <c r="I6" s="244"/>
    </row>
    <row r="7" spans="1:13">
      <c r="A7" s="59"/>
      <c r="B7" s="78" t="s">
        <v>28</v>
      </c>
      <c r="C7" s="78" t="s">
        <v>30</v>
      </c>
      <c r="D7" s="80" t="s">
        <v>247</v>
      </c>
      <c r="E7" s="266" t="s">
        <v>30</v>
      </c>
      <c r="F7" s="78"/>
      <c r="G7" s="80" t="s">
        <v>247</v>
      </c>
      <c r="H7" s="244" t="s">
        <v>30</v>
      </c>
      <c r="I7" s="244"/>
    </row>
    <row r="8" spans="1:13">
      <c r="A8" s="79" t="s">
        <v>71</v>
      </c>
      <c r="B8" s="79" t="s">
        <v>29</v>
      </c>
      <c r="C8" s="241" t="s">
        <v>262</v>
      </c>
      <c r="D8" s="79" t="s">
        <v>322</v>
      </c>
      <c r="E8" s="79" t="s">
        <v>131</v>
      </c>
      <c r="F8" s="230"/>
      <c r="G8" s="79" t="s">
        <v>741</v>
      </c>
      <c r="H8" s="79" t="s">
        <v>131</v>
      </c>
      <c r="I8" s="79" t="s">
        <v>743</v>
      </c>
    </row>
    <row r="9" spans="1:13">
      <c r="A9" s="245">
        <v>1</v>
      </c>
      <c r="B9" s="246">
        <f>A9+1</f>
        <v>2</v>
      </c>
      <c r="C9" s="246">
        <f>MAX($A9:B9)+1</f>
        <v>3</v>
      </c>
      <c r="D9" s="246">
        <f>MAX($A9:C9)+1</f>
        <v>4</v>
      </c>
      <c r="E9" s="246">
        <f>MAX($A9:D9)+1</f>
        <v>5</v>
      </c>
      <c r="F9" s="230"/>
      <c r="G9" s="246">
        <f>MAX($A9:F9)+1</f>
        <v>6</v>
      </c>
      <c r="H9" s="246">
        <f>MAX($A9:G9)+1</f>
        <v>7</v>
      </c>
      <c r="I9" s="246">
        <f>MAX($A9:H9)+1</f>
        <v>8</v>
      </c>
    </row>
    <row r="10" spans="1:13">
      <c r="A10" s="59"/>
      <c r="B10" s="80"/>
      <c r="C10" s="242"/>
      <c r="D10" s="80"/>
      <c r="E10" s="243" t="str">
        <f>$B9&amp;"x"&amp;D9</f>
        <v>2x4</v>
      </c>
      <c r="F10" s="230"/>
      <c r="G10" s="80"/>
      <c r="H10" s="243" t="str">
        <f>$B9&amp;"x"&amp;G9</f>
        <v>2x6</v>
      </c>
      <c r="I10" s="243" t="str">
        <f>H9&amp;"/"&amp;$E9</f>
        <v>7/5</v>
      </c>
    </row>
    <row r="11" spans="1:13" ht="24" customHeight="1">
      <c r="A11" s="59" t="s">
        <v>327</v>
      </c>
      <c r="B11" s="81">
        <f>'Table A GRC'!G18+'Table A GRC'!G19-B29</f>
        <v>715266.11750000005</v>
      </c>
      <c r="C11" s="82">
        <f>'Table A GRC'!M15+'Table A GRC'!M16-C29</f>
        <v>658895.12551007047</v>
      </c>
      <c r="D11" s="247">
        <v>0.26</v>
      </c>
      <c r="E11" s="82">
        <f t="shared" ref="E11:E22" si="0">D11*B11*12</f>
        <v>2231630.2866000002</v>
      </c>
      <c r="F11" s="126"/>
      <c r="G11" s="247">
        <f>MIN(50,ROUND(H11/(B11),2))</f>
        <v>-0.87</v>
      </c>
      <c r="H11" s="82">
        <f>E11*I11</f>
        <v>-623746.94918575662</v>
      </c>
      <c r="I11" s="273">
        <f>(H24-H14-H15-H22)/SUM(E11:E13,E16:E21,E23)</f>
        <v>-0.27950281591493642</v>
      </c>
      <c r="J11" s="247"/>
      <c r="M11" s="289"/>
    </row>
    <row r="12" spans="1:13">
      <c r="A12" s="59" t="s">
        <v>32</v>
      </c>
      <c r="B12" s="81">
        <f>'Table A GRC'!G23</f>
        <v>15385</v>
      </c>
      <c r="C12" s="81">
        <f>'Table A GRC'!M23</f>
        <v>523880.57099999994</v>
      </c>
      <c r="D12" s="247">
        <v>8.91</v>
      </c>
      <c r="E12" s="82">
        <f t="shared" si="0"/>
        <v>1644964.2000000002</v>
      </c>
      <c r="F12" s="126"/>
      <c r="G12" s="247">
        <f t="shared" ref="G12:G13" si="1">MIN(50,ROUND(H12/(B12),2))</f>
        <v>-29.88</v>
      </c>
      <c r="H12" s="82">
        <f>E12*I12</f>
        <v>-459772.12597926072</v>
      </c>
      <c r="I12" s="249">
        <f>$I$11</f>
        <v>-0.27950281591493642</v>
      </c>
      <c r="J12" s="247"/>
      <c r="M12" s="289"/>
    </row>
    <row r="13" spans="1:13">
      <c r="A13" s="59" t="s">
        <v>33</v>
      </c>
      <c r="B13" s="81">
        <f>'Table A GRC'!G41</f>
        <v>8046</v>
      </c>
      <c r="C13" s="81">
        <f>'Table A GRC'!M41</f>
        <v>2999.06</v>
      </c>
      <c r="D13" s="247">
        <v>0.13</v>
      </c>
      <c r="E13" s="82">
        <f t="shared" si="0"/>
        <v>12551.76</v>
      </c>
      <c r="F13" s="126"/>
      <c r="G13" s="247">
        <f t="shared" si="1"/>
        <v>-0.44</v>
      </c>
      <c r="H13" s="82">
        <f>E13*I13</f>
        <v>-3508.2522646884622</v>
      </c>
      <c r="I13" s="249">
        <f>$I$11</f>
        <v>-0.27950281591493642</v>
      </c>
      <c r="J13" s="247"/>
      <c r="M13" s="289"/>
    </row>
    <row r="14" spans="1:13">
      <c r="A14" s="59" t="s">
        <v>34</v>
      </c>
      <c r="B14" s="81">
        <f>'Table A GRC'!G24</f>
        <v>274</v>
      </c>
      <c r="C14" s="81">
        <f>'Table A GRC'!M24</f>
        <v>165622.60700000002</v>
      </c>
      <c r="D14" s="247">
        <v>50</v>
      </c>
      <c r="E14" s="82">
        <f t="shared" si="0"/>
        <v>164400</v>
      </c>
      <c r="F14" s="126"/>
      <c r="G14" s="260">
        <v>0</v>
      </c>
      <c r="H14" s="261">
        <f>G14*B14*12</f>
        <v>0</v>
      </c>
      <c r="I14" s="262">
        <f>H14/($C14*1000)</f>
        <v>0</v>
      </c>
      <c r="J14" s="260"/>
      <c r="M14" s="289"/>
    </row>
    <row r="15" spans="1:13">
      <c r="A15" s="59" t="s">
        <v>318</v>
      </c>
      <c r="B15" s="81">
        <f>'Table A GRC'!G27</f>
        <v>158</v>
      </c>
      <c r="C15" s="81">
        <f>'Table A GRC'!M27</f>
        <v>284116.64299999998</v>
      </c>
      <c r="D15" s="247">
        <v>50</v>
      </c>
      <c r="E15" s="82">
        <f t="shared" si="0"/>
        <v>94800</v>
      </c>
      <c r="F15" s="126"/>
      <c r="G15" s="260">
        <v>0</v>
      </c>
      <c r="H15" s="261">
        <f>G15*B15*12</f>
        <v>0</v>
      </c>
      <c r="I15" s="262">
        <f>H15/($C15*1000)</f>
        <v>0</v>
      </c>
      <c r="J15" s="260"/>
      <c r="M15" s="289"/>
    </row>
    <row r="16" spans="1:13">
      <c r="A16" s="59" t="s">
        <v>36</v>
      </c>
      <c r="B16" s="81">
        <f>'Table A GRC'!G30</f>
        <v>3045.3333333333335</v>
      </c>
      <c r="C16" s="81">
        <f>'Table A GRC'!M30</f>
        <v>14348.057999999999</v>
      </c>
      <c r="D16" s="247">
        <v>1.25</v>
      </c>
      <c r="E16" s="82">
        <f t="shared" si="0"/>
        <v>45680</v>
      </c>
      <c r="F16" s="126"/>
      <c r="G16" s="247">
        <f t="shared" ref="G16:G21" si="2">MIN(50,ROUND(H16/(B16),2))</f>
        <v>-4.1900000000000004</v>
      </c>
      <c r="H16" s="82">
        <f t="shared" ref="H16:H21" si="3">E16*I16</f>
        <v>-12767.688630994297</v>
      </c>
      <c r="I16" s="249">
        <f t="shared" ref="I16:I21" si="4">$I$11</f>
        <v>-0.27950281591493642</v>
      </c>
      <c r="J16" s="247"/>
      <c r="M16" s="853"/>
    </row>
    <row r="17" spans="1:13">
      <c r="A17" s="59" t="s">
        <v>37</v>
      </c>
      <c r="B17" s="81">
        <f>'Table A GRC'!G42</f>
        <v>809.41666666666663</v>
      </c>
      <c r="C17" s="81">
        <f>'Table A GRC'!M42</f>
        <v>4979.3900000000003</v>
      </c>
      <c r="D17" s="247">
        <v>2.2400000000000002</v>
      </c>
      <c r="E17" s="82">
        <f t="shared" si="0"/>
        <v>21757.120000000003</v>
      </c>
      <c r="F17" s="126"/>
      <c r="G17" s="247">
        <f t="shared" si="2"/>
        <v>-7.51</v>
      </c>
      <c r="H17" s="82">
        <f t="shared" si="3"/>
        <v>-6081.1763061991824</v>
      </c>
      <c r="I17" s="249">
        <f t="shared" si="4"/>
        <v>-0.27950281591493642</v>
      </c>
      <c r="J17" s="247"/>
      <c r="M17" s="289"/>
    </row>
    <row r="18" spans="1:13">
      <c r="A18" s="59" t="s">
        <v>319</v>
      </c>
      <c r="B18" s="81">
        <f>'Table A GRC'!G43</f>
        <v>839</v>
      </c>
      <c r="C18" s="81">
        <f>'Table A GRC'!M43</f>
        <v>4144.8670000000002</v>
      </c>
      <c r="D18" s="247">
        <v>1.35</v>
      </c>
      <c r="E18" s="82">
        <f t="shared" si="0"/>
        <v>13591.800000000001</v>
      </c>
      <c r="F18" s="126"/>
      <c r="G18" s="247">
        <f t="shared" si="2"/>
        <v>-4.53</v>
      </c>
      <c r="H18" s="82">
        <f t="shared" si="3"/>
        <v>-3798.9463733526331</v>
      </c>
      <c r="I18" s="249">
        <f t="shared" si="4"/>
        <v>-0.27950281591493642</v>
      </c>
      <c r="J18" s="247"/>
      <c r="M18" s="289"/>
    </row>
    <row r="19" spans="1:13">
      <c r="A19" s="59" t="s">
        <v>320</v>
      </c>
      <c r="B19" s="81">
        <f>'Table A GRC'!G44+'Table A GRC'!G45</f>
        <v>2981</v>
      </c>
      <c r="C19" s="81">
        <f>'Table A GRC'!M44+'Table A GRC'!M45</f>
        <v>1916.63</v>
      </c>
      <c r="D19" s="247">
        <v>0.19</v>
      </c>
      <c r="E19" s="82">
        <f t="shared" si="0"/>
        <v>6796.68</v>
      </c>
      <c r="F19" s="126"/>
      <c r="G19" s="247">
        <f t="shared" si="2"/>
        <v>-0.64</v>
      </c>
      <c r="H19" s="82">
        <f t="shared" si="3"/>
        <v>-1899.6911988727302</v>
      </c>
      <c r="I19" s="249">
        <f t="shared" si="4"/>
        <v>-0.27950281591493642</v>
      </c>
      <c r="J19" s="247"/>
      <c r="M19" s="289"/>
    </row>
    <row r="20" spans="1:13">
      <c r="A20" s="59" t="s">
        <v>39</v>
      </c>
      <c r="B20" s="81">
        <f>'Table A GRC'!G31</f>
        <v>5</v>
      </c>
      <c r="C20" s="81">
        <f>'Table A GRC'!M31</f>
        <v>469.04300000000001</v>
      </c>
      <c r="D20" s="247">
        <v>16.64</v>
      </c>
      <c r="E20" s="82">
        <f t="shared" si="0"/>
        <v>998.40000000000009</v>
      </c>
      <c r="F20" s="126"/>
      <c r="G20" s="247">
        <f t="shared" si="2"/>
        <v>-55.81</v>
      </c>
      <c r="H20" s="82">
        <f t="shared" si="3"/>
        <v>-279.05561140947253</v>
      </c>
      <c r="I20" s="249">
        <f t="shared" si="4"/>
        <v>-0.27950281591493642</v>
      </c>
      <c r="J20" s="247"/>
      <c r="M20" s="289"/>
    </row>
    <row r="21" spans="1:13">
      <c r="A21" s="59" t="s">
        <v>328</v>
      </c>
      <c r="B21" s="81">
        <f>'Table A GRC'!G32</f>
        <v>82668</v>
      </c>
      <c r="C21" s="81">
        <f>'Table A GRC'!M32</f>
        <v>139064.459</v>
      </c>
      <c r="D21" s="247">
        <v>0.45</v>
      </c>
      <c r="E21" s="82">
        <f t="shared" si="0"/>
        <v>446407.19999999995</v>
      </c>
      <c r="F21" s="126"/>
      <c r="G21" s="247">
        <f t="shared" si="2"/>
        <v>-1.51</v>
      </c>
      <c r="H21" s="82">
        <f t="shared" si="3"/>
        <v>-124772.0694447022</v>
      </c>
      <c r="I21" s="249">
        <f t="shared" si="4"/>
        <v>-0.27950281591493642</v>
      </c>
      <c r="J21" s="247"/>
      <c r="M21" s="289"/>
    </row>
    <row r="22" spans="1:13">
      <c r="A22" s="59" t="s">
        <v>41</v>
      </c>
      <c r="B22" s="81">
        <f>'Table A GRC'!G33</f>
        <v>4</v>
      </c>
      <c r="C22" s="81">
        <f>'Table A GRC'!M33</f>
        <v>4361.3409999999994</v>
      </c>
      <c r="D22" s="247">
        <v>50</v>
      </c>
      <c r="E22" s="82">
        <f t="shared" si="0"/>
        <v>2400</v>
      </c>
      <c r="F22" s="126"/>
      <c r="G22" s="260">
        <v>0</v>
      </c>
      <c r="H22" s="261">
        <f>G22*B22*12</f>
        <v>0</v>
      </c>
      <c r="I22" s="262">
        <f>H22/($C22*1000)</f>
        <v>0</v>
      </c>
      <c r="J22" s="260"/>
      <c r="M22" s="289"/>
    </row>
    <row r="23" spans="1:13" ht="6.75" customHeight="1">
      <c r="A23" s="258"/>
      <c r="B23" s="239"/>
      <c r="C23" s="239"/>
      <c r="D23" s="248"/>
      <c r="E23" s="240"/>
      <c r="F23" s="126"/>
      <c r="G23" s="267"/>
      <c r="H23" s="86"/>
      <c r="I23" s="250"/>
    </row>
    <row r="24" spans="1:13">
      <c r="A24" s="59" t="s">
        <v>172</v>
      </c>
      <c r="B24" s="81">
        <f>SUM(B11:B23)</f>
        <v>829480.86750000005</v>
      </c>
      <c r="C24" s="82">
        <f>SUM(C11:C23)</f>
        <v>1804797.7945100705</v>
      </c>
      <c r="D24" s="76"/>
      <c r="E24" s="82">
        <f>SUM(E11:E23)</f>
        <v>4685977.4466000004</v>
      </c>
      <c r="G24" s="76"/>
      <c r="H24" s="82">
        <f>SUM(H25:H27)</f>
        <v>-1236625.9549952364</v>
      </c>
      <c r="I24" s="249">
        <f>H24/($E24)</f>
        <v>-0.26389925454986851</v>
      </c>
    </row>
    <row r="25" spans="1:13" s="256" customFormat="1">
      <c r="A25" s="251" t="s">
        <v>329</v>
      </c>
      <c r="B25" s="251"/>
      <c r="C25" s="251"/>
      <c r="D25" s="251"/>
      <c r="E25" s="264">
        <v>30000</v>
      </c>
      <c r="G25" s="259"/>
      <c r="H25" s="264">
        <v>0</v>
      </c>
      <c r="I25" s="257"/>
    </row>
    <row r="26" spans="1:13" s="256" customFormat="1">
      <c r="A26" s="251" t="s">
        <v>324</v>
      </c>
      <c r="B26" s="251"/>
      <c r="C26" s="251"/>
      <c r="D26" s="251"/>
      <c r="E26" s="264">
        <v>0</v>
      </c>
      <c r="G26" s="251"/>
      <c r="H26" s="264">
        <v>0</v>
      </c>
      <c r="I26" s="257"/>
    </row>
    <row r="27" spans="1:13" s="228" customFormat="1">
      <c r="A27" s="59" t="s">
        <v>68</v>
      </c>
      <c r="B27" s="59"/>
      <c r="C27" s="59"/>
      <c r="D27" s="59"/>
      <c r="E27" s="238">
        <f>E24-E25-E26</f>
        <v>4655977.4466000004</v>
      </c>
      <c r="G27" s="59"/>
      <c r="H27" s="849">
        <f>-H34</f>
        <v>-1236625.9549952364</v>
      </c>
      <c r="I27" s="238"/>
    </row>
    <row r="28" spans="1:13" s="256" customFormat="1">
      <c r="A28" s="251" t="s">
        <v>560</v>
      </c>
      <c r="B28" s="252">
        <f>370465/12</f>
        <v>30872.083333333332</v>
      </c>
      <c r="C28" s="253">
        <f>'Blocking GRC'!O48/1000</f>
        <v>23109.707999999999</v>
      </c>
      <c r="D28" s="265">
        <v>-12.6</v>
      </c>
      <c r="G28" s="254" t="s">
        <v>66</v>
      </c>
      <c r="I28" s="255"/>
    </row>
    <row r="29" spans="1:13" s="256" customFormat="1">
      <c r="A29" s="251" t="s">
        <v>559</v>
      </c>
      <c r="B29" s="252">
        <f>'Page 1 - Est Participants'!J22</f>
        <v>25369.882499999996</v>
      </c>
      <c r="C29" s="253">
        <f>C28/B28*B29</f>
        <v>18990.962489929465</v>
      </c>
      <c r="D29" s="265"/>
      <c r="E29" s="274">
        <f>$B29*D28*12</f>
        <v>-3835926.2339999992</v>
      </c>
      <c r="G29" s="254"/>
      <c r="H29" s="274" t="s">
        <v>66</v>
      </c>
      <c r="I29" s="255"/>
    </row>
    <row r="30" spans="1:13" ht="13.5" thickBot="1">
      <c r="A30" s="268" t="s">
        <v>326</v>
      </c>
      <c r="B30" s="269"/>
      <c r="C30" s="269"/>
      <c r="D30" s="269"/>
      <c r="E30" s="270">
        <f>SUM(E27:E29)</f>
        <v>820051.21260000113</v>
      </c>
      <c r="G30" s="269"/>
      <c r="H30" s="270">
        <f>SUM(H27:H29)</f>
        <v>-1236625.9549952364</v>
      </c>
      <c r="I30" s="270"/>
    </row>
    <row r="31" spans="1:13" ht="13.5" thickTop="1">
      <c r="A31" s="280"/>
      <c r="B31" s="285"/>
      <c r="C31" s="285"/>
      <c r="D31" s="285"/>
      <c r="E31" s="286"/>
      <c r="G31" s="285"/>
      <c r="H31" s="286"/>
      <c r="I31" s="286"/>
    </row>
    <row r="32" spans="1:13">
      <c r="A32" s="85"/>
      <c r="B32" s="76"/>
      <c r="C32" s="76"/>
      <c r="D32" s="82" t="s">
        <v>738</v>
      </c>
      <c r="F32" s="848"/>
      <c r="G32" s="85"/>
      <c r="H32" s="82">
        <f>-'UT Lifeline  rev'!J174</f>
        <v>2195607.5134952362</v>
      </c>
      <c r="I32" s="84"/>
    </row>
    <row r="33" spans="1:9">
      <c r="A33" s="85"/>
      <c r="B33" s="76"/>
      <c r="C33" s="76"/>
      <c r="D33" s="82" t="s">
        <v>736</v>
      </c>
      <c r="G33" s="76"/>
      <c r="H33" s="82">
        <f>-E29/12*3</f>
        <v>958981.55849999981</v>
      </c>
      <c r="I33" s="82"/>
    </row>
    <row r="34" spans="1:9">
      <c r="A34" s="85"/>
      <c r="B34" s="76"/>
      <c r="C34" s="76"/>
      <c r="D34" s="82" t="s">
        <v>739</v>
      </c>
      <c r="G34" s="76"/>
      <c r="H34" s="82">
        <f>H32-H33</f>
        <v>1236625.9549952364</v>
      </c>
      <c r="I34" s="82"/>
    </row>
    <row r="35" spans="1:9">
      <c r="A35" s="85"/>
      <c r="B35" s="76"/>
      <c r="C35" s="76"/>
      <c r="D35" s="76"/>
      <c r="E35" s="82"/>
      <c r="F35" t="s">
        <v>66</v>
      </c>
      <c r="G35" s="76"/>
      <c r="H35" s="82"/>
      <c r="I35" s="82"/>
    </row>
    <row r="36" spans="1:9">
      <c r="A36" s="87"/>
      <c r="B36" s="76"/>
      <c r="C36" s="76"/>
      <c r="D36" s="76"/>
      <c r="E36" s="76"/>
      <c r="G36" s="76"/>
      <c r="H36" s="76"/>
      <c r="I36" s="76"/>
    </row>
    <row r="37" spans="1:9">
      <c r="A37" s="85"/>
      <c r="B37" s="82"/>
      <c r="C37" s="82"/>
      <c r="D37" s="76"/>
      <c r="E37" s="76"/>
      <c r="G37" s="76"/>
      <c r="H37" s="76"/>
      <c r="I37" s="76"/>
    </row>
    <row r="38" spans="1:9">
      <c r="A38" s="231"/>
      <c r="B38" s="81"/>
      <c r="C38" s="81"/>
      <c r="D38" s="76"/>
      <c r="E38" s="76"/>
      <c r="G38" s="76"/>
      <c r="H38" s="76"/>
      <c r="I38" s="76"/>
    </row>
    <row r="39" spans="1:9">
      <c r="A39" s="85"/>
      <c r="B39" s="229"/>
      <c r="C39" s="229"/>
      <c r="D39" s="76"/>
      <c r="E39" s="76"/>
      <c r="G39" s="76"/>
      <c r="H39" s="76"/>
      <c r="I39" s="76"/>
    </row>
    <row r="40" spans="1:9">
      <c r="A40" s="85"/>
      <c r="B40" s="82"/>
      <c r="C40" s="82"/>
      <c r="D40" s="76"/>
      <c r="E40" s="76"/>
      <c r="G40" s="76"/>
      <c r="H40" s="76"/>
      <c r="I40" s="76"/>
    </row>
    <row r="41" spans="1:9">
      <c r="A41" s="85"/>
      <c r="B41" s="82"/>
      <c r="C41" s="82"/>
      <c r="D41" s="76"/>
      <c r="E41" s="76"/>
      <c r="G41" s="76"/>
      <c r="H41" s="76"/>
      <c r="I41" s="76"/>
    </row>
    <row r="42" spans="1:9">
      <c r="A42" s="85"/>
      <c r="B42" s="82"/>
      <c r="C42" s="82"/>
      <c r="D42" s="76"/>
      <c r="E42" s="76"/>
      <c r="G42" s="76"/>
      <c r="H42" s="76"/>
      <c r="I42" s="76"/>
    </row>
    <row r="43" spans="1:9">
      <c r="A43" s="231"/>
      <c r="B43" s="81"/>
      <c r="C43" s="81"/>
      <c r="D43" s="76"/>
      <c r="E43" s="76"/>
      <c r="G43" s="76"/>
      <c r="H43" s="76"/>
      <c r="I43" s="76"/>
    </row>
    <row r="44" spans="1:9">
      <c r="A44" s="85"/>
      <c r="B44" s="229"/>
      <c r="C44" s="229"/>
      <c r="D44" s="76"/>
      <c r="E44" s="76"/>
      <c r="G44" s="76"/>
      <c r="H44" s="76"/>
      <c r="I44" s="76"/>
    </row>
    <row r="45" spans="1:9">
      <c r="A45" s="85"/>
      <c r="B45" s="82"/>
      <c r="C45" s="82"/>
      <c r="D45" s="76"/>
      <c r="E45" s="76"/>
      <c r="G45" s="76"/>
      <c r="H45" s="76"/>
      <c r="I45" s="76"/>
    </row>
    <row r="46" spans="1:9">
      <c r="A46" s="85"/>
      <c r="B46" s="84"/>
      <c r="C46" s="84"/>
      <c r="D46" s="76"/>
      <c r="E46" s="76"/>
      <c r="G46" s="76"/>
      <c r="H46" s="76"/>
      <c r="I46" s="76"/>
    </row>
    <row r="47" spans="1:9">
      <c r="A47" s="85"/>
      <c r="B47" s="82"/>
      <c r="C47" s="82"/>
      <c r="D47" s="76"/>
      <c r="E47" s="76"/>
      <c r="G47" s="76"/>
      <c r="H47" s="76"/>
      <c r="I47" s="76"/>
    </row>
    <row r="48" spans="1:9">
      <c r="A48" s="76"/>
      <c r="B48" s="76"/>
      <c r="C48" s="76"/>
      <c r="D48" s="76"/>
      <c r="E48" s="76"/>
      <c r="G48" s="76"/>
      <c r="H48" s="76"/>
      <c r="I48" s="76"/>
    </row>
    <row r="49" spans="1:9">
      <c r="A49" s="59"/>
      <c r="B49" s="76"/>
      <c r="C49" s="76"/>
      <c r="D49" s="76"/>
      <c r="E49" s="76"/>
      <c r="G49" s="76"/>
      <c r="H49" s="76"/>
      <c r="I49" s="76"/>
    </row>
    <row r="50" spans="1:9">
      <c r="A50" s="59"/>
      <c r="B50" s="76"/>
      <c r="C50" s="76"/>
      <c r="D50" s="76"/>
      <c r="E50" s="76"/>
      <c r="G50" s="76"/>
      <c r="H50" s="76"/>
      <c r="I50" s="76"/>
    </row>
    <row r="51" spans="1:9">
      <c r="A51" s="59"/>
      <c r="B51" s="76"/>
      <c r="C51" s="76"/>
      <c r="D51" s="76"/>
      <c r="E51" s="76"/>
      <c r="G51" s="76"/>
      <c r="H51" s="76"/>
      <c r="I51" s="76"/>
    </row>
    <row r="52" spans="1:9">
      <c r="A52" s="59"/>
      <c r="B52" s="76"/>
      <c r="C52" s="76"/>
      <c r="D52" s="76"/>
      <c r="E52" s="76"/>
      <c r="G52" s="76"/>
      <c r="H52" s="76"/>
      <c r="I52" s="76"/>
    </row>
    <row r="53" spans="1:9">
      <c r="A53" s="59"/>
      <c r="B53" s="76"/>
      <c r="C53" s="76"/>
      <c r="D53" s="76"/>
      <c r="E53" s="76"/>
      <c r="G53" s="76"/>
      <c r="H53" s="76"/>
      <c r="I53" s="76"/>
    </row>
    <row r="54" spans="1:9">
      <c r="A54" s="59"/>
      <c r="B54" s="76"/>
      <c r="C54" s="76"/>
      <c r="D54" s="76"/>
      <c r="E54" s="76"/>
      <c r="G54" s="76"/>
      <c r="H54" s="76"/>
      <c r="I54" s="76"/>
    </row>
    <row r="55" spans="1:9">
      <c r="A55" s="59"/>
      <c r="B55" s="76"/>
      <c r="C55" s="76"/>
      <c r="D55" s="76"/>
      <c r="E55" s="76"/>
      <c r="G55" s="76"/>
      <c r="H55" s="76"/>
      <c r="I55" s="76"/>
    </row>
  </sheetData>
  <printOptions horizontalCentered="1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2"/>
  <sheetViews>
    <sheetView view="pageBreakPreview" zoomScale="80" zoomScaleNormal="70" zoomScaleSheetLayoutView="80" workbookViewId="0">
      <selection activeCell="M50" sqref="M50"/>
    </sheetView>
  </sheetViews>
  <sheetFormatPr defaultColWidth="10.28515625" defaultRowHeight="15.75"/>
  <cols>
    <col min="1" max="1" width="5.28515625" style="296" customWidth="1"/>
    <col min="2" max="2" width="1.85546875" style="296" customWidth="1"/>
    <col min="3" max="3" width="40.7109375" style="296" customWidth="1"/>
    <col min="4" max="4" width="1.7109375" style="319" customWidth="1"/>
    <col min="5" max="5" width="8.5703125" style="296" bestFit="1" customWidth="1"/>
    <col min="6" max="6" width="0.85546875" style="319" customWidth="1"/>
    <col min="7" max="7" width="12.140625" style="730" customWidth="1"/>
    <col min="8" max="8" width="0.85546875" style="319" customWidth="1"/>
    <col min="9" max="9" width="14" style="319" customWidth="1"/>
    <col min="10" max="10" width="2" style="319" customWidth="1"/>
    <col min="11" max="11" width="14" style="319" customWidth="1"/>
    <col min="12" max="12" width="2" style="319" customWidth="1"/>
    <col min="13" max="13" width="15.5703125" style="730" customWidth="1"/>
    <col min="14" max="14" width="2" style="319" customWidth="1"/>
    <col min="15" max="15" width="13.28515625" style="319" customWidth="1"/>
    <col min="16" max="16" width="2" style="319" customWidth="1"/>
    <col min="17" max="17" width="10" style="320" bestFit="1" customWidth="1"/>
    <col min="18" max="18" width="2" style="319" customWidth="1"/>
    <col min="19" max="19" width="7.85546875" style="321" bestFit="1" customWidth="1"/>
    <col min="20" max="20" width="3.28515625" style="296" customWidth="1"/>
    <col min="21" max="21" width="12.85546875" style="296" bestFit="1" customWidth="1"/>
    <col min="22" max="16384" width="10.28515625" style="296"/>
  </cols>
  <sheetData>
    <row r="1" spans="1:22">
      <c r="A1" s="291" t="s">
        <v>561</v>
      </c>
      <c r="B1" s="291"/>
      <c r="C1" s="291"/>
      <c r="D1" s="292"/>
      <c r="E1" s="291"/>
      <c r="F1" s="292"/>
      <c r="G1" s="723"/>
      <c r="H1" s="292"/>
      <c r="I1" s="292"/>
      <c r="J1" s="292"/>
      <c r="K1" s="293"/>
      <c r="L1" s="292"/>
      <c r="M1" s="737"/>
      <c r="N1" s="292"/>
      <c r="O1" s="293"/>
      <c r="P1" s="292"/>
      <c r="Q1" s="294"/>
      <c r="R1" s="292"/>
      <c r="S1" s="295"/>
    </row>
    <row r="2" spans="1:22" s="298" customFormat="1">
      <c r="A2" s="291" t="s">
        <v>45</v>
      </c>
      <c r="B2" s="297"/>
      <c r="C2" s="297"/>
      <c r="D2" s="297"/>
      <c r="E2" s="297"/>
      <c r="F2" s="297"/>
      <c r="G2" s="724"/>
      <c r="H2" s="297"/>
      <c r="I2" s="297"/>
      <c r="J2" s="297"/>
      <c r="K2" s="742"/>
      <c r="L2" s="297"/>
      <c r="M2" s="724"/>
      <c r="N2" s="297"/>
      <c r="O2" s="297"/>
      <c r="P2" s="297"/>
      <c r="Q2" s="297"/>
      <c r="R2" s="297"/>
      <c r="S2" s="297"/>
    </row>
    <row r="3" spans="1:22" s="298" customFormat="1">
      <c r="A3" s="291" t="s">
        <v>252</v>
      </c>
      <c r="B3" s="297"/>
      <c r="C3" s="297"/>
      <c r="D3" s="297"/>
      <c r="E3" s="297"/>
      <c r="F3" s="297"/>
      <c r="G3" s="724"/>
      <c r="H3" s="297"/>
      <c r="I3" s="297"/>
      <c r="J3" s="297"/>
      <c r="K3" s="742"/>
      <c r="L3" s="297"/>
      <c r="M3" s="724"/>
      <c r="N3" s="297"/>
      <c r="O3" s="297"/>
      <c r="P3" s="297"/>
      <c r="Q3" s="297"/>
      <c r="R3" s="297"/>
      <c r="S3" s="297"/>
    </row>
    <row r="4" spans="1:22" s="298" customFormat="1">
      <c r="A4" s="291" t="s">
        <v>253</v>
      </c>
      <c r="B4" s="297"/>
      <c r="C4" s="297"/>
      <c r="D4" s="297"/>
      <c r="E4" s="297"/>
      <c r="F4" s="297"/>
      <c r="G4" s="724"/>
      <c r="H4" s="297"/>
      <c r="I4" s="297"/>
      <c r="J4" s="297"/>
      <c r="K4" s="742"/>
      <c r="L4" s="297"/>
      <c r="M4" s="724"/>
      <c r="N4" s="297"/>
      <c r="O4" s="297"/>
      <c r="P4" s="297"/>
      <c r="Q4" s="297"/>
      <c r="R4" s="297"/>
      <c r="S4" s="297"/>
    </row>
    <row r="5" spans="1:22" s="298" customFormat="1">
      <c r="A5" s="291" t="str">
        <f>'[25]Test Period'!$B$2</f>
        <v>Base Period 12 Months Ending June 2013</v>
      </c>
      <c r="B5" s="297"/>
      <c r="C5" s="297"/>
      <c r="D5" s="297"/>
      <c r="E5" s="297"/>
      <c r="F5" s="297"/>
      <c r="G5" s="724"/>
      <c r="H5" s="297"/>
      <c r="I5" s="297"/>
      <c r="J5" s="297"/>
      <c r="K5" s="742"/>
      <c r="L5" s="297"/>
      <c r="M5" s="724"/>
      <c r="N5" s="297"/>
      <c r="O5" s="297"/>
      <c r="P5" s="297"/>
      <c r="Q5" s="297"/>
      <c r="R5" s="297"/>
      <c r="S5" s="297"/>
    </row>
    <row r="6" spans="1:22">
      <c r="A6" s="291" t="str">
        <f>'[25]Test Period'!$B$3</f>
        <v>Forecast Test Period 12 Months Ending June 2015</v>
      </c>
      <c r="B6" s="297"/>
      <c r="C6" s="297"/>
      <c r="D6" s="297"/>
      <c r="E6" s="297"/>
      <c r="F6" s="297"/>
      <c r="G6" s="724"/>
      <c r="H6" s="297"/>
      <c r="I6" s="297"/>
      <c r="J6" s="297"/>
      <c r="K6" s="742"/>
      <c r="L6" s="293"/>
      <c r="M6" s="737"/>
      <c r="N6" s="299"/>
      <c r="O6" s="299"/>
      <c r="P6" s="299"/>
      <c r="Q6" s="299"/>
      <c r="R6" s="299"/>
      <c r="S6" s="299"/>
    </row>
    <row r="7" spans="1:22">
      <c r="A7" s="291"/>
      <c r="B7" s="291"/>
      <c r="C7" s="291"/>
      <c r="D7" s="292"/>
      <c r="E7" s="291"/>
      <c r="F7" s="292"/>
      <c r="G7" s="723"/>
      <c r="H7" s="292"/>
      <c r="I7" s="292"/>
      <c r="J7" s="292"/>
      <c r="K7" s="293"/>
      <c r="L7" s="292"/>
      <c r="M7" s="737"/>
      <c r="N7" s="292"/>
      <c r="O7" s="293"/>
      <c r="P7" s="292"/>
      <c r="Q7" s="294"/>
      <c r="R7" s="292"/>
      <c r="S7" s="295"/>
    </row>
    <row r="8" spans="1:22" ht="12" customHeight="1">
      <c r="A8" s="291"/>
      <c r="B8" s="291"/>
      <c r="C8" s="291"/>
      <c r="D8" s="292"/>
      <c r="E8" s="291"/>
      <c r="F8" s="292"/>
      <c r="G8" s="723"/>
      <c r="H8" s="292"/>
      <c r="I8" s="292"/>
      <c r="J8" s="292"/>
      <c r="K8" s="293"/>
      <c r="L8" s="292"/>
      <c r="M8" s="747" t="s">
        <v>562</v>
      </c>
      <c r="N8" s="300"/>
      <c r="O8" s="300"/>
      <c r="P8" s="300"/>
      <c r="Q8" s="301"/>
      <c r="R8" s="300"/>
      <c r="S8" s="302"/>
    </row>
    <row r="9" spans="1:22">
      <c r="D9" s="303"/>
      <c r="E9" s="304"/>
      <c r="F9" s="303"/>
      <c r="G9" s="725" t="s">
        <v>28</v>
      </c>
      <c r="H9" s="303"/>
      <c r="I9" s="303"/>
      <c r="J9" s="303"/>
      <c r="K9" s="305" t="s">
        <v>254</v>
      </c>
      <c r="L9" s="303"/>
      <c r="M9" s="726" t="s">
        <v>67</v>
      </c>
      <c r="N9" s="306"/>
      <c r="O9" s="306"/>
      <c r="P9" s="306"/>
      <c r="Q9" s="306"/>
      <c r="R9" s="306"/>
      <c r="S9" s="307"/>
    </row>
    <row r="10" spans="1:22" s="308" customFormat="1">
      <c r="A10" s="308" t="s">
        <v>255</v>
      </c>
      <c r="D10" s="303"/>
      <c r="E10" s="304" t="s">
        <v>256</v>
      </c>
      <c r="F10" s="303"/>
      <c r="G10" s="726" t="s">
        <v>173</v>
      </c>
      <c r="H10" s="303"/>
      <c r="I10" s="303" t="s">
        <v>257</v>
      </c>
      <c r="J10" s="305"/>
      <c r="K10" s="303" t="s">
        <v>175</v>
      </c>
      <c r="L10" s="305"/>
      <c r="M10" s="726" t="s">
        <v>175</v>
      </c>
      <c r="N10" s="305"/>
      <c r="O10" s="306"/>
      <c r="P10" s="306"/>
      <c r="Q10" s="309"/>
      <c r="R10" s="305"/>
      <c r="S10" s="310" t="s">
        <v>259</v>
      </c>
    </row>
    <row r="11" spans="1:22" s="308" customFormat="1">
      <c r="A11" s="308" t="s">
        <v>260</v>
      </c>
      <c r="C11" s="304" t="s">
        <v>261</v>
      </c>
      <c r="E11" s="311" t="s">
        <v>260</v>
      </c>
      <c r="G11" s="727" t="s">
        <v>250</v>
      </c>
      <c r="I11" s="312" t="s">
        <v>250</v>
      </c>
      <c r="K11" s="313" t="s">
        <v>262</v>
      </c>
      <c r="M11" s="738" t="s">
        <v>262</v>
      </c>
      <c r="O11" s="312" t="s">
        <v>258</v>
      </c>
      <c r="Q11" s="314" t="s">
        <v>263</v>
      </c>
      <c r="S11" s="315" t="s">
        <v>264</v>
      </c>
    </row>
    <row r="12" spans="1:22" s="308" customFormat="1">
      <c r="C12" s="316">
        <v>-1</v>
      </c>
      <c r="D12" s="317"/>
      <c r="E12" s="316">
        <f>MIN($A12:D12)-1</f>
        <v>-2</v>
      </c>
      <c r="F12" s="317"/>
      <c r="G12" s="728">
        <f>MIN($A12:F12)-1</f>
        <v>-3</v>
      </c>
      <c r="H12" s="317"/>
      <c r="I12" s="316">
        <f>MIN($A12:H12)-1</f>
        <v>-4</v>
      </c>
      <c r="J12" s="317"/>
      <c r="K12" s="317">
        <f>MIN($A12:J12)-1</f>
        <v>-5</v>
      </c>
      <c r="L12" s="317"/>
      <c r="M12" s="728">
        <f>MIN($A12:L12)-1</f>
        <v>-6</v>
      </c>
      <c r="N12" s="317"/>
      <c r="O12" s="316">
        <f>MIN($A12:N12)-1</f>
        <v>-7</v>
      </c>
      <c r="P12" s="317"/>
      <c r="Q12" s="316">
        <f>MIN($A12:P12)-1</f>
        <v>-8</v>
      </c>
      <c r="R12" s="317"/>
      <c r="S12" s="316">
        <f>MIN($A12:R12)-1</f>
        <v>-9</v>
      </c>
    </row>
    <row r="13" spans="1:22" s="308" customFormat="1">
      <c r="D13" s="318"/>
      <c r="F13" s="318"/>
      <c r="G13" s="729"/>
      <c r="H13" s="318"/>
      <c r="I13" s="318"/>
      <c r="J13" s="318"/>
      <c r="K13" s="318"/>
      <c r="L13" s="318"/>
      <c r="M13" s="729"/>
      <c r="N13" s="318"/>
      <c r="O13" s="303" t="str">
        <f>"(" &amp; -M12&amp; ")-(" &amp; -K12 &amp; ")"</f>
        <v>(6)-(5)</v>
      </c>
      <c r="P13" s="318"/>
      <c r="Q13" s="303" t="str">
        <f>"(" &amp; -O12 &amp; ")/(" &amp; -K12 &amp; ")"</f>
        <v>(7)/(5)</v>
      </c>
      <c r="R13" s="318"/>
      <c r="S13" s="303" t="str">
        <f>"(" &amp; -M12 &amp; ")/(" &amp; -I12 &amp; ")"</f>
        <v>(6)/(4)</v>
      </c>
      <c r="U13" s="304" t="s">
        <v>563</v>
      </c>
    </row>
    <row r="14" spans="1:22" ht="18.75" customHeight="1">
      <c r="C14" s="308" t="s">
        <v>177</v>
      </c>
    </row>
    <row r="15" spans="1:22">
      <c r="A15" s="296">
        <v>1</v>
      </c>
      <c r="C15" s="296" t="s">
        <v>177</v>
      </c>
      <c r="E15" s="322" t="s">
        <v>265</v>
      </c>
      <c r="G15" s="731">
        <f>ROUND(([25]Blocking1!E11+[25]Blocking1!E31)/12,0)</f>
        <v>740189</v>
      </c>
      <c r="I15" s="323">
        <f>([25]Blocking1!E28+[25]Blocking1!E48)/1000</f>
        <v>6200666.1794248829</v>
      </c>
      <c r="K15" s="324">
        <f>([25]Blocking1!K28+[25]Blocking1!K48)/1000</f>
        <v>661256.86499999999</v>
      </c>
      <c r="L15" s="325"/>
      <c r="M15" s="739">
        <f>K15+O15</f>
        <v>677539.28099999996</v>
      </c>
      <c r="N15" s="325"/>
      <c r="O15" s="324">
        <f>ROUND(K15*Q15,3)</f>
        <v>16282.415999999999</v>
      </c>
      <c r="P15" s="326"/>
      <c r="Q15" s="327">
        <f>$O$56</f>
        <v>2.4623435148880476E-2</v>
      </c>
      <c r="S15" s="321">
        <f>ROUND(100*M15/I15,2)</f>
        <v>10.93</v>
      </c>
      <c r="U15" s="328">
        <f>M15-'[25]Table A1'!M15</f>
        <v>6.3559999999124557</v>
      </c>
      <c r="V15" s="329">
        <f>O15/K15</f>
        <v>2.4623435856503357E-2</v>
      </c>
    </row>
    <row r="16" spans="1:22">
      <c r="A16" s="296">
        <f>MAX(A$14:A15)+1</f>
        <v>2</v>
      </c>
      <c r="C16" s="296" t="s">
        <v>266</v>
      </c>
      <c r="E16" s="330">
        <v>2</v>
      </c>
      <c r="G16" s="731">
        <f>ROUND([25]Blocking1!E51/12,0)</f>
        <v>447</v>
      </c>
      <c r="I16" s="323">
        <f>[25]Blocking1!E70/1000</f>
        <v>3185.6706103628849</v>
      </c>
      <c r="K16" s="324">
        <f>([25]Blocking1!K70)/1000</f>
        <v>338.47300000000001</v>
      </c>
      <c r="L16" s="325"/>
      <c r="M16" s="739">
        <f>K16+O16</f>
        <v>346.80700000000002</v>
      </c>
      <c r="N16" s="325"/>
      <c r="O16" s="324">
        <f>ROUND(K16*Q16,3)</f>
        <v>8.3339999999999996</v>
      </c>
      <c r="P16" s="326"/>
      <c r="Q16" s="327">
        <f>$O$56</f>
        <v>2.4623435148880476E-2</v>
      </c>
      <c r="S16" s="321">
        <f>ROUND(100*M16/I16,2)</f>
        <v>10.89</v>
      </c>
      <c r="U16" s="328">
        <f>M16-'[25]Table A1'!M16</f>
        <v>-6.4149999999999636</v>
      </c>
      <c r="V16" s="329">
        <f t="shared" ref="V16:V51" si="0">O16/K16</f>
        <v>2.4622348015942184E-2</v>
      </c>
    </row>
    <row r="17" spans="1:26">
      <c r="A17" s="296">
        <f>MAX(A$14:A16)+1</f>
        <v>3</v>
      </c>
      <c r="C17" s="331" t="s">
        <v>191</v>
      </c>
      <c r="E17" s="332" t="s">
        <v>267</v>
      </c>
      <c r="G17" s="732"/>
      <c r="I17" s="333"/>
      <c r="K17" s="334">
        <f>[25]Blocking1!K1175/1000</f>
        <v>33.04027</v>
      </c>
      <c r="L17" s="325"/>
      <c r="M17" s="740">
        <f>K17+O17</f>
        <v>33.04027</v>
      </c>
      <c r="N17" s="325"/>
      <c r="O17" s="335">
        <v>0</v>
      </c>
      <c r="Q17" s="336">
        <v>0</v>
      </c>
      <c r="S17" s="337"/>
      <c r="U17" s="338">
        <f>M17-'[25]Table A1'!M17</f>
        <v>0</v>
      </c>
      <c r="V17" s="329">
        <f t="shared" si="0"/>
        <v>0</v>
      </c>
    </row>
    <row r="18" spans="1:26">
      <c r="A18" s="296">
        <f>MAX(A$14:A17)+1</f>
        <v>4</v>
      </c>
      <c r="C18" s="308" t="s">
        <v>268</v>
      </c>
      <c r="G18" s="731">
        <f>SUM(G15:G17)</f>
        <v>740636</v>
      </c>
      <c r="I18" s="323">
        <f>SUM(I15:I17)</f>
        <v>6203851.8500352455</v>
      </c>
      <c r="K18" s="324">
        <f>SUM(K15:K17)</f>
        <v>661628.37826999999</v>
      </c>
      <c r="L18" s="325"/>
      <c r="M18" s="739">
        <f>SUM(M15:M17)</f>
        <v>677919.12826999999</v>
      </c>
      <c r="N18" s="325"/>
      <c r="O18" s="324">
        <f>SUM(O15:O17)</f>
        <v>16290.75</v>
      </c>
      <c r="Q18" s="327">
        <f t="shared" ref="Q18" si="1">O18/K18</f>
        <v>2.4622205659612751E-2</v>
      </c>
      <c r="S18" s="321">
        <f>ROUND(100*M18/I18,2)</f>
        <v>10.93</v>
      </c>
      <c r="U18" s="328">
        <f>SUM(U15:U17)</f>
        <v>-5.9000000087507942E-2</v>
      </c>
      <c r="V18" s="329">
        <f t="shared" si="0"/>
        <v>2.4622205659612751E-2</v>
      </c>
    </row>
    <row r="19" spans="1:26" ht="24.75" customHeight="1">
      <c r="C19" s="308" t="s">
        <v>269</v>
      </c>
      <c r="G19" s="731"/>
      <c r="I19" s="323"/>
      <c r="K19" s="743"/>
      <c r="L19" s="325"/>
      <c r="M19" s="739"/>
      <c r="N19" s="325"/>
      <c r="O19" s="324"/>
      <c r="Q19" s="339"/>
      <c r="U19" s="328"/>
      <c r="V19" s="329"/>
    </row>
    <row r="20" spans="1:26">
      <c r="A20" s="296">
        <f>MAX(A$14:A19)+1</f>
        <v>5</v>
      </c>
      <c r="C20" s="296" t="s">
        <v>270</v>
      </c>
      <c r="E20" s="340">
        <v>6</v>
      </c>
      <c r="G20" s="731">
        <f>ROUND([25]Blocking1!E73/12,0)</f>
        <v>13072</v>
      </c>
      <c r="I20" s="323">
        <f>SUM([25]Blocking1!E85)/1000</f>
        <v>5783806.2612344306</v>
      </c>
      <c r="K20" s="324">
        <f>([25]Blocking1!K85)/1000</f>
        <v>486920.87699999998</v>
      </c>
      <c r="L20" s="325"/>
      <c r="M20" s="739">
        <f>K20+O20</f>
        <v>489659.04499999998</v>
      </c>
      <c r="N20" s="325"/>
      <c r="O20" s="324">
        <f>ROUND(K20*Q20,3)</f>
        <v>2738.1680000000001</v>
      </c>
      <c r="P20" s="326"/>
      <c r="Q20" s="327">
        <f>$O$57</f>
        <v>5.6234351488804752E-3</v>
      </c>
      <c r="S20" s="321">
        <f t="shared" ref="S20:S36" si="2">ROUND(100*M20/I20,2)</f>
        <v>8.4700000000000006</v>
      </c>
      <c r="U20" s="328">
        <f>M20-'[25]Table A1'!M20</f>
        <v>-44.508000000030734</v>
      </c>
      <c r="V20" s="329">
        <f>O20/K20</f>
        <v>5.6234352013622953E-3</v>
      </c>
    </row>
    <row r="21" spans="1:26">
      <c r="A21" s="296">
        <f>MAX(A$14:A20)+1</f>
        <v>6</v>
      </c>
      <c r="C21" s="296" t="s">
        <v>271</v>
      </c>
      <c r="E21" s="330" t="s">
        <v>272</v>
      </c>
      <c r="G21" s="731">
        <f>ROUND([25]Blocking1!E178/12,0)</f>
        <v>2276</v>
      </c>
      <c r="I21" s="323">
        <f>SUM([25]Blocking1!E187)/1000</f>
        <v>292031.09985016566</v>
      </c>
      <c r="K21" s="324">
        <f>([25]Blocking1!K187)/1000</f>
        <v>33689.550999999999</v>
      </c>
      <c r="L21" s="325"/>
      <c r="M21" s="739">
        <f>K21+O21</f>
        <v>33879.002</v>
      </c>
      <c r="N21" s="325"/>
      <c r="O21" s="324">
        <f t="shared" ref="O21:O22" si="3">ROUND(K21*Q21,3)</f>
        <v>189.45099999999999</v>
      </c>
      <c r="Q21" s="327">
        <f t="shared" ref="Q21:Q22" si="4">$O$57</f>
        <v>5.6234351488804752E-3</v>
      </c>
      <c r="S21" s="321">
        <f t="shared" si="2"/>
        <v>11.6</v>
      </c>
      <c r="U21" s="328">
        <f>M21-'[25]Table A1'!M21</f>
        <v>-1.299999999901047E-2</v>
      </c>
      <c r="V21" s="329">
        <f t="shared" si="0"/>
        <v>5.623434993241673E-3</v>
      </c>
    </row>
    <row r="22" spans="1:26">
      <c r="A22" s="296">
        <f>MAX(A$14:A21)+1</f>
        <v>7</v>
      </c>
      <c r="C22" s="296" t="s">
        <v>273</v>
      </c>
      <c r="E22" s="330" t="s">
        <v>274</v>
      </c>
      <c r="G22" s="733">
        <f>ROUND([25]Blocking1!E133/12,0)</f>
        <v>37</v>
      </c>
      <c r="I22" s="341">
        <f>[25]Blocking1!E145/1000</f>
        <v>3907.4969999999998</v>
      </c>
      <c r="K22" s="334">
        <f>[25]Blocking1!K145/1000</f>
        <v>340.60899999999998</v>
      </c>
      <c r="L22" s="325"/>
      <c r="M22" s="740">
        <f>K22+O22</f>
        <v>342.524</v>
      </c>
      <c r="N22" s="325"/>
      <c r="O22" s="334">
        <f t="shared" si="3"/>
        <v>1.915</v>
      </c>
      <c r="Q22" s="342">
        <f t="shared" si="4"/>
        <v>5.6234351488804752E-3</v>
      </c>
      <c r="S22" s="337">
        <f t="shared" si="2"/>
        <v>8.77</v>
      </c>
      <c r="U22" s="338">
        <f>M22-'[25]Table A1'!M22</f>
        <v>9.3000000000017735E-2</v>
      </c>
      <c r="V22" s="329">
        <f t="shared" si="0"/>
        <v>5.6222824411568699E-3</v>
      </c>
    </row>
    <row r="23" spans="1:26">
      <c r="A23" s="296">
        <f>MAX(A$14:A22)+1</f>
        <v>8</v>
      </c>
      <c r="C23" s="343" t="s">
        <v>275</v>
      </c>
      <c r="G23" s="731">
        <f>SUM(G20:G22)</f>
        <v>15385</v>
      </c>
      <c r="I23" s="323">
        <f>SUM(I20:I22)</f>
        <v>6079744.8580845967</v>
      </c>
      <c r="K23" s="324">
        <f>SUM(K20:K22)</f>
        <v>520951.03699999995</v>
      </c>
      <c r="L23" s="325"/>
      <c r="M23" s="739">
        <f>SUM(M20:M22)</f>
        <v>523880.57099999994</v>
      </c>
      <c r="N23" s="325"/>
      <c r="O23" s="324">
        <f>SUM(O20:O22)</f>
        <v>2929.5340000000001</v>
      </c>
      <c r="Q23" s="327">
        <f t="shared" ref="Q23:Q39" si="5">O23/K23</f>
        <v>5.6234344342038431E-3</v>
      </c>
      <c r="S23" s="321">
        <f t="shared" si="2"/>
        <v>8.6199999999999992</v>
      </c>
      <c r="U23" s="328">
        <f>SUM(U20:U22)</f>
        <v>-44.428000000029726</v>
      </c>
      <c r="V23" s="329">
        <f t="shared" si="0"/>
        <v>5.6234344342038431E-3</v>
      </c>
    </row>
    <row r="24" spans="1:26" ht="23.1" customHeight="1">
      <c r="A24" s="296">
        <f>MAX(A$14:A23)+1</f>
        <v>9</v>
      </c>
      <c r="C24" s="331" t="s">
        <v>276</v>
      </c>
      <c r="E24" s="296">
        <v>8</v>
      </c>
      <c r="F24" s="323"/>
      <c r="G24" s="731">
        <f>ROUND([25]Blocking1!E426/12,0)</f>
        <v>274</v>
      </c>
      <c r="I24" s="323">
        <f>[25]Blocking1!E435/1000</f>
        <v>2187047.3255884075</v>
      </c>
      <c r="K24" s="324">
        <f>([25]Blocking1!K435)/1000</f>
        <v>162435.073</v>
      </c>
      <c r="L24" s="325"/>
      <c r="M24" s="739">
        <f>K24+O24</f>
        <v>165622.60700000002</v>
      </c>
      <c r="N24" s="325"/>
      <c r="O24" s="324">
        <f t="shared" ref="O24:O26" si="6">ROUND(K24*Q24,3)</f>
        <v>3187.5340000000001</v>
      </c>
      <c r="Q24" s="327">
        <f>$O$58</f>
        <v>1.9623435148880475E-2</v>
      </c>
      <c r="S24" s="321">
        <f t="shared" si="2"/>
        <v>7.57</v>
      </c>
      <c r="U24" s="328">
        <f>M24-'[25]Table A1'!M24</f>
        <v>35.853000000031898</v>
      </c>
      <c r="V24" s="329">
        <f t="shared" si="0"/>
        <v>1.9623434404465099E-2</v>
      </c>
    </row>
    <row r="25" spans="1:26" ht="23.1" customHeight="1">
      <c r="A25" s="296">
        <f>MAX(A$14:A24)+1</f>
        <v>10</v>
      </c>
      <c r="C25" s="296" t="s">
        <v>277</v>
      </c>
      <c r="E25" s="296">
        <v>9</v>
      </c>
      <c r="G25" s="731">
        <f>ROUND([25]Blocking1!E462/12,0)</f>
        <v>149</v>
      </c>
      <c r="I25" s="323">
        <f>([25]Blocking1!E470)/1000</f>
        <v>5027435.5407653069</v>
      </c>
      <c r="K25" s="324">
        <f>([25]Blocking1!K470)/1000</f>
        <v>271735.00799999997</v>
      </c>
      <c r="L25" s="325"/>
      <c r="M25" s="739">
        <f>K25+O25</f>
        <v>280871.67199999996</v>
      </c>
      <c r="N25" s="325"/>
      <c r="O25" s="324">
        <f t="shared" si="6"/>
        <v>9136.6640000000007</v>
      </c>
      <c r="Q25" s="327">
        <f>$O$59</f>
        <v>3.3623435148880478E-2</v>
      </c>
      <c r="S25" s="321">
        <f t="shared" si="2"/>
        <v>5.59</v>
      </c>
      <c r="U25" s="328">
        <f>M25-'[25]Table A1'!M25</f>
        <v>335.13099999993574</v>
      </c>
      <c r="V25" s="329">
        <f t="shared" si="0"/>
        <v>3.3623433606316935E-2</v>
      </c>
      <c r="Z25" s="324">
        <f>'Table A GRC'!M36*SUM([25]Blocking1!K1095:K1100)/[25]Blocking1!K1101</f>
        <v>26949.494536150338</v>
      </c>
    </row>
    <row r="26" spans="1:26">
      <c r="A26" s="296">
        <f>MAX(A$14:A25)+1</f>
        <v>11</v>
      </c>
      <c r="C26" s="296" t="s">
        <v>278</v>
      </c>
      <c r="E26" s="330" t="s">
        <v>279</v>
      </c>
      <c r="G26" s="733">
        <f>ROUND([25]Blocking1!E506/12,0)</f>
        <v>9</v>
      </c>
      <c r="I26" s="341">
        <f>[25]Blocking1!E511/1000</f>
        <v>42590.781425473026</v>
      </c>
      <c r="K26" s="334">
        <f>[25]Blocking1!K511/1000</f>
        <v>3139.413</v>
      </c>
      <c r="L26" s="325"/>
      <c r="M26" s="740">
        <f>K26+O26</f>
        <v>3244.971</v>
      </c>
      <c r="N26" s="325"/>
      <c r="O26" s="334">
        <f t="shared" si="6"/>
        <v>105.55800000000001</v>
      </c>
      <c r="Q26" s="342">
        <f>$O$59</f>
        <v>3.3623435148880478E-2</v>
      </c>
      <c r="S26" s="337">
        <f t="shared" si="2"/>
        <v>7.62</v>
      </c>
      <c r="U26" s="338">
        <f>M26-'[25]Table A1'!M26</f>
        <v>7.0000000000618456E-3</v>
      </c>
      <c r="V26" s="329">
        <f t="shared" si="0"/>
        <v>3.36234831161112E-2</v>
      </c>
      <c r="Z26" s="324">
        <f>Z25+Z33</f>
        <v>29607.972999999998</v>
      </c>
    </row>
    <row r="27" spans="1:26">
      <c r="A27" s="296">
        <f>MAX(A$14:A26)+1</f>
        <v>12</v>
      </c>
      <c r="C27" s="343" t="s">
        <v>280</v>
      </c>
      <c r="G27" s="731">
        <f>SUM(G25:G26)</f>
        <v>158</v>
      </c>
      <c r="I27" s="323">
        <f>SUM(I25:I26)</f>
        <v>5070026.3221907802</v>
      </c>
      <c r="K27" s="324">
        <f>SUM(K25:K26)</f>
        <v>274874.42099999997</v>
      </c>
      <c r="L27" s="325"/>
      <c r="M27" s="739">
        <f>SUM(M25:M26)</f>
        <v>284116.64299999998</v>
      </c>
      <c r="N27" s="325"/>
      <c r="O27" s="324">
        <f>SUM(O25:O26)</f>
        <v>9242.2220000000016</v>
      </c>
      <c r="Q27" s="327">
        <f t="shared" si="5"/>
        <v>3.3623434171781312E-2</v>
      </c>
      <c r="S27" s="321">
        <f t="shared" si="2"/>
        <v>5.6</v>
      </c>
      <c r="U27" s="328">
        <f>SUM(U25:U26)</f>
        <v>335.1379999999358</v>
      </c>
      <c r="V27" s="329">
        <f t="shared" si="0"/>
        <v>3.3623434171781312E-2</v>
      </c>
    </row>
    <row r="28" spans="1:26" ht="23.1" customHeight="1">
      <c r="A28" s="296">
        <f>MAX(A$14:A27)+1</f>
        <v>13</v>
      </c>
      <c r="C28" s="296" t="s">
        <v>244</v>
      </c>
      <c r="E28" s="330">
        <v>10</v>
      </c>
      <c r="G28" s="731">
        <f>[25]Blocking1!E530+[25]Blocking1!E531</f>
        <v>2784.3333333333335</v>
      </c>
      <c r="I28" s="323">
        <f>[25]Blocking1!E543/1000</f>
        <v>173133.39199999999</v>
      </c>
      <c r="K28" s="324">
        <f>([25]Blocking1!K543)/1000</f>
        <v>12709.311</v>
      </c>
      <c r="L28" s="325"/>
      <c r="M28" s="739">
        <f>K28+O28</f>
        <v>13073.094999999999</v>
      </c>
      <c r="N28" s="325"/>
      <c r="O28" s="324">
        <f t="shared" ref="O28:O29" si="7">ROUND(K28*Q28,3)</f>
        <v>363.78399999999999</v>
      </c>
      <c r="Q28" s="327">
        <f>$O$60</f>
        <v>2.8623435148880477E-2</v>
      </c>
      <c r="S28" s="321">
        <f t="shared" si="2"/>
        <v>7.55</v>
      </c>
      <c r="U28" s="328">
        <f>M28-'[25]Table A1'!M28</f>
        <v>-1.3280000000013388</v>
      </c>
      <c r="V28" s="329">
        <f t="shared" si="0"/>
        <v>2.8623424196638197E-2</v>
      </c>
    </row>
    <row r="29" spans="1:26">
      <c r="A29" s="296">
        <f>MAX(A$14:A28)+1</f>
        <v>14</v>
      </c>
      <c r="C29" s="296" t="s">
        <v>281</v>
      </c>
      <c r="E29" s="330" t="s">
        <v>282</v>
      </c>
      <c r="G29" s="733">
        <f>[25]Blocking1!E546+[25]Blocking1!E547</f>
        <v>261</v>
      </c>
      <c r="I29" s="341">
        <f>[25]Blocking1!E559/1000</f>
        <v>16756.608</v>
      </c>
      <c r="K29" s="334">
        <f>([25]Blocking1!K559)/1000</f>
        <v>1239.4849999999999</v>
      </c>
      <c r="L29" s="325"/>
      <c r="M29" s="740">
        <f>K29+O29</f>
        <v>1274.963</v>
      </c>
      <c r="N29" s="325"/>
      <c r="O29" s="334">
        <f t="shared" si="7"/>
        <v>35.478000000000002</v>
      </c>
      <c r="Q29" s="342">
        <f>$O$60</f>
        <v>2.8623435148880477E-2</v>
      </c>
      <c r="S29" s="337">
        <f t="shared" si="2"/>
        <v>7.61</v>
      </c>
      <c r="U29" s="338">
        <f>M29-'[25]Table A1'!M29</f>
        <v>1.3260000000000218</v>
      </c>
      <c r="V29" s="329">
        <f t="shared" si="0"/>
        <v>2.8623178174806474E-2</v>
      </c>
    </row>
    <row r="30" spans="1:26">
      <c r="A30" s="296">
        <f>MAX(A$14:A29)+1</f>
        <v>15</v>
      </c>
      <c r="C30" s="343" t="s">
        <v>283</v>
      </c>
      <c r="G30" s="731">
        <f>SUM(G28:G29)</f>
        <v>3045.3333333333335</v>
      </c>
      <c r="I30" s="323">
        <f>SUM(I28:I29)</f>
        <v>189890</v>
      </c>
      <c r="K30" s="324">
        <f>SUM(K28:K29)</f>
        <v>13948.796</v>
      </c>
      <c r="L30" s="325"/>
      <c r="M30" s="739">
        <f>SUM(M28:M29)</f>
        <v>14348.057999999999</v>
      </c>
      <c r="N30" s="325"/>
      <c r="O30" s="324">
        <f>SUM(O28:O29)</f>
        <v>399.262</v>
      </c>
      <c r="Q30" s="327">
        <f t="shared" si="5"/>
        <v>2.8623402335226637E-2</v>
      </c>
      <c r="S30" s="321">
        <f t="shared" si="2"/>
        <v>7.56</v>
      </c>
      <c r="U30" s="328">
        <f>SUM(U28:U29)</f>
        <v>-2.0000000013169483E-3</v>
      </c>
      <c r="V30" s="329">
        <f t="shared" si="0"/>
        <v>2.8623402335226637E-2</v>
      </c>
    </row>
    <row r="31" spans="1:26" ht="23.1" customHeight="1">
      <c r="A31" s="296">
        <f>MAX(A$14:A30)+1</f>
        <v>16</v>
      </c>
      <c r="C31" s="296" t="s">
        <v>284</v>
      </c>
      <c r="E31" s="296">
        <v>21</v>
      </c>
      <c r="G31" s="731">
        <f>ROUND(([25]Blocking1!E758+[25]Blocking1!E765)/12,0)</f>
        <v>5</v>
      </c>
      <c r="I31" s="323">
        <f>[25]Blocking1!E771/1000</f>
        <v>4048.7003377015881</v>
      </c>
      <c r="K31" s="324">
        <f>([25]Blocking1!K771)/1000</f>
        <v>453.78500000000003</v>
      </c>
      <c r="L31" s="325"/>
      <c r="M31" s="739">
        <f t="shared" ref="M31:M37" si="8">K31+O31</f>
        <v>469.04300000000001</v>
      </c>
      <c r="N31" s="325"/>
      <c r="O31" s="324">
        <f t="shared" ref="O31:O36" si="9">ROUND(K31*Q31,3)</f>
        <v>15.257999999999999</v>
      </c>
      <c r="Q31" s="327">
        <f>$O$59</f>
        <v>3.3623435148880478E-2</v>
      </c>
      <c r="S31" s="321">
        <f t="shared" si="2"/>
        <v>11.59</v>
      </c>
      <c r="U31" s="328">
        <f>M31-'[25]Table A1'!M31</f>
        <v>0</v>
      </c>
      <c r="V31" s="329">
        <f t="shared" si="0"/>
        <v>3.3623852705576426E-2</v>
      </c>
    </row>
    <row r="32" spans="1:26">
      <c r="A32" s="296">
        <f>MAX(A$14:A31)+1</f>
        <v>17</v>
      </c>
      <c r="C32" s="296" t="s">
        <v>285</v>
      </c>
      <c r="E32" s="340">
        <v>23</v>
      </c>
      <c r="G32" s="731">
        <f>ROUND([25]Blocking1!E774/12,0)</f>
        <v>82668</v>
      </c>
      <c r="I32" s="323">
        <f>SUM([25]Blocking1!E784)/1000</f>
        <v>1390888.2107534346</v>
      </c>
      <c r="K32" s="324">
        <f>([25]Blocking1!K784)/1000</f>
        <v>137738.93700000001</v>
      </c>
      <c r="L32" s="325"/>
      <c r="M32" s="739">
        <f t="shared" si="8"/>
        <v>139064.459</v>
      </c>
      <c r="N32" s="325"/>
      <c r="O32" s="324">
        <f t="shared" si="9"/>
        <v>1325.5219999999999</v>
      </c>
      <c r="Q32" s="327">
        <f>$O$62</f>
        <v>9.6234351488804753E-3</v>
      </c>
      <c r="S32" s="321">
        <f t="shared" si="2"/>
        <v>10</v>
      </c>
      <c r="U32" s="328">
        <f>M32-'[25]Table A1'!M32</f>
        <v>7.9899999999906868</v>
      </c>
      <c r="V32" s="329">
        <f t="shared" si="0"/>
        <v>9.6234371258433621E-3</v>
      </c>
      <c r="W32" s="344" t="s">
        <v>564</v>
      </c>
      <c r="X32" s="344" t="s">
        <v>258</v>
      </c>
      <c r="Y32" s="344" t="s">
        <v>251</v>
      </c>
    </row>
    <row r="33" spans="1:26">
      <c r="A33" s="296">
        <f>MAX(A$14:A32)+1</f>
        <v>18</v>
      </c>
      <c r="C33" s="296" t="s">
        <v>286</v>
      </c>
      <c r="E33" s="296">
        <v>31</v>
      </c>
      <c r="G33" s="731">
        <f>ROUND(([25]Blocking1!E827+[25]Blocking1!E840+[25]Blocking1!E853)/12,0)</f>
        <v>4</v>
      </c>
      <c r="I33" s="323">
        <f>[25]Blocking1!E884/1000</f>
        <v>56282.44502511515</v>
      </c>
      <c r="K33" s="324">
        <f>[25]Blocking1!K884/1000</f>
        <v>4219.4679999999998</v>
      </c>
      <c r="L33" s="325"/>
      <c r="M33" s="739">
        <f t="shared" si="8"/>
        <v>4361.3409999999994</v>
      </c>
      <c r="N33" s="325"/>
      <c r="O33" s="324">
        <f t="shared" si="9"/>
        <v>141.87299999999999</v>
      </c>
      <c r="Q33" s="327">
        <f>$O$59</f>
        <v>3.3623435148880478E-2</v>
      </c>
      <c r="S33" s="321">
        <f t="shared" si="2"/>
        <v>7.75</v>
      </c>
      <c r="U33" s="328">
        <f>M33-'[25]Table A1'!M33</f>
        <v>-148.25900000000092</v>
      </c>
      <c r="V33" s="329">
        <f>O33/K33</f>
        <v>3.3623433096305028E-2</v>
      </c>
      <c r="W33" s="324">
        <f>'[25]Table A1'!M33</f>
        <v>4509.6000000000004</v>
      </c>
      <c r="X33" s="324">
        <f>W33-K33</f>
        <v>290.13200000000052</v>
      </c>
      <c r="Y33" s="329">
        <f>X33/K33</f>
        <v>6.8760327131287768E-2</v>
      </c>
      <c r="Z33" s="324">
        <f>'Table A GRC'!M36*SUM([25]Blocking1!K1082:K1091)/[25]Blocking1!K1101</f>
        <v>2658.4784638496608</v>
      </c>
    </row>
    <row r="34" spans="1:26">
      <c r="A34" s="296">
        <f>MAX(A$14:A33)+1</f>
        <v>19</v>
      </c>
      <c r="C34" s="331" t="s">
        <v>551</v>
      </c>
      <c r="E34" s="330" t="s">
        <v>267</v>
      </c>
      <c r="G34" s="731">
        <f>ROUND([25]Blocking1!E1070/12,0)</f>
        <v>1</v>
      </c>
      <c r="I34" s="323">
        <f>[25]Blocking1!E1074/1000</f>
        <v>535721.17000000004</v>
      </c>
      <c r="K34" s="324">
        <f>([25]Blocking1!K1074)/1000</f>
        <v>27176.952000000001</v>
      </c>
      <c r="L34" s="325"/>
      <c r="M34" s="739">
        <f t="shared" si="8"/>
        <v>27681.803</v>
      </c>
      <c r="N34" s="325"/>
      <c r="O34" s="345">
        <f t="shared" si="9"/>
        <v>504.851</v>
      </c>
      <c r="Q34" s="327">
        <f>$O$54</f>
        <v>1.8576435148880476E-2</v>
      </c>
      <c r="S34" s="321">
        <f t="shared" si="2"/>
        <v>5.17</v>
      </c>
      <c r="U34" s="328">
        <f>M34-'[25]Table A1'!M34</f>
        <v>0</v>
      </c>
      <c r="V34" s="329">
        <f t="shared" si="0"/>
        <v>1.8576439329914554E-2</v>
      </c>
    </row>
    <row r="35" spans="1:26">
      <c r="A35" s="296">
        <f>MAX(A$14:A34)+1</f>
        <v>20</v>
      </c>
      <c r="C35" s="331" t="s">
        <v>552</v>
      </c>
      <c r="E35" s="330" t="s">
        <v>267</v>
      </c>
      <c r="G35" s="731">
        <f>ROUND([25]Blocking1!E1077/12,0)</f>
        <v>1</v>
      </c>
      <c r="I35" s="323">
        <f>[25]Blocking1!E1079/1000</f>
        <v>795798.67578575748</v>
      </c>
      <c r="K35" s="324">
        <f>[25]Blocking1!K1079/1000</f>
        <v>35062.89</v>
      </c>
      <c r="L35" s="325"/>
      <c r="M35" s="739">
        <f t="shared" si="8"/>
        <v>35062.89</v>
      </c>
      <c r="N35" s="325"/>
      <c r="O35" s="345">
        <f t="shared" si="9"/>
        <v>0</v>
      </c>
      <c r="Q35" s="346">
        <f>O64</f>
        <v>0</v>
      </c>
      <c r="S35" s="321">
        <f t="shared" si="2"/>
        <v>4.41</v>
      </c>
      <c r="U35" s="328">
        <f>M35-'[25]Table A1'!M35</f>
        <v>0</v>
      </c>
      <c r="V35" s="329">
        <f t="shared" si="0"/>
        <v>0</v>
      </c>
      <c r="W35" s="344" t="s">
        <v>564</v>
      </c>
      <c r="X35" s="344" t="s">
        <v>258</v>
      </c>
      <c r="Y35" s="344" t="s">
        <v>251</v>
      </c>
    </row>
    <row r="36" spans="1:26">
      <c r="A36" s="296">
        <f>MAX(A$14:A35)+1</f>
        <v>21</v>
      </c>
      <c r="C36" s="331" t="s">
        <v>553</v>
      </c>
      <c r="E36" s="330" t="s">
        <v>267</v>
      </c>
      <c r="G36" s="731">
        <f>ROUND([25]Blocking1!E1082/12,0)</f>
        <v>1</v>
      </c>
      <c r="I36" s="323">
        <f>[25]Blocking1!E1101/1000</f>
        <v>621809.33325000003</v>
      </c>
      <c r="K36" s="324">
        <f>([25]Blocking1!K1101)/1000</f>
        <v>28644.834999999999</v>
      </c>
      <c r="L36" s="325"/>
      <c r="M36" s="739">
        <f t="shared" si="8"/>
        <v>29607.972999999998</v>
      </c>
      <c r="N36" s="325"/>
      <c r="O36" s="324">
        <f t="shared" si="9"/>
        <v>963.13800000000003</v>
      </c>
      <c r="Q36" s="327">
        <f>$O$59</f>
        <v>3.3623435148880478E-2</v>
      </c>
      <c r="S36" s="321">
        <f t="shared" si="2"/>
        <v>4.76</v>
      </c>
      <c r="U36" s="328">
        <f>M36-'[25]Table A1'!M36</f>
        <v>-186.15000000000146</v>
      </c>
      <c r="V36" s="329">
        <f>O36/K36</f>
        <v>3.3623443807583461E-2</v>
      </c>
      <c r="W36" s="324">
        <f>'[25]Table A1'!M36</f>
        <v>29794.123</v>
      </c>
      <c r="X36" s="324">
        <f>W36-K36</f>
        <v>1149.2880000000005</v>
      </c>
      <c r="Y36" s="329">
        <f>X36/K36</f>
        <v>4.012199756081683E-2</v>
      </c>
    </row>
    <row r="37" spans="1:26">
      <c r="A37" s="296">
        <f>MAX(A$14:A36)+1</f>
        <v>22</v>
      </c>
      <c r="C37" s="331" t="s">
        <v>191</v>
      </c>
      <c r="E37" s="332" t="s">
        <v>267</v>
      </c>
      <c r="G37" s="732"/>
      <c r="I37" s="333"/>
      <c r="K37" s="334">
        <f>([25]Blocking1!K1176+[25]Blocking1!K1177+[25]Blocking1!K1178+[25]Blocking1!K1180)/1000</f>
        <v>2927.6937100000005</v>
      </c>
      <c r="L37" s="325"/>
      <c r="M37" s="740">
        <f t="shared" si="8"/>
        <v>2927.6937100000005</v>
      </c>
      <c r="N37" s="325"/>
      <c r="O37" s="347">
        <v>0</v>
      </c>
      <c r="P37" s="348"/>
      <c r="Q37" s="336">
        <v>0</v>
      </c>
      <c r="S37" s="337"/>
      <c r="U37" s="328">
        <f>M37-'[25]Table A1'!M37</f>
        <v>0</v>
      </c>
      <c r="V37" s="329">
        <f t="shared" si="0"/>
        <v>0</v>
      </c>
    </row>
    <row r="38" spans="1:26">
      <c r="A38" s="296">
        <f>MAX(A$14:A37)+1</f>
        <v>23</v>
      </c>
      <c r="C38" s="308" t="s">
        <v>287</v>
      </c>
      <c r="G38" s="731">
        <f>SUM(G20:G22,G24:G26,G28:G29,G31:G37)</f>
        <v>101542.33333333333</v>
      </c>
      <c r="I38" s="323">
        <f>SUM(I20:I22,I24:I26,I28:I29,I31:I37)</f>
        <v>16931257.041015793</v>
      </c>
      <c r="K38" s="324">
        <f>SUM(K20:K22,K24:K26,K28:K29,K31:K37)</f>
        <v>1208433.8877099999</v>
      </c>
      <c r="L38" s="325"/>
      <c r="M38" s="739">
        <f>SUM(M20:M22,M24:M26,M28:M29,M31:M37)</f>
        <v>1227143.0817099998</v>
      </c>
      <c r="N38" s="325"/>
      <c r="O38" s="324">
        <f>SUM(O20:O22,O24:O26,O28:O29,O31:O37)</f>
        <v>18709.193999999996</v>
      </c>
      <c r="Q38" s="327">
        <f t="shared" si="5"/>
        <v>1.5482182509342067E-2</v>
      </c>
      <c r="S38" s="321">
        <f>ROUND(100*M38/I38,2)</f>
        <v>7.25</v>
      </c>
      <c r="U38" s="328">
        <f>SUM(U23,U24,U27,U30:U37)</f>
        <v>0.14199999992496259</v>
      </c>
      <c r="V38" s="329">
        <f t="shared" si="0"/>
        <v>1.5482182509342067E-2</v>
      </c>
    </row>
    <row r="39" spans="1:26" ht="31.5">
      <c r="A39" s="296">
        <f>MAX(A$14:A38)+1</f>
        <v>24</v>
      </c>
      <c r="C39" s="349" t="s">
        <v>565</v>
      </c>
      <c r="G39" s="731">
        <f>G38-SUM(G35,G37)</f>
        <v>101541.33333333333</v>
      </c>
      <c r="I39" s="323">
        <f>I38-SUM(I35,I37)</f>
        <v>16135458.365230035</v>
      </c>
      <c r="K39" s="324">
        <f>K38-SUM(K35,K37)</f>
        <v>1170443.304</v>
      </c>
      <c r="L39" s="325"/>
      <c r="M39" s="739">
        <f>M38-SUM(M35,M37)</f>
        <v>1189152.4979999999</v>
      </c>
      <c r="N39" s="325"/>
      <c r="O39" s="324">
        <f>O38-SUM(O35,O37)</f>
        <v>18709.193999999996</v>
      </c>
      <c r="Q39" s="327">
        <f t="shared" si="5"/>
        <v>1.5984707619806245E-2</v>
      </c>
      <c r="S39" s="321">
        <f>ROUND(100*M39/I39,2)</f>
        <v>7.37</v>
      </c>
      <c r="U39" s="328">
        <f>U38-U34-U37</f>
        <v>0.14199999992496259</v>
      </c>
      <c r="V39" s="329">
        <f t="shared" si="0"/>
        <v>1.5984707619806245E-2</v>
      </c>
    </row>
    <row r="40" spans="1:26" ht="28.5" customHeight="1">
      <c r="C40" s="308" t="s">
        <v>288</v>
      </c>
      <c r="G40" s="731"/>
      <c r="I40" s="323"/>
      <c r="K40" s="324"/>
      <c r="L40" s="325"/>
      <c r="M40" s="739"/>
      <c r="N40" s="325"/>
      <c r="O40" s="324"/>
      <c r="Q40" s="339"/>
      <c r="U40" s="328"/>
      <c r="V40" s="329"/>
    </row>
    <row r="41" spans="1:26">
      <c r="A41" s="296">
        <f>MAX(A$14:A40)+1</f>
        <v>25</v>
      </c>
      <c r="C41" s="296" t="s">
        <v>289</v>
      </c>
      <c r="E41" s="296">
        <v>7</v>
      </c>
      <c r="G41" s="731">
        <f>[25]Blocking1!E262</f>
        <v>8046</v>
      </c>
      <c r="I41" s="323">
        <f>[25]Blocking1!E263/1000</f>
        <v>12440.930563737753</v>
      </c>
      <c r="K41" s="324">
        <f>([25]Blocking1!K263)/1000</f>
        <v>2999.06</v>
      </c>
      <c r="L41" s="325"/>
      <c r="M41" s="739">
        <f t="shared" ref="M41:M48" si="10">K41+O41</f>
        <v>2999.06</v>
      </c>
      <c r="N41" s="325"/>
      <c r="O41" s="324">
        <f t="shared" ref="O41:O45" si="11">ROUND(K41*Q41,3)</f>
        <v>0</v>
      </c>
      <c r="Q41" s="327">
        <f>$O$65</f>
        <v>0</v>
      </c>
      <c r="S41" s="321">
        <f t="shared" ref="S41:S47" si="12">ROUND(100*M41/I41,2)</f>
        <v>24.11</v>
      </c>
      <c r="U41" s="328">
        <f>M41-'[25]Table A1'!M41</f>
        <v>0</v>
      </c>
      <c r="V41" s="329">
        <f t="shared" si="0"/>
        <v>0</v>
      </c>
    </row>
    <row r="42" spans="1:26">
      <c r="A42" s="296">
        <f>MAX(A$14:A41)+1</f>
        <v>26</v>
      </c>
      <c r="C42" s="296" t="s">
        <v>290</v>
      </c>
      <c r="E42" s="296">
        <v>11</v>
      </c>
      <c r="G42" s="731">
        <f>[25]Blocking1!E609</f>
        <v>809.41666666666663</v>
      </c>
      <c r="I42" s="323">
        <f>[25]Blocking1!E611/1000</f>
        <v>16496.197391013095</v>
      </c>
      <c r="K42" s="324">
        <f>([25]Blocking1!K611)/1000</f>
        <v>4979.3900000000003</v>
      </c>
      <c r="L42" s="325"/>
      <c r="M42" s="739">
        <f t="shared" si="10"/>
        <v>4979.3900000000003</v>
      </c>
      <c r="N42" s="325"/>
      <c r="O42" s="324">
        <f t="shared" si="11"/>
        <v>0</v>
      </c>
      <c r="Q42" s="327">
        <f>$O$65</f>
        <v>0</v>
      </c>
      <c r="S42" s="321">
        <f t="shared" si="12"/>
        <v>30.19</v>
      </c>
      <c r="U42" s="328">
        <f>M42-'[25]Table A1'!M42</f>
        <v>0</v>
      </c>
      <c r="V42" s="329">
        <f t="shared" si="0"/>
        <v>0</v>
      </c>
    </row>
    <row r="43" spans="1:26">
      <c r="A43" s="296">
        <f>MAX(A$14:A42)+1</f>
        <v>27</v>
      </c>
      <c r="C43" s="296" t="s">
        <v>291</v>
      </c>
      <c r="E43" s="296">
        <v>12</v>
      </c>
      <c r="G43" s="731">
        <f>[25]Blocking1!E692</f>
        <v>839</v>
      </c>
      <c r="I43" s="350">
        <f>[25]Blocking1!E694/1000</f>
        <v>56516.774129293255</v>
      </c>
      <c r="K43" s="324">
        <f>([25]Blocking1!K694)/1000</f>
        <v>4144.8670000000002</v>
      </c>
      <c r="L43" s="325"/>
      <c r="M43" s="739">
        <f t="shared" si="10"/>
        <v>4144.8670000000002</v>
      </c>
      <c r="N43" s="325"/>
      <c r="O43" s="324">
        <f t="shared" si="11"/>
        <v>0</v>
      </c>
      <c r="Q43" s="327">
        <f>$O$65</f>
        <v>0</v>
      </c>
      <c r="S43" s="321">
        <f t="shared" si="12"/>
        <v>7.33</v>
      </c>
      <c r="U43" s="328">
        <f>M43-'[25]Table A1'!M43</f>
        <v>0</v>
      </c>
      <c r="V43" s="329">
        <f t="shared" si="0"/>
        <v>0</v>
      </c>
    </row>
    <row r="44" spans="1:26">
      <c r="A44" s="296">
        <f>MAX(A$14:A43)+1</f>
        <v>28</v>
      </c>
      <c r="C44" s="296" t="s">
        <v>341</v>
      </c>
      <c r="E44" s="296">
        <v>15</v>
      </c>
      <c r="G44" s="731">
        <f>ROUND([25]Blocking1!E733/12,0)</f>
        <v>2466</v>
      </c>
      <c r="I44" s="350">
        <f>[25]Blocking1!E736/1000</f>
        <v>6177.9471587633907</v>
      </c>
      <c r="K44" s="324">
        <f>([25]Blocking1!K736)/1000</f>
        <v>682.02800000000002</v>
      </c>
      <c r="L44" s="351"/>
      <c r="M44" s="748">
        <f t="shared" si="10"/>
        <v>682.02800000000002</v>
      </c>
      <c r="N44" s="351"/>
      <c r="O44" s="352">
        <f t="shared" si="11"/>
        <v>0</v>
      </c>
      <c r="P44" s="353"/>
      <c r="Q44" s="354">
        <f>$O$61</f>
        <v>0</v>
      </c>
      <c r="R44" s="353"/>
      <c r="S44" s="355">
        <f t="shared" si="12"/>
        <v>11.04</v>
      </c>
      <c r="U44" s="328">
        <f>M44-'[25]Table A1'!M44</f>
        <v>0</v>
      </c>
      <c r="V44" s="329">
        <f t="shared" si="0"/>
        <v>0</v>
      </c>
    </row>
    <row r="45" spans="1:26">
      <c r="A45" s="296">
        <f>MAX(A$14:A44)+1</f>
        <v>29</v>
      </c>
      <c r="C45" s="296" t="s">
        <v>340</v>
      </c>
      <c r="E45" s="296">
        <v>15</v>
      </c>
      <c r="G45" s="733">
        <f>ROUND([25]Blocking1!E700/12,0)</f>
        <v>515</v>
      </c>
      <c r="I45" s="341">
        <f>([25]Blocking1!E703)/1000</f>
        <v>17536.444611929484</v>
      </c>
      <c r="K45" s="334">
        <f>([25]Blocking1!K703)/1000</f>
        <v>1234.6020000000001</v>
      </c>
      <c r="L45" s="325"/>
      <c r="M45" s="740">
        <f>K45+O45</f>
        <v>1234.6020000000001</v>
      </c>
      <c r="N45" s="325"/>
      <c r="O45" s="334">
        <f t="shared" si="11"/>
        <v>0</v>
      </c>
      <c r="Q45" s="342">
        <f>$O$65</f>
        <v>0</v>
      </c>
      <c r="S45" s="337">
        <f>ROUND(100*M45/I45,2)</f>
        <v>7.04</v>
      </c>
      <c r="U45" s="328">
        <f>M45-'[25]Table A1'!M45</f>
        <v>0</v>
      </c>
      <c r="V45" s="329">
        <f t="shared" si="0"/>
        <v>0</v>
      </c>
    </row>
    <row r="46" spans="1:26">
      <c r="A46" s="296">
        <f>MAX(A$14:A45)+1</f>
        <v>30</v>
      </c>
      <c r="C46" s="343" t="s">
        <v>292</v>
      </c>
      <c r="D46" s="356"/>
      <c r="F46" s="356"/>
      <c r="G46" s="731">
        <f>SUM(G41:G45)</f>
        <v>12675.416666666666</v>
      </c>
      <c r="H46" s="356"/>
      <c r="I46" s="323">
        <f>SUM(I41:I45)</f>
        <v>109168.29385473697</v>
      </c>
      <c r="J46" s="356"/>
      <c r="K46" s="324">
        <f>SUM(K41:K45)</f>
        <v>14039.947000000002</v>
      </c>
      <c r="L46" s="324"/>
      <c r="M46" s="739">
        <f>SUM(M41:N45)</f>
        <v>14039.947000000002</v>
      </c>
      <c r="N46" s="324"/>
      <c r="O46" s="324">
        <f>SUM(O41:P45)</f>
        <v>0</v>
      </c>
      <c r="P46" s="356"/>
      <c r="Q46" s="327">
        <f t="shared" ref="Q46:Q49" si="13">O46/K46</f>
        <v>0</v>
      </c>
      <c r="R46" s="356"/>
      <c r="S46" s="321">
        <f t="shared" si="12"/>
        <v>12.86</v>
      </c>
      <c r="U46" s="328">
        <f>SUM(U41:U45)</f>
        <v>0</v>
      </c>
      <c r="V46" s="329">
        <f t="shared" si="0"/>
        <v>0</v>
      </c>
    </row>
    <row r="47" spans="1:26" ht="23.1" customHeight="1">
      <c r="A47" s="296">
        <f>MAX(A$14:A46)+1</f>
        <v>31</v>
      </c>
      <c r="C47" s="331" t="s">
        <v>293</v>
      </c>
      <c r="E47" s="330" t="s">
        <v>267</v>
      </c>
      <c r="G47" s="731">
        <f>[25]Blocking1!E1152</f>
        <v>5</v>
      </c>
      <c r="I47" s="323">
        <f>[25]Blocking1!E1154/1000</f>
        <v>7.7366128294616923</v>
      </c>
      <c r="K47" s="324">
        <f>[25]Blocking1!K1154/1000</f>
        <v>0.58299999999999996</v>
      </c>
      <c r="L47" s="325"/>
      <c r="M47" s="739">
        <f t="shared" si="10"/>
        <v>0.58299999999999996</v>
      </c>
      <c r="N47" s="325"/>
      <c r="O47" s="357">
        <v>0</v>
      </c>
      <c r="P47" s="348"/>
      <c r="Q47" s="346">
        <v>0</v>
      </c>
      <c r="S47" s="321">
        <f t="shared" si="12"/>
        <v>7.54</v>
      </c>
      <c r="U47" s="328">
        <f>M47-'[25]Table A1'!M47</f>
        <v>0</v>
      </c>
      <c r="V47" s="329">
        <f t="shared" si="0"/>
        <v>0</v>
      </c>
    </row>
    <row r="48" spans="1:26">
      <c r="A48" s="296">
        <f>MAX(A$14:A47)+1</f>
        <v>32</v>
      </c>
      <c r="C48" s="331" t="s">
        <v>191</v>
      </c>
      <c r="D48" s="358"/>
      <c r="E48" s="332" t="s">
        <v>267</v>
      </c>
      <c r="F48" s="358"/>
      <c r="G48" s="734"/>
      <c r="H48" s="358"/>
      <c r="I48" s="359"/>
      <c r="J48" s="358"/>
      <c r="K48" s="334">
        <f>[25]Blocking1!K1179/1000</f>
        <v>4.6616400000000002</v>
      </c>
      <c r="L48" s="325"/>
      <c r="M48" s="740">
        <f t="shared" si="10"/>
        <v>4.6616400000000002</v>
      </c>
      <c r="N48" s="325"/>
      <c r="O48" s="347">
        <v>0</v>
      </c>
      <c r="P48" s="360"/>
      <c r="Q48" s="336">
        <v>0</v>
      </c>
      <c r="R48" s="358"/>
      <c r="S48" s="337"/>
      <c r="U48" s="338">
        <f>M48-'[25]Table A1'!M48</f>
        <v>0</v>
      </c>
      <c r="V48" s="329">
        <f t="shared" si="0"/>
        <v>0</v>
      </c>
    </row>
    <row r="49" spans="1:22">
      <c r="A49" s="296">
        <f>MAX(A$14:A48)+1</f>
        <v>33</v>
      </c>
      <c r="C49" s="308" t="s">
        <v>294</v>
      </c>
      <c r="E49" s="361"/>
      <c r="G49" s="733">
        <f>SUM(G47:G48)+G46</f>
        <v>12680.416666666666</v>
      </c>
      <c r="I49" s="341">
        <f>SUM(I47:I48)+I46</f>
        <v>109176.03046756644</v>
      </c>
      <c r="K49" s="334">
        <f>SUM(K47:K48)+K46</f>
        <v>14045.191640000003</v>
      </c>
      <c r="L49" s="325"/>
      <c r="M49" s="749">
        <f>SUM(M46:M48)</f>
        <v>14045.191640000003</v>
      </c>
      <c r="N49" s="325"/>
      <c r="O49" s="362">
        <f>SUM(O46:O48)</f>
        <v>0</v>
      </c>
      <c r="Q49" s="342">
        <f t="shared" si="13"/>
        <v>0</v>
      </c>
      <c r="S49" s="337">
        <f>ROUND(100*M49/I49,2)</f>
        <v>12.86</v>
      </c>
      <c r="U49" s="328">
        <f>SUM(U46:U48)</f>
        <v>0</v>
      </c>
      <c r="V49" s="329">
        <f t="shared" si="0"/>
        <v>0</v>
      </c>
    </row>
    <row r="50" spans="1:22" ht="27.75" customHeight="1" thickBot="1">
      <c r="A50" s="296">
        <f>MAX(A$14:A49)+1</f>
        <v>34</v>
      </c>
      <c r="C50" s="308" t="s">
        <v>295</v>
      </c>
      <c r="E50" s="361"/>
      <c r="G50" s="735">
        <f>G49+G38+G18</f>
        <v>854858.75</v>
      </c>
      <c r="I50" s="363">
        <f>I49+I38+I18</f>
        <v>23244284.921518605</v>
      </c>
      <c r="K50" s="364">
        <f>K49+K38+K18</f>
        <v>1884107.45762</v>
      </c>
      <c r="L50" s="325"/>
      <c r="M50" s="741">
        <f>M49+M38+M18</f>
        <v>1919107.4016199999</v>
      </c>
      <c r="N50" s="325"/>
      <c r="O50" s="364">
        <f>O49+O38+O18</f>
        <v>34999.943999999996</v>
      </c>
      <c r="Q50" s="365">
        <f>O50/K50</f>
        <v>1.8576405426584237E-2</v>
      </c>
      <c r="S50" s="366">
        <f>ROUND(100*M50/I50,2)</f>
        <v>8.26</v>
      </c>
      <c r="U50" s="367">
        <f>U18+U38+U49</f>
        <v>8.2999999837454652E-2</v>
      </c>
      <c r="V50" s="329">
        <f t="shared" si="0"/>
        <v>1.8576405426584237E-2</v>
      </c>
    </row>
    <row r="51" spans="1:22" ht="33" thickTop="1" thickBot="1">
      <c r="A51" s="296">
        <f>MAX(A$14:A50)+1</f>
        <v>35</v>
      </c>
      <c r="C51" s="368" t="s">
        <v>566</v>
      </c>
      <c r="E51" s="361"/>
      <c r="G51" s="735">
        <f>G46+G39+G18-G17</f>
        <v>854852.75</v>
      </c>
      <c r="I51" s="363">
        <f>I46+I39+I18-I17</f>
        <v>22448478.509120017</v>
      </c>
      <c r="K51" s="364">
        <f>K46+K39+K18-K17</f>
        <v>1846078.5889999999</v>
      </c>
      <c r="L51" s="325"/>
      <c r="M51" s="741">
        <f>M46+M39+M18-M17</f>
        <v>1881078.5329999998</v>
      </c>
      <c r="N51" s="325"/>
      <c r="O51" s="364">
        <f>O46+O39+O18-O17</f>
        <v>34999.943999999996</v>
      </c>
      <c r="Q51" s="365">
        <f>O51/K51</f>
        <v>1.8959075853297813E-2</v>
      </c>
      <c r="S51" s="366">
        <f>ROUND(100*M51/I51,2)</f>
        <v>8.3800000000000008</v>
      </c>
      <c r="U51" s="367">
        <f>U50-U17-U34-U37-U47-U48</f>
        <v>8.2999999837454652E-2</v>
      </c>
      <c r="V51" s="329">
        <f t="shared" si="0"/>
        <v>1.8959075853297813E-2</v>
      </c>
    </row>
    <row r="52" spans="1:22" ht="16.5" thickTop="1">
      <c r="A52" s="369"/>
      <c r="B52" s="369"/>
      <c r="C52" s="370"/>
      <c r="D52" s="326"/>
      <c r="E52" s="371"/>
      <c r="F52" s="326"/>
      <c r="G52" s="736"/>
      <c r="H52" s="326"/>
      <c r="I52" s="326"/>
      <c r="J52" s="326"/>
      <c r="K52" s="326"/>
      <c r="L52" s="326"/>
      <c r="M52" s="736"/>
      <c r="N52" s="326"/>
      <c r="O52" s="326"/>
      <c r="P52" s="326"/>
      <c r="Q52" s="372"/>
      <c r="R52" s="326"/>
      <c r="S52" s="373"/>
    </row>
    <row r="53" spans="1:22">
      <c r="A53" s="374" t="s">
        <v>567</v>
      </c>
      <c r="B53" s="375"/>
      <c r="C53" s="375"/>
      <c r="D53" s="326"/>
      <c r="E53" s="369"/>
      <c r="F53" s="326"/>
      <c r="G53" s="736"/>
      <c r="H53" s="326"/>
      <c r="I53" s="376"/>
      <c r="J53" s="376"/>
      <c r="K53" s="744"/>
      <c r="L53" s="377"/>
      <c r="M53" s="750" t="s">
        <v>568</v>
      </c>
      <c r="N53" s="377"/>
      <c r="O53" s="378">
        <v>35000</v>
      </c>
      <c r="P53" s="377"/>
      <c r="Q53" s="379"/>
      <c r="R53" s="326"/>
      <c r="S53" s="373"/>
    </row>
    <row r="54" spans="1:22">
      <c r="A54" s="369">
        <v>1</v>
      </c>
      <c r="B54" s="369"/>
      <c r="C54" s="380" t="s">
        <v>569</v>
      </c>
      <c r="D54" s="326"/>
      <c r="E54" s="369"/>
      <c r="F54" s="326"/>
      <c r="G54" s="736"/>
      <c r="H54" s="326"/>
      <c r="I54" s="376"/>
      <c r="J54" s="376"/>
      <c r="K54" s="745"/>
      <c r="L54" s="376"/>
      <c r="M54" s="751" t="s">
        <v>570</v>
      </c>
      <c r="N54" s="376"/>
      <c r="O54" s="381">
        <f>O53/K50</f>
        <v>1.8576435148880476E-2</v>
      </c>
      <c r="P54" s="376"/>
      <c r="Q54" s="382">
        <v>4.6999999999999997E-5</v>
      </c>
      <c r="R54" s="326"/>
      <c r="S54" s="373"/>
    </row>
    <row r="55" spans="1:22">
      <c r="A55" s="369">
        <v>2</v>
      </c>
      <c r="B55" s="369"/>
      <c r="C55" s="380" t="s">
        <v>571</v>
      </c>
      <c r="D55" s="326"/>
      <c r="E55" s="369"/>
      <c r="F55" s="326"/>
      <c r="G55" s="736"/>
      <c r="H55" s="326"/>
      <c r="I55" s="376"/>
      <c r="J55" s="376"/>
      <c r="K55" s="745"/>
      <c r="L55" s="376"/>
      <c r="M55" s="751" t="s">
        <v>572</v>
      </c>
      <c r="N55" s="376"/>
      <c r="O55" s="381">
        <f>O53/SUM(K15:K16,K23:K26,K30:K34,K36)</f>
        <v>1.910440052825043E-2</v>
      </c>
      <c r="P55" s="376"/>
      <c r="Q55" s="383"/>
      <c r="R55" s="326"/>
      <c r="S55" s="373"/>
    </row>
    <row r="56" spans="1:22">
      <c r="A56" s="369">
        <v>3</v>
      </c>
      <c r="B56" s="369"/>
      <c r="C56" s="380" t="s">
        <v>573</v>
      </c>
      <c r="D56" s="326"/>
      <c r="E56" s="369"/>
      <c r="F56" s="326"/>
      <c r="G56" s="736"/>
      <c r="H56" s="326"/>
      <c r="I56" s="376"/>
      <c r="J56" s="376"/>
      <c r="K56" s="745"/>
      <c r="L56" s="376"/>
      <c r="M56" s="752" t="s">
        <v>574</v>
      </c>
      <c r="N56" s="376"/>
      <c r="O56" s="381">
        <f>$O$54+Q56</f>
        <v>2.4623435148880476E-2</v>
      </c>
      <c r="P56" s="376"/>
      <c r="Q56" s="383">
        <f>0.6%+Q54</f>
        <v>6.0470000000000003E-3</v>
      </c>
      <c r="R56" s="326"/>
      <c r="S56" s="373"/>
    </row>
    <row r="57" spans="1:22">
      <c r="A57" s="369"/>
      <c r="B57" s="369"/>
      <c r="C57" s="380" t="s">
        <v>575</v>
      </c>
      <c r="D57" s="326"/>
      <c r="E57" s="369"/>
      <c r="F57" s="326"/>
      <c r="G57" s="736"/>
      <c r="H57" s="326"/>
      <c r="I57" s="376"/>
      <c r="J57" s="376"/>
      <c r="K57" s="745"/>
      <c r="L57" s="376"/>
      <c r="M57" s="753" t="s">
        <v>576</v>
      </c>
      <c r="N57" s="376"/>
      <c r="O57" s="381">
        <f>$O$54+Q57</f>
        <v>5.6234351488804752E-3</v>
      </c>
      <c r="P57" s="376"/>
      <c r="Q57" s="383">
        <f>-1.3%+Q54</f>
        <v>-1.2953000000000001E-2</v>
      </c>
      <c r="R57" s="326"/>
      <c r="S57" s="381"/>
    </row>
    <row r="58" spans="1:22">
      <c r="A58" s="369">
        <v>4</v>
      </c>
      <c r="B58" s="369"/>
      <c r="C58" s="380" t="s">
        <v>577</v>
      </c>
      <c r="D58" s="326"/>
      <c r="E58" s="369"/>
      <c r="F58" s="326"/>
      <c r="G58" s="736"/>
      <c r="H58" s="326"/>
      <c r="I58" s="376"/>
      <c r="J58" s="376"/>
      <c r="K58" s="745"/>
      <c r="L58" s="376"/>
      <c r="M58" s="753" t="s">
        <v>578</v>
      </c>
      <c r="N58" s="376"/>
      <c r="O58" s="381">
        <f t="shared" ref="O58:O60" si="14">$O$54+Q58</f>
        <v>1.9623435148880475E-2</v>
      </c>
      <c r="P58" s="376"/>
      <c r="Q58" s="383">
        <f>0.001+Q54</f>
        <v>1.047E-3</v>
      </c>
      <c r="R58" s="326"/>
      <c r="S58" s="381"/>
    </row>
    <row r="59" spans="1:22">
      <c r="A59" s="369">
        <v>5</v>
      </c>
      <c r="B59" s="369"/>
      <c r="C59" s="380" t="s">
        <v>579</v>
      </c>
      <c r="D59" s="326"/>
      <c r="E59" s="369"/>
      <c r="F59" s="326"/>
      <c r="G59" s="736"/>
      <c r="H59" s="326"/>
      <c r="I59" s="376"/>
      <c r="J59" s="376"/>
      <c r="K59" s="745"/>
      <c r="L59" s="376"/>
      <c r="M59" s="751" t="s">
        <v>580</v>
      </c>
      <c r="N59" s="376"/>
      <c r="O59" s="381">
        <f t="shared" si="14"/>
        <v>3.3623435148880478E-2</v>
      </c>
      <c r="P59" s="376"/>
      <c r="Q59" s="383">
        <f>1.5%+Q54</f>
        <v>1.5047E-2</v>
      </c>
      <c r="R59" s="326"/>
      <c r="S59" s="381"/>
    </row>
    <row r="60" spans="1:22">
      <c r="A60" s="369">
        <v>6</v>
      </c>
      <c r="B60" s="369"/>
      <c r="C60" s="380" t="s">
        <v>581</v>
      </c>
      <c r="D60" s="326"/>
      <c r="E60" s="369"/>
      <c r="F60" s="326"/>
      <c r="G60" s="736"/>
      <c r="H60" s="326"/>
      <c r="I60" s="376"/>
      <c r="J60" s="376"/>
      <c r="K60" s="745"/>
      <c r="L60" s="376"/>
      <c r="M60" s="751">
        <v>10</v>
      </c>
      <c r="N60" s="376"/>
      <c r="O60" s="381">
        <f t="shared" si="14"/>
        <v>2.8623435148880477E-2</v>
      </c>
      <c r="P60" s="376"/>
      <c r="Q60" s="383">
        <f>1%+Q54</f>
        <v>1.0047E-2</v>
      </c>
      <c r="R60" s="326"/>
      <c r="S60" s="381"/>
    </row>
    <row r="61" spans="1:22">
      <c r="A61" s="369"/>
      <c r="B61" s="369"/>
      <c r="C61" s="380"/>
      <c r="D61" s="326"/>
      <c r="E61" s="369"/>
      <c r="F61" s="326"/>
      <c r="G61" s="736"/>
      <c r="H61" s="326"/>
      <c r="I61" s="376"/>
      <c r="J61" s="376"/>
      <c r="K61" s="745"/>
      <c r="L61" s="376"/>
      <c r="M61" s="754" t="s">
        <v>582</v>
      </c>
      <c r="N61" s="376"/>
      <c r="O61" s="384">
        <v>0</v>
      </c>
      <c r="P61" s="376"/>
      <c r="Q61" s="383">
        <v>0</v>
      </c>
      <c r="R61" s="326"/>
      <c r="S61" s="381"/>
    </row>
    <row r="62" spans="1:22">
      <c r="A62" s="369"/>
      <c r="B62" s="369"/>
      <c r="C62" s="380"/>
      <c r="D62" s="326"/>
      <c r="E62" s="369"/>
      <c r="F62" s="326"/>
      <c r="G62" s="736"/>
      <c r="H62" s="326"/>
      <c r="I62" s="376"/>
      <c r="J62" s="376"/>
      <c r="K62" s="745"/>
      <c r="L62" s="376"/>
      <c r="M62" s="753" t="s">
        <v>583</v>
      </c>
      <c r="N62" s="376"/>
      <c r="O62" s="381">
        <f>$O$54+Q62</f>
        <v>9.6234351488804753E-3</v>
      </c>
      <c r="P62" s="376"/>
      <c r="Q62" s="383">
        <f>-0.9%+Q54</f>
        <v>-8.9530000000000009E-3</v>
      </c>
      <c r="R62" s="326"/>
      <c r="S62" s="381"/>
    </row>
    <row r="63" spans="1:22">
      <c r="A63" s="369"/>
      <c r="B63" s="369"/>
      <c r="C63" s="380"/>
      <c r="D63" s="326"/>
      <c r="E63" s="369"/>
      <c r="F63" s="326"/>
      <c r="G63" s="736"/>
      <c r="H63" s="326"/>
      <c r="I63" s="376"/>
      <c r="J63" s="376"/>
      <c r="K63" s="745"/>
      <c r="L63" s="376"/>
      <c r="M63" s="751" t="s">
        <v>551</v>
      </c>
      <c r="N63" s="376"/>
      <c r="O63" s="381">
        <f>O54</f>
        <v>1.8576435148880476E-2</v>
      </c>
      <c r="P63" s="376"/>
      <c r="Q63" s="383">
        <v>0</v>
      </c>
      <c r="R63" s="326"/>
      <c r="S63" s="381"/>
    </row>
    <row r="64" spans="1:22">
      <c r="A64" s="369"/>
      <c r="B64" s="369"/>
      <c r="C64" s="380"/>
      <c r="D64" s="326"/>
      <c r="E64" s="369"/>
      <c r="F64" s="326"/>
      <c r="G64" s="736"/>
      <c r="H64" s="326"/>
      <c r="I64" s="376"/>
      <c r="J64" s="376"/>
      <c r="K64" s="745"/>
      <c r="L64" s="376"/>
      <c r="M64" s="751" t="s">
        <v>552</v>
      </c>
      <c r="N64" s="376"/>
      <c r="O64" s="384">
        <v>0</v>
      </c>
      <c r="P64" s="376"/>
      <c r="Q64" s="383">
        <v>0</v>
      </c>
      <c r="R64" s="326"/>
      <c r="S64" s="381"/>
    </row>
    <row r="65" spans="1:19">
      <c r="A65" s="369"/>
      <c r="B65" s="369"/>
      <c r="C65" s="380"/>
      <c r="D65" s="326"/>
      <c r="E65" s="369"/>
      <c r="F65" s="326"/>
      <c r="G65" s="736"/>
      <c r="H65" s="326"/>
      <c r="I65" s="376"/>
      <c r="J65" s="326"/>
      <c r="K65" s="746"/>
      <c r="L65" s="385"/>
      <c r="M65" s="755" t="s">
        <v>584</v>
      </c>
      <c r="N65" s="385"/>
      <c r="O65" s="386">
        <v>0</v>
      </c>
      <c r="P65" s="385"/>
      <c r="Q65" s="387">
        <v>0</v>
      </c>
      <c r="R65" s="326"/>
      <c r="S65" s="381"/>
    </row>
    <row r="66" spans="1:19">
      <c r="A66" s="369"/>
      <c r="B66" s="369"/>
      <c r="C66" s="380"/>
      <c r="D66" s="326"/>
      <c r="E66" s="369"/>
      <c r="F66" s="326"/>
      <c r="G66" s="736"/>
      <c r="H66" s="326"/>
      <c r="I66" s="376"/>
      <c r="J66" s="326"/>
      <c r="K66" s="326"/>
      <c r="L66" s="326"/>
      <c r="M66" s="756"/>
      <c r="N66" s="326"/>
      <c r="O66" s="381"/>
      <c r="P66" s="326"/>
      <c r="Q66" s="388"/>
      <c r="R66" s="326"/>
      <c r="S66" s="381"/>
    </row>
    <row r="67" spans="1:19">
      <c r="A67" s="369"/>
      <c r="B67" s="369"/>
      <c r="C67" s="234" t="s">
        <v>337</v>
      </c>
      <c r="D67" s="235"/>
      <c r="E67" s="236"/>
      <c r="F67" s="235"/>
      <c r="G67" s="236">
        <v>3</v>
      </c>
      <c r="H67" s="235"/>
      <c r="I67" s="237">
        <f>('Blocking GRC'!E31+'Blocking GRC'!E41+'Blocking GRC'!E42)/12</f>
        <v>30934.666666666668</v>
      </c>
      <c r="J67" s="235"/>
      <c r="K67" s="237">
        <f>'Blocking GRC'!E48/1000</f>
        <v>208458.9107108553</v>
      </c>
      <c r="L67" s="235"/>
      <c r="M67" s="757">
        <f>('Blocking GRC'!K56+'Blocking GRC'!K48)/1000</f>
        <v>22879.002</v>
      </c>
      <c r="N67" s="326"/>
      <c r="O67" s="381"/>
      <c r="P67" s="326"/>
      <c r="Q67" s="389"/>
      <c r="R67" s="326"/>
      <c r="S67" s="373"/>
    </row>
    <row r="68" spans="1:19">
      <c r="A68" s="369"/>
      <c r="B68" s="369"/>
      <c r="C68" s="234" t="s">
        <v>337</v>
      </c>
      <c r="D68" s="233"/>
      <c r="E68" s="232"/>
      <c r="F68" s="233"/>
      <c r="G68" s="232">
        <v>1</v>
      </c>
      <c r="H68" s="233"/>
      <c r="I68" s="237">
        <f t="shared" ref="I68:M68" si="15">I26-I67</f>
        <v>11656.114758806358</v>
      </c>
      <c r="J68" s="237">
        <f t="shared" si="15"/>
        <v>0</v>
      </c>
      <c r="K68" s="237">
        <f t="shared" si="15"/>
        <v>-205319.4977108553</v>
      </c>
      <c r="L68" s="237">
        <f t="shared" si="15"/>
        <v>0</v>
      </c>
      <c r="M68" s="757">
        <f t="shared" si="15"/>
        <v>-19634.030999999999</v>
      </c>
      <c r="N68" s="326"/>
      <c r="O68" s="329"/>
      <c r="P68" s="326"/>
      <c r="Q68" s="390"/>
      <c r="R68" s="326"/>
      <c r="S68" s="373"/>
    </row>
    <row r="69" spans="1:19">
      <c r="A69" s="369"/>
      <c r="B69" s="369"/>
      <c r="C69" s="234" t="s">
        <v>339</v>
      </c>
      <c r="D69" s="233"/>
      <c r="E69" s="232"/>
      <c r="F69" s="233"/>
      <c r="G69" s="232"/>
      <c r="H69" s="233"/>
      <c r="I69" s="237">
        <f t="shared" ref="I69:M69" si="16">I65-I67</f>
        <v>-30934.666666666668</v>
      </c>
      <c r="J69" s="237">
        <f t="shared" si="16"/>
        <v>0</v>
      </c>
      <c r="K69" s="237">
        <f t="shared" si="16"/>
        <v>-208458.9107108553</v>
      </c>
      <c r="L69" s="237">
        <f t="shared" si="16"/>
        <v>0</v>
      </c>
      <c r="M69" s="757" t="e">
        <f t="shared" si="16"/>
        <v>#VALUE!</v>
      </c>
      <c r="O69" s="329"/>
      <c r="R69" s="326"/>
      <c r="S69" s="373"/>
    </row>
    <row r="70" spans="1:19">
      <c r="C70" s="234" t="s">
        <v>338</v>
      </c>
      <c r="D70" s="233"/>
      <c r="E70" s="232"/>
      <c r="F70" s="233"/>
      <c r="G70" s="232">
        <v>3</v>
      </c>
      <c r="H70" s="233"/>
      <c r="I70" s="278">
        <f>'Page 1 - Est Participants'!H30</f>
        <v>0</v>
      </c>
      <c r="J70" s="278"/>
      <c r="K70" s="278" t="e">
        <f>$I$62/$I$59*K67</f>
        <v>#DIV/0!</v>
      </c>
      <c r="L70" s="263"/>
      <c r="M70" s="757" t="e">
        <f>$I$62/$I$59*M67</f>
        <v>#DIV/0!</v>
      </c>
    </row>
    <row r="71" spans="1:19">
      <c r="C71" s="234" t="s">
        <v>336</v>
      </c>
      <c r="D71" s="233"/>
      <c r="E71" s="232"/>
      <c r="F71" s="233"/>
      <c r="G71" s="232">
        <v>1</v>
      </c>
      <c r="H71" s="233"/>
      <c r="I71" s="278">
        <f>I26-I70</f>
        <v>42590.781425473026</v>
      </c>
      <c r="J71" s="235"/>
      <c r="K71" s="278" t="e">
        <f>K26-K70</f>
        <v>#DIV/0!</v>
      </c>
      <c r="L71" s="233"/>
      <c r="M71" s="757" t="e">
        <f>M26-M70</f>
        <v>#DIV/0!</v>
      </c>
    </row>
    <row r="72" spans="1:19">
      <c r="C72" s="234" t="s">
        <v>339</v>
      </c>
      <c r="D72" s="233"/>
      <c r="E72" s="232"/>
      <c r="F72" s="233"/>
      <c r="G72" s="232"/>
      <c r="H72" s="233"/>
      <c r="I72" s="237">
        <f>I65-I70</f>
        <v>0</v>
      </c>
      <c r="J72" s="237">
        <f t="shared" ref="J72:M72" si="17">J65-J70</f>
        <v>0</v>
      </c>
      <c r="K72" s="237" t="e">
        <f t="shared" si="17"/>
        <v>#DIV/0!</v>
      </c>
      <c r="L72" s="237">
        <f t="shared" si="17"/>
        <v>0</v>
      </c>
      <c r="M72" s="757" t="e">
        <f t="shared" si="17"/>
        <v>#VALUE!</v>
      </c>
    </row>
  </sheetData>
  <printOptions horizontalCentered="1"/>
  <pageMargins left="0" right="0" top="0.5" bottom="0.25" header="0.25" footer="0"/>
  <pageSetup scale="5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D1187"/>
  <sheetViews>
    <sheetView topLeftCell="A7" zoomScale="80" zoomScaleNormal="80" workbookViewId="0">
      <pane xSplit="1" ySplit="3" topLeftCell="B10" activePane="bottomRight" state="frozen"/>
      <selection activeCell="M853" sqref="M853"/>
      <selection pane="topRight" activeCell="M853" sqref="M853"/>
      <selection pane="bottomLeft" activeCell="M853" sqref="M853"/>
      <selection pane="bottomRight" activeCell="G33" sqref="G33"/>
    </sheetView>
  </sheetViews>
  <sheetFormatPr defaultColWidth="10.28515625" defaultRowHeight="15.75"/>
  <cols>
    <col min="1" max="1" width="38" style="404" customWidth="1"/>
    <col min="2" max="2" width="4.7109375" style="405" bestFit="1" customWidth="1"/>
    <col min="3" max="3" width="16.7109375" style="405" bestFit="1" customWidth="1"/>
    <col min="4" max="4" width="1.140625" style="407" customWidth="1"/>
    <col min="5" max="5" width="16.7109375" style="405" bestFit="1" customWidth="1"/>
    <col min="6" max="6" width="1.140625" style="407" customWidth="1"/>
    <col min="7" max="7" width="9.140625" style="404" bestFit="1" customWidth="1"/>
    <col min="8" max="8" width="2.140625" style="407" bestFit="1" customWidth="1"/>
    <col min="9" max="9" width="16" style="405" bestFit="1" customWidth="1"/>
    <col min="10" max="10" width="1.5703125" style="407" customWidth="1"/>
    <col min="11" max="11" width="16" style="405" bestFit="1" customWidth="1"/>
    <col min="12" max="12" width="3.85546875" style="407" bestFit="1" customWidth="1"/>
    <col min="13" max="13" width="10.42578125" style="405" bestFit="1" customWidth="1"/>
    <col min="14" max="14" width="3" style="407" bestFit="1" customWidth="1"/>
    <col min="15" max="15" width="16" style="405" bestFit="1" customWidth="1"/>
    <col min="16" max="16" width="3.140625" style="405" customWidth="1"/>
    <col min="17" max="17" width="20.5703125" style="405" customWidth="1"/>
    <col min="18" max="18" width="17.7109375" style="400" customWidth="1"/>
    <col min="19" max="19" width="7.140625" style="400" customWidth="1"/>
    <col min="20" max="20" width="11.140625" style="400" customWidth="1"/>
    <col min="21" max="21" width="15" style="400" customWidth="1"/>
    <col min="22" max="22" width="10.28515625" style="400" customWidth="1"/>
    <col min="23" max="23" width="7.42578125" style="400" customWidth="1"/>
    <col min="24" max="24" width="19.28515625" style="400" customWidth="1"/>
    <col min="25" max="29" width="10.28515625" style="400" customWidth="1"/>
    <col min="30" max="16384" width="10.28515625" style="400"/>
  </cols>
  <sheetData>
    <row r="1" spans="1:30" ht="18.75">
      <c r="A1" s="391" t="s">
        <v>296</v>
      </c>
      <c r="B1" s="392"/>
      <c r="C1" s="392"/>
      <c r="D1" s="393"/>
      <c r="E1" s="392"/>
      <c r="F1" s="393"/>
      <c r="G1" s="394"/>
      <c r="H1" s="393"/>
      <c r="I1" s="392"/>
      <c r="J1" s="393"/>
      <c r="K1" s="392"/>
      <c r="L1" s="393"/>
      <c r="M1" s="392"/>
      <c r="N1" s="393"/>
      <c r="O1" s="395"/>
      <c r="P1" s="396"/>
      <c r="Q1" s="396"/>
      <c r="R1" s="397"/>
      <c r="S1" s="398"/>
      <c r="T1" s="399"/>
    </row>
    <row r="2" spans="1:30" ht="18.75">
      <c r="A2" s="391" t="s">
        <v>585</v>
      </c>
      <c r="B2" s="392"/>
      <c r="C2" s="392"/>
      <c r="D2" s="393"/>
      <c r="E2" s="392"/>
      <c r="F2" s="393"/>
      <c r="G2" s="394"/>
      <c r="H2" s="393"/>
      <c r="I2" s="392"/>
      <c r="J2" s="393"/>
      <c r="K2" s="392"/>
      <c r="L2" s="393"/>
      <c r="M2" s="392"/>
      <c r="N2" s="393"/>
      <c r="O2" s="395"/>
      <c r="P2" s="401"/>
      <c r="Q2" s="401"/>
      <c r="R2" s="397"/>
      <c r="S2" s="398"/>
      <c r="T2" s="399"/>
    </row>
    <row r="3" spans="1:30" ht="18.75">
      <c r="A3" s="391" t="str">
        <f>'[25]Test Period'!$B$2</f>
        <v>Base Period 12 Months Ending June 2013</v>
      </c>
      <c r="B3" s="392"/>
      <c r="C3" s="392"/>
      <c r="D3" s="393"/>
      <c r="E3" s="392"/>
      <c r="F3" s="393"/>
      <c r="G3" s="394"/>
      <c r="H3" s="393"/>
      <c r="I3" s="392"/>
      <c r="J3" s="393"/>
      <c r="K3" s="392"/>
      <c r="L3" s="393"/>
      <c r="M3" s="392"/>
      <c r="N3" s="393"/>
      <c r="O3" s="395"/>
      <c r="P3" s="401"/>
      <c r="Q3" s="401"/>
      <c r="R3" s="397"/>
      <c r="S3" s="398"/>
      <c r="T3" s="399"/>
    </row>
    <row r="4" spans="1:30" ht="18.75">
      <c r="A4" s="391" t="str">
        <f>'[25]Test Period'!$B$3</f>
        <v>Forecast Test Period 12 Months Ending June 2015</v>
      </c>
      <c r="B4" s="392"/>
      <c r="C4" s="392"/>
      <c r="D4" s="393"/>
      <c r="E4" s="392"/>
      <c r="F4" s="393"/>
      <c r="G4" s="394"/>
      <c r="H4" s="393"/>
      <c r="I4" s="392"/>
      <c r="J4" s="393"/>
      <c r="K4" s="392"/>
      <c r="L4" s="393"/>
      <c r="M4" s="392"/>
      <c r="N4" s="393"/>
      <c r="O4" s="395"/>
      <c r="P4" s="401"/>
      <c r="Q4" s="401"/>
      <c r="R4" s="402"/>
      <c r="S4" s="403"/>
      <c r="T4" s="399"/>
    </row>
    <row r="5" spans="1:30">
      <c r="C5" s="406"/>
      <c r="E5" s="406"/>
      <c r="P5" s="408"/>
      <c r="Q5" s="408"/>
      <c r="R5" s="408"/>
      <c r="S5" s="409"/>
    </row>
    <row r="6" spans="1:30" ht="32.25" customHeight="1">
      <c r="C6" s="410"/>
      <c r="E6" s="410"/>
      <c r="H6" s="401"/>
      <c r="I6" s="411"/>
      <c r="K6" s="411"/>
      <c r="N6" s="401"/>
      <c r="O6" s="411"/>
      <c r="P6" s="411"/>
    </row>
    <row r="7" spans="1:30">
      <c r="C7" s="412"/>
      <c r="E7" s="412"/>
      <c r="G7" s="413" t="s">
        <v>562</v>
      </c>
      <c r="H7" s="413"/>
      <c r="I7" s="413"/>
      <c r="J7" s="414"/>
      <c r="K7" s="413"/>
      <c r="L7" s="415"/>
      <c r="M7" s="413" t="s">
        <v>586</v>
      </c>
      <c r="N7" s="413"/>
      <c r="O7" s="413"/>
      <c r="P7" s="411"/>
      <c r="Q7" s="416"/>
      <c r="R7" s="417"/>
    </row>
    <row r="8" spans="1:30">
      <c r="C8" s="418" t="s">
        <v>166</v>
      </c>
      <c r="E8" s="418" t="s">
        <v>297</v>
      </c>
      <c r="G8" s="419" t="s">
        <v>254</v>
      </c>
      <c r="H8" s="401"/>
      <c r="I8" s="411" t="s">
        <v>30</v>
      </c>
      <c r="K8" s="411" t="s">
        <v>30</v>
      </c>
      <c r="M8" s="411" t="s">
        <v>67</v>
      </c>
      <c r="N8" s="401"/>
      <c r="O8" s="411" t="s">
        <v>30</v>
      </c>
      <c r="P8" s="411"/>
      <c r="Q8" s="420" t="s">
        <v>587</v>
      </c>
      <c r="R8" s="421">
        <v>4</v>
      </c>
    </row>
    <row r="9" spans="1:30">
      <c r="C9" s="422" t="s">
        <v>298</v>
      </c>
      <c r="E9" s="422" t="s">
        <v>299</v>
      </c>
      <c r="G9" s="423" t="s">
        <v>300</v>
      </c>
      <c r="H9" s="401"/>
      <c r="I9" s="424" t="s">
        <v>301</v>
      </c>
      <c r="K9" s="424" t="s">
        <v>301</v>
      </c>
      <c r="M9" s="424" t="s">
        <v>300</v>
      </c>
      <c r="N9" s="401"/>
      <c r="O9" s="424" t="s">
        <v>301</v>
      </c>
      <c r="P9" s="401"/>
      <c r="Q9" s="425"/>
      <c r="R9" s="426"/>
      <c r="S9" s="427"/>
    </row>
    <row r="10" spans="1:30">
      <c r="A10" s="428" t="s">
        <v>302</v>
      </c>
      <c r="C10" s="429"/>
      <c r="E10" s="429"/>
      <c r="Q10" s="430" t="s">
        <v>574</v>
      </c>
      <c r="R10" s="431"/>
    </row>
    <row r="11" spans="1:30">
      <c r="A11" s="432" t="s">
        <v>588</v>
      </c>
      <c r="C11" s="433">
        <f>'[25]123'!F2+'[25]123'!F3+'[25]123'!F4</f>
        <v>8288817.8867431693</v>
      </c>
      <c r="E11" s="426">
        <f>[25]Bill!P5+ROUND([25]Bill!P13*[25]Bill!R13,0)</f>
        <v>8511800.0101599023</v>
      </c>
      <c r="G11" s="434"/>
      <c r="H11" s="435"/>
      <c r="I11" s="417"/>
      <c r="K11" s="417"/>
      <c r="M11" s="436"/>
      <c r="N11" s="435"/>
      <c r="O11" s="417"/>
      <c r="P11" s="417"/>
      <c r="Q11" s="437" t="s">
        <v>589</v>
      </c>
      <c r="R11" s="438">
        <f>O28+O48+O70</f>
        <v>684857074</v>
      </c>
      <c r="T11" s="439"/>
      <c r="U11" s="440" t="s">
        <v>590</v>
      </c>
      <c r="V11" s="440" t="s">
        <v>591</v>
      </c>
      <c r="X11" s="441" t="s">
        <v>592</v>
      </c>
      <c r="Y11" s="442"/>
      <c r="Z11" s="442"/>
      <c r="AA11" s="442"/>
    </row>
    <row r="12" spans="1:30">
      <c r="A12" s="432" t="s">
        <v>342</v>
      </c>
      <c r="C12" s="433">
        <f>'[25]123'!G2+'[25]123'!G3+'[25]123'!G4-C21</f>
        <v>8178755.8094932465</v>
      </c>
      <c r="E12" s="443">
        <f>ROUND(C12/$C$11*$E$11,0)</f>
        <v>8398777</v>
      </c>
      <c r="G12" s="434">
        <f>[25]Blocking1!M12</f>
        <v>6</v>
      </c>
      <c r="H12" s="435"/>
      <c r="I12" s="417">
        <f t="shared" ref="I12:I13" si="0">ROUND($G12*C12,0)</f>
        <v>49072535</v>
      </c>
      <c r="K12" s="417">
        <f t="shared" ref="K12:K14" si="1">ROUND($G12*E12,0)</f>
        <v>50392662</v>
      </c>
      <c r="M12" s="436">
        <v>6</v>
      </c>
      <c r="N12" s="435"/>
      <c r="O12" s="417">
        <f>ROUND(M12*$E12,0)</f>
        <v>50392662</v>
      </c>
      <c r="P12" s="417"/>
      <c r="Q12" s="444" t="s">
        <v>593</v>
      </c>
      <c r="R12" s="445">
        <f>([25]RateSpread2!M15+[25]RateSpread2!M16)*1000</f>
        <v>684857301.00000012</v>
      </c>
      <c r="T12" s="439">
        <f t="shared" ref="T12:T13" si="2">M12/G12-1</f>
        <v>0</v>
      </c>
      <c r="U12" s="439">
        <f>(O12+O13)/O28</f>
        <v>7.6447719505780748E-2</v>
      </c>
      <c r="V12" s="446">
        <f>(C21+C22)/C11</f>
        <v>1.1622568569648554E-2</v>
      </c>
      <c r="W12" s="417"/>
      <c r="X12" s="447"/>
      <c r="Y12" s="448" t="s">
        <v>594</v>
      </c>
      <c r="Z12" s="448" t="s">
        <v>595</v>
      </c>
      <c r="AA12" s="448" t="s">
        <v>596</v>
      </c>
      <c r="AD12" s="400">
        <f>K12-[25]Blocking1!O12</f>
        <v>0</v>
      </c>
    </row>
    <row r="13" spans="1:30">
      <c r="A13" s="432" t="s">
        <v>343</v>
      </c>
      <c r="C13" s="433">
        <f>'[25]123'!H2+'[25]123'!H3+'[25]123'!H4-C22</f>
        <v>13724.723000000002</v>
      </c>
      <c r="E13" s="443">
        <f>ROUND(C13/$C$11*$E$11,0)</f>
        <v>14094</v>
      </c>
      <c r="G13" s="434">
        <f>[25]Blocking1!M13</f>
        <v>12</v>
      </c>
      <c r="H13" s="435"/>
      <c r="I13" s="417">
        <f t="shared" si="0"/>
        <v>164697</v>
      </c>
      <c r="K13" s="417">
        <f t="shared" si="1"/>
        <v>169128</v>
      </c>
      <c r="M13" s="449">
        <f>M12*2</f>
        <v>12</v>
      </c>
      <c r="N13" s="435"/>
      <c r="O13" s="417">
        <f>ROUND(M13*$E13,0)</f>
        <v>169128</v>
      </c>
      <c r="P13" s="417"/>
      <c r="Q13" s="450" t="s">
        <v>159</v>
      </c>
      <c r="R13" s="451">
        <f>R12-R11</f>
        <v>227.00000011920929</v>
      </c>
      <c r="T13" s="439">
        <f t="shared" si="2"/>
        <v>0</v>
      </c>
      <c r="W13" s="417"/>
      <c r="X13" s="452" t="s">
        <v>597</v>
      </c>
      <c r="Y13" s="453">
        <f>R27</f>
        <v>754</v>
      </c>
      <c r="Z13" s="454">
        <f>R28</f>
        <v>668</v>
      </c>
      <c r="AA13" s="455">
        <f>R26</f>
        <v>704</v>
      </c>
      <c r="AD13" s="400">
        <f>K13-[25]Blocking1!O13</f>
        <v>0</v>
      </c>
    </row>
    <row r="14" spans="1:30">
      <c r="A14" s="432" t="s">
        <v>598</v>
      </c>
      <c r="C14" s="433">
        <f>'[25]123'!F3</f>
        <v>15270.940500000001</v>
      </c>
      <c r="E14" s="443">
        <f>ROUND([25]Bill!P13*[25]Bill!R13,0)</f>
        <v>23932</v>
      </c>
      <c r="G14" s="434">
        <f>[25]Blocking1!M14</f>
        <v>4.6500000000000004</v>
      </c>
      <c r="H14" s="435"/>
      <c r="I14" s="417">
        <f>ROUND(G14*$E14,0)</f>
        <v>111284</v>
      </c>
      <c r="K14" s="417">
        <f t="shared" si="1"/>
        <v>111284</v>
      </c>
      <c r="M14" s="456">
        <v>4.6500000000000004</v>
      </c>
      <c r="N14" s="435"/>
      <c r="O14" s="417">
        <f>ROUND(M14*$E14,0)</f>
        <v>111284</v>
      </c>
      <c r="P14" s="417"/>
      <c r="Q14" s="440"/>
      <c r="R14" s="457"/>
      <c r="U14" s="458" t="s">
        <v>599</v>
      </c>
      <c r="X14" s="452" t="s">
        <v>600</v>
      </c>
      <c r="Y14" s="453">
        <f>R69</f>
        <v>597</v>
      </c>
      <c r="Z14" s="454">
        <f>R70</f>
        <v>592</v>
      </c>
      <c r="AA14" s="455">
        <f>R68</f>
        <v>594</v>
      </c>
      <c r="AD14" s="400">
        <f>K14-[25]Blocking1!O14</f>
        <v>0</v>
      </c>
    </row>
    <row r="15" spans="1:30">
      <c r="A15" s="432" t="s">
        <v>304</v>
      </c>
      <c r="C15" s="459">
        <f>'[25]123'!Q2+'[25]123'!Q3+'[25]123'!Q4+[25]TempRev!C344-C25</f>
        <v>1250372046</v>
      </c>
      <c r="E15" s="460">
        <f>ROUND(U15*(SUM([25]Energy!$D$5:$F$5,[25]Energy!$N$5:$O$5)+SUM([25]Energy!$D$13:$F$13,[25]Energy!$N$13:$O$13)*[25]Energy!$Q$13-$E$25),0)</f>
        <v>1274636742</v>
      </c>
      <c r="G15" s="461">
        <f>[25]Blocking1!M15</f>
        <v>8.8498000000000001</v>
      </c>
      <c r="H15" s="462" t="s">
        <v>305</v>
      </c>
      <c r="I15" s="417">
        <f>ROUND($G15*C15/100,0)</f>
        <v>110655425</v>
      </c>
      <c r="K15" s="417">
        <f>ROUND($G15*E15/100,0)</f>
        <v>112802802</v>
      </c>
      <c r="M15" s="461">
        <f>G15</f>
        <v>8.8498000000000001</v>
      </c>
      <c r="N15" s="462" t="s">
        <v>305</v>
      </c>
      <c r="O15" s="417">
        <f>ROUND(M15*$E15/100,0)</f>
        <v>112802802</v>
      </c>
      <c r="P15" s="417"/>
      <c r="Q15" s="463" t="s">
        <v>601</v>
      </c>
      <c r="R15" s="464">
        <f>R11/(K28+K48+K70)-1</f>
        <v>1.0283330070764762E-2</v>
      </c>
      <c r="S15" s="465"/>
      <c r="T15" s="439">
        <f>M15/G15-1</f>
        <v>0</v>
      </c>
      <c r="U15" s="466">
        <f>[25]BlockRatio!D29</f>
        <v>0.47668385758373333</v>
      </c>
      <c r="V15" s="467">
        <f>E15/SUM($E$15:$E$17)</f>
        <v>0.4766838575603945</v>
      </c>
      <c r="W15" s="467">
        <f>C15/SUM($C$15:$C$17)</f>
        <v>0.4494380870328249</v>
      </c>
      <c r="X15" s="441" t="s">
        <v>602</v>
      </c>
      <c r="Y15" s="468">
        <f>R47</f>
        <v>580</v>
      </c>
      <c r="Z15" s="469">
        <f>R48</f>
        <v>550</v>
      </c>
      <c r="AA15" s="470">
        <f>R46</f>
        <v>563</v>
      </c>
      <c r="AD15" s="400">
        <f>K15-[25]Blocking1!O15</f>
        <v>0</v>
      </c>
    </row>
    <row r="16" spans="1:30">
      <c r="A16" s="432" t="s">
        <v>306</v>
      </c>
      <c r="C16" s="459">
        <f>'[25]123'!R2+'[25]123'!R3+'[25]123'!R4+[25]TempRev!C345</f>
        <v>1050489521</v>
      </c>
      <c r="E16" s="460">
        <f>ROUND(U16*(SUM([25]Energy!$D$5:$F$5,[25]Energy!$N$5:$O$5)+SUM([25]Energy!$D$13:$F$13,[25]Energy!$N$13:$O$13)*[25]Energy!$Q$13-$E$25),0)</f>
        <v>1040456011</v>
      </c>
      <c r="G16" s="461">
        <f>[25]Blocking1!M16</f>
        <v>11.542899999999999</v>
      </c>
      <c r="H16" s="462" t="s">
        <v>305</v>
      </c>
      <c r="I16" s="417">
        <f>ROUND($G16*C16/100,0)</f>
        <v>121256955</v>
      </c>
      <c r="K16" s="417">
        <f>ROUND($G16*E16/100,0)</f>
        <v>120098797</v>
      </c>
      <c r="M16" s="461">
        <f t="shared" ref="M16:M17" si="3">G16</f>
        <v>11.542899999999999</v>
      </c>
      <c r="N16" s="462" t="s">
        <v>305</v>
      </c>
      <c r="O16" s="417">
        <f>ROUND(M16*$E16/100,0)</f>
        <v>120098797</v>
      </c>
      <c r="P16" s="417"/>
      <c r="Q16" s="471" t="s">
        <v>603</v>
      </c>
      <c r="R16" s="472">
        <f>R12/(K28+K48+K70)-1</f>
        <v>1.0283664935256676E-2</v>
      </c>
      <c r="S16" s="465"/>
      <c r="T16" s="439">
        <f>M16/G16-1</f>
        <v>0</v>
      </c>
      <c r="U16" s="466">
        <f>[25]BlockRatio!E29</f>
        <v>0.38910582787902581</v>
      </c>
      <c r="V16" s="467">
        <f>E16/SUM($E$15:$E$17)</f>
        <v>0.38910582803942134</v>
      </c>
      <c r="W16" s="467">
        <f>C16/SUM($C$15:$C$17)</f>
        <v>0.37759161545288461</v>
      </c>
      <c r="AD16" s="400">
        <f>K16-[25]Blocking1!O16</f>
        <v>0</v>
      </c>
    </row>
    <row r="17" spans="1:30">
      <c r="A17" s="432" t="s">
        <v>307</v>
      </c>
      <c r="C17" s="459">
        <f>'[25]123'!S2+'[25]123'!S3+'[25]123'!S4+[25]TempRev!C346</f>
        <v>481216948.54129308</v>
      </c>
      <c r="E17" s="460">
        <f>ROUND(U17*(SUM([25]Energy!$D$5:$F$5,[25]Energy!$N$5:$O$5)+SUM([25]Energy!$D$13:$F$13,[25]Energy!$N$13:$O$13)*[25]Energy!$Q$13-$E$25),0)</f>
        <v>358873906</v>
      </c>
      <c r="G17" s="461">
        <f>[25]Blocking1!M17</f>
        <v>14.450799999999999</v>
      </c>
      <c r="H17" s="462" t="s">
        <v>305</v>
      </c>
      <c r="I17" s="417">
        <f>ROUND($G17*C17/100,0)</f>
        <v>69539699</v>
      </c>
      <c r="K17" s="417">
        <f>ROUND($G17*E17/100,0)</f>
        <v>51860150</v>
      </c>
      <c r="M17" s="461">
        <f t="shared" si="3"/>
        <v>14.450799999999999</v>
      </c>
      <c r="N17" s="462" t="s">
        <v>305</v>
      </c>
      <c r="O17" s="417">
        <f>ROUND(M17*$E17/100,0)</f>
        <v>51860150</v>
      </c>
      <c r="P17" s="417"/>
      <c r="Q17" s="471" t="s">
        <v>604</v>
      </c>
      <c r="R17" s="473">
        <f>(R12-SUM(O12:O14,O21:O23,O32:O34,O41:O43,O52:O56,O63:O65))/SUM(K15:K20,K35:K40,K57:K62)-1</f>
        <v>1.1168858561078077E-2</v>
      </c>
      <c r="S17" s="474"/>
      <c r="T17" s="439">
        <f>M17/G17-1</f>
        <v>0</v>
      </c>
      <c r="U17" s="466">
        <f>[25]BlockRatio!F29</f>
        <v>0.13421031452726023</v>
      </c>
      <c r="V17" s="467">
        <f>E17/SUM($E$15:$E$17)</f>
        <v>0.13421031440018416</v>
      </c>
      <c r="W17" s="467">
        <f>C17/SUM($C$15:$C$17)</f>
        <v>0.17297029751429047</v>
      </c>
      <c r="AD17" s="400">
        <f>K17-[25]Blocking1!O17</f>
        <v>0</v>
      </c>
    </row>
    <row r="18" spans="1:30">
      <c r="A18" s="432" t="s">
        <v>308</v>
      </c>
      <c r="C18" s="459"/>
      <c r="E18" s="460"/>
      <c r="G18" s="475"/>
      <c r="H18" s="462"/>
      <c r="I18" s="417"/>
      <c r="K18" s="417"/>
      <c r="M18" s="476"/>
      <c r="N18" s="462"/>
      <c r="O18" s="417"/>
      <c r="P18" s="417"/>
      <c r="Q18" s="471" t="s">
        <v>605</v>
      </c>
      <c r="R18" s="477">
        <f>SUM(O12:O13,O32:O33,O52:O53)/SUM(K12:K13,K32:K33,K52:K53)-1</f>
        <v>0</v>
      </c>
      <c r="S18" s="455"/>
      <c r="T18" s="439"/>
      <c r="U18" s="478"/>
      <c r="W18" s="417"/>
      <c r="X18" s="441" t="s">
        <v>606</v>
      </c>
      <c r="Y18" s="442"/>
      <c r="Z18" s="442"/>
      <c r="AA18" s="479"/>
      <c r="AD18" s="400">
        <f>K18-[25]Blocking1!O18</f>
        <v>0</v>
      </c>
    </row>
    <row r="19" spans="1:30">
      <c r="A19" s="480" t="s">
        <v>607</v>
      </c>
      <c r="B19" s="481"/>
      <c r="C19" s="459">
        <f>'[25]123'!M2+'[25]123'!M3+'[25]123'!M4-'Blocking GRC'!C26+[25]TempRev!C347</f>
        <v>1684934772.2253675</v>
      </c>
      <c r="D19" s="482"/>
      <c r="E19" s="460">
        <f>ROUND(U19*(SUM([25]Energy!$G$5:$M$5)+SUM([25]Energy!$G$13:$M$13)*[25]Energy!$Q$13-$E$26),0)</f>
        <v>1613094234</v>
      </c>
      <c r="F19" s="483"/>
      <c r="G19" s="475">
        <f>[25]Blocking1!M19</f>
        <v>8.8498000000000001</v>
      </c>
      <c r="H19" s="462" t="s">
        <v>305</v>
      </c>
      <c r="I19" s="417">
        <f t="shared" ref="I19:I20" si="4">ROUND($G19*C19/100,0)</f>
        <v>149113357</v>
      </c>
      <c r="K19" s="417">
        <f t="shared" ref="K19:K20" si="5">ROUND($G19*E19/100,0)</f>
        <v>142755614</v>
      </c>
      <c r="L19" s="483"/>
      <c r="M19" s="461">
        <f>G19</f>
        <v>8.8498000000000001</v>
      </c>
      <c r="N19" s="484" t="s">
        <v>305</v>
      </c>
      <c r="O19" s="485">
        <f t="shared" ref="O19:O20" si="6">ROUND(M19*$E19/100,0)</f>
        <v>142755614</v>
      </c>
      <c r="P19" s="417"/>
      <c r="Q19" s="471" t="s">
        <v>597</v>
      </c>
      <c r="R19" s="472">
        <f>O28/K28-1</f>
        <v>1.0314241742743313E-2</v>
      </c>
      <c r="S19" s="455"/>
      <c r="T19" s="439">
        <f>M19/G19-1</f>
        <v>0</v>
      </c>
      <c r="U19" s="466">
        <f>[25]BlockRatio!J29</f>
        <v>0.4862028531097371</v>
      </c>
      <c r="V19" s="467">
        <f>E19/SUM($E$19:$E$20)</f>
        <v>0.48620285302436661</v>
      </c>
      <c r="W19" s="467">
        <f>C19/SUM($C$19:$C$20)</f>
        <v>0.48615980304729339</v>
      </c>
      <c r="X19" s="486"/>
      <c r="Y19" s="448" t="s">
        <v>321</v>
      </c>
      <c r="Z19" s="448" t="s">
        <v>67</v>
      </c>
      <c r="AD19" s="400">
        <f>K19-[25]Blocking1!O19</f>
        <v>0</v>
      </c>
    </row>
    <row r="20" spans="1:30">
      <c r="A20" s="480" t="s">
        <v>608</v>
      </c>
      <c r="B20" s="481"/>
      <c r="C20" s="459">
        <f>'[25]123'!N2+'[25]123'!N3+'[25]123'!N4+[25]TempRev!C348</f>
        <v>1780869602.5173502</v>
      </c>
      <c r="D20" s="482"/>
      <c r="E20" s="460">
        <f>ROUND(U20*(SUM([25]Energy!$G$5:$M$5)+SUM([25]Energy!$G$13:$M$13)*[25]Energy!$Q$13-$E$26),0)</f>
        <v>1704644903</v>
      </c>
      <c r="F20" s="483"/>
      <c r="G20" s="475">
        <f>[25]Blocking1!M20</f>
        <v>10.304500000000001</v>
      </c>
      <c r="H20" s="462" t="s">
        <v>305</v>
      </c>
      <c r="I20" s="417">
        <f t="shared" si="4"/>
        <v>183509708</v>
      </c>
      <c r="K20" s="417">
        <f t="shared" si="5"/>
        <v>175655134</v>
      </c>
      <c r="L20" s="483"/>
      <c r="M20" s="487">
        <f>ROUND(G20*(1+$R$20),$R$8)</f>
        <v>10.7006</v>
      </c>
      <c r="N20" s="484" t="s">
        <v>305</v>
      </c>
      <c r="O20" s="485">
        <f t="shared" si="6"/>
        <v>182407232</v>
      </c>
      <c r="P20" s="417"/>
      <c r="Q20" s="488" t="s">
        <v>609</v>
      </c>
      <c r="R20" s="489">
        <f>(R12-SUM(O12:O19,O21:O23,O32:O39,O41:O43,O52:O61,O63:O65))/SUM(K20,K40,K62)-1</f>
        <v>3.8440765814455879E-2</v>
      </c>
      <c r="S20" s="439">
        <f>M16/M20-1</f>
        <v>7.8715212231089904E-2</v>
      </c>
      <c r="T20" s="439">
        <f>M20/G20-1</f>
        <v>3.8439516715997657E-2</v>
      </c>
      <c r="U20" s="466">
        <f>[25]BlockRatio!K29</f>
        <v>0.51379714696434098</v>
      </c>
      <c r="V20" s="467">
        <f>E20/SUM($E$19:$E$20)</f>
        <v>0.51379714697563339</v>
      </c>
      <c r="W20" s="467">
        <f>C20/SUM($C$19:$C$20)</f>
        <v>0.51384019695270655</v>
      </c>
      <c r="X20" s="490" t="s">
        <v>610</v>
      </c>
      <c r="Y20" s="400">
        <f>ROUND((G21-G12)/(G15/100),0)</f>
        <v>23</v>
      </c>
      <c r="Z20" s="400">
        <f>ROUND((M21-M12)/(M15/100),0)</f>
        <v>23</v>
      </c>
      <c r="AD20" s="400">
        <f>K20-[25]Blocking1!O20</f>
        <v>0</v>
      </c>
    </row>
    <row r="21" spans="1:30">
      <c r="A21" s="432" t="s">
        <v>309</v>
      </c>
      <c r="C21" s="433">
        <f>'[25]123'!I2+'[25]123'!I3+'[25]123'!I4</f>
        <v>96175.656000001909</v>
      </c>
      <c r="E21" s="443">
        <f>ROUND(C21/$C$11*$E$11,0)</f>
        <v>98763</v>
      </c>
      <c r="G21" s="434">
        <f>[25]Blocking1!M21</f>
        <v>8</v>
      </c>
      <c r="H21" s="435"/>
      <c r="I21" s="417">
        <f>ROUND($G21*C21,0)</f>
        <v>769405</v>
      </c>
      <c r="K21" s="417">
        <f>ROUND($G21*E21,0)</f>
        <v>790104</v>
      </c>
      <c r="M21" s="456">
        <f>M12+2</f>
        <v>8</v>
      </c>
      <c r="N21" s="435"/>
      <c r="O21" s="417">
        <f>ROUND(M21*$E21,0)</f>
        <v>790104</v>
      </c>
      <c r="P21" s="417"/>
      <c r="Q21" s="463" t="s">
        <v>611</v>
      </c>
      <c r="R21" s="491">
        <f>(E28+E48)/(E11+E31)</f>
        <v>698.09515617157388</v>
      </c>
      <c r="T21" s="439">
        <f>M21/G21-1</f>
        <v>0</v>
      </c>
      <c r="U21" s="478"/>
      <c r="W21" s="417"/>
      <c r="X21" s="490" t="s">
        <v>612</v>
      </c>
      <c r="Y21" s="400">
        <f>ROUND((G22-G13)/(G15/100),0)</f>
        <v>45</v>
      </c>
      <c r="Z21" s="400">
        <f>ROUND((M22-M13)/(M15/100),0)</f>
        <v>45</v>
      </c>
      <c r="AD21" s="400">
        <f>K21-[25]Blocking1!O21</f>
        <v>0</v>
      </c>
    </row>
    <row r="22" spans="1:30">
      <c r="A22" s="432" t="s">
        <v>310</v>
      </c>
      <c r="C22" s="433">
        <f>'[25]123'!J2+'[25]123'!J3+'[25]123'!J4</f>
        <v>161.69825</v>
      </c>
      <c r="E22" s="460">
        <f>E11-E12-E13-E21</f>
        <v>166.01015990227461</v>
      </c>
      <c r="G22" s="434">
        <f>[25]Blocking1!M22</f>
        <v>16</v>
      </c>
      <c r="H22" s="492"/>
      <c r="I22" s="417">
        <f>ROUND($G22*C22,0)</f>
        <v>2587</v>
      </c>
      <c r="K22" s="417">
        <f>ROUND($G22*E22,0)</f>
        <v>2656</v>
      </c>
      <c r="M22" s="434">
        <f>M21*2</f>
        <v>16</v>
      </c>
      <c r="N22" s="492"/>
      <c r="O22" s="417">
        <f>ROUND(M22*$E22,0)</f>
        <v>2656</v>
      </c>
      <c r="P22" s="417"/>
      <c r="Q22" s="471" t="s">
        <v>613</v>
      </c>
      <c r="R22" s="493">
        <f>SUM(E15:E17,E25,E35:E37,E45)/(SUM(E11,E31)*5/12)</f>
        <v>746.76637542484116</v>
      </c>
      <c r="T22" s="439">
        <f>M22/G22-1</f>
        <v>0</v>
      </c>
      <c r="U22" s="494">
        <f>ROUND(R22/2,0)</f>
        <v>373</v>
      </c>
      <c r="W22" s="417"/>
      <c r="AD22" s="400">
        <f>K22-[25]Blocking1!O22</f>
        <v>0</v>
      </c>
    </row>
    <row r="23" spans="1:30">
      <c r="A23" s="432" t="s">
        <v>311</v>
      </c>
      <c r="C23" s="459">
        <v>0</v>
      </c>
      <c r="E23" s="460">
        <v>0</v>
      </c>
      <c r="G23" s="434">
        <f>[25]Blocking1!M23</f>
        <v>96</v>
      </c>
      <c r="H23" s="495"/>
      <c r="I23" s="417">
        <f>ROUND($G23*C23,0)</f>
        <v>0</v>
      </c>
      <c r="K23" s="417">
        <f>ROUND($G23*E23,0)</f>
        <v>0</v>
      </c>
      <c r="M23" s="496">
        <f>M21*12</f>
        <v>96</v>
      </c>
      <c r="N23" s="495"/>
      <c r="O23" s="497">
        <f>ROUND(M23*$E23,0)</f>
        <v>0</v>
      </c>
      <c r="P23" s="497"/>
      <c r="Q23" s="488" t="s">
        <v>614</v>
      </c>
      <c r="R23" s="498">
        <f>SUM(E19:E20,E26,E39:E40,E46)/(SUM(E11,E31)*7/12)</f>
        <v>663.32999948009433</v>
      </c>
      <c r="T23" s="439">
        <f>M23/G23-1</f>
        <v>0</v>
      </c>
      <c r="U23" s="494">
        <f>ROUND(R22*2,0)</f>
        <v>1494</v>
      </c>
      <c r="W23" s="417"/>
      <c r="X23" s="440" t="s">
        <v>615</v>
      </c>
      <c r="Y23" s="417">
        <f>O14+O34+O54</f>
        <v>116794</v>
      </c>
      <c r="AD23" s="400">
        <f>K23-[25]Blocking1!O23</f>
        <v>0</v>
      </c>
    </row>
    <row r="24" spans="1:30">
      <c r="A24" s="499" t="s">
        <v>312</v>
      </c>
      <c r="C24" s="500">
        <f>SUM(C25:C26)</f>
        <v>522914</v>
      </c>
      <c r="E24" s="443">
        <f>SUM(E25:E26)</f>
        <v>501472</v>
      </c>
      <c r="G24" s="475"/>
      <c r="H24" s="462"/>
      <c r="I24" s="497"/>
      <c r="K24" s="497"/>
      <c r="M24" s="475"/>
      <c r="N24" s="462"/>
      <c r="O24" s="497"/>
      <c r="P24" s="497"/>
      <c r="Q24" s="488" t="s">
        <v>616</v>
      </c>
      <c r="R24" s="501"/>
      <c r="S24" s="417"/>
      <c r="T24" s="439"/>
      <c r="U24" s="478"/>
      <c r="W24" s="417"/>
      <c r="X24" s="440" t="s">
        <v>617</v>
      </c>
      <c r="Y24" s="461">
        <f>Y23/(E20+E40+E62)*100</f>
        <v>6.6364344765542822E-3</v>
      </c>
      <c r="AD24" s="400">
        <f>K24-[25]Blocking1!O24</f>
        <v>0</v>
      </c>
    </row>
    <row r="25" spans="1:30">
      <c r="A25" s="499" t="s">
        <v>618</v>
      </c>
      <c r="B25" s="407"/>
      <c r="C25" s="459">
        <f>'[25]123'!T2+'[25]123'!T3+'[25]123'!T4</f>
        <v>232521</v>
      </c>
      <c r="E25" s="460">
        <f>ROUND(C25/SUM($C$15:$C$17,$C$25)*(SUM([25]Energy!$D$5:$F$5,[25]Energy!$N$5:$O$5)+SUM([25]Energy!$D$13:$F$13,[25]Energy!$N$13:$O$13)*[25]Energy!$Q$13),0)</f>
        <v>223485</v>
      </c>
      <c r="G25" s="475"/>
      <c r="H25" s="462"/>
      <c r="I25" s="417"/>
      <c r="K25" s="417"/>
      <c r="M25" s="475"/>
      <c r="N25" s="462"/>
      <c r="O25" s="417"/>
      <c r="P25" s="497"/>
      <c r="S25" s="502"/>
      <c r="T25" s="439"/>
      <c r="U25" s="478"/>
      <c r="W25" s="417"/>
      <c r="AD25" s="400">
        <f>K25-[25]Blocking1!O25</f>
        <v>0</v>
      </c>
    </row>
    <row r="26" spans="1:30">
      <c r="A26" s="499" t="s">
        <v>619</v>
      </c>
      <c r="B26" s="407"/>
      <c r="C26" s="459">
        <f>'[25]123'!O2+'[25]123'!O3+'[25]123'!O4</f>
        <v>290393</v>
      </c>
      <c r="E26" s="460">
        <f>ROUND(C26/SUM($C$19:$C$20,$C$26)*(SUM([25]Energy!$G$5:$M$5)+SUM([25]Energy!$G$13:$M$13)*[25]Energy!$Q$13),0)</f>
        <v>277987</v>
      </c>
      <c r="G26" s="475"/>
      <c r="H26" s="462"/>
      <c r="I26" s="417"/>
      <c r="K26" s="417"/>
      <c r="M26" s="475"/>
      <c r="N26" s="462"/>
      <c r="O26" s="417"/>
      <c r="P26" s="497"/>
      <c r="Q26" s="416" t="s">
        <v>620</v>
      </c>
      <c r="R26" s="494">
        <f>ROUND(E28/(E11),0)</f>
        <v>704</v>
      </c>
      <c r="S26" s="502"/>
      <c r="T26" s="439"/>
      <c r="U26" s="503"/>
      <c r="W26" s="417"/>
      <c r="AD26" s="400">
        <f>K26-[25]Blocking1!O26</f>
        <v>0</v>
      </c>
    </row>
    <row r="27" spans="1:30">
      <c r="A27" s="432" t="s">
        <v>313</v>
      </c>
      <c r="C27" s="504">
        <f>'[25]Table 2'!J13</f>
        <v>-9826431</v>
      </c>
      <c r="E27" s="505">
        <v>0</v>
      </c>
      <c r="I27" s="506">
        <f>'[25]Table 3'!F13</f>
        <v>1515669</v>
      </c>
      <c r="K27" s="507">
        <v>0</v>
      </c>
      <c r="O27" s="507">
        <v>0</v>
      </c>
      <c r="P27" s="497"/>
      <c r="Q27" s="416" t="s">
        <v>621</v>
      </c>
      <c r="R27" s="494">
        <f>ROUND(SUM(E15:E17,E25)/((E11)*5/12),0)</f>
        <v>754</v>
      </c>
      <c r="T27" s="439"/>
      <c r="U27" s="478"/>
      <c r="W27" s="417"/>
      <c r="X27" s="455"/>
      <c r="Y27" s="455"/>
      <c r="Z27" s="455"/>
      <c r="AA27" s="455"/>
      <c r="AD27" s="400">
        <f>K27-[25]Blocking1!O27</f>
        <v>0</v>
      </c>
    </row>
    <row r="28" spans="1:30" s="455" customFormat="1" ht="16.5" thickBot="1">
      <c r="A28" s="432" t="s">
        <v>314</v>
      </c>
      <c r="B28" s="405"/>
      <c r="C28" s="508">
        <f>SUM(C15:C20,C24,C27)</f>
        <v>6238579373.2840109</v>
      </c>
      <c r="D28" s="407"/>
      <c r="E28" s="509">
        <f>[25]Energy!P5+ROUND([25]Energy!P13*[25]Energy!Q13,0)</f>
        <v>5992207268.7140274</v>
      </c>
      <c r="F28" s="407"/>
      <c r="G28" s="510"/>
      <c r="H28" s="407"/>
      <c r="I28" s="511">
        <f>SUM(I12:I27)</f>
        <v>685711321</v>
      </c>
      <c r="J28" s="407"/>
      <c r="K28" s="511">
        <f>SUM(K12:K27)</f>
        <v>654638331</v>
      </c>
      <c r="L28" s="407"/>
      <c r="M28" s="512"/>
      <c r="N28" s="407"/>
      <c r="O28" s="511">
        <f>SUM(O12:O27)</f>
        <v>661390429</v>
      </c>
      <c r="P28" s="497"/>
      <c r="Q28" s="416" t="s">
        <v>622</v>
      </c>
      <c r="R28" s="494">
        <f>ROUND(SUM(E19:E20,E26)/((E11)*7/12),0)</f>
        <v>668</v>
      </c>
      <c r="S28" s="400"/>
      <c r="T28" s="400"/>
      <c r="U28" s="478"/>
      <c r="W28" s="417"/>
      <c r="AD28" s="400">
        <f>K28-[25]Blocking1!O28</f>
        <v>0</v>
      </c>
    </row>
    <row r="29" spans="1:30" ht="16.5" thickTop="1">
      <c r="C29" s="513"/>
      <c r="E29" s="513"/>
      <c r="T29" s="439"/>
      <c r="U29" s="478"/>
      <c r="AD29" s="400">
        <f>K29-[25]Blocking1!O29</f>
        <v>0</v>
      </c>
    </row>
    <row r="30" spans="1:30">
      <c r="A30" s="428" t="s">
        <v>623</v>
      </c>
      <c r="C30" s="406"/>
      <c r="E30" s="406"/>
      <c r="R30" s="514"/>
      <c r="U30" s="478"/>
      <c r="AD30" s="400">
        <f>K30-[25]Blocking1!O30</f>
        <v>0</v>
      </c>
    </row>
    <row r="31" spans="1:30">
      <c r="A31" s="432" t="s">
        <v>588</v>
      </c>
      <c r="C31" s="433">
        <f>'[25]123'!F7</f>
        <v>350394.52299999999</v>
      </c>
      <c r="E31" s="459">
        <f>[25]Bill!P7</f>
        <v>370465</v>
      </c>
      <c r="G31" s="434"/>
      <c r="H31" s="515"/>
      <c r="I31" s="417"/>
      <c r="K31" s="417"/>
      <c r="M31" s="516"/>
      <c r="N31" s="515"/>
      <c r="O31" s="417"/>
      <c r="U31" s="478"/>
      <c r="AD31" s="400">
        <f>K31-[25]Blocking1!O31</f>
        <v>0</v>
      </c>
    </row>
    <row r="32" spans="1:30">
      <c r="A32" s="432" t="s">
        <v>342</v>
      </c>
      <c r="C32" s="433">
        <f>'[25]123'!G7-C41</f>
        <v>349441.29399999999</v>
      </c>
      <c r="E32" s="443">
        <f>ROUND(C32/$C$31*$E$31,0)</f>
        <v>369457</v>
      </c>
      <c r="G32" s="434">
        <f>[25]Blocking1!M32</f>
        <v>6</v>
      </c>
      <c r="H32" s="515"/>
      <c r="I32" s="417">
        <f>ROUND($G32*C32,0)</f>
        <v>2096648</v>
      </c>
      <c r="K32" s="417">
        <f>ROUND($G32*E32,0)</f>
        <v>2216742</v>
      </c>
      <c r="M32" s="516">
        <f t="shared" ref="M32:M33" si="7">M12</f>
        <v>6</v>
      </c>
      <c r="N32" s="515"/>
      <c r="O32" s="417">
        <f t="shared" ref="O32:O34" si="8">ROUND(M32*$E32,0)</f>
        <v>2216742</v>
      </c>
      <c r="R32" s="514"/>
      <c r="T32" s="439">
        <f>M32/G32-1</f>
        <v>0</v>
      </c>
      <c r="U32" s="478"/>
      <c r="AD32" s="400">
        <f>K32-[25]Blocking1!O32</f>
        <v>0</v>
      </c>
    </row>
    <row r="33" spans="1:30">
      <c r="A33" s="432" t="s">
        <v>343</v>
      </c>
      <c r="C33" s="433">
        <f>'[25]123'!H7-C42</f>
        <v>243.26849999999999</v>
      </c>
      <c r="E33" s="443">
        <f>ROUND(C33/$C$31*$E$31,0)</f>
        <v>257</v>
      </c>
      <c r="G33" s="434">
        <f>[25]Blocking1!M33</f>
        <v>12</v>
      </c>
      <c r="H33" s="515"/>
      <c r="I33" s="417">
        <f>ROUND($G33*C33,0)</f>
        <v>2919</v>
      </c>
      <c r="K33" s="417">
        <f>ROUND($G33*E33,0)</f>
        <v>3084</v>
      </c>
      <c r="M33" s="516">
        <f t="shared" si="7"/>
        <v>12</v>
      </c>
      <c r="N33" s="515"/>
      <c r="O33" s="417">
        <f t="shared" si="8"/>
        <v>3084</v>
      </c>
      <c r="P33" s="417"/>
      <c r="T33" s="439">
        <f>M33/G33-1</f>
        <v>0</v>
      </c>
      <c r="AD33" s="400">
        <f>K33-[25]Blocking1!O33</f>
        <v>0</v>
      </c>
    </row>
    <row r="34" spans="1:30">
      <c r="A34" s="432" t="s">
        <v>598</v>
      </c>
      <c r="C34" s="433">
        <v>0</v>
      </c>
      <c r="E34" s="517">
        <v>0</v>
      </c>
      <c r="G34" s="434">
        <f>[25]Blocking1!M34</f>
        <v>4.6500000000000004</v>
      </c>
      <c r="H34" s="515"/>
      <c r="I34" s="417">
        <f>ROUND($G34*C34,0)</f>
        <v>0</v>
      </c>
      <c r="K34" s="417"/>
      <c r="M34" s="516">
        <f>M14</f>
        <v>4.6500000000000004</v>
      </c>
      <c r="N34" s="515"/>
      <c r="O34" s="417">
        <f t="shared" si="8"/>
        <v>0</v>
      </c>
      <c r="P34" s="417"/>
      <c r="Q34" s="440"/>
      <c r="R34" s="518"/>
      <c r="T34" s="439"/>
      <c r="U34" s="458" t="s">
        <v>599</v>
      </c>
      <c r="AD34" s="400">
        <f>K34-[25]Blocking1!O34</f>
        <v>0</v>
      </c>
    </row>
    <row r="35" spans="1:30">
      <c r="A35" s="432" t="s">
        <v>304</v>
      </c>
      <c r="C35" s="459">
        <f>'[25]123'!Q7-'[25]123'!T7+[25]TempRev!C359</f>
        <v>50259519</v>
      </c>
      <c r="E35" s="460">
        <f>ROUND(U35*SUM([25]Energy!$D$7:$F$7,[25]Energy!$N$7:$O$7,-'Blocking GRC'!$E$45),0)</f>
        <v>47435117</v>
      </c>
      <c r="G35" s="475">
        <f>[25]Blocking1!M35</f>
        <v>8.8498000000000001</v>
      </c>
      <c r="H35" s="462" t="s">
        <v>305</v>
      </c>
      <c r="I35" s="417">
        <f>ROUND($G35*C35/100,0)</f>
        <v>4447867</v>
      </c>
      <c r="K35" s="417">
        <f>ROUND($G35*E35/100,0)</f>
        <v>4197913</v>
      </c>
      <c r="M35" s="519">
        <f t="shared" ref="M35:M40" si="9">M15</f>
        <v>8.8498000000000001</v>
      </c>
      <c r="N35" s="462" t="s">
        <v>305</v>
      </c>
      <c r="O35" s="417">
        <f>ROUND(M35*$E35/100,0)</f>
        <v>4197913</v>
      </c>
      <c r="P35" s="417"/>
      <c r="T35" s="439">
        <f>M35/G35-1</f>
        <v>0</v>
      </c>
      <c r="U35" s="466">
        <f>[25]BlockRatio!D36</f>
        <v>0.52971623083414199</v>
      </c>
      <c r="V35" s="467">
        <f>E35/SUM($E$35:$E$37)</f>
        <v>0.52971623115095401</v>
      </c>
      <c r="W35" s="467">
        <f>C35/SUM($C$35:$C$37)</f>
        <v>0.520564311930512</v>
      </c>
      <c r="AD35" s="400">
        <f>K35-[25]Blocking1!O35</f>
        <v>0</v>
      </c>
    </row>
    <row r="36" spans="1:30">
      <c r="A36" s="432" t="s">
        <v>306</v>
      </c>
      <c r="C36" s="459">
        <f>'[25]123'!R7+[25]TempRev!C360</f>
        <v>34562070</v>
      </c>
      <c r="E36" s="460">
        <f>ROUND(U36*SUM([25]Energy!$D$7:$F$7,[25]Energy!$N$7:$O$7,-'Blocking GRC'!$E$45),0)</f>
        <v>31907309</v>
      </c>
      <c r="G36" s="475">
        <f>[25]Blocking1!M36</f>
        <v>11.542899999999999</v>
      </c>
      <c r="H36" s="462" t="s">
        <v>305</v>
      </c>
      <c r="I36" s="417">
        <f>ROUND($G36*C36/100,0)</f>
        <v>3989465</v>
      </c>
      <c r="K36" s="417">
        <f>ROUND($G36*E36/100,0)</f>
        <v>3683029</v>
      </c>
      <c r="M36" s="519">
        <f t="shared" si="9"/>
        <v>11.542899999999999</v>
      </c>
      <c r="N36" s="462" t="s">
        <v>305</v>
      </c>
      <c r="O36" s="417">
        <f>ROUND(M36*$E36/100,0)</f>
        <v>3683029</v>
      </c>
      <c r="P36" s="417"/>
      <c r="T36" s="439">
        <f>M36/G36-1</f>
        <v>0</v>
      </c>
      <c r="U36" s="466">
        <f>[25]BlockRatio!E36</f>
        <v>0.35631448975930297</v>
      </c>
      <c r="V36" s="467">
        <f t="shared" ref="V36:V37" si="10">E36/SUM($E$35:$E$37)</f>
        <v>0.35631448889751688</v>
      </c>
      <c r="W36" s="467">
        <f t="shared" ref="W36:W37" si="11">C36/SUM($C$35:$C$37)</f>
        <v>0.35797756417931875</v>
      </c>
      <c r="AD36" s="400">
        <f>K36-[25]Blocking1!O36</f>
        <v>0</v>
      </c>
    </row>
    <row r="37" spans="1:30">
      <c r="A37" s="432" t="s">
        <v>307</v>
      </c>
      <c r="C37" s="459">
        <f>'[25]123'!S7+[25]TempRev!C361</f>
        <v>11726556.633750122</v>
      </c>
      <c r="E37" s="460">
        <f>ROUND(U37*SUM([25]Energy!$D$7:$F$7,[25]Energy!$N$7:$O$7,-'Blocking GRC'!$E$45),0)</f>
        <v>10205740</v>
      </c>
      <c r="G37" s="475">
        <f>[25]Blocking1!M37</f>
        <v>14.450799999999999</v>
      </c>
      <c r="H37" s="462" t="s">
        <v>305</v>
      </c>
      <c r="I37" s="417">
        <f>ROUND($G37*C37/100,0)</f>
        <v>1694581</v>
      </c>
      <c r="K37" s="417">
        <f>ROUND($G37*E37/100,0)</f>
        <v>1474811</v>
      </c>
      <c r="M37" s="519">
        <f t="shared" si="9"/>
        <v>14.450799999999999</v>
      </c>
      <c r="N37" s="462" t="s">
        <v>305</v>
      </c>
      <c r="O37" s="417">
        <f>ROUND(M37*$E37/100,0)</f>
        <v>1474811</v>
      </c>
      <c r="P37" s="417"/>
      <c r="T37" s="439">
        <f>M37/G37-1</f>
        <v>0</v>
      </c>
      <c r="U37" s="466">
        <f>[25]BlockRatio!F36</f>
        <v>0.11396927940655499</v>
      </c>
      <c r="V37" s="467">
        <f t="shared" si="10"/>
        <v>0.1139692799515291</v>
      </c>
      <c r="W37" s="467">
        <f t="shared" si="11"/>
        <v>0.1214581238901692</v>
      </c>
      <c r="AD37" s="400">
        <f>K37-[25]Blocking1!O37</f>
        <v>0</v>
      </c>
    </row>
    <row r="38" spans="1:30">
      <c r="A38" s="432" t="s">
        <v>308</v>
      </c>
      <c r="C38" s="459"/>
      <c r="E38" s="460"/>
      <c r="G38" s="475"/>
      <c r="H38" s="462"/>
      <c r="I38" s="417"/>
      <c r="K38" s="417"/>
      <c r="M38" s="519"/>
      <c r="N38" s="462"/>
      <c r="O38" s="417"/>
      <c r="P38" s="417"/>
      <c r="T38" s="439"/>
      <c r="U38" s="478"/>
      <c r="AD38" s="400">
        <f>K38-[25]Blocking1!O38</f>
        <v>0</v>
      </c>
    </row>
    <row r="39" spans="1:30">
      <c r="A39" s="480" t="s">
        <v>607</v>
      </c>
      <c r="B39" s="481"/>
      <c r="C39" s="459">
        <f>'[25]123'!M7+[25]TempRev!C362-C46</f>
        <v>69002024.708795607</v>
      </c>
      <c r="D39" s="482"/>
      <c r="E39" s="460">
        <f>ROUND(U39*(SUM([25]Energy!$G$7:$M$7)-$E$46),0)</f>
        <v>64598419</v>
      </c>
      <c r="F39" s="483"/>
      <c r="G39" s="475">
        <f>[25]Blocking1!M39</f>
        <v>8.8498000000000001</v>
      </c>
      <c r="H39" s="462" t="s">
        <v>305</v>
      </c>
      <c r="I39" s="417">
        <f t="shared" ref="I39:I40" si="12">ROUND($G39*C39/100,0)</f>
        <v>6106541</v>
      </c>
      <c r="K39" s="417">
        <f t="shared" ref="K39:K40" si="13">ROUND($G39*E39/100,0)</f>
        <v>5716831</v>
      </c>
      <c r="L39" s="483"/>
      <c r="M39" s="520">
        <f t="shared" si="9"/>
        <v>8.8498000000000001</v>
      </c>
      <c r="N39" s="484" t="s">
        <v>305</v>
      </c>
      <c r="O39" s="485">
        <f t="shared" ref="O39:O40" si="14">ROUND(M39*$E39/100,0)</f>
        <v>5716831</v>
      </c>
      <c r="P39" s="417"/>
      <c r="T39" s="439">
        <f t="shared" ref="T39:T43" si="15">M39/G39-1</f>
        <v>0</v>
      </c>
      <c r="U39" s="466">
        <f>[25]BlockRatio!J36</f>
        <v>0.54327073054242669</v>
      </c>
      <c r="V39" s="467">
        <f>E39/SUM($E$39:$E$40)</f>
        <v>0.5432707309783984</v>
      </c>
      <c r="W39" s="467">
        <f>C39/SUM($C$39:$C$40)</f>
        <v>0.54326226433621161</v>
      </c>
      <c r="AD39" s="400">
        <f>K39-[25]Blocking1!O39</f>
        <v>0</v>
      </c>
    </row>
    <row r="40" spans="1:30">
      <c r="A40" s="480" t="s">
        <v>608</v>
      </c>
      <c r="B40" s="481"/>
      <c r="C40" s="459">
        <f>'[25]123'!N7+[25]TempRev!C363</f>
        <v>58012180.470918387</v>
      </c>
      <c r="D40" s="482"/>
      <c r="E40" s="460">
        <f>ROUND(U40*(SUM([25]Energy!$G$7:$M$7)-$E$46),0)</f>
        <v>54308077</v>
      </c>
      <c r="F40" s="483"/>
      <c r="G40" s="475">
        <f>[25]Blocking1!M40</f>
        <v>10.304500000000001</v>
      </c>
      <c r="H40" s="462" t="s">
        <v>305</v>
      </c>
      <c r="I40" s="417">
        <f t="shared" si="12"/>
        <v>5977865</v>
      </c>
      <c r="K40" s="417">
        <f t="shared" si="13"/>
        <v>5596176</v>
      </c>
      <c r="L40" s="483"/>
      <c r="M40" s="520">
        <f t="shared" si="9"/>
        <v>10.7006</v>
      </c>
      <c r="N40" s="484" t="s">
        <v>305</v>
      </c>
      <c r="O40" s="485">
        <f t="shared" si="14"/>
        <v>5811290</v>
      </c>
      <c r="P40" s="417"/>
      <c r="T40" s="439">
        <f t="shared" si="15"/>
        <v>3.8439516715997657E-2</v>
      </c>
      <c r="U40" s="466">
        <f>[25]BlockRatio!K36</f>
        <v>0.45672926945757109</v>
      </c>
      <c r="V40" s="467">
        <f>E40/SUM($E$39:$E$40)</f>
        <v>0.45672926902160166</v>
      </c>
      <c r="W40" s="467">
        <f>C40/SUM($C$39:$C$40)</f>
        <v>0.45673773566378834</v>
      </c>
      <c r="AD40" s="400">
        <f>K40-[25]Blocking1!O40</f>
        <v>0</v>
      </c>
    </row>
    <row r="41" spans="1:30">
      <c r="A41" s="432" t="s">
        <v>309</v>
      </c>
      <c r="C41" s="433">
        <f>'[25]123'!I7</f>
        <v>709.96050000000002</v>
      </c>
      <c r="E41" s="443">
        <f>E31-E32-E33-E42-E43</f>
        <v>751</v>
      </c>
      <c r="G41" s="434">
        <f>[25]Blocking1!M41</f>
        <v>8</v>
      </c>
      <c r="H41" s="515"/>
      <c r="I41" s="417">
        <f>ROUND($G41*C41,0)</f>
        <v>5680</v>
      </c>
      <c r="K41" s="417">
        <f>ROUND($G41*E41,0)</f>
        <v>6008</v>
      </c>
      <c r="M41" s="434">
        <f>M21</f>
        <v>8</v>
      </c>
      <c r="N41" s="435"/>
      <c r="O41" s="417">
        <f>ROUND(M41*$E41,0)</f>
        <v>6008</v>
      </c>
      <c r="P41" s="417"/>
      <c r="Q41" s="521"/>
      <c r="R41" s="522"/>
      <c r="S41" s="502"/>
      <c r="T41" s="439">
        <f t="shared" si="15"/>
        <v>0</v>
      </c>
      <c r="U41" s="478"/>
      <c r="AD41" s="400">
        <f>K41-[25]Blocking1!O41</f>
        <v>0</v>
      </c>
    </row>
    <row r="42" spans="1:30">
      <c r="A42" s="432" t="s">
        <v>310</v>
      </c>
      <c r="C42" s="433">
        <f>'[25]123'!J7</f>
        <v>0</v>
      </c>
      <c r="E42" s="443">
        <f t="shared" ref="E42:E43" si="16">ROUND(C42/$C$31*$E$31,0)</f>
        <v>0</v>
      </c>
      <c r="G42" s="434">
        <f>[25]Blocking1!M42</f>
        <v>16</v>
      </c>
      <c r="H42" s="515"/>
      <c r="I42" s="417">
        <f>ROUND($G42*C42,0)</f>
        <v>0</v>
      </c>
      <c r="K42" s="417">
        <f>ROUND($G42*E42,0)</f>
        <v>0</v>
      </c>
      <c r="M42" s="434">
        <f>M22</f>
        <v>16</v>
      </c>
      <c r="N42" s="492"/>
      <c r="O42" s="417">
        <f>ROUND(M42*$E42,0)</f>
        <v>0</v>
      </c>
      <c r="P42" s="417"/>
      <c r="R42" s="502"/>
      <c r="S42" s="502"/>
      <c r="T42" s="439">
        <f t="shared" si="15"/>
        <v>0</v>
      </c>
      <c r="U42" s="478"/>
      <c r="AD42" s="400">
        <f>K42-[25]Blocking1!O42</f>
        <v>0</v>
      </c>
    </row>
    <row r="43" spans="1:30">
      <c r="A43" s="432" t="s">
        <v>311</v>
      </c>
      <c r="C43" s="459">
        <v>0</v>
      </c>
      <c r="E43" s="443">
        <f t="shared" si="16"/>
        <v>0</v>
      </c>
      <c r="G43" s="434">
        <f>[25]Blocking1!M43</f>
        <v>96</v>
      </c>
      <c r="H43" s="515"/>
      <c r="I43" s="417">
        <f>ROUND($G43*C43,0)</f>
        <v>0</v>
      </c>
      <c r="K43" s="417">
        <f>ROUND($G43*E43,0)</f>
        <v>0</v>
      </c>
      <c r="M43" s="496">
        <f>M23</f>
        <v>96</v>
      </c>
      <c r="N43" s="495"/>
      <c r="O43" s="497">
        <f>ROUND(M43*$E43,0)</f>
        <v>0</v>
      </c>
      <c r="P43" s="497"/>
      <c r="R43" s="502"/>
      <c r="S43" s="502"/>
      <c r="T43" s="439">
        <f t="shared" si="15"/>
        <v>0</v>
      </c>
      <c r="U43" s="503"/>
      <c r="AD43" s="400">
        <f>K43-[25]Blocking1!O43</f>
        <v>0</v>
      </c>
    </row>
    <row r="44" spans="1:30">
      <c r="A44" s="499" t="s">
        <v>312</v>
      </c>
      <c r="B44" s="407"/>
      <c r="C44" s="500">
        <f>SUM(C45:C46)</f>
        <v>4559</v>
      </c>
      <c r="D44" s="523"/>
      <c r="E44" s="443">
        <f>SUM(E45:E46)</f>
        <v>4249</v>
      </c>
      <c r="G44" s="524"/>
      <c r="H44" s="462"/>
      <c r="I44" s="497"/>
      <c r="K44" s="497"/>
      <c r="M44" s="475"/>
      <c r="N44" s="462"/>
      <c r="O44" s="497"/>
      <c r="P44" s="497"/>
      <c r="Q44" s="416" t="s">
        <v>601</v>
      </c>
      <c r="R44" s="518">
        <f>O48/K48-1</f>
        <v>9.3958425294635717E-3</v>
      </c>
      <c r="S44" s="502"/>
      <c r="T44" s="502"/>
      <c r="U44" s="503"/>
      <c r="AD44" s="400">
        <f>K44-[25]Blocking1!O44</f>
        <v>0</v>
      </c>
    </row>
    <row r="45" spans="1:30" s="455" customFormat="1">
      <c r="A45" s="499" t="s">
        <v>618</v>
      </c>
      <c r="B45" s="407"/>
      <c r="C45" s="459">
        <f>'[25]123'!T7</f>
        <v>2203</v>
      </c>
      <c r="D45" s="407"/>
      <c r="E45" s="460">
        <f>ROUND(C45/SUM($C$35:$C$37,$C$45)*SUM([25]Energy!$D$7:$F$7,[25]Energy!$N$7:$O$7),0)</f>
        <v>2043</v>
      </c>
      <c r="F45" s="407"/>
      <c r="G45" s="524"/>
      <c r="H45" s="462"/>
      <c r="I45" s="417"/>
      <c r="J45" s="407"/>
      <c r="K45" s="417"/>
      <c r="L45" s="407"/>
      <c r="M45" s="475"/>
      <c r="N45" s="462"/>
      <c r="O45" s="417"/>
      <c r="P45" s="497"/>
      <c r="Q45" s="416"/>
      <c r="R45" s="518"/>
      <c r="S45" s="462"/>
      <c r="T45" s="462"/>
      <c r="U45" s="478"/>
      <c r="AD45" s="400">
        <f>K45-[25]Blocking1!O45</f>
        <v>0</v>
      </c>
    </row>
    <row r="46" spans="1:30" s="455" customFormat="1">
      <c r="A46" s="499" t="s">
        <v>619</v>
      </c>
      <c r="B46" s="405"/>
      <c r="C46" s="459">
        <f>'[25]123'!O7</f>
        <v>2356</v>
      </c>
      <c r="D46" s="407"/>
      <c r="E46" s="460">
        <f>ROUND(C46/SUM($C$39:$C$40,$C$46)*SUM([25]Energy!$G$7:$M$7),0)</f>
        <v>2206</v>
      </c>
      <c r="F46" s="407"/>
      <c r="G46" s="524"/>
      <c r="H46" s="462"/>
      <c r="I46" s="417"/>
      <c r="J46" s="407"/>
      <c r="K46" s="417"/>
      <c r="L46" s="407"/>
      <c r="M46" s="475"/>
      <c r="N46" s="462"/>
      <c r="O46" s="417"/>
      <c r="P46" s="497"/>
      <c r="Q46" s="416" t="s">
        <v>620</v>
      </c>
      <c r="R46" s="494">
        <f>ROUND(E48/(E31),0)</f>
        <v>563</v>
      </c>
      <c r="S46" s="462"/>
      <c r="T46" s="462"/>
      <c r="U46" s="478"/>
      <c r="AD46" s="400">
        <f>K46-[25]Blocking1!O46</f>
        <v>0</v>
      </c>
    </row>
    <row r="47" spans="1:30">
      <c r="A47" s="432" t="s">
        <v>313</v>
      </c>
      <c r="C47" s="504">
        <f>'[25]Table 2'!J15</f>
        <v>-351850</v>
      </c>
      <c r="E47" s="505">
        <v>0</v>
      </c>
      <c r="I47" s="506">
        <f>'[25]Table 3'!F15</f>
        <v>53425</v>
      </c>
      <c r="K47" s="507">
        <v>0</v>
      </c>
      <c r="O47" s="507">
        <v>0</v>
      </c>
      <c r="Q47" s="416" t="s">
        <v>621</v>
      </c>
      <c r="R47" s="494">
        <f>ROUND(SUM(E35:E37,E45)/((E31)*5/12),0)</f>
        <v>580</v>
      </c>
      <c r="S47" s="502"/>
      <c r="T47" s="502"/>
      <c r="U47" s="478"/>
      <c r="AD47" s="400">
        <f>K47-[25]Blocking1!O47</f>
        <v>0</v>
      </c>
    </row>
    <row r="48" spans="1:30" ht="16.5" thickBot="1">
      <c r="A48" s="432" t="s">
        <v>314</v>
      </c>
      <c r="C48" s="508">
        <f>SUM(C35:C40,C44,C47)</f>
        <v>223215059.81346413</v>
      </c>
      <c r="E48" s="525">
        <f>[25]Energy!P7</f>
        <v>208458910.71085531</v>
      </c>
      <c r="G48" s="510"/>
      <c r="I48" s="511">
        <f>SUM(I32:I47)</f>
        <v>24374991</v>
      </c>
      <c r="K48" s="511">
        <f>SUM(K32:K47)</f>
        <v>22894594</v>
      </c>
      <c r="M48" s="512"/>
      <c r="O48" s="511">
        <f>SUM(O32:O47)</f>
        <v>23109708</v>
      </c>
      <c r="Q48" s="416" t="s">
        <v>622</v>
      </c>
      <c r="R48" s="494">
        <f>ROUND(SUM(E39:E40,E46)/((E31)*7/12),0)</f>
        <v>550</v>
      </c>
      <c r="S48" s="502"/>
      <c r="T48" s="502"/>
      <c r="U48" s="478"/>
      <c r="AD48" s="400">
        <f>K48-[25]Blocking1!O48</f>
        <v>0</v>
      </c>
    </row>
    <row r="49" spans="1:30" ht="16.5" thickTop="1">
      <c r="C49" s="406"/>
      <c r="E49" s="406"/>
      <c r="P49" s="417"/>
      <c r="R49" s="439"/>
      <c r="S49" s="502"/>
      <c r="T49" s="439"/>
      <c r="U49" s="478"/>
      <c r="AD49" s="400">
        <f>K49-[25]Blocking1!O49</f>
        <v>0</v>
      </c>
    </row>
    <row r="50" spans="1:30">
      <c r="A50" s="428" t="s">
        <v>624</v>
      </c>
      <c r="C50" s="406"/>
      <c r="E50" s="406"/>
      <c r="P50" s="417"/>
      <c r="U50" s="478"/>
      <c r="AD50" s="400">
        <f>K50-[25]Blocking1!O50</f>
        <v>0</v>
      </c>
    </row>
    <row r="51" spans="1:30">
      <c r="A51" s="432" t="s">
        <v>588</v>
      </c>
      <c r="C51" s="433">
        <f>'[25]123'!F5+'[25]123'!F6+'[25]123'!F8</f>
        <v>5005.2725</v>
      </c>
      <c r="E51" s="459">
        <f>[25]Bill!P6+ROUND([25]Bill!P13*(1-[25]Bill!R13),0)</f>
        <v>5364</v>
      </c>
      <c r="G51" s="434"/>
      <c r="H51" s="515"/>
      <c r="I51" s="417"/>
      <c r="K51" s="417"/>
      <c r="M51" s="516"/>
      <c r="N51" s="515"/>
      <c r="O51" s="417"/>
      <c r="P51" s="417"/>
      <c r="U51" s="478"/>
      <c r="AD51" s="400">
        <f>K51-[25]Blocking1!O51</f>
        <v>0</v>
      </c>
    </row>
    <row r="52" spans="1:30">
      <c r="A52" s="432" t="s">
        <v>342</v>
      </c>
      <c r="C52" s="433">
        <f>'[25]123'!G5+'[25]123'!G6+'[25]123'!G8-'[25]123'!I5-'[25]123'!I6-'[25]123'!I8</f>
        <v>4892.0110000000004</v>
      </c>
      <c r="E52" s="443">
        <f>ROUND(C52/$C$51*$E$51,0)</f>
        <v>5243</v>
      </c>
      <c r="G52" s="434">
        <f>[25]Blocking1!M52</f>
        <v>6</v>
      </c>
      <c r="H52" s="515"/>
      <c r="I52" s="417">
        <f t="shared" ref="I52:I54" si="17">ROUND($G52*C52,0)</f>
        <v>29352</v>
      </c>
      <c r="K52" s="417">
        <f t="shared" ref="K52:K54" si="18">ROUND($G52*E52,0)</f>
        <v>31458</v>
      </c>
      <c r="M52" s="516">
        <f t="shared" ref="M52:M53" si="19">M12</f>
        <v>6</v>
      </c>
      <c r="N52" s="515"/>
      <c r="O52" s="417">
        <f t="shared" ref="O52:O54" si="20">ROUND(M52*$E52,0)</f>
        <v>31458</v>
      </c>
      <c r="P52" s="417"/>
      <c r="R52" s="439"/>
      <c r="S52" s="502"/>
      <c r="T52" s="439">
        <f>M52/G52-1</f>
        <v>0</v>
      </c>
      <c r="U52" s="478"/>
      <c r="AD52" s="400">
        <f>K52-[25]Blocking1!O52</f>
        <v>0</v>
      </c>
    </row>
    <row r="53" spans="1:30">
      <c r="A53" s="432" t="s">
        <v>343</v>
      </c>
      <c r="C53" s="433">
        <f>'[25]123'!H5+'[25]123'!H6+'[25]123'!H8-'[25]123'!J5-'[25]123'!J6-'[25]123'!J8</f>
        <v>0</v>
      </c>
      <c r="E53" s="443">
        <f>ROUND(C53/$C$51*$E$51,0)</f>
        <v>0</v>
      </c>
      <c r="G53" s="434">
        <f>[25]Blocking1!M53</f>
        <v>12</v>
      </c>
      <c r="H53" s="515"/>
      <c r="I53" s="417">
        <f t="shared" si="17"/>
        <v>0</v>
      </c>
      <c r="K53" s="417">
        <f t="shared" si="18"/>
        <v>0</v>
      </c>
      <c r="M53" s="516">
        <f t="shared" si="19"/>
        <v>12</v>
      </c>
      <c r="N53" s="515"/>
      <c r="O53" s="417">
        <f t="shared" si="20"/>
        <v>0</v>
      </c>
      <c r="P53" s="417"/>
      <c r="R53" s="439"/>
      <c r="S53" s="502"/>
      <c r="T53" s="439">
        <f t="shared" ref="T53:T65" si="21">M53/G53-1</f>
        <v>0</v>
      </c>
      <c r="U53" s="478"/>
      <c r="AD53" s="400">
        <f>K53-[25]Blocking1!O53</f>
        <v>0</v>
      </c>
    </row>
    <row r="54" spans="1:30">
      <c r="A54" s="432" t="s">
        <v>598</v>
      </c>
      <c r="C54" s="433">
        <f>'[25]123'!F6</f>
        <v>756.04100000000005</v>
      </c>
      <c r="E54" s="517">
        <f>ROUND([25]Bill!P13*(1-[25]Bill!R13),0)</f>
        <v>1185</v>
      </c>
      <c r="G54" s="434">
        <f>[25]Blocking1!M54</f>
        <v>4.6500000000000004</v>
      </c>
      <c r="H54" s="515"/>
      <c r="I54" s="417">
        <f t="shared" si="17"/>
        <v>3516</v>
      </c>
      <c r="K54" s="417">
        <f t="shared" si="18"/>
        <v>5510</v>
      </c>
      <c r="M54" s="516">
        <f>M14</f>
        <v>4.6500000000000004</v>
      </c>
      <c r="N54" s="515"/>
      <c r="O54" s="417">
        <f t="shared" si="20"/>
        <v>5510</v>
      </c>
      <c r="P54" s="417"/>
      <c r="Q54" s="440"/>
      <c r="R54" s="457"/>
      <c r="S54" s="502"/>
      <c r="T54" s="439"/>
      <c r="U54" s="478"/>
      <c r="AD54" s="400">
        <f>K54-[25]Blocking1!O54</f>
        <v>0</v>
      </c>
    </row>
    <row r="55" spans="1:30">
      <c r="A55" s="432" t="s">
        <v>315</v>
      </c>
      <c r="C55" s="433">
        <f>'[25]123'!U5+'[25]123'!U6+'[25]123'!U8+[25]TempRev!C356</f>
        <v>278282</v>
      </c>
      <c r="E55" s="443">
        <f>ROUND(C55/SUM($C$57:$C$59)*SUM($E$57:$E$59),0)</f>
        <v>280149</v>
      </c>
      <c r="G55" s="526">
        <f>[25]Blocking1!M55</f>
        <v>4.3559999999999999</v>
      </c>
      <c r="H55" s="462" t="s">
        <v>305</v>
      </c>
      <c r="I55" s="417">
        <f t="shared" ref="I55:I59" si="22">ROUND($G55*C55/100,0)</f>
        <v>12122</v>
      </c>
      <c r="K55" s="417">
        <f t="shared" ref="K55:K59" si="23">ROUND($G55*E55/100,0)</f>
        <v>12203</v>
      </c>
      <c r="M55" s="527">
        <f>ROUND(G55*Q55,$R$8)</f>
        <v>4.3559999999999999</v>
      </c>
      <c r="N55" s="462" t="s">
        <v>305</v>
      </c>
      <c r="O55" s="417">
        <f t="shared" ref="O55:O62" si="24">ROUND(M55*$E55/100,0)</f>
        <v>12203</v>
      </c>
      <c r="P55" s="417"/>
      <c r="Q55" s="528">
        <f>1</f>
        <v>1</v>
      </c>
      <c r="R55" s="400">
        <f>G55-G56</f>
        <v>5.9893999999999998</v>
      </c>
      <c r="S55" s="502"/>
      <c r="T55" s="439">
        <f t="shared" si="21"/>
        <v>0</v>
      </c>
      <c r="U55" s="478"/>
      <c r="AD55" s="400">
        <f>K55-[25]Blocking1!O55</f>
        <v>0</v>
      </c>
    </row>
    <row r="56" spans="1:30">
      <c r="A56" s="432" t="s">
        <v>316</v>
      </c>
      <c r="C56" s="433">
        <f>'[25]123'!V5+'[25]123'!V6+'[25]123'!V8+[25]TempRev!C357</f>
        <v>948229.82009488053</v>
      </c>
      <c r="E56" s="443">
        <f>ROUND(C56/SUM($C$57:$C$59)*SUM($E$57:$E$59),0)</f>
        <v>954590</v>
      </c>
      <c r="G56" s="526">
        <f>[25]Blocking1!M56</f>
        <v>-1.6334</v>
      </c>
      <c r="H56" s="462" t="s">
        <v>305</v>
      </c>
      <c r="I56" s="417">
        <f t="shared" si="22"/>
        <v>-15488</v>
      </c>
      <c r="K56" s="417">
        <f t="shared" si="23"/>
        <v>-15592</v>
      </c>
      <c r="M56" s="527">
        <f>ROUND(G56*Q56,$R$8)</f>
        <v>-1.6334</v>
      </c>
      <c r="N56" s="462" t="s">
        <v>305</v>
      </c>
      <c r="O56" s="417">
        <f t="shared" si="24"/>
        <v>-15592</v>
      </c>
      <c r="P56" s="417"/>
      <c r="Q56" s="439">
        <f>Q55</f>
        <v>1</v>
      </c>
      <c r="R56" s="439">
        <f>R55/G57</f>
        <v>0.6767836561278221</v>
      </c>
      <c r="S56" s="502"/>
      <c r="T56" s="439">
        <f t="shared" si="21"/>
        <v>0</v>
      </c>
      <c r="U56" s="458" t="s">
        <v>599</v>
      </c>
      <c r="AD56" s="400">
        <f>K56-[25]Blocking1!O56</f>
        <v>0</v>
      </c>
    </row>
    <row r="57" spans="1:30">
      <c r="A57" s="432" t="s">
        <v>304</v>
      </c>
      <c r="C57" s="459">
        <f>'[25]123'!Q5+'[25]123'!Q6+'[25]123'!Q8-'[25]123'!T5-'[25]123'!T6-'[25]123'!T8+[25]TempRev!C350</f>
        <v>666677</v>
      </c>
      <c r="E57" s="443">
        <f>ROUND(U57*(SUM([25]Energy!$D$6:$F$6,[25]Energy!$N$6:$O$6)+SUM([25]Energy!$D$13:$F$13,[25]Energy!$N$13:$O$13)*(1-[25]Energy!$Q$13)-'Blocking GRC'!$E$67),0)</f>
        <v>675062</v>
      </c>
      <c r="G57" s="475">
        <f>[25]Blocking1!M57</f>
        <v>8.8498000000000001</v>
      </c>
      <c r="H57" s="462" t="s">
        <v>305</v>
      </c>
      <c r="I57" s="417">
        <f t="shared" si="22"/>
        <v>59000</v>
      </c>
      <c r="K57" s="417">
        <f t="shared" si="23"/>
        <v>59742</v>
      </c>
      <c r="M57" s="519">
        <f>M15</f>
        <v>8.8498000000000001</v>
      </c>
      <c r="N57" s="462" t="s">
        <v>305</v>
      </c>
      <c r="O57" s="417">
        <f t="shared" si="24"/>
        <v>59742</v>
      </c>
      <c r="P57" s="417"/>
      <c r="R57" s="439">
        <f>SUM(K55:K56)/K70</f>
        <v>-9.5945326168811688E-3</v>
      </c>
      <c r="S57" s="502"/>
      <c r="T57" s="439">
        <f t="shared" si="21"/>
        <v>0</v>
      </c>
      <c r="U57" s="466">
        <f>[25]BlockRatio!D33</f>
        <v>0.50581445762238297</v>
      </c>
      <c r="V57" s="467">
        <f>E57/SUM($E$57:$E$59)</f>
        <v>0.50581407982137039</v>
      </c>
      <c r="W57" s="467">
        <f>C57/SUM($C$57:$C$59)</f>
        <v>0.50288191371060764</v>
      </c>
      <c r="AD57" s="400">
        <f>K57-[25]Blocking1!O57</f>
        <v>0</v>
      </c>
    </row>
    <row r="58" spans="1:30">
      <c r="A58" s="432" t="s">
        <v>306</v>
      </c>
      <c r="C58" s="459">
        <f>'[25]123'!R5+'[25]123'!R6+'[25]123'!R8+[25]TempRev!C351</f>
        <v>463113</v>
      </c>
      <c r="E58" s="443">
        <f>ROUND(U58*(SUM([25]Energy!$D$6:$F$6,[25]Energy!$N$6:$O$6)+SUM([25]Energy!$D$13:$F$13,[25]Energy!$N$13:$O$13)*(1-[25]Energy!$Q$13)-'Blocking GRC'!$E$67),0)</f>
        <v>474415</v>
      </c>
      <c r="G58" s="475">
        <f>[25]Blocking1!M58</f>
        <v>11.542899999999999</v>
      </c>
      <c r="H58" s="462" t="s">
        <v>305</v>
      </c>
      <c r="I58" s="417">
        <f t="shared" si="22"/>
        <v>53457</v>
      </c>
      <c r="K58" s="417">
        <f t="shared" si="23"/>
        <v>54761</v>
      </c>
      <c r="M58" s="519">
        <f>M16</f>
        <v>11.542899999999999</v>
      </c>
      <c r="N58" s="462" t="s">
        <v>305</v>
      </c>
      <c r="O58" s="417">
        <f t="shared" si="24"/>
        <v>54761</v>
      </c>
      <c r="P58" s="417"/>
      <c r="R58" s="439">
        <f>SUM(K55:K56)/SUM(K57:K59)</f>
        <v>-2.3992071077130014E-2</v>
      </c>
      <c r="S58" s="502"/>
      <c r="T58" s="439">
        <f t="shared" si="21"/>
        <v>0</v>
      </c>
      <c r="U58" s="466">
        <f>[25]BlockRatio!E33</f>
        <v>0.35547194897536444</v>
      </c>
      <c r="V58" s="467">
        <f t="shared" ref="V58:V59" si="25">E58/SUM($E$57:$E$59)</f>
        <v>0.35547221837172799</v>
      </c>
      <c r="W58" s="467">
        <f t="shared" ref="W58:W59" si="26">C58/SUM($C$57:$C$59)</f>
        <v>0.34933131292104069</v>
      </c>
      <c r="AD58" s="400">
        <f>K58-[25]Blocking1!O58</f>
        <v>0</v>
      </c>
    </row>
    <row r="59" spans="1:30">
      <c r="A59" s="432" t="s">
        <v>307</v>
      </c>
      <c r="C59" s="459">
        <f>'[25]123'!S5+'[25]123'!S6+'[25]123'!S8+[25]TempRev!C352</f>
        <v>195922.82009488047</v>
      </c>
      <c r="E59" s="443">
        <f>ROUND(U59*(SUM([25]Energy!$D$6:$F$6,[25]Energy!$N$6:$O$6)+SUM([25]Energy!$D$13:$F$13,[25]Energy!$N$13:$O$13)*(1-[25]Energy!$Q$13)-'Blocking GRC'!$E$67),0)</f>
        <v>185128</v>
      </c>
      <c r="G59" s="475">
        <f>[25]Blocking1!M59</f>
        <v>14.450799999999999</v>
      </c>
      <c r="H59" s="462" t="s">
        <v>305</v>
      </c>
      <c r="I59" s="417">
        <f t="shared" si="22"/>
        <v>28312</v>
      </c>
      <c r="K59" s="417">
        <f t="shared" si="23"/>
        <v>26752</v>
      </c>
      <c r="M59" s="519">
        <f>M17</f>
        <v>14.450799999999999</v>
      </c>
      <c r="N59" s="462" t="s">
        <v>305</v>
      </c>
      <c r="O59" s="417">
        <f t="shared" si="24"/>
        <v>26752</v>
      </c>
      <c r="P59" s="417"/>
      <c r="R59" s="529">
        <f>SUM(K55:K56)</f>
        <v>-3389</v>
      </c>
      <c r="S59" s="502"/>
      <c r="T59" s="439">
        <f t="shared" si="21"/>
        <v>0</v>
      </c>
      <c r="U59" s="466">
        <f>[25]BlockRatio!F33</f>
        <v>0.13871359340225256</v>
      </c>
      <c r="V59" s="467">
        <f t="shared" si="25"/>
        <v>0.13871370180690168</v>
      </c>
      <c r="W59" s="467">
        <f t="shared" si="26"/>
        <v>0.14778677336835169</v>
      </c>
      <c r="AD59" s="400">
        <f>K59-[25]Blocking1!O59</f>
        <v>0</v>
      </c>
    </row>
    <row r="60" spans="1:30">
      <c r="A60" s="432" t="s">
        <v>308</v>
      </c>
      <c r="C60" s="459"/>
      <c r="E60" s="443"/>
      <c r="G60" s="475"/>
      <c r="H60" s="462"/>
      <c r="I60" s="417"/>
      <c r="K60" s="417"/>
      <c r="M60" s="519"/>
      <c r="N60" s="462"/>
      <c r="O60" s="417"/>
      <c r="P60" s="417"/>
      <c r="R60" s="502"/>
      <c r="S60" s="462"/>
      <c r="T60" s="439"/>
      <c r="U60" s="478"/>
      <c r="AD60" s="400">
        <f>K60-[25]Blocking1!O60</f>
        <v>0</v>
      </c>
    </row>
    <row r="61" spans="1:30">
      <c r="A61" s="480" t="s">
        <v>607</v>
      </c>
      <c r="B61" s="481"/>
      <c r="C61" s="433">
        <f>'[25]123'!M5+'[25]123'!M6+'[25]123'!M8+[25]TempRev!C353-C68</f>
        <v>962950.2051350039</v>
      </c>
      <c r="D61" s="482"/>
      <c r="E61" s="443">
        <f>ROUND(U61*(SUM([25]Energy!$G$6:$M$6)+SUM([25]Energy!$G$13:$M$13)*(1-[25]Energy!$Q$13)-$E$68),0)</f>
        <v>912816</v>
      </c>
      <c r="F61" s="483"/>
      <c r="G61" s="475">
        <f>[25]Blocking1!M61</f>
        <v>8.8498000000000001</v>
      </c>
      <c r="H61" s="462" t="s">
        <v>305</v>
      </c>
      <c r="I61" s="417">
        <f t="shared" ref="I61:I62" si="27">ROUND($G61*C61/100,0)</f>
        <v>85219</v>
      </c>
      <c r="K61" s="417">
        <f t="shared" ref="K61:K62" si="28">ROUND($G61*E61/100,0)</f>
        <v>80782</v>
      </c>
      <c r="L61" s="483"/>
      <c r="M61" s="519">
        <f t="shared" ref="M61:M65" si="29">M19</f>
        <v>8.8498000000000001</v>
      </c>
      <c r="N61" s="462" t="s">
        <v>305</v>
      </c>
      <c r="O61" s="530">
        <f t="shared" si="24"/>
        <v>80782</v>
      </c>
      <c r="P61" s="417"/>
      <c r="R61" s="502"/>
      <c r="S61" s="462"/>
      <c r="T61" s="439">
        <f t="shared" si="21"/>
        <v>0</v>
      </c>
      <c r="U61" s="466">
        <f>[25]BlockRatio!J33</f>
        <v>0.49324372063458943</v>
      </c>
      <c r="V61" s="467">
        <f>E61/SUM($E$61:$E$62)</f>
        <v>0.4932436850190664</v>
      </c>
      <c r="W61" s="467">
        <f>C61/SUM($C$61:$C$62)</f>
        <v>0.49309048853766824</v>
      </c>
      <c r="AD61" s="400">
        <f>K61-[25]Blocking1!O61</f>
        <v>0</v>
      </c>
    </row>
    <row r="62" spans="1:30">
      <c r="A62" s="480" t="s">
        <v>608</v>
      </c>
      <c r="B62" s="481"/>
      <c r="C62" s="433">
        <f>'[25]123'!N5+'[25]123'!N6+'[25]123'!N8+[25]TempRev!C354</f>
        <v>989937.20096924528</v>
      </c>
      <c r="D62" s="482"/>
      <c r="E62" s="443">
        <f>ROUND(U62*(SUM([25]Energy!$G$6:$M$6)+SUM([25]Energy!$G$13:$M$13)*(1-[25]Energy!$Q$13)-$E$68),0)</f>
        <v>937823</v>
      </c>
      <c r="F62" s="483"/>
      <c r="G62" s="475">
        <f>[25]Blocking1!M62</f>
        <v>10.304500000000001</v>
      </c>
      <c r="H62" s="462" t="s">
        <v>305</v>
      </c>
      <c r="I62" s="417">
        <f t="shared" si="27"/>
        <v>102008</v>
      </c>
      <c r="K62" s="417">
        <f t="shared" si="28"/>
        <v>96638</v>
      </c>
      <c r="L62" s="483"/>
      <c r="M62" s="519">
        <f t="shared" si="29"/>
        <v>10.7006</v>
      </c>
      <c r="N62" s="462" t="s">
        <v>305</v>
      </c>
      <c r="O62" s="530">
        <f t="shared" si="24"/>
        <v>100353</v>
      </c>
      <c r="P62" s="497"/>
      <c r="R62" s="502"/>
      <c r="S62" s="462"/>
      <c r="T62" s="439">
        <f t="shared" si="21"/>
        <v>3.8439516715997657E-2</v>
      </c>
      <c r="U62" s="466">
        <f>[25]BlockRatio!K33</f>
        <v>0.50675627936541057</v>
      </c>
      <c r="V62" s="467">
        <f>E62/SUM($E$61:$E$62)</f>
        <v>0.50675631498093365</v>
      </c>
      <c r="W62" s="467">
        <f>C62/SUM($C$61:$C$62)</f>
        <v>0.50690951146233176</v>
      </c>
      <c r="AD62" s="400">
        <f>K62-[25]Blocking1!O62</f>
        <v>0</v>
      </c>
    </row>
    <row r="63" spans="1:30">
      <c r="A63" s="432" t="s">
        <v>309</v>
      </c>
      <c r="C63" s="433">
        <f>'[25]123'!I5+'[25]123'!I6+'[25]123'!I8</f>
        <v>113.2615</v>
      </c>
      <c r="E63" s="443">
        <f>E51-E52-E53-E64-E65</f>
        <v>121</v>
      </c>
      <c r="G63" s="434">
        <f>[25]Blocking1!M63</f>
        <v>8</v>
      </c>
      <c r="H63" s="515"/>
      <c r="I63" s="417">
        <f>ROUND($G63*C63,0)</f>
        <v>906</v>
      </c>
      <c r="K63" s="417">
        <f>ROUND($G63*E63,0)</f>
        <v>968</v>
      </c>
      <c r="M63" s="516">
        <f t="shared" si="29"/>
        <v>8</v>
      </c>
      <c r="N63" s="515"/>
      <c r="O63" s="417">
        <f>ROUND(M63*$E63,0)</f>
        <v>968</v>
      </c>
      <c r="P63" s="497"/>
      <c r="R63" s="502"/>
      <c r="S63" s="462"/>
      <c r="T63" s="439">
        <f t="shared" si="21"/>
        <v>0</v>
      </c>
      <c r="U63" s="455"/>
      <c r="AD63" s="400">
        <f>K63-[25]Blocking1!O63</f>
        <v>0</v>
      </c>
    </row>
    <row r="64" spans="1:30" s="455" customFormat="1">
      <c r="A64" s="432" t="s">
        <v>310</v>
      </c>
      <c r="B64" s="405"/>
      <c r="C64" s="433">
        <f>'[25]123'!J5+'[25]123'!J6+'[25]123'!J8</f>
        <v>0</v>
      </c>
      <c r="D64" s="407"/>
      <c r="E64" s="443">
        <f>ROUND(C64/$C$51*$E$51,0)</f>
        <v>0</v>
      </c>
      <c r="F64" s="407"/>
      <c r="G64" s="434">
        <f>[25]Blocking1!M64</f>
        <v>16</v>
      </c>
      <c r="H64" s="515"/>
      <c r="I64" s="417">
        <f>ROUND($G64*C64,0)</f>
        <v>0</v>
      </c>
      <c r="J64" s="407"/>
      <c r="K64" s="417">
        <f>ROUND($G64*E64,0)</f>
        <v>0</v>
      </c>
      <c r="L64" s="407"/>
      <c r="M64" s="516">
        <f t="shared" si="29"/>
        <v>16</v>
      </c>
      <c r="N64" s="515"/>
      <c r="O64" s="417">
        <f>ROUND(M64*$E64,0)</f>
        <v>0</v>
      </c>
      <c r="P64" s="497"/>
      <c r="Q64" s="405"/>
      <c r="R64" s="502"/>
      <c r="S64" s="462"/>
      <c r="T64" s="439">
        <f t="shared" si="21"/>
        <v>0</v>
      </c>
      <c r="AD64" s="400">
        <f>K64-[25]Blocking1!O64</f>
        <v>0</v>
      </c>
    </row>
    <row r="65" spans="1:30" s="455" customFormat="1">
      <c r="A65" s="432" t="s">
        <v>311</v>
      </c>
      <c r="B65" s="405"/>
      <c r="C65" s="459">
        <v>0</v>
      </c>
      <c r="D65" s="407"/>
      <c r="E65" s="443">
        <f t="shared" ref="E65" si="30">ROUND(C65/$C$51*$E$51,0)</f>
        <v>0</v>
      </c>
      <c r="F65" s="407"/>
      <c r="G65" s="434">
        <f>[25]Blocking1!M65</f>
        <v>96</v>
      </c>
      <c r="H65" s="515"/>
      <c r="I65" s="417">
        <f>ROUND($G65*C65,0)</f>
        <v>0</v>
      </c>
      <c r="J65" s="407"/>
      <c r="K65" s="417">
        <f>ROUND($G65*E65,0)</f>
        <v>0</v>
      </c>
      <c r="L65" s="407"/>
      <c r="M65" s="516">
        <f t="shared" si="29"/>
        <v>96</v>
      </c>
      <c r="N65" s="515"/>
      <c r="O65" s="417">
        <f>ROUND(M65*$E65,0)</f>
        <v>0</v>
      </c>
      <c r="P65" s="497"/>
      <c r="Q65" s="405"/>
      <c r="R65" s="502"/>
      <c r="S65" s="502"/>
      <c r="T65" s="439">
        <f t="shared" si="21"/>
        <v>0</v>
      </c>
      <c r="U65" s="400"/>
      <c r="AD65" s="400">
        <f>K65-[25]Blocking1!O65</f>
        <v>0</v>
      </c>
    </row>
    <row r="66" spans="1:30" s="455" customFormat="1">
      <c r="A66" s="499" t="s">
        <v>312</v>
      </c>
      <c r="B66" s="407"/>
      <c r="C66" s="500">
        <f>SUM(C67:C68)</f>
        <v>444</v>
      </c>
      <c r="D66" s="407"/>
      <c r="E66" s="443">
        <f>SUM(E67:E68)</f>
        <v>428</v>
      </c>
      <c r="F66" s="407"/>
      <c r="G66" s="524"/>
      <c r="H66" s="462"/>
      <c r="I66" s="497"/>
      <c r="J66" s="407"/>
      <c r="K66" s="497"/>
      <c r="L66" s="407"/>
      <c r="M66" s="531"/>
      <c r="N66" s="462"/>
      <c r="O66" s="497"/>
      <c r="P66" s="497"/>
      <c r="Q66" s="416" t="s">
        <v>601</v>
      </c>
      <c r="R66" s="518">
        <f>O70/K70-1</f>
        <v>1.051746493706518E-2</v>
      </c>
      <c r="S66" s="502"/>
      <c r="T66" s="462"/>
      <c r="U66" s="400"/>
      <c r="AD66" s="400">
        <f>K66-[25]Blocking1!O66</f>
        <v>0</v>
      </c>
    </row>
    <row r="67" spans="1:30">
      <c r="A67" s="499" t="s">
        <v>618</v>
      </c>
      <c r="B67" s="407"/>
      <c r="C67" s="459">
        <f>'[25]123'!T5+'[25]123'!T6+'[25]123'!T8</f>
        <v>117</v>
      </c>
      <c r="E67" s="443">
        <f>ROUND(C67/SUM($C$57:$C$59,$C$67)*(SUM([25]Energy!$D$6:$F$6,[25]Energy!$N$6:$O$6)+SUM([25]Energy!$D$13:$F$13,[25]Energy!$N$13:$O$13)*(1-[25]Energy!$Q$13)),0)</f>
        <v>118</v>
      </c>
      <c r="G67" s="524"/>
      <c r="H67" s="462"/>
      <c r="I67" s="417"/>
      <c r="K67" s="417"/>
      <c r="M67" s="531"/>
      <c r="N67" s="462"/>
      <c r="O67" s="417"/>
      <c r="Q67" s="400"/>
      <c r="S67" s="502"/>
      <c r="AD67" s="400">
        <f>K67-[25]Blocking1!O67</f>
        <v>0</v>
      </c>
    </row>
    <row r="68" spans="1:30">
      <c r="A68" s="499" t="s">
        <v>619</v>
      </c>
      <c r="C68" s="459">
        <f>'[25]123'!O5+'[25]123'!O6+'[25]123'!O8</f>
        <v>327</v>
      </c>
      <c r="E68" s="443">
        <f>ROUND(C68/SUM($C$61:$C$62,$C$68)*(SUM([25]Energy!$G$6:$M$6)+SUM([25]Energy!$G$13:$M$13)*(1-[25]Energy!$Q$13)),0)</f>
        <v>310</v>
      </c>
      <c r="G68" s="524"/>
      <c r="H68" s="462"/>
      <c r="I68" s="417"/>
      <c r="K68" s="417"/>
      <c r="M68" s="531"/>
      <c r="N68" s="462"/>
      <c r="O68" s="417"/>
      <c r="Q68" s="416" t="s">
        <v>620</v>
      </c>
      <c r="R68" s="494">
        <f>ROUND(E70/(E51),0)</f>
        <v>594</v>
      </c>
      <c r="T68" s="502"/>
      <c r="AD68" s="400">
        <f>K68-[25]Blocking1!O68</f>
        <v>0</v>
      </c>
    </row>
    <row r="69" spans="1:30">
      <c r="A69" s="432" t="s">
        <v>313</v>
      </c>
      <c r="C69" s="504">
        <f>'[25]Table 2'!J14</f>
        <v>-5126</v>
      </c>
      <c r="E69" s="504">
        <v>0</v>
      </c>
      <c r="I69" s="506">
        <f>'[25]Table 3'!F14</f>
        <v>774</v>
      </c>
      <c r="K69" s="507">
        <v>0</v>
      </c>
      <c r="O69" s="507">
        <v>0</v>
      </c>
      <c r="P69" s="417"/>
      <c r="Q69" s="416" t="s">
        <v>621</v>
      </c>
      <c r="R69" s="494">
        <f>ROUND(SUM(E57:E59,E67)/((E51)*5/12),0)</f>
        <v>597</v>
      </c>
      <c r="T69" s="502"/>
      <c r="AD69" s="400">
        <f>K69-[25]Blocking1!O69</f>
        <v>0</v>
      </c>
    </row>
    <row r="70" spans="1:30" ht="16.5" thickBot="1">
      <c r="A70" s="432" t="s">
        <v>314</v>
      </c>
      <c r="C70" s="508">
        <f>SUM(C57:C62,C66,C69)</f>
        <v>3273918.2261991296</v>
      </c>
      <c r="E70" s="525">
        <f>[25]Energy!P6+ROUND([25]Energy!P13*(1-[25]Energy!Q13),0)</f>
        <v>3185670.6103628851</v>
      </c>
      <c r="G70" s="532"/>
      <c r="I70" s="533">
        <f>SUM(I52:I69)</f>
        <v>359178</v>
      </c>
      <c r="K70" s="533">
        <f>SUM(K52:K69)</f>
        <v>353222</v>
      </c>
      <c r="M70" s="534"/>
      <c r="O70" s="533">
        <f>SUM(O52:O69)</f>
        <v>356937</v>
      </c>
      <c r="P70" s="417"/>
      <c r="Q70" s="416" t="s">
        <v>622</v>
      </c>
      <c r="R70" s="494">
        <f>ROUND(SUM(E61:E62,E68)/((E51)*7/12),0)</f>
        <v>592</v>
      </c>
      <c r="S70" s="535"/>
      <c r="T70" s="502"/>
      <c r="AD70" s="400">
        <f>K70-[25]Blocking1!O70</f>
        <v>0</v>
      </c>
    </row>
    <row r="71" spans="1:30" ht="16.5" thickTop="1">
      <c r="C71" s="406"/>
      <c r="E71" s="406"/>
      <c r="P71" s="417"/>
      <c r="T71" s="502"/>
      <c r="AD71" s="400">
        <f>K71-[25]Blocking1!O71</f>
        <v>0</v>
      </c>
    </row>
    <row r="72" spans="1:30">
      <c r="A72" s="428" t="s">
        <v>356</v>
      </c>
      <c r="C72" s="406"/>
      <c r="E72" s="406"/>
      <c r="P72" s="417"/>
      <c r="S72" s="440"/>
      <c r="T72" s="502"/>
      <c r="AD72" s="400">
        <f>K72-[25]Blocking1!O72</f>
        <v>0</v>
      </c>
    </row>
    <row r="73" spans="1:30">
      <c r="A73" s="432" t="s">
        <v>303</v>
      </c>
      <c r="C73" s="406">
        <f t="shared" ref="C73:C85" si="31">C88+C103+C118</f>
        <v>153104.14269056625</v>
      </c>
      <c r="E73" s="406">
        <f t="shared" ref="E73:E85" si="32">E88+E103+E118</f>
        <v>156864.35241617297</v>
      </c>
      <c r="G73" s="434">
        <f>[25]Blocking1!M73</f>
        <v>54</v>
      </c>
      <c r="H73" s="435"/>
      <c r="I73" s="417">
        <f>ROUND($G73*C73,0)</f>
        <v>8267624</v>
      </c>
      <c r="K73" s="417">
        <f>ROUND($G73*E73,0)</f>
        <v>8470675</v>
      </c>
      <c r="M73" s="434">
        <f>G73</f>
        <v>54</v>
      </c>
      <c r="N73" s="435"/>
      <c r="O73" s="417">
        <f>ROUND(M73*$E73,0)</f>
        <v>8470675</v>
      </c>
      <c r="P73" s="417"/>
      <c r="Q73" s="437" t="s">
        <v>589</v>
      </c>
      <c r="R73" s="438">
        <f>O85+O145</f>
        <v>495027184</v>
      </c>
      <c r="T73" s="439">
        <f t="shared" ref="T73:T79" si="33">M73/G73-1</f>
        <v>0</v>
      </c>
      <c r="AD73" s="400">
        <f>K73-[25]Blocking1!O73</f>
        <v>0</v>
      </c>
    </row>
    <row r="74" spans="1:30">
      <c r="A74" s="432" t="s">
        <v>352</v>
      </c>
      <c r="C74" s="406">
        <f t="shared" si="31"/>
        <v>7459750.5807309141</v>
      </c>
      <c r="E74" s="406">
        <f t="shared" si="32"/>
        <v>7568683</v>
      </c>
      <c r="G74" s="434"/>
      <c r="H74" s="435"/>
      <c r="I74" s="417"/>
      <c r="K74" s="417"/>
      <c r="M74" s="434"/>
      <c r="N74" s="435"/>
      <c r="O74" s="417"/>
      <c r="P74" s="417"/>
      <c r="Q74" s="444" t="s">
        <v>593</v>
      </c>
      <c r="R74" s="445">
        <f>([25]RateSpread2!M20+[25]RateSpread2!M22)*1000</f>
        <v>495085453</v>
      </c>
      <c r="T74" s="439"/>
      <c r="AD74" s="400">
        <f>K74-[25]Blocking1!O74</f>
        <v>0</v>
      </c>
    </row>
    <row r="75" spans="1:30">
      <c r="A75" s="432" t="s">
        <v>353</v>
      </c>
      <c r="C75" s="406">
        <f t="shared" si="31"/>
        <v>8880074.9088611677</v>
      </c>
      <c r="E75" s="406">
        <f t="shared" si="32"/>
        <v>9009450</v>
      </c>
      <c r="G75" s="434"/>
      <c r="H75" s="435"/>
      <c r="I75" s="417"/>
      <c r="K75" s="417"/>
      <c r="M75" s="434"/>
      <c r="N75" s="435"/>
      <c r="O75" s="417"/>
      <c r="P75" s="497"/>
      <c r="Q75" s="450" t="s">
        <v>159</v>
      </c>
      <c r="R75" s="451">
        <f>R74-R73</f>
        <v>58269</v>
      </c>
      <c r="T75" s="439"/>
      <c r="AD75" s="400">
        <f>K75-[25]Blocking1!O75</f>
        <v>0</v>
      </c>
    </row>
    <row r="76" spans="1:30">
      <c r="A76" s="432" t="s">
        <v>346</v>
      </c>
      <c r="C76" s="406">
        <f t="shared" si="31"/>
        <v>668514.8999621066</v>
      </c>
      <c r="E76" s="406">
        <f t="shared" si="32"/>
        <v>679134</v>
      </c>
      <c r="G76" s="434">
        <f>[25]Blocking1!M76</f>
        <v>-0.94</v>
      </c>
      <c r="H76" s="435"/>
      <c r="I76" s="417">
        <f>ROUND($G76*C76,0)</f>
        <v>-628404</v>
      </c>
      <c r="K76" s="417">
        <f>ROUND($G76*E76,0)</f>
        <v>-638386</v>
      </c>
      <c r="M76" s="434">
        <f>ROUND(G76*(1+$R$80),$R$82)</f>
        <v>-0.96</v>
      </c>
      <c r="N76" s="435"/>
      <c r="O76" s="417">
        <f>ROUND(M76*$E76,0)</f>
        <v>-651969</v>
      </c>
      <c r="P76" s="497"/>
      <c r="Q76" s="463" t="s">
        <v>601</v>
      </c>
      <c r="R76" s="536">
        <f>R73/(K85+K160+K175)-1</f>
        <v>1.0164760374814064E-2</v>
      </c>
      <c r="S76" s="502"/>
      <c r="T76" s="439">
        <f t="shared" si="33"/>
        <v>2.1276595744680771E-2</v>
      </c>
      <c r="AD76" s="400">
        <f>K76-[25]Blocking1!O76</f>
        <v>0</v>
      </c>
    </row>
    <row r="77" spans="1:30" s="541" customFormat="1">
      <c r="A77" s="480" t="s">
        <v>398</v>
      </c>
      <c r="B77" s="481"/>
      <c r="C77" s="537">
        <f t="shared" si="31"/>
        <v>16339825.489592081</v>
      </c>
      <c r="D77" s="483"/>
      <c r="E77" s="537">
        <f t="shared" si="32"/>
        <v>16578133</v>
      </c>
      <c r="F77" s="483"/>
      <c r="G77" s="538">
        <f>[25]Blocking1!M77</f>
        <v>4.04</v>
      </c>
      <c r="H77" s="539"/>
      <c r="I77" s="485">
        <f t="shared" ref="I77:I79" si="34">ROUND($G77*C77,0)</f>
        <v>66012895</v>
      </c>
      <c r="J77" s="483"/>
      <c r="K77" s="485">
        <f t="shared" ref="K77:K79" si="35">ROUND($G77*E77,0)</f>
        <v>66975657</v>
      </c>
      <c r="L77" s="483"/>
      <c r="M77" s="538">
        <f>G77</f>
        <v>4.04</v>
      </c>
      <c r="N77" s="539"/>
      <c r="O77" s="417">
        <f>ROUND(M77*$E77,0)</f>
        <v>66975657</v>
      </c>
      <c r="P77" s="485"/>
      <c r="Q77" s="471" t="s">
        <v>603</v>
      </c>
      <c r="R77" s="540">
        <f>R74/(K85+K160+K175)-1</f>
        <v>1.0283665542701437E-2</v>
      </c>
      <c r="T77" s="439">
        <f t="shared" si="33"/>
        <v>0</v>
      </c>
      <c r="AD77" s="400">
        <f>K77-[25]Blocking1!O77</f>
        <v>0</v>
      </c>
    </row>
    <row r="78" spans="1:30" s="541" customFormat="1">
      <c r="A78" s="480" t="s">
        <v>352</v>
      </c>
      <c r="B78" s="481"/>
      <c r="C78" s="537">
        <f t="shared" si="31"/>
        <v>7459750.5807309141</v>
      </c>
      <c r="D78" s="483"/>
      <c r="E78" s="537">
        <f t="shared" si="32"/>
        <v>7568683</v>
      </c>
      <c r="F78" s="483"/>
      <c r="G78" s="538">
        <f>[25]Blocking1!M78</f>
        <v>14.27</v>
      </c>
      <c r="H78" s="539"/>
      <c r="I78" s="485">
        <f t="shared" si="34"/>
        <v>106450641</v>
      </c>
      <c r="J78" s="483"/>
      <c r="K78" s="485">
        <f t="shared" si="35"/>
        <v>108005106</v>
      </c>
      <c r="L78" s="483"/>
      <c r="M78" s="434">
        <f>ROUND(G78*(1+$R$80),$R$82)</f>
        <v>14.62</v>
      </c>
      <c r="N78" s="539"/>
      <c r="O78" s="485">
        <f>ROUND(M78*$E78,0)</f>
        <v>110654145</v>
      </c>
      <c r="P78" s="542"/>
      <c r="Q78" s="463" t="s">
        <v>605</v>
      </c>
      <c r="R78" s="464">
        <f>M73/G73-1</f>
        <v>0</v>
      </c>
      <c r="T78" s="439">
        <f t="shared" si="33"/>
        <v>2.4526979677645278E-2</v>
      </c>
      <c r="U78" s="543"/>
      <c r="AD78" s="400">
        <f>K78-[25]Blocking1!O78</f>
        <v>0</v>
      </c>
    </row>
    <row r="79" spans="1:30" s="541" customFormat="1">
      <c r="A79" s="480" t="s">
        <v>353</v>
      </c>
      <c r="B79" s="481"/>
      <c r="C79" s="537">
        <f t="shared" si="31"/>
        <v>8880074.9088611677</v>
      </c>
      <c r="D79" s="483"/>
      <c r="E79" s="537">
        <f t="shared" si="32"/>
        <v>9009450</v>
      </c>
      <c r="F79" s="483"/>
      <c r="G79" s="538">
        <f>[25]Blocking1!M79</f>
        <v>10.65</v>
      </c>
      <c r="H79" s="539"/>
      <c r="I79" s="485">
        <f t="shared" si="34"/>
        <v>94572798</v>
      </c>
      <c r="J79" s="483"/>
      <c r="K79" s="485">
        <f t="shared" si="35"/>
        <v>95950643</v>
      </c>
      <c r="L79" s="483"/>
      <c r="M79" s="434">
        <f>ROUND(G79*(1+$R$80),$R$82)</f>
        <v>10.91</v>
      </c>
      <c r="N79" s="539"/>
      <c r="O79" s="485">
        <f>ROUND(M79*$E79,0)</f>
        <v>98293100</v>
      </c>
      <c r="P79" s="542"/>
      <c r="Q79" s="488" t="s">
        <v>625</v>
      </c>
      <c r="R79" s="544">
        <f>(R74-O73-O83-O148-O158-O163-O173)/SUM(K74:K82,K149:K157,K164:K172)-1</f>
        <v>1.046506418728832E-2</v>
      </c>
      <c r="S79" s="545"/>
      <c r="T79" s="439">
        <f t="shared" si="33"/>
        <v>2.4413145539906145E-2</v>
      </c>
      <c r="AD79" s="400">
        <f>K79-[25]Blocking1!O79</f>
        <v>0</v>
      </c>
    </row>
    <row r="80" spans="1:30">
      <c r="A80" s="432" t="s">
        <v>317</v>
      </c>
      <c r="C80" s="406">
        <f t="shared" si="31"/>
        <v>5685942185.1879139</v>
      </c>
      <c r="E80" s="406">
        <f t="shared" si="32"/>
        <v>5783806261.2344303</v>
      </c>
      <c r="G80" s="526"/>
      <c r="H80" s="462"/>
      <c r="I80" s="417"/>
      <c r="K80" s="417"/>
      <c r="M80" s="526"/>
      <c r="N80" s="462"/>
      <c r="O80" s="417"/>
      <c r="P80" s="497"/>
      <c r="Q80" s="430" t="s">
        <v>626</v>
      </c>
      <c r="R80" s="546">
        <f>(R74-SUM(O73,O77,O81:O84,O133,O137,O141:O144))/SUM(K76,K78:K79,K136,K138:K139)-1</f>
        <v>2.4769867737234774E-2</v>
      </c>
      <c r="AD80" s="400">
        <f>K80-[25]Blocking1!O80</f>
        <v>0</v>
      </c>
    </row>
    <row r="81" spans="1:30">
      <c r="A81" s="432" t="s">
        <v>357</v>
      </c>
      <c r="C81" s="406">
        <f t="shared" si="31"/>
        <v>2510869935.6647911</v>
      </c>
      <c r="E81" s="406">
        <f t="shared" si="32"/>
        <v>2573577152.0915084</v>
      </c>
      <c r="G81" s="547">
        <f>[25]Blocking1!M81</f>
        <v>3.8127</v>
      </c>
      <c r="H81" s="462" t="s">
        <v>305</v>
      </c>
      <c r="I81" s="417">
        <f>ROUND($G81*C81/100,0)</f>
        <v>95731938</v>
      </c>
      <c r="K81" s="417">
        <f>ROUND($G81*E81/100,0)</f>
        <v>98122776</v>
      </c>
      <c r="M81" s="547">
        <f>G81</f>
        <v>3.8127</v>
      </c>
      <c r="N81" s="462" t="s">
        <v>305</v>
      </c>
      <c r="O81" s="417">
        <f>ROUND(M81*$E81/100,0)</f>
        <v>98122776</v>
      </c>
      <c r="P81" s="497"/>
      <c r="Q81" s="416"/>
      <c r="R81" s="528"/>
      <c r="T81" s="439">
        <f t="shared" ref="T81:T83" si="36">M81/G81-1</f>
        <v>0</v>
      </c>
      <c r="AD81" s="400">
        <f>K81-[25]Blocking1!O81</f>
        <v>0</v>
      </c>
    </row>
    <row r="82" spans="1:30">
      <c r="A82" s="432" t="s">
        <v>358</v>
      </c>
      <c r="C82" s="406">
        <f t="shared" si="31"/>
        <v>3175072249.5231218</v>
      </c>
      <c r="E82" s="406">
        <f t="shared" si="32"/>
        <v>3210229109.1429219</v>
      </c>
      <c r="G82" s="547">
        <f>[25]Blocking1!M82</f>
        <v>3.5143</v>
      </c>
      <c r="H82" s="462" t="s">
        <v>305</v>
      </c>
      <c r="I82" s="417">
        <f>ROUND($G82*C82/100,0)</f>
        <v>111581564</v>
      </c>
      <c r="K82" s="417">
        <f>ROUND($G82*E82/100,0)</f>
        <v>112817082</v>
      </c>
      <c r="M82" s="547">
        <f>G82</f>
        <v>3.5143</v>
      </c>
      <c r="N82" s="462" t="s">
        <v>305</v>
      </c>
      <c r="O82" s="417">
        <f>ROUND(M82*$E82/100,0)</f>
        <v>112817082</v>
      </c>
      <c r="Q82" s="420" t="s">
        <v>587</v>
      </c>
      <c r="R82" s="421">
        <v>2</v>
      </c>
      <c r="T82" s="439">
        <f t="shared" si="36"/>
        <v>0</v>
      </c>
      <c r="AD82" s="400">
        <f>K82-[25]Blocking1!O82</f>
        <v>0</v>
      </c>
    </row>
    <row r="83" spans="1:30">
      <c r="A83" s="432" t="s">
        <v>351</v>
      </c>
      <c r="C83" s="406">
        <f t="shared" si="31"/>
        <v>0</v>
      </c>
      <c r="E83" s="406">
        <f t="shared" si="32"/>
        <v>0</v>
      </c>
      <c r="G83" s="434">
        <f>[25]Blocking1!M83</f>
        <v>648</v>
      </c>
      <c r="H83" s="515"/>
      <c r="I83" s="417">
        <f>ROUND($G83*C83,0)</f>
        <v>0</v>
      </c>
      <c r="K83" s="417">
        <f>ROUND($G83*E83,0)</f>
        <v>0</v>
      </c>
      <c r="M83" s="434">
        <f>M73*12</f>
        <v>648</v>
      </c>
      <c r="N83" s="515"/>
      <c r="O83" s="417">
        <f>ROUND(M83*$E83,0)</f>
        <v>0</v>
      </c>
      <c r="T83" s="439">
        <f t="shared" si="36"/>
        <v>0</v>
      </c>
      <c r="AD83" s="400">
        <f>K83-[25]Blocking1!O83</f>
        <v>0</v>
      </c>
    </row>
    <row r="84" spans="1:30">
      <c r="A84" s="432" t="s">
        <v>313</v>
      </c>
      <c r="C84" s="548">
        <f t="shared" si="31"/>
        <v>16138170</v>
      </c>
      <c r="E84" s="548">
        <f t="shared" si="32"/>
        <v>0</v>
      </c>
      <c r="I84" s="506">
        <f>I99+I114+I129</f>
        <v>3002117.4317299994</v>
      </c>
      <c r="K84" s="507">
        <v>0</v>
      </c>
      <c r="M84" s="404"/>
      <c r="O84" s="507">
        <v>0</v>
      </c>
      <c r="P84" s="417"/>
      <c r="AD84" s="400">
        <f>K84-[25]Blocking1!O84</f>
        <v>0</v>
      </c>
    </row>
    <row r="85" spans="1:30" ht="16.5" thickBot="1">
      <c r="A85" s="432" t="s">
        <v>314</v>
      </c>
      <c r="C85" s="549">
        <f t="shared" si="31"/>
        <v>5702080355.1879139</v>
      </c>
      <c r="E85" s="549">
        <f t="shared" si="32"/>
        <v>5783806261.2344303</v>
      </c>
      <c r="G85" s="532"/>
      <c r="I85" s="533">
        <f>SUM(I73:I84)</f>
        <v>484991173.43172997</v>
      </c>
      <c r="K85" s="533">
        <f>SUM(K73:K84)</f>
        <v>489703553</v>
      </c>
      <c r="M85" s="532"/>
      <c r="O85" s="533">
        <f>SUM(O73:O84)</f>
        <v>494681466</v>
      </c>
      <c r="P85" s="417"/>
      <c r="AD85" s="400">
        <f>K85-[25]Blocking1!O85</f>
        <v>0</v>
      </c>
    </row>
    <row r="86" spans="1:30" ht="16.5" thickTop="1">
      <c r="C86" s="406"/>
      <c r="E86" s="406"/>
      <c r="P86" s="417"/>
      <c r="AD86" s="400">
        <f>K86-[25]Blocking1!O86</f>
        <v>0</v>
      </c>
    </row>
    <row r="87" spans="1:30">
      <c r="A87" s="428" t="s">
        <v>627</v>
      </c>
      <c r="C87" s="406"/>
      <c r="E87" s="406"/>
      <c r="P87" s="417"/>
      <c r="AD87" s="400">
        <f>K87-[25]Blocking1!O87</f>
        <v>0</v>
      </c>
    </row>
    <row r="88" spans="1:30">
      <c r="A88" s="432" t="s">
        <v>303</v>
      </c>
      <c r="C88" s="433">
        <f>'[25]6'!H17</f>
        <v>136697.7276641512</v>
      </c>
      <c r="E88" s="550">
        <f>[25]Bill!P17</f>
        <v>140896</v>
      </c>
      <c r="G88" s="496">
        <f>[25]Blocking1!M88</f>
        <v>54</v>
      </c>
      <c r="H88" s="551"/>
      <c r="I88" s="417">
        <f>ROUND($G88*C88,0)</f>
        <v>7381677</v>
      </c>
      <c r="K88" s="417">
        <f>ROUND($G88*E88,0)</f>
        <v>7608384</v>
      </c>
      <c r="M88" s="552">
        <f>M73</f>
        <v>54</v>
      </c>
      <c r="N88" s="551"/>
      <c r="O88" s="417">
        <f t="shared" ref="O88:O94" si="37">ROUND(M88*$E88,0)</f>
        <v>7608384</v>
      </c>
      <c r="P88" s="417"/>
      <c r="T88" s="439">
        <f t="shared" ref="T88:T94" si="38">M88/G88-1</f>
        <v>0</v>
      </c>
      <c r="AD88" s="400">
        <f>K88-[25]Blocking1!O88</f>
        <v>0</v>
      </c>
    </row>
    <row r="89" spans="1:30">
      <c r="A89" s="432" t="s">
        <v>352</v>
      </c>
      <c r="C89" s="433">
        <f>'[25]6'!J17</f>
        <v>6426620.6121676778</v>
      </c>
      <c r="E89" s="406">
        <f>ROUND(E$100*C89/C$100,0)</f>
        <v>6513954</v>
      </c>
      <c r="G89" s="496"/>
      <c r="H89" s="551"/>
      <c r="I89" s="417"/>
      <c r="K89" s="417"/>
      <c r="M89" s="552"/>
      <c r="N89" s="551"/>
      <c r="O89" s="417"/>
      <c r="P89" s="417"/>
      <c r="S89" s="502"/>
      <c r="T89" s="439"/>
      <c r="AD89" s="400">
        <f>K89-[25]Blocking1!O89</f>
        <v>0</v>
      </c>
    </row>
    <row r="90" spans="1:30">
      <c r="A90" s="432" t="s">
        <v>353</v>
      </c>
      <c r="C90" s="433">
        <f>'[25]6'!K17</f>
        <v>7615844.6617447445</v>
      </c>
      <c r="E90" s="406">
        <f>ROUND(E$100*C90/C$100,0)</f>
        <v>7719339</v>
      </c>
      <c r="G90" s="496"/>
      <c r="H90" s="551"/>
      <c r="I90" s="417"/>
      <c r="K90" s="417"/>
      <c r="M90" s="552"/>
      <c r="N90" s="551"/>
      <c r="O90" s="417"/>
      <c r="P90" s="497"/>
      <c r="T90" s="439"/>
      <c r="AD90" s="400">
        <f>K90-[25]Blocking1!O90</f>
        <v>0</v>
      </c>
    </row>
    <row r="91" spans="1:30">
      <c r="A91" s="432" t="s">
        <v>346</v>
      </c>
      <c r="C91" s="433">
        <f>'[25]6'!L17</f>
        <v>442885.34154351393</v>
      </c>
      <c r="E91" s="406">
        <f>ROUND(E$100*C91/C$100,0)</f>
        <v>448904</v>
      </c>
      <c r="G91" s="496">
        <f>[25]Blocking1!M91</f>
        <v>-0.94</v>
      </c>
      <c r="H91" s="551"/>
      <c r="I91" s="417">
        <f>ROUND($G91*C91,0)</f>
        <v>-416312</v>
      </c>
      <c r="K91" s="417">
        <f>ROUND($G91*E91,0)</f>
        <v>-421970</v>
      </c>
      <c r="M91" s="552">
        <f>M76</f>
        <v>-0.96</v>
      </c>
      <c r="N91" s="551"/>
      <c r="O91" s="417">
        <f t="shared" si="37"/>
        <v>-430948</v>
      </c>
      <c r="P91" s="497"/>
      <c r="T91" s="439">
        <f t="shared" si="38"/>
        <v>2.1276595744680771E-2</v>
      </c>
      <c r="AD91" s="400">
        <f>K91-[25]Blocking1!O91</f>
        <v>0</v>
      </c>
    </row>
    <row r="92" spans="1:30" s="541" customFormat="1">
      <c r="A92" s="480" t="s">
        <v>398</v>
      </c>
      <c r="B92" s="481"/>
      <c r="C92" s="553">
        <f>C89+C90</f>
        <v>14042465.273912422</v>
      </c>
      <c r="D92" s="483"/>
      <c r="E92" s="553">
        <f>E89+E90</f>
        <v>14233293</v>
      </c>
      <c r="F92" s="483"/>
      <c r="G92" s="554">
        <f>[25]Blocking1!M92</f>
        <v>4.04</v>
      </c>
      <c r="H92" s="555"/>
      <c r="I92" s="485">
        <f t="shared" ref="I92:I94" si="39">ROUND($G92*C92,0)</f>
        <v>56731560</v>
      </c>
      <c r="J92" s="483"/>
      <c r="K92" s="485">
        <f t="shared" ref="K92:K94" si="40">ROUND($G92*E92,0)</f>
        <v>57502504</v>
      </c>
      <c r="L92" s="483"/>
      <c r="M92" s="556">
        <f>M77</f>
        <v>4.04</v>
      </c>
      <c r="N92" s="555"/>
      <c r="O92" s="485">
        <f t="shared" si="37"/>
        <v>57502504</v>
      </c>
      <c r="P92" s="485"/>
      <c r="Q92" s="481"/>
      <c r="S92" s="545"/>
      <c r="T92" s="439">
        <f t="shared" si="38"/>
        <v>0</v>
      </c>
      <c r="AD92" s="400">
        <f>K92-[25]Blocking1!O92</f>
        <v>0</v>
      </c>
    </row>
    <row r="93" spans="1:30" s="541" customFormat="1">
      <c r="A93" s="480" t="s">
        <v>352</v>
      </c>
      <c r="B93" s="481"/>
      <c r="C93" s="553">
        <f>C89</f>
        <v>6426620.6121676778</v>
      </c>
      <c r="D93" s="483"/>
      <c r="E93" s="553">
        <f>E89</f>
        <v>6513954</v>
      </c>
      <c r="F93" s="483"/>
      <c r="G93" s="554">
        <f>[25]Blocking1!M93</f>
        <v>14.27</v>
      </c>
      <c r="H93" s="555"/>
      <c r="I93" s="485">
        <f t="shared" si="39"/>
        <v>91707876</v>
      </c>
      <c r="J93" s="483"/>
      <c r="K93" s="485">
        <f t="shared" si="40"/>
        <v>92954124</v>
      </c>
      <c r="L93" s="483"/>
      <c r="M93" s="556">
        <f t="shared" ref="M93:M94" si="41">M78</f>
        <v>14.62</v>
      </c>
      <c r="N93" s="555"/>
      <c r="O93" s="485">
        <f t="shared" si="37"/>
        <v>95234007</v>
      </c>
      <c r="P93" s="542"/>
      <c r="Q93" s="481"/>
      <c r="T93" s="439">
        <f t="shared" si="38"/>
        <v>2.4526979677645278E-2</v>
      </c>
      <c r="AD93" s="400">
        <f>K93-[25]Blocking1!O93</f>
        <v>0</v>
      </c>
    </row>
    <row r="94" spans="1:30" s="541" customFormat="1">
      <c r="A94" s="480" t="s">
        <v>353</v>
      </c>
      <c r="B94" s="481"/>
      <c r="C94" s="553">
        <f>C90</f>
        <v>7615844.6617447445</v>
      </c>
      <c r="D94" s="483"/>
      <c r="E94" s="553">
        <f>E90</f>
        <v>7719339</v>
      </c>
      <c r="F94" s="483"/>
      <c r="G94" s="554">
        <f>[25]Blocking1!M94</f>
        <v>10.65</v>
      </c>
      <c r="H94" s="555"/>
      <c r="I94" s="485">
        <f t="shared" si="39"/>
        <v>81108746</v>
      </c>
      <c r="J94" s="483"/>
      <c r="K94" s="485">
        <f t="shared" si="40"/>
        <v>82210960</v>
      </c>
      <c r="L94" s="483"/>
      <c r="M94" s="556">
        <f t="shared" si="41"/>
        <v>10.91</v>
      </c>
      <c r="N94" s="555"/>
      <c r="O94" s="485">
        <f t="shared" si="37"/>
        <v>84217988</v>
      </c>
      <c r="P94" s="542"/>
      <c r="Q94" s="481"/>
      <c r="T94" s="439">
        <f t="shared" si="38"/>
        <v>2.4413145539906145E-2</v>
      </c>
      <c r="AD94" s="400">
        <f>K94-[25]Blocking1!O94</f>
        <v>0</v>
      </c>
    </row>
    <row r="95" spans="1:30">
      <c r="A95" s="432" t="s">
        <v>317</v>
      </c>
      <c r="C95" s="557">
        <f>SUM(C96:C97)</f>
        <v>4963833393.9607458</v>
      </c>
      <c r="E95" s="406">
        <f>SUM(E96:E97)</f>
        <v>5041746515.4625797</v>
      </c>
      <c r="G95" s="547"/>
      <c r="H95" s="462"/>
      <c r="I95" s="417"/>
      <c r="K95" s="417"/>
      <c r="M95" s="558"/>
      <c r="N95" s="462"/>
      <c r="O95" s="417"/>
      <c r="P95" s="497"/>
      <c r="AD95" s="400">
        <f>K95-[25]Blocking1!O95</f>
        <v>0</v>
      </c>
    </row>
    <row r="96" spans="1:30">
      <c r="A96" s="432" t="s">
        <v>354</v>
      </c>
      <c r="C96" s="433">
        <f>'[25]6'!N17+[25]TempRev!C374</f>
        <v>2200529619.0303025</v>
      </c>
      <c r="E96" s="406">
        <f>SUM([25]Energy!D17:F17,[25]Energy!N17:O17)</f>
        <v>2245577372.4786992</v>
      </c>
      <c r="G96" s="547">
        <f>[25]Blocking1!M96</f>
        <v>3.8127</v>
      </c>
      <c r="H96" s="462" t="s">
        <v>305</v>
      </c>
      <c r="I96" s="417">
        <f>ROUND($G96*C96/100,0)</f>
        <v>83899593</v>
      </c>
      <c r="K96" s="417">
        <f>ROUND($G96*E96/100,0)</f>
        <v>85617128</v>
      </c>
      <c r="M96" s="558">
        <f>M81</f>
        <v>3.8127</v>
      </c>
      <c r="N96" s="462" t="s">
        <v>305</v>
      </c>
      <c r="O96" s="417">
        <f>ROUND(M96*$E96/100,0)</f>
        <v>85617128</v>
      </c>
      <c r="P96" s="497"/>
      <c r="T96" s="439">
        <f t="shared" ref="T96:T98" si="42">M96/G96-1</f>
        <v>0</v>
      </c>
      <c r="AD96" s="400">
        <f>K96-[25]Blocking1!O96</f>
        <v>0</v>
      </c>
    </row>
    <row r="97" spans="1:30">
      <c r="A97" s="432" t="s">
        <v>355</v>
      </c>
      <c r="C97" s="433">
        <f>'[25]6'!O17+[25]TempRev!C375</f>
        <v>2763303774.9304433</v>
      </c>
      <c r="E97" s="406">
        <f>E100-E96</f>
        <v>2796169142.9838805</v>
      </c>
      <c r="G97" s="547">
        <f>[25]Blocking1!M97</f>
        <v>3.5143</v>
      </c>
      <c r="H97" s="462" t="s">
        <v>305</v>
      </c>
      <c r="I97" s="417">
        <f>ROUND($G97*C97/100,0)</f>
        <v>97110785</v>
      </c>
      <c r="K97" s="417">
        <f>ROUND($G97*E97/100,0)</f>
        <v>98265772</v>
      </c>
      <c r="M97" s="558">
        <f>M82</f>
        <v>3.5143</v>
      </c>
      <c r="N97" s="462" t="s">
        <v>305</v>
      </c>
      <c r="O97" s="417">
        <f>ROUND(M97*$E97/100,0)</f>
        <v>98265772</v>
      </c>
      <c r="Q97" s="516"/>
      <c r="T97" s="439">
        <f t="shared" si="42"/>
        <v>0</v>
      </c>
      <c r="AD97" s="400">
        <f>K97-[25]Blocking1!O97</f>
        <v>0</v>
      </c>
    </row>
    <row r="98" spans="1:30">
      <c r="A98" s="432" t="s">
        <v>351</v>
      </c>
      <c r="C98" s="459">
        <v>0</v>
      </c>
      <c r="E98" s="406">
        <f>ROUND(C98*E88/C88,0)</f>
        <v>0</v>
      </c>
      <c r="G98" s="496">
        <f>[25]Blocking1!M98</f>
        <v>648</v>
      </c>
      <c r="H98" s="551"/>
      <c r="I98" s="417">
        <f>ROUND($G98*C98,0)</f>
        <v>0</v>
      </c>
      <c r="K98" s="417">
        <f>ROUND($G98*E98,0)</f>
        <v>0</v>
      </c>
      <c r="M98" s="552">
        <f>M83</f>
        <v>648</v>
      </c>
      <c r="N98" s="551"/>
      <c r="O98" s="417">
        <f>ROUND(M98*$E98,0)</f>
        <v>0</v>
      </c>
      <c r="T98" s="439">
        <f t="shared" si="42"/>
        <v>0</v>
      </c>
      <c r="AD98" s="400">
        <f>K98-[25]Blocking1!O98</f>
        <v>0</v>
      </c>
    </row>
    <row r="99" spans="1:30">
      <c r="A99" s="432" t="s">
        <v>313</v>
      </c>
      <c r="C99" s="504">
        <f>'[25]Table 2'!J38</f>
        <v>10317571</v>
      </c>
      <c r="E99" s="504">
        <v>0</v>
      </c>
      <c r="I99" s="507">
        <f>'[25]Table 3'!F38</f>
        <v>2360642</v>
      </c>
      <c r="K99" s="507">
        <v>0</v>
      </c>
      <c r="O99" s="507">
        <v>0</v>
      </c>
      <c r="P99" s="417"/>
      <c r="AD99" s="400">
        <f>K99-[25]Blocking1!O99</f>
        <v>0</v>
      </c>
    </row>
    <row r="100" spans="1:30" ht="16.5" thickBot="1">
      <c r="A100" s="432" t="s">
        <v>314</v>
      </c>
      <c r="C100" s="549">
        <f>SUM(C96:C97,C99)</f>
        <v>4974150964.9607458</v>
      </c>
      <c r="E100" s="559">
        <f>[25]Energy!P17</f>
        <v>5041746515.4625797</v>
      </c>
      <c r="G100" s="532"/>
      <c r="I100" s="533">
        <f>SUM(I88:I99)</f>
        <v>419884567</v>
      </c>
      <c r="K100" s="533">
        <f>SUM(K88:K99)</f>
        <v>423736902</v>
      </c>
      <c r="M100" s="534"/>
      <c r="O100" s="533">
        <f>SUM(O88:O99)</f>
        <v>428014835</v>
      </c>
      <c r="P100" s="417"/>
      <c r="Q100" s="416" t="s">
        <v>601</v>
      </c>
      <c r="R100" s="518">
        <f>O100/K100-1</f>
        <v>1.0095729165452871E-2</v>
      </c>
      <c r="AD100" s="400">
        <f>K100-[25]Blocking1!O100</f>
        <v>0</v>
      </c>
    </row>
    <row r="101" spans="1:30" ht="16.5" thickTop="1">
      <c r="P101" s="417"/>
      <c r="AD101" s="400">
        <f>K101-[25]Blocking1!O101</f>
        <v>0</v>
      </c>
    </row>
    <row r="102" spans="1:30">
      <c r="A102" s="428" t="s">
        <v>628</v>
      </c>
      <c r="C102" s="406"/>
      <c r="E102" s="406"/>
      <c r="P102" s="417"/>
      <c r="AD102" s="400">
        <f>K102-[25]Blocking1!O102</f>
        <v>0</v>
      </c>
    </row>
    <row r="103" spans="1:30">
      <c r="A103" s="432" t="s">
        <v>303</v>
      </c>
      <c r="C103" s="433">
        <f>'[25]6'!H18</f>
        <v>13807.710656603736</v>
      </c>
      <c r="E103" s="550">
        <f>[25]Bill!P33</f>
        <v>13279.352416172969</v>
      </c>
      <c r="G103" s="496">
        <f>[25]Blocking1!M103</f>
        <v>54</v>
      </c>
      <c r="H103" s="551"/>
      <c r="I103" s="417">
        <f>ROUND($G103*C103,0)</f>
        <v>745616</v>
      </c>
      <c r="K103" s="417">
        <f>ROUND($G103*E103,0)</f>
        <v>717085</v>
      </c>
      <c r="M103" s="552">
        <f>M73</f>
        <v>54</v>
      </c>
      <c r="N103" s="551"/>
      <c r="O103" s="417">
        <f t="shared" ref="O103:O109" si="43">ROUND(M103*$E103,0)</f>
        <v>717085</v>
      </c>
      <c r="P103" s="417"/>
      <c r="T103" s="439">
        <f t="shared" ref="T103:T109" si="44">M103/G103-1</f>
        <v>0</v>
      </c>
      <c r="AD103" s="400">
        <f>K103-[25]Blocking1!O103</f>
        <v>0</v>
      </c>
    </row>
    <row r="104" spans="1:30">
      <c r="A104" s="432" t="s">
        <v>352</v>
      </c>
      <c r="C104" s="433">
        <f>'[25]6'!J18</f>
        <v>942120.1092975639</v>
      </c>
      <c r="E104" s="406">
        <f>ROUND(C104/C$115*E$115,0)</f>
        <v>966196</v>
      </c>
      <c r="G104" s="496"/>
      <c r="H104" s="551"/>
      <c r="I104" s="417"/>
      <c r="K104" s="417"/>
      <c r="M104" s="552"/>
      <c r="N104" s="551"/>
      <c r="O104" s="417"/>
      <c r="P104" s="497"/>
      <c r="S104" s="502"/>
      <c r="T104" s="439"/>
      <c r="AD104" s="400">
        <f>K104-[25]Blocking1!O104</f>
        <v>0</v>
      </c>
    </row>
    <row r="105" spans="1:30">
      <c r="A105" s="432" t="s">
        <v>353</v>
      </c>
      <c r="C105" s="433">
        <f>'[25]6'!K18</f>
        <v>1142434.0360467497</v>
      </c>
      <c r="E105" s="406">
        <f>ROUND(C105/C$115*E$115,0)</f>
        <v>1171629</v>
      </c>
      <c r="G105" s="496"/>
      <c r="H105" s="551"/>
      <c r="I105" s="417"/>
      <c r="K105" s="417"/>
      <c r="M105" s="552"/>
      <c r="N105" s="551"/>
      <c r="O105" s="417"/>
      <c r="P105" s="497"/>
      <c r="T105" s="439"/>
      <c r="AD105" s="400">
        <f>K105-[25]Blocking1!O105</f>
        <v>0</v>
      </c>
    </row>
    <row r="106" spans="1:30">
      <c r="A106" s="432" t="s">
        <v>346</v>
      </c>
      <c r="C106" s="433">
        <f>'[25]6'!L18</f>
        <v>203556.53151446235</v>
      </c>
      <c r="E106" s="406">
        <f>ROUND(C106/C$115*E$115,0)</f>
        <v>208758</v>
      </c>
      <c r="G106" s="496">
        <f>[25]Blocking1!M106</f>
        <v>-0.94</v>
      </c>
      <c r="H106" s="551"/>
      <c r="I106" s="417">
        <f>ROUND($G106*C106,0)</f>
        <v>-191343</v>
      </c>
      <c r="K106" s="417">
        <f>ROUND($G106*E106,0)</f>
        <v>-196233</v>
      </c>
      <c r="M106" s="552">
        <f>M76</f>
        <v>-0.96</v>
      </c>
      <c r="N106" s="551"/>
      <c r="O106" s="417">
        <f t="shared" si="43"/>
        <v>-200408</v>
      </c>
      <c r="P106" s="497"/>
      <c r="T106" s="439">
        <f t="shared" si="44"/>
        <v>2.1276595744680771E-2</v>
      </c>
      <c r="AD106" s="400">
        <f>K106-[25]Blocking1!O106</f>
        <v>0</v>
      </c>
    </row>
    <row r="107" spans="1:30" s="541" customFormat="1">
      <c r="A107" s="480" t="s">
        <v>398</v>
      </c>
      <c r="B107" s="481"/>
      <c r="C107" s="553">
        <f>C104+C105</f>
        <v>2084554.1453443137</v>
      </c>
      <c r="D107" s="483"/>
      <c r="E107" s="553">
        <f>E104+E105</f>
        <v>2137825</v>
      </c>
      <c r="F107" s="483"/>
      <c r="G107" s="554">
        <f>[25]Blocking1!M107</f>
        <v>4.04</v>
      </c>
      <c r="H107" s="555"/>
      <c r="I107" s="485">
        <f>ROUND($G107*C107,0)</f>
        <v>8421599</v>
      </c>
      <c r="J107" s="483"/>
      <c r="K107" s="485">
        <f>ROUND($G107*E107,0)</f>
        <v>8636813</v>
      </c>
      <c r="L107" s="483"/>
      <c r="M107" s="556">
        <f>M77</f>
        <v>4.04</v>
      </c>
      <c r="N107" s="555"/>
      <c r="O107" s="485">
        <f t="shared" si="43"/>
        <v>8636813</v>
      </c>
      <c r="P107" s="542"/>
      <c r="Q107" s="481"/>
      <c r="S107" s="545"/>
      <c r="T107" s="439">
        <f t="shared" si="44"/>
        <v>0</v>
      </c>
      <c r="AD107" s="400">
        <f>K107-[25]Blocking1!O107</f>
        <v>0</v>
      </c>
    </row>
    <row r="108" spans="1:30" s="541" customFormat="1">
      <c r="A108" s="480" t="s">
        <v>352</v>
      </c>
      <c r="B108" s="481"/>
      <c r="C108" s="553">
        <f>C104</f>
        <v>942120.1092975639</v>
      </c>
      <c r="D108" s="483"/>
      <c r="E108" s="553">
        <f>E104</f>
        <v>966196</v>
      </c>
      <c r="F108" s="483"/>
      <c r="G108" s="554">
        <f>[25]Blocking1!M108</f>
        <v>14.27</v>
      </c>
      <c r="H108" s="555"/>
      <c r="I108" s="485">
        <f t="shared" ref="I108:I109" si="45">ROUND($G108*C108,0)</f>
        <v>13444054</v>
      </c>
      <c r="J108" s="483"/>
      <c r="K108" s="485">
        <f t="shared" ref="K108:K109" si="46">ROUND($G108*E108,0)</f>
        <v>13787617</v>
      </c>
      <c r="L108" s="483"/>
      <c r="M108" s="556">
        <f t="shared" ref="M108:M109" si="47">M78</f>
        <v>14.62</v>
      </c>
      <c r="N108" s="555"/>
      <c r="O108" s="485">
        <f t="shared" si="43"/>
        <v>14125786</v>
      </c>
      <c r="P108" s="542"/>
      <c r="Q108" s="481"/>
      <c r="T108" s="439">
        <f t="shared" si="44"/>
        <v>2.4526979677645278E-2</v>
      </c>
      <c r="AD108" s="400">
        <f>K108-[25]Blocking1!O108</f>
        <v>0</v>
      </c>
    </row>
    <row r="109" spans="1:30" s="541" customFormat="1">
      <c r="A109" s="480" t="s">
        <v>353</v>
      </c>
      <c r="B109" s="481"/>
      <c r="C109" s="553">
        <f>C105</f>
        <v>1142434.0360467497</v>
      </c>
      <c r="D109" s="483"/>
      <c r="E109" s="553">
        <f>E105</f>
        <v>1171629</v>
      </c>
      <c r="F109" s="483"/>
      <c r="G109" s="554">
        <f>[25]Blocking1!M109</f>
        <v>10.65</v>
      </c>
      <c r="H109" s="555"/>
      <c r="I109" s="485">
        <f t="shared" si="45"/>
        <v>12166922</v>
      </c>
      <c r="J109" s="483"/>
      <c r="K109" s="485">
        <f t="shared" si="46"/>
        <v>12477849</v>
      </c>
      <c r="L109" s="483"/>
      <c r="M109" s="556">
        <f t="shared" si="47"/>
        <v>10.91</v>
      </c>
      <c r="N109" s="555"/>
      <c r="O109" s="485">
        <f t="shared" si="43"/>
        <v>12782472</v>
      </c>
      <c r="P109" s="542"/>
      <c r="Q109" s="481"/>
      <c r="T109" s="439">
        <f t="shared" si="44"/>
        <v>2.4413145539906145E-2</v>
      </c>
      <c r="AD109" s="400">
        <f>K109-[25]Blocking1!O109</f>
        <v>0</v>
      </c>
    </row>
    <row r="110" spans="1:30">
      <c r="A110" s="432" t="s">
        <v>317</v>
      </c>
      <c r="C110" s="433">
        <f>SUM(C111:C112)</f>
        <v>637224236.40918612</v>
      </c>
      <c r="E110" s="406">
        <f>E115</f>
        <v>659614104.71786499</v>
      </c>
      <c r="G110" s="547"/>
      <c r="H110" s="462"/>
      <c r="I110" s="417"/>
      <c r="K110" s="417"/>
      <c r="M110" s="558"/>
      <c r="N110" s="462"/>
      <c r="O110" s="417"/>
      <c r="P110" s="497"/>
      <c r="AD110" s="400">
        <f>K110-[25]Blocking1!O110</f>
        <v>0</v>
      </c>
    </row>
    <row r="111" spans="1:30">
      <c r="A111" s="432" t="s">
        <v>354</v>
      </c>
      <c r="C111" s="433">
        <f>'[25]6'!N18+[25]TempRev!C395</f>
        <v>276472531.23801112</v>
      </c>
      <c r="E111" s="406">
        <f>SUM([25]Energy!D33:F33,[25]Energy!N33:O33)</f>
        <v>293654085.64253181</v>
      </c>
      <c r="G111" s="547">
        <f>[25]Blocking1!M111</f>
        <v>3.8127</v>
      </c>
      <c r="H111" s="462" t="s">
        <v>305</v>
      </c>
      <c r="I111" s="417">
        <f>ROUND($G111*C111/100,0)</f>
        <v>10541068</v>
      </c>
      <c r="K111" s="417">
        <f>ROUND($G111*E111/100,0)</f>
        <v>11196149</v>
      </c>
      <c r="M111" s="558">
        <f>M81</f>
        <v>3.8127</v>
      </c>
      <c r="N111" s="462" t="s">
        <v>305</v>
      </c>
      <c r="O111" s="417">
        <f>ROUND(M111*$E111/100,0)</f>
        <v>11196149</v>
      </c>
      <c r="P111" s="497"/>
      <c r="R111" s="560"/>
      <c r="T111" s="439">
        <f t="shared" ref="T111:T113" si="48">M111/G111-1</f>
        <v>0</v>
      </c>
      <c r="AD111" s="400">
        <f>K111-[25]Blocking1!O111</f>
        <v>0</v>
      </c>
    </row>
    <row r="112" spans="1:30">
      <c r="A112" s="432" t="s">
        <v>355</v>
      </c>
      <c r="C112" s="433">
        <f>'[25]6'!O18+[25]TempRev!C396</f>
        <v>360751705.17117506</v>
      </c>
      <c r="E112" s="406">
        <f>E110-E111</f>
        <v>365960019.07533318</v>
      </c>
      <c r="G112" s="547">
        <f>[25]Blocking1!M112</f>
        <v>3.5143</v>
      </c>
      <c r="H112" s="462" t="s">
        <v>305</v>
      </c>
      <c r="I112" s="417">
        <f>ROUND($G112*C112/100,0)</f>
        <v>12677897</v>
      </c>
      <c r="K112" s="417">
        <f>ROUND($G112*E112/100,0)</f>
        <v>12860933</v>
      </c>
      <c r="M112" s="558">
        <f>M82</f>
        <v>3.5143</v>
      </c>
      <c r="N112" s="462" t="s">
        <v>305</v>
      </c>
      <c r="O112" s="417">
        <f>ROUND(M112*$E112/100,0)</f>
        <v>12860933</v>
      </c>
      <c r="R112" s="560"/>
      <c r="T112" s="439">
        <f t="shared" si="48"/>
        <v>0</v>
      </c>
      <c r="AD112" s="400">
        <f>K112-[25]Blocking1!O112</f>
        <v>0</v>
      </c>
    </row>
    <row r="113" spans="1:30">
      <c r="A113" s="432" t="s">
        <v>351</v>
      </c>
      <c r="C113" s="459">
        <v>0</v>
      </c>
      <c r="E113" s="406">
        <f>ROUND(C113*E103/C103,0)</f>
        <v>0</v>
      </c>
      <c r="G113" s="496">
        <f>[25]Blocking1!M113</f>
        <v>648</v>
      </c>
      <c r="H113" s="551"/>
      <c r="I113" s="417">
        <f>ROUND($G113*C113,0)</f>
        <v>0</v>
      </c>
      <c r="K113" s="417">
        <f>ROUND($G113*E113,0)</f>
        <v>0</v>
      </c>
      <c r="M113" s="552">
        <f>M98</f>
        <v>648</v>
      </c>
      <c r="N113" s="551"/>
      <c r="O113" s="417">
        <f>ROUND(M113*$E113,0)</f>
        <v>0</v>
      </c>
      <c r="T113" s="439">
        <f t="shared" si="48"/>
        <v>0</v>
      </c>
      <c r="AD113" s="400">
        <f>K113-[25]Blocking1!O113</f>
        <v>0</v>
      </c>
    </row>
    <row r="114" spans="1:30">
      <c r="A114" s="432" t="s">
        <v>313</v>
      </c>
      <c r="C114" s="504">
        <f>'[25]Table 2'!J68</f>
        <v>5953270</v>
      </c>
      <c r="E114" s="504">
        <v>0</v>
      </c>
      <c r="I114" s="507">
        <f>'[25]Table 3'!F68</f>
        <v>626751.43172999937</v>
      </c>
      <c r="K114" s="507">
        <v>0</v>
      </c>
      <c r="O114" s="507">
        <v>0</v>
      </c>
      <c r="P114" s="417"/>
      <c r="AD114" s="400">
        <f>K114-[25]Blocking1!O114</f>
        <v>0</v>
      </c>
    </row>
    <row r="115" spans="1:30" ht="16.5" thickBot="1">
      <c r="A115" s="432" t="s">
        <v>314</v>
      </c>
      <c r="C115" s="549">
        <f>C110+C114</f>
        <v>643177506.40918612</v>
      </c>
      <c r="E115" s="559">
        <f>[25]Energy!P33</f>
        <v>659614104.71786499</v>
      </c>
      <c r="G115" s="532"/>
      <c r="I115" s="533">
        <f>SUM(I103:I114)</f>
        <v>58432564.431730002</v>
      </c>
      <c r="K115" s="533">
        <f>SUM(K103:K114)</f>
        <v>59480213</v>
      </c>
      <c r="M115" s="534"/>
      <c r="O115" s="533">
        <f>SUM(O103:O114)</f>
        <v>60118830</v>
      </c>
      <c r="P115" s="417"/>
      <c r="Q115" s="416" t="s">
        <v>601</v>
      </c>
      <c r="R115" s="518">
        <f>O115/K115-1</f>
        <v>1.0736629339239245E-2</v>
      </c>
      <c r="AD115" s="400">
        <f>K115-[25]Blocking1!O115</f>
        <v>0</v>
      </c>
    </row>
    <row r="116" spans="1:30" ht="16.5" thickTop="1">
      <c r="C116" s="406"/>
      <c r="E116" s="406"/>
      <c r="P116" s="417"/>
      <c r="AD116" s="400">
        <f>K116-[25]Blocking1!O116</f>
        <v>0</v>
      </c>
    </row>
    <row r="117" spans="1:30">
      <c r="A117" s="428" t="s">
        <v>629</v>
      </c>
      <c r="C117" s="406"/>
      <c r="E117" s="406"/>
      <c r="P117" s="417"/>
      <c r="AD117" s="400">
        <f>K117-[25]Blocking1!O117</f>
        <v>0</v>
      </c>
    </row>
    <row r="118" spans="1:30">
      <c r="A118" s="432" t="s">
        <v>303</v>
      </c>
      <c r="C118" s="433">
        <f>'[25]6'!H19</f>
        <v>2598.7043698113198</v>
      </c>
      <c r="E118" s="550">
        <f>[25]Bill!P8</f>
        <v>2689</v>
      </c>
      <c r="G118" s="496">
        <f>[25]Blocking1!M118</f>
        <v>54</v>
      </c>
      <c r="H118" s="551"/>
      <c r="I118" s="417">
        <f>ROUND($G118*C118,0)</f>
        <v>140330</v>
      </c>
      <c r="K118" s="417">
        <f>ROUND($G118*E118,0)</f>
        <v>145206</v>
      </c>
      <c r="M118" s="552">
        <f t="shared" ref="M118:M124" si="49">M73</f>
        <v>54</v>
      </c>
      <c r="N118" s="551"/>
      <c r="O118" s="417">
        <f t="shared" ref="O118:O124" si="50">ROUND(M118*$E118,0)</f>
        <v>145206</v>
      </c>
      <c r="P118" s="417"/>
      <c r="T118" s="439">
        <f t="shared" ref="T118:T124" si="51">M118/G118-1</f>
        <v>0</v>
      </c>
      <c r="AD118" s="400">
        <f>K118-[25]Blocking1!O118</f>
        <v>0</v>
      </c>
    </row>
    <row r="119" spans="1:30">
      <c r="A119" s="432" t="s">
        <v>352</v>
      </c>
      <c r="C119" s="433">
        <f>'[25]6'!J19</f>
        <v>91009.859265672028</v>
      </c>
      <c r="E119" s="406">
        <f>ROUND(C119/C$130*E$130,0)</f>
        <v>88533</v>
      </c>
      <c r="G119" s="496"/>
      <c r="H119" s="551"/>
      <c r="I119" s="417"/>
      <c r="K119" s="417"/>
      <c r="M119" s="552"/>
      <c r="N119" s="551"/>
      <c r="O119" s="417"/>
      <c r="P119" s="497"/>
      <c r="S119" s="502"/>
      <c r="T119" s="439"/>
      <c r="AD119" s="400">
        <f>K119-[25]Blocking1!O119</f>
        <v>0</v>
      </c>
    </row>
    <row r="120" spans="1:30">
      <c r="A120" s="432" t="s">
        <v>353</v>
      </c>
      <c r="C120" s="433">
        <f>'[25]6'!K19</f>
        <v>121796.21106967263</v>
      </c>
      <c r="E120" s="406">
        <f>ROUND(C120/C$130*E$130,0)</f>
        <v>118482</v>
      </c>
      <c r="G120" s="496"/>
      <c r="H120" s="551"/>
      <c r="I120" s="417"/>
      <c r="K120" s="417"/>
      <c r="M120" s="552"/>
      <c r="N120" s="551"/>
      <c r="O120" s="417"/>
      <c r="P120" s="497"/>
      <c r="T120" s="439"/>
      <c r="AD120" s="400">
        <f>K120-[25]Blocking1!O120</f>
        <v>0</v>
      </c>
    </row>
    <row r="121" spans="1:30">
      <c r="A121" s="432" t="s">
        <v>346</v>
      </c>
      <c r="C121" s="433">
        <f>'[25]6'!L19</f>
        <v>22073.026904130402</v>
      </c>
      <c r="E121" s="406">
        <f>ROUND(C121/C$130*E$130,0)</f>
        <v>21472</v>
      </c>
      <c r="G121" s="496">
        <f>[25]Blocking1!M121</f>
        <v>-0.94</v>
      </c>
      <c r="H121" s="551"/>
      <c r="I121" s="417">
        <f>ROUND($G121*C121,0)</f>
        <v>-20749</v>
      </c>
      <c r="K121" s="417">
        <f>ROUND($G121*E121,0)</f>
        <v>-20184</v>
      </c>
      <c r="M121" s="552">
        <f t="shared" si="49"/>
        <v>-0.96</v>
      </c>
      <c r="N121" s="551"/>
      <c r="O121" s="417">
        <f t="shared" si="50"/>
        <v>-20613</v>
      </c>
      <c r="P121" s="497"/>
      <c r="T121" s="439">
        <f t="shared" si="51"/>
        <v>2.1276595744680771E-2</v>
      </c>
      <c r="AD121" s="400">
        <f>K121-[25]Blocking1!O121</f>
        <v>0</v>
      </c>
    </row>
    <row r="122" spans="1:30" s="541" customFormat="1">
      <c r="A122" s="480" t="s">
        <v>398</v>
      </c>
      <c r="B122" s="481"/>
      <c r="C122" s="553">
        <f>C119+C120</f>
        <v>212806.07033534464</v>
      </c>
      <c r="D122" s="483"/>
      <c r="E122" s="553">
        <f>E119+E120</f>
        <v>207015</v>
      </c>
      <c r="F122" s="483"/>
      <c r="G122" s="554">
        <f>[25]Blocking1!M122</f>
        <v>4.04</v>
      </c>
      <c r="H122" s="555"/>
      <c r="I122" s="485">
        <f t="shared" ref="I122:I124" si="52">ROUND($G122*C122,0)</f>
        <v>859737</v>
      </c>
      <c r="J122" s="483"/>
      <c r="K122" s="485">
        <f t="shared" ref="K122:K124" si="53">ROUND($G122*E122,0)</f>
        <v>836341</v>
      </c>
      <c r="L122" s="483"/>
      <c r="M122" s="556">
        <f t="shared" si="49"/>
        <v>4.04</v>
      </c>
      <c r="N122" s="555"/>
      <c r="O122" s="485">
        <f t="shared" si="50"/>
        <v>836341</v>
      </c>
      <c r="P122" s="542"/>
      <c r="Q122" s="481"/>
      <c r="S122" s="545"/>
      <c r="T122" s="439">
        <f t="shared" si="51"/>
        <v>0</v>
      </c>
      <c r="AD122" s="400">
        <f>K122-[25]Blocking1!O122</f>
        <v>0</v>
      </c>
    </row>
    <row r="123" spans="1:30" s="541" customFormat="1">
      <c r="A123" s="480" t="s">
        <v>352</v>
      </c>
      <c r="B123" s="481"/>
      <c r="C123" s="553">
        <f>C119</f>
        <v>91009.859265672028</v>
      </c>
      <c r="D123" s="483"/>
      <c r="E123" s="553">
        <f>E119</f>
        <v>88533</v>
      </c>
      <c r="F123" s="483"/>
      <c r="G123" s="554">
        <f>[25]Blocking1!M123</f>
        <v>14.27</v>
      </c>
      <c r="H123" s="555"/>
      <c r="I123" s="485">
        <f t="shared" si="52"/>
        <v>1298711</v>
      </c>
      <c r="J123" s="483"/>
      <c r="K123" s="485">
        <f t="shared" si="53"/>
        <v>1263366</v>
      </c>
      <c r="L123" s="483"/>
      <c r="M123" s="556">
        <f t="shared" si="49"/>
        <v>14.62</v>
      </c>
      <c r="N123" s="555"/>
      <c r="O123" s="485">
        <f t="shared" si="50"/>
        <v>1294352</v>
      </c>
      <c r="P123" s="542"/>
      <c r="Q123" s="481"/>
      <c r="T123" s="439">
        <f t="shared" si="51"/>
        <v>2.4526979677645278E-2</v>
      </c>
      <c r="AD123" s="400">
        <f>K123-[25]Blocking1!O123</f>
        <v>0</v>
      </c>
    </row>
    <row r="124" spans="1:30" s="541" customFormat="1">
      <c r="A124" s="480" t="s">
        <v>353</v>
      </c>
      <c r="B124" s="481"/>
      <c r="C124" s="553">
        <f>C120</f>
        <v>121796.21106967263</v>
      </c>
      <c r="D124" s="483"/>
      <c r="E124" s="553">
        <f>E120</f>
        <v>118482</v>
      </c>
      <c r="F124" s="483"/>
      <c r="G124" s="554">
        <f>[25]Blocking1!M124</f>
        <v>10.65</v>
      </c>
      <c r="H124" s="555"/>
      <c r="I124" s="485">
        <f t="shared" si="52"/>
        <v>1297130</v>
      </c>
      <c r="J124" s="483"/>
      <c r="K124" s="485">
        <f t="shared" si="53"/>
        <v>1261833</v>
      </c>
      <c r="L124" s="483"/>
      <c r="M124" s="556">
        <f t="shared" si="49"/>
        <v>10.91</v>
      </c>
      <c r="N124" s="555"/>
      <c r="O124" s="485">
        <f t="shared" si="50"/>
        <v>1292639</v>
      </c>
      <c r="P124" s="542"/>
      <c r="Q124" s="481"/>
      <c r="T124" s="439">
        <f t="shared" si="51"/>
        <v>2.4413145539906145E-2</v>
      </c>
      <c r="AD124" s="400">
        <f>K124-[25]Blocking1!O124</f>
        <v>0</v>
      </c>
    </row>
    <row r="125" spans="1:30">
      <c r="A125" s="432" t="s">
        <v>317</v>
      </c>
      <c r="C125" s="433">
        <f>SUM(C126:C127)</f>
        <v>84884554.817981541</v>
      </c>
      <c r="E125" s="406">
        <f>E130</f>
        <v>82445641.0539857</v>
      </c>
      <c r="G125" s="547"/>
      <c r="H125" s="462"/>
      <c r="I125" s="417"/>
      <c r="K125" s="417"/>
      <c r="M125" s="558"/>
      <c r="N125" s="462"/>
      <c r="O125" s="417"/>
      <c r="P125" s="497"/>
      <c r="S125" s="535"/>
      <c r="AD125" s="400">
        <f>K125-[25]Blocking1!O125</f>
        <v>0</v>
      </c>
    </row>
    <row r="126" spans="1:30">
      <c r="A126" s="432" t="s">
        <v>354</v>
      </c>
      <c r="C126" s="433">
        <f>'[25]6'!N19+[25]TempRev!C365</f>
        <v>33867785.396477878</v>
      </c>
      <c r="E126" s="406">
        <f>SUM([25]Energy!D8:F8,[25]Energy!N8:O8)</f>
        <v>34345693.970277406</v>
      </c>
      <c r="G126" s="547">
        <f>[25]Blocking1!M126</f>
        <v>3.8127</v>
      </c>
      <c r="H126" s="462" t="s">
        <v>305</v>
      </c>
      <c r="I126" s="417">
        <f>ROUND($G126*C126/100,0)</f>
        <v>1291277</v>
      </c>
      <c r="K126" s="417">
        <f>ROUND($G126*E126/100,0)</f>
        <v>1309498</v>
      </c>
      <c r="M126" s="558">
        <f>M81</f>
        <v>3.8127</v>
      </c>
      <c r="N126" s="462" t="s">
        <v>305</v>
      </c>
      <c r="O126" s="417">
        <f>ROUND(M126*$E126/100,0)</f>
        <v>1309498</v>
      </c>
      <c r="P126" s="497"/>
      <c r="R126" s="560"/>
      <c r="S126" s="535"/>
      <c r="T126" s="439">
        <f t="shared" ref="T126:T128" si="54">M126/G126-1</f>
        <v>0</v>
      </c>
      <c r="AD126" s="400">
        <f>K126-[25]Blocking1!O126</f>
        <v>0</v>
      </c>
    </row>
    <row r="127" spans="1:30">
      <c r="A127" s="432" t="s">
        <v>355</v>
      </c>
      <c r="C127" s="433">
        <f>'[25]6'!O19+[25]TempRev!C366</f>
        <v>51016769.421503656</v>
      </c>
      <c r="E127" s="406">
        <f>E125-E126</f>
        <v>48099947.083708294</v>
      </c>
      <c r="G127" s="547">
        <f>[25]Blocking1!M127</f>
        <v>3.5143</v>
      </c>
      <c r="H127" s="462" t="s">
        <v>305</v>
      </c>
      <c r="I127" s="417">
        <f>ROUND($G127*C127/100,0)</f>
        <v>1792882</v>
      </c>
      <c r="K127" s="417">
        <f>ROUND($G127*E127/100,0)</f>
        <v>1690376</v>
      </c>
      <c r="M127" s="558">
        <f>M82</f>
        <v>3.5143</v>
      </c>
      <c r="N127" s="462" t="s">
        <v>305</v>
      </c>
      <c r="O127" s="417">
        <f>ROUND(M127*$E127/100,0)</f>
        <v>1690376</v>
      </c>
      <c r="R127" s="560"/>
      <c r="S127" s="535"/>
      <c r="T127" s="439">
        <f t="shared" si="54"/>
        <v>0</v>
      </c>
      <c r="AD127" s="400">
        <f>K127-[25]Blocking1!O127</f>
        <v>0</v>
      </c>
    </row>
    <row r="128" spans="1:30">
      <c r="A128" s="432" t="s">
        <v>351</v>
      </c>
      <c r="C128" s="459">
        <v>0</v>
      </c>
      <c r="E128" s="406">
        <f>ROUND(C128*E118/C118,0)</f>
        <v>0</v>
      </c>
      <c r="G128" s="496">
        <f>[25]Blocking1!M128</f>
        <v>648</v>
      </c>
      <c r="H128" s="551"/>
      <c r="I128" s="417">
        <f>ROUND($G128*C128,0)</f>
        <v>0</v>
      </c>
      <c r="K128" s="417">
        <f>ROUND($G128*E128,0)</f>
        <v>0</v>
      </c>
      <c r="M128" s="552">
        <f>M98</f>
        <v>648</v>
      </c>
      <c r="N128" s="551"/>
      <c r="O128" s="417">
        <f>ROUND(M128*$E128,0)</f>
        <v>0</v>
      </c>
      <c r="S128" s="535"/>
      <c r="T128" s="439">
        <f t="shared" si="54"/>
        <v>0</v>
      </c>
      <c r="AD128" s="400">
        <f>K128-[25]Blocking1!O128</f>
        <v>0</v>
      </c>
    </row>
    <row r="129" spans="1:30">
      <c r="A129" s="432" t="s">
        <v>313</v>
      </c>
      <c r="C129" s="504">
        <f>'[25]Table 2'!J16</f>
        <v>-132671</v>
      </c>
      <c r="E129" s="504">
        <v>0</v>
      </c>
      <c r="I129" s="507">
        <f>'[25]Table 3'!F16</f>
        <v>14724</v>
      </c>
      <c r="K129" s="507">
        <v>0</v>
      </c>
      <c r="O129" s="507">
        <v>0</v>
      </c>
      <c r="P129" s="417"/>
      <c r="S129" s="535"/>
      <c r="T129" s="535"/>
      <c r="AD129" s="400">
        <f>K129-[25]Blocking1!O129</f>
        <v>0</v>
      </c>
    </row>
    <row r="130" spans="1:30" ht="16.5" thickBot="1">
      <c r="A130" s="432" t="s">
        <v>314</v>
      </c>
      <c r="C130" s="549">
        <f>C125+C129</f>
        <v>84751883.817981541</v>
      </c>
      <c r="E130" s="559">
        <f>[25]Energy!P8</f>
        <v>82445641.0539857</v>
      </c>
      <c r="G130" s="532"/>
      <c r="I130" s="533">
        <f>SUM(I118:I129)</f>
        <v>6674042</v>
      </c>
      <c r="K130" s="533">
        <f>SUM(K118:K129)</f>
        <v>6486436</v>
      </c>
      <c r="M130" s="534"/>
      <c r="O130" s="533">
        <f>SUM(O118:O129)</f>
        <v>6547799</v>
      </c>
      <c r="P130" s="417"/>
      <c r="Q130" s="416" t="s">
        <v>601</v>
      </c>
      <c r="R130" s="518">
        <f>O130/K130-1</f>
        <v>9.4602027985783987E-3</v>
      </c>
      <c r="T130" s="535"/>
      <c r="AD130" s="400">
        <f>K130-[25]Blocking1!O130</f>
        <v>0</v>
      </c>
    </row>
    <row r="131" spans="1:30" ht="16.5" thickTop="1">
      <c r="P131" s="417"/>
      <c r="T131" s="535"/>
      <c r="AD131" s="400">
        <f>K131-[25]Blocking1!O131</f>
        <v>0</v>
      </c>
    </row>
    <row r="132" spans="1:30">
      <c r="A132" s="428" t="s">
        <v>630</v>
      </c>
      <c r="C132" s="406"/>
      <c r="D132" s="551"/>
      <c r="E132" s="406"/>
      <c r="F132" s="551"/>
      <c r="J132" s="551"/>
      <c r="L132" s="551"/>
      <c r="P132" s="417"/>
      <c r="S132" s="440"/>
      <c r="AD132" s="400">
        <f>K132-[25]Blocking1!O132</f>
        <v>0</v>
      </c>
    </row>
    <row r="133" spans="1:30">
      <c r="A133" s="432" t="s">
        <v>303</v>
      </c>
      <c r="C133" s="561">
        <f t="shared" ref="C133:C144" si="55">C148+C163</f>
        <v>414.86710188679206</v>
      </c>
      <c r="D133" s="562"/>
      <c r="E133" s="561">
        <f t="shared" ref="E133:E144" si="56">E148+E163</f>
        <v>438</v>
      </c>
      <c r="G133" s="434">
        <f>[25]Blocking1!M133</f>
        <v>54</v>
      </c>
      <c r="H133" s="563"/>
      <c r="I133" s="417">
        <f>ROUND($G133*C133,0)</f>
        <v>22403</v>
      </c>
      <c r="K133" s="417">
        <f>ROUND($G133*E133,0)</f>
        <v>23652</v>
      </c>
      <c r="M133" s="434">
        <f>M73</f>
        <v>54</v>
      </c>
      <c r="N133" s="563"/>
      <c r="O133" s="417">
        <f t="shared" ref="O133:O139" si="57">ROUND(M133*$E133,0)</f>
        <v>23652</v>
      </c>
      <c r="P133" s="417"/>
      <c r="T133" s="439">
        <f t="shared" ref="T133:T139" si="58">M133/G133-1</f>
        <v>0</v>
      </c>
      <c r="AD133" s="400">
        <f>K133-[25]Blocking1!O133</f>
        <v>0</v>
      </c>
    </row>
    <row r="134" spans="1:30">
      <c r="A134" s="432" t="s">
        <v>360</v>
      </c>
      <c r="C134" s="561">
        <f t="shared" si="55"/>
        <v>15093.20874516115</v>
      </c>
      <c r="D134" s="562"/>
      <c r="E134" s="561">
        <f t="shared" si="56"/>
        <v>6224</v>
      </c>
      <c r="G134" s="434"/>
      <c r="H134" s="563"/>
      <c r="I134" s="417"/>
      <c r="K134" s="417"/>
      <c r="M134" s="434"/>
      <c r="N134" s="563"/>
      <c r="O134" s="417"/>
      <c r="P134" s="417"/>
      <c r="S134" s="502"/>
      <c r="T134" s="439"/>
      <c r="AD134" s="400">
        <f>K134-[25]Blocking1!O134</f>
        <v>0</v>
      </c>
    </row>
    <row r="135" spans="1:30">
      <c r="A135" s="432" t="s">
        <v>361</v>
      </c>
      <c r="C135" s="561">
        <f t="shared" si="55"/>
        <v>10682.428219018249</v>
      </c>
      <c r="D135" s="562"/>
      <c r="E135" s="561">
        <f t="shared" si="56"/>
        <v>4264</v>
      </c>
      <c r="G135" s="434"/>
      <c r="H135" s="563"/>
      <c r="I135" s="417"/>
      <c r="K135" s="417"/>
      <c r="M135" s="434"/>
      <c r="N135" s="563"/>
      <c r="O135" s="417"/>
      <c r="P135" s="497"/>
      <c r="T135" s="439"/>
      <c r="AD135" s="400">
        <f>K135-[25]Blocking1!O135</f>
        <v>0</v>
      </c>
    </row>
    <row r="136" spans="1:30">
      <c r="A136" s="432" t="s">
        <v>346</v>
      </c>
      <c r="C136" s="561">
        <f t="shared" si="55"/>
        <v>0</v>
      </c>
      <c r="D136" s="562"/>
      <c r="E136" s="561">
        <f t="shared" si="56"/>
        <v>0</v>
      </c>
      <c r="G136" s="434">
        <f>[25]Blocking1!M136</f>
        <v>-0.94</v>
      </c>
      <c r="H136" s="563"/>
      <c r="I136" s="417">
        <f>ROUND($G136*C136,0)</f>
        <v>0</v>
      </c>
      <c r="K136" s="417">
        <f>ROUND($G136*E136,0)</f>
        <v>0</v>
      </c>
      <c r="M136" s="434">
        <f>M76</f>
        <v>-0.96</v>
      </c>
      <c r="N136" s="563"/>
      <c r="O136" s="417">
        <f t="shared" si="57"/>
        <v>0</v>
      </c>
      <c r="P136" s="497"/>
      <c r="R136" s="560"/>
      <c r="T136" s="439">
        <f t="shared" si="58"/>
        <v>2.1276595744680771E-2</v>
      </c>
      <c r="AD136" s="400">
        <f>K136-[25]Blocking1!O136</f>
        <v>0</v>
      </c>
    </row>
    <row r="137" spans="1:30" s="541" customFormat="1">
      <c r="A137" s="480" t="s">
        <v>398</v>
      </c>
      <c r="B137" s="481"/>
      <c r="C137" s="564">
        <f t="shared" si="55"/>
        <v>25775.636964179401</v>
      </c>
      <c r="D137" s="482"/>
      <c r="E137" s="564">
        <f t="shared" si="56"/>
        <v>10488</v>
      </c>
      <c r="F137" s="483"/>
      <c r="G137" s="538">
        <f>[25]Blocking1!M137</f>
        <v>4.04</v>
      </c>
      <c r="H137" s="565"/>
      <c r="I137" s="485">
        <f t="shared" ref="I137:I139" si="59">ROUND($G137*C137,0)</f>
        <v>104134</v>
      </c>
      <c r="J137" s="483"/>
      <c r="K137" s="485">
        <f t="shared" ref="K137:K139" si="60">ROUND($G137*E137,0)</f>
        <v>42372</v>
      </c>
      <c r="L137" s="483"/>
      <c r="M137" s="538">
        <f>M77</f>
        <v>4.04</v>
      </c>
      <c r="N137" s="565"/>
      <c r="O137" s="485">
        <f t="shared" si="57"/>
        <v>42372</v>
      </c>
      <c r="P137" s="485"/>
      <c r="Q137" s="481"/>
      <c r="S137" s="545"/>
      <c r="T137" s="439">
        <f t="shared" si="58"/>
        <v>0</v>
      </c>
      <c r="AD137" s="400">
        <f>K137-[25]Blocking1!O137</f>
        <v>0</v>
      </c>
    </row>
    <row r="138" spans="1:30" s="541" customFormat="1">
      <c r="A138" s="480" t="s">
        <v>360</v>
      </c>
      <c r="B138" s="481"/>
      <c r="C138" s="564">
        <f t="shared" si="55"/>
        <v>15093.20874516115</v>
      </c>
      <c r="D138" s="482"/>
      <c r="E138" s="564">
        <f t="shared" si="56"/>
        <v>6224</v>
      </c>
      <c r="F138" s="483"/>
      <c r="G138" s="538">
        <f>[25]Blocking1!M138</f>
        <v>14.27</v>
      </c>
      <c r="H138" s="565"/>
      <c r="I138" s="485">
        <f t="shared" si="59"/>
        <v>215380</v>
      </c>
      <c r="J138" s="483"/>
      <c r="K138" s="485">
        <f t="shared" si="60"/>
        <v>88816</v>
      </c>
      <c r="L138" s="483"/>
      <c r="M138" s="538">
        <f t="shared" ref="M138:M139" si="61">M78</f>
        <v>14.62</v>
      </c>
      <c r="N138" s="565"/>
      <c r="O138" s="485">
        <f t="shared" si="57"/>
        <v>90995</v>
      </c>
      <c r="P138" s="542"/>
      <c r="Q138" s="481"/>
      <c r="T138" s="439">
        <f t="shared" si="58"/>
        <v>2.4526979677645278E-2</v>
      </c>
      <c r="AD138" s="400">
        <f>K138-[25]Blocking1!O138</f>
        <v>0</v>
      </c>
    </row>
    <row r="139" spans="1:30" s="541" customFormat="1">
      <c r="A139" s="480" t="s">
        <v>361</v>
      </c>
      <c r="B139" s="481"/>
      <c r="C139" s="564">
        <f t="shared" si="55"/>
        <v>10682.428219018249</v>
      </c>
      <c r="D139" s="482"/>
      <c r="E139" s="564">
        <f t="shared" si="56"/>
        <v>4264</v>
      </c>
      <c r="F139" s="483"/>
      <c r="G139" s="538">
        <f>[25]Blocking1!M139</f>
        <v>10.65</v>
      </c>
      <c r="H139" s="565"/>
      <c r="I139" s="485">
        <f t="shared" si="59"/>
        <v>113768</v>
      </c>
      <c r="J139" s="483"/>
      <c r="K139" s="485">
        <f t="shared" si="60"/>
        <v>45412</v>
      </c>
      <c r="L139" s="483"/>
      <c r="M139" s="538">
        <f t="shared" si="61"/>
        <v>10.91</v>
      </c>
      <c r="N139" s="565"/>
      <c r="O139" s="485">
        <f t="shared" si="57"/>
        <v>46520</v>
      </c>
      <c r="P139" s="542"/>
      <c r="Q139" s="481"/>
      <c r="R139" s="566"/>
      <c r="T139" s="439">
        <f t="shared" si="58"/>
        <v>2.4413145539906145E-2</v>
      </c>
      <c r="AD139" s="400">
        <f>K139-[25]Blocking1!O139</f>
        <v>0</v>
      </c>
    </row>
    <row r="140" spans="1:30">
      <c r="A140" s="432" t="s">
        <v>317</v>
      </c>
      <c r="C140" s="561">
        <f t="shared" si="55"/>
        <v>9238803</v>
      </c>
      <c r="D140" s="562"/>
      <c r="E140" s="561">
        <f t="shared" si="56"/>
        <v>3907497</v>
      </c>
      <c r="G140" s="547"/>
      <c r="H140" s="462"/>
      <c r="I140" s="417"/>
      <c r="K140" s="417"/>
      <c r="M140" s="558"/>
      <c r="N140" s="462"/>
      <c r="O140" s="417"/>
      <c r="P140" s="497"/>
      <c r="R140" s="560"/>
      <c r="AD140" s="400">
        <f>K140-[25]Blocking1!O140</f>
        <v>0</v>
      </c>
    </row>
    <row r="141" spans="1:30">
      <c r="A141" s="432" t="s">
        <v>354</v>
      </c>
      <c r="C141" s="561">
        <f t="shared" si="55"/>
        <v>5798006</v>
      </c>
      <c r="D141" s="562"/>
      <c r="E141" s="561">
        <f t="shared" si="56"/>
        <v>1628123.75</v>
      </c>
      <c r="G141" s="547">
        <f>[25]Blocking1!M141</f>
        <v>3.8127</v>
      </c>
      <c r="H141" s="462" t="s">
        <v>305</v>
      </c>
      <c r="I141" s="417">
        <f>ROUND($G141*C141/100,0)</f>
        <v>221061</v>
      </c>
      <c r="K141" s="417">
        <f>ROUND($G141*E141/100,0)</f>
        <v>62075</v>
      </c>
      <c r="M141" s="558">
        <f t="shared" ref="M141:M143" si="62">M81</f>
        <v>3.8127</v>
      </c>
      <c r="N141" s="462" t="s">
        <v>305</v>
      </c>
      <c r="O141" s="417">
        <f>ROUND(M141*$E141/100,0)</f>
        <v>62075</v>
      </c>
      <c r="P141" s="497"/>
      <c r="T141" s="439">
        <f t="shared" ref="T141:T143" si="63">M141/G141-1</f>
        <v>0</v>
      </c>
      <c r="AD141" s="400">
        <f>K141-[25]Blocking1!O141</f>
        <v>0</v>
      </c>
    </row>
    <row r="142" spans="1:30">
      <c r="A142" s="432" t="s">
        <v>355</v>
      </c>
      <c r="C142" s="561">
        <f t="shared" si="55"/>
        <v>3440797</v>
      </c>
      <c r="D142" s="562"/>
      <c r="E142" s="561">
        <f t="shared" si="56"/>
        <v>2279373.25</v>
      </c>
      <c r="G142" s="547">
        <f>[25]Blocking1!M142</f>
        <v>3.5143</v>
      </c>
      <c r="H142" s="462" t="s">
        <v>305</v>
      </c>
      <c r="I142" s="417">
        <f>ROUND($G142*C142/100,0)</f>
        <v>120920</v>
      </c>
      <c r="K142" s="417">
        <f>ROUND($G142*E142/100,0)</f>
        <v>80104</v>
      </c>
      <c r="M142" s="558">
        <f t="shared" si="62"/>
        <v>3.5143</v>
      </c>
      <c r="N142" s="462" t="s">
        <v>305</v>
      </c>
      <c r="O142" s="417">
        <f>ROUND(M142*$E142/100,0)</f>
        <v>80104</v>
      </c>
      <c r="T142" s="439">
        <f t="shared" si="63"/>
        <v>0</v>
      </c>
      <c r="AD142" s="400">
        <f>K142-[25]Blocking1!O142</f>
        <v>0</v>
      </c>
    </row>
    <row r="143" spans="1:30">
      <c r="A143" s="432" t="s">
        <v>351</v>
      </c>
      <c r="C143" s="561">
        <f t="shared" si="55"/>
        <v>0</v>
      </c>
      <c r="D143" s="567"/>
      <c r="E143" s="561">
        <f t="shared" si="56"/>
        <v>0</v>
      </c>
      <c r="F143" s="551"/>
      <c r="G143" s="434">
        <f>[25]Blocking1!M143</f>
        <v>648</v>
      </c>
      <c r="H143" s="515"/>
      <c r="I143" s="417">
        <f>ROUND($G143*C143,0)</f>
        <v>0</v>
      </c>
      <c r="J143" s="551"/>
      <c r="K143" s="417">
        <f>ROUND($G143*E143,0)</f>
        <v>0</v>
      </c>
      <c r="L143" s="551"/>
      <c r="M143" s="434">
        <f t="shared" si="62"/>
        <v>648</v>
      </c>
      <c r="N143" s="515"/>
      <c r="O143" s="417">
        <f>ROUND(M143*$E143,0)</f>
        <v>0</v>
      </c>
      <c r="T143" s="439">
        <f t="shared" si="63"/>
        <v>0</v>
      </c>
      <c r="AD143" s="400">
        <f>K143-[25]Blocking1!O143</f>
        <v>0</v>
      </c>
    </row>
    <row r="144" spans="1:30">
      <c r="A144" s="432" t="s">
        <v>313</v>
      </c>
      <c r="C144" s="505">
        <f t="shared" si="55"/>
        <v>39551</v>
      </c>
      <c r="D144" s="562"/>
      <c r="E144" s="505">
        <f t="shared" si="56"/>
        <v>0</v>
      </c>
      <c r="I144" s="507">
        <f>I159+I174</f>
        <v>5559</v>
      </c>
      <c r="K144" s="507">
        <v>0</v>
      </c>
      <c r="O144" s="507">
        <v>0</v>
      </c>
      <c r="P144" s="417"/>
      <c r="Q144" s="404"/>
      <c r="R144" s="568"/>
      <c r="AD144" s="400">
        <f>K144-[25]Blocking1!O144</f>
        <v>0</v>
      </c>
    </row>
    <row r="145" spans="1:30" ht="16.5" thickBot="1">
      <c r="A145" s="432" t="s">
        <v>314</v>
      </c>
      <c r="C145" s="549">
        <f>C140+C144</f>
        <v>9278354</v>
      </c>
      <c r="E145" s="549">
        <f>E140+E144</f>
        <v>3907497</v>
      </c>
      <c r="G145" s="532"/>
      <c r="I145" s="533">
        <f>SUM(I133:I144)</f>
        <v>803225</v>
      </c>
      <c r="K145" s="533">
        <f>SUM(K133:K144)</f>
        <v>342431</v>
      </c>
      <c r="M145" s="534"/>
      <c r="O145" s="533">
        <f>SUM(O133:O144)</f>
        <v>345718</v>
      </c>
      <c r="P145" s="417"/>
      <c r="Q145" s="416" t="s">
        <v>601</v>
      </c>
      <c r="R145" s="518">
        <f>O145/K145-1</f>
        <v>9.5990141079516089E-3</v>
      </c>
      <c r="AD145" s="400">
        <f>K145-[25]Blocking1!O145</f>
        <v>0</v>
      </c>
    </row>
    <row r="146" spans="1:30" ht="16.5" thickTop="1">
      <c r="C146" s="406"/>
      <c r="E146" s="406"/>
      <c r="P146" s="417"/>
      <c r="AD146" s="400">
        <f>K146-[25]Blocking1!O146</f>
        <v>0</v>
      </c>
    </row>
    <row r="147" spans="1:30">
      <c r="A147" s="428" t="s">
        <v>359</v>
      </c>
      <c r="C147" s="406"/>
      <c r="D147" s="551"/>
      <c r="E147" s="406"/>
      <c r="F147" s="551"/>
      <c r="J147" s="551"/>
      <c r="L147" s="551"/>
      <c r="P147" s="417"/>
      <c r="S147" s="440"/>
      <c r="AD147" s="400">
        <f>K147-[25]Blocking1!O147</f>
        <v>0</v>
      </c>
    </row>
    <row r="148" spans="1:30">
      <c r="A148" s="432" t="s">
        <v>303</v>
      </c>
      <c r="C148" s="433">
        <f>'[25]6'!H21</f>
        <v>372.80062641509397</v>
      </c>
      <c r="E148" s="550">
        <f>[25]Bill!P19</f>
        <v>414</v>
      </c>
      <c r="G148" s="434">
        <f>[25]Blocking1!M148</f>
        <v>54</v>
      </c>
      <c r="H148" s="563"/>
      <c r="I148" s="417">
        <f>ROUND($G148*C148,0)</f>
        <v>20131</v>
      </c>
      <c r="K148" s="417">
        <f>ROUND($G148*E148,0)</f>
        <v>22356</v>
      </c>
      <c r="M148" s="434">
        <f>M73</f>
        <v>54</v>
      </c>
      <c r="N148" s="563"/>
      <c r="O148" s="417">
        <f t="shared" ref="O148:O154" si="64">ROUND(M148*$E148,0)</f>
        <v>22356</v>
      </c>
      <c r="P148" s="417"/>
      <c r="T148" s="439">
        <f t="shared" ref="T148:T154" si="65">M148/G148-1</f>
        <v>0</v>
      </c>
      <c r="AD148" s="400">
        <f>K148-[25]Blocking1!O148</f>
        <v>0</v>
      </c>
    </row>
    <row r="149" spans="1:30">
      <c r="A149" s="432" t="s">
        <v>360</v>
      </c>
      <c r="C149" s="433">
        <f>'[25]6'!J21</f>
        <v>10708.86654732</v>
      </c>
      <c r="E149" s="406">
        <f>ROUND(C149*$E$160/$C$160,0)</f>
        <v>3715</v>
      </c>
      <c r="G149" s="434"/>
      <c r="H149" s="563"/>
      <c r="I149" s="417"/>
      <c r="K149" s="417"/>
      <c r="M149" s="434"/>
      <c r="N149" s="563"/>
      <c r="O149" s="417"/>
      <c r="P149" s="417"/>
      <c r="S149" s="502"/>
      <c r="T149" s="439"/>
      <c r="AD149" s="400">
        <f>K149-[25]Blocking1!O149</f>
        <v>0</v>
      </c>
    </row>
    <row r="150" spans="1:30">
      <c r="A150" s="432" t="s">
        <v>361</v>
      </c>
      <c r="C150" s="433">
        <f>'[25]6'!K21</f>
        <v>8208.5052483540294</v>
      </c>
      <c r="E150" s="406">
        <f>ROUND(C150*$E$160/$C$160,0)</f>
        <v>2848</v>
      </c>
      <c r="G150" s="434"/>
      <c r="H150" s="563"/>
      <c r="I150" s="417"/>
      <c r="K150" s="417"/>
      <c r="M150" s="434"/>
      <c r="N150" s="563"/>
      <c r="O150" s="417"/>
      <c r="P150" s="497"/>
      <c r="T150" s="439"/>
      <c r="AD150" s="400">
        <f>K150-[25]Blocking1!O150</f>
        <v>0</v>
      </c>
    </row>
    <row r="151" spans="1:30">
      <c r="A151" s="432" t="s">
        <v>346</v>
      </c>
      <c r="C151" s="433">
        <f>'[25]6'!L21</f>
        <v>0</v>
      </c>
      <c r="E151" s="406">
        <f>ROUND(C151*$E$160/$C$160,0)</f>
        <v>0</v>
      </c>
      <c r="G151" s="434">
        <f>[25]Blocking1!M151</f>
        <v>-0.94</v>
      </c>
      <c r="H151" s="563"/>
      <c r="I151" s="417">
        <f>ROUND($G151*C151,0)</f>
        <v>0</v>
      </c>
      <c r="K151" s="417">
        <f>ROUND($G151*E151,0)</f>
        <v>0</v>
      </c>
      <c r="M151" s="434">
        <f>M76</f>
        <v>-0.96</v>
      </c>
      <c r="N151" s="563"/>
      <c r="O151" s="417">
        <f t="shared" si="64"/>
        <v>0</v>
      </c>
      <c r="P151" s="497"/>
      <c r="R151" s="560"/>
      <c r="T151" s="439">
        <f t="shared" si="65"/>
        <v>2.1276595744680771E-2</v>
      </c>
      <c r="AD151" s="400">
        <f>K151-[25]Blocking1!O151</f>
        <v>0</v>
      </c>
    </row>
    <row r="152" spans="1:30" s="541" customFormat="1">
      <c r="A152" s="480" t="s">
        <v>398</v>
      </c>
      <c r="B152" s="481"/>
      <c r="C152" s="553">
        <f>C149+C150</f>
        <v>18917.371795674029</v>
      </c>
      <c r="D152" s="483"/>
      <c r="E152" s="553">
        <f>E149+E150</f>
        <v>6563</v>
      </c>
      <c r="F152" s="483"/>
      <c r="G152" s="538">
        <f>[25]Blocking1!M152</f>
        <v>4.04</v>
      </c>
      <c r="H152" s="565"/>
      <c r="I152" s="485">
        <f t="shared" ref="I152:I154" si="66">ROUND($G152*C152,0)</f>
        <v>76426</v>
      </c>
      <c r="J152" s="483"/>
      <c r="K152" s="485">
        <f t="shared" ref="K152:K154" si="67">ROUND($G152*E152,0)</f>
        <v>26515</v>
      </c>
      <c r="L152" s="483"/>
      <c r="M152" s="538">
        <f t="shared" ref="M152:M154" si="68">M77</f>
        <v>4.04</v>
      </c>
      <c r="N152" s="565"/>
      <c r="O152" s="485">
        <f t="shared" si="64"/>
        <v>26515</v>
      </c>
      <c r="P152" s="485"/>
      <c r="Q152" s="481"/>
      <c r="S152" s="545"/>
      <c r="T152" s="439">
        <f t="shared" si="65"/>
        <v>0</v>
      </c>
      <c r="AD152" s="400">
        <f>K152-[25]Blocking1!O152</f>
        <v>0</v>
      </c>
    </row>
    <row r="153" spans="1:30" s="541" customFormat="1">
      <c r="A153" s="480" t="s">
        <v>360</v>
      </c>
      <c r="B153" s="481"/>
      <c r="C153" s="553">
        <f>C149</f>
        <v>10708.86654732</v>
      </c>
      <c r="D153" s="483"/>
      <c r="E153" s="553">
        <f>E149</f>
        <v>3715</v>
      </c>
      <c r="F153" s="483"/>
      <c r="G153" s="538">
        <f>[25]Blocking1!M153</f>
        <v>14.27</v>
      </c>
      <c r="H153" s="565"/>
      <c r="I153" s="485">
        <f t="shared" si="66"/>
        <v>152816</v>
      </c>
      <c r="J153" s="483"/>
      <c r="K153" s="485">
        <f t="shared" si="67"/>
        <v>53013</v>
      </c>
      <c r="L153" s="483"/>
      <c r="M153" s="538">
        <f t="shared" si="68"/>
        <v>14.62</v>
      </c>
      <c r="N153" s="565"/>
      <c r="O153" s="485">
        <f t="shared" si="64"/>
        <v>54313</v>
      </c>
      <c r="P153" s="542"/>
      <c r="Q153" s="481"/>
      <c r="T153" s="439">
        <f t="shared" si="65"/>
        <v>2.4526979677645278E-2</v>
      </c>
      <c r="AD153" s="400">
        <f>K153-[25]Blocking1!O153</f>
        <v>0</v>
      </c>
    </row>
    <row r="154" spans="1:30" s="541" customFormat="1">
      <c r="A154" s="480" t="s">
        <v>361</v>
      </c>
      <c r="B154" s="481"/>
      <c r="C154" s="553">
        <f>C150</f>
        <v>8208.5052483540294</v>
      </c>
      <c r="D154" s="483"/>
      <c r="E154" s="553">
        <f>E150</f>
        <v>2848</v>
      </c>
      <c r="F154" s="483"/>
      <c r="G154" s="538">
        <f>[25]Blocking1!M154</f>
        <v>10.65</v>
      </c>
      <c r="H154" s="565"/>
      <c r="I154" s="485">
        <f t="shared" si="66"/>
        <v>87421</v>
      </c>
      <c r="J154" s="483"/>
      <c r="K154" s="485">
        <f t="shared" si="67"/>
        <v>30331</v>
      </c>
      <c r="L154" s="483"/>
      <c r="M154" s="538">
        <f t="shared" si="68"/>
        <v>10.91</v>
      </c>
      <c r="N154" s="565"/>
      <c r="O154" s="485">
        <f t="shared" si="64"/>
        <v>31072</v>
      </c>
      <c r="P154" s="542"/>
      <c r="Q154" s="481"/>
      <c r="R154" s="566"/>
      <c r="T154" s="439">
        <f t="shared" si="65"/>
        <v>2.4413145539906145E-2</v>
      </c>
      <c r="AD154" s="400">
        <f>K154-[25]Blocking1!O154</f>
        <v>0</v>
      </c>
    </row>
    <row r="155" spans="1:30">
      <c r="A155" s="432" t="s">
        <v>317</v>
      </c>
      <c r="C155" s="557">
        <f>C156+C157</f>
        <v>6211663</v>
      </c>
      <c r="E155" s="406">
        <f>SUM(E156:E157)</f>
        <v>2159520</v>
      </c>
      <c r="G155" s="547"/>
      <c r="H155" s="462"/>
      <c r="I155" s="417"/>
      <c r="K155" s="417"/>
      <c r="M155" s="558"/>
      <c r="N155" s="462"/>
      <c r="O155" s="417"/>
      <c r="P155" s="497"/>
      <c r="R155" s="560"/>
      <c r="AD155" s="400">
        <f>K155-[25]Blocking1!O155</f>
        <v>0</v>
      </c>
    </row>
    <row r="156" spans="1:30">
      <c r="A156" s="432" t="s">
        <v>354</v>
      </c>
      <c r="C156" s="433">
        <f>'[25]6'!N21+[25]TempRev!C382</f>
        <v>3806728</v>
      </c>
      <c r="E156" s="406">
        <f>SUM([25]Energy!D19:F19,[25]Energy!N19:O19)</f>
        <v>899800</v>
      </c>
      <c r="G156" s="547">
        <f>[25]Blocking1!M156</f>
        <v>3.8127</v>
      </c>
      <c r="H156" s="462" t="s">
        <v>305</v>
      </c>
      <c r="I156" s="417">
        <f>ROUND($G156*C156/100,0)</f>
        <v>145139</v>
      </c>
      <c r="K156" s="417">
        <f>ROUND($G156*E156/100,0)</f>
        <v>34307</v>
      </c>
      <c r="M156" s="558">
        <f>M81</f>
        <v>3.8127</v>
      </c>
      <c r="N156" s="462" t="s">
        <v>305</v>
      </c>
      <c r="O156" s="417">
        <f>ROUND(M156*$E156/100,0)</f>
        <v>34307</v>
      </c>
      <c r="P156" s="497"/>
      <c r="T156" s="439">
        <f t="shared" ref="T156:T158" si="69">M156/G156-1</f>
        <v>0</v>
      </c>
      <c r="AD156" s="400">
        <f>K156-[25]Blocking1!O156</f>
        <v>0</v>
      </c>
    </row>
    <row r="157" spans="1:30">
      <c r="A157" s="432" t="s">
        <v>355</v>
      </c>
      <c r="C157" s="433">
        <f>'[25]6'!O21+[25]TempRev!C383</f>
        <v>2404935</v>
      </c>
      <c r="E157" s="406">
        <f>E160-E156</f>
        <v>1259720</v>
      </c>
      <c r="G157" s="547">
        <f>[25]Blocking1!M157</f>
        <v>3.5143</v>
      </c>
      <c r="H157" s="462" t="s">
        <v>305</v>
      </c>
      <c r="I157" s="417">
        <f>ROUND($G157*C157/100,0)</f>
        <v>84517</v>
      </c>
      <c r="K157" s="417">
        <f>ROUND($G157*E157/100,0)</f>
        <v>44270</v>
      </c>
      <c r="M157" s="558">
        <f>M82</f>
        <v>3.5143</v>
      </c>
      <c r="N157" s="462" t="s">
        <v>305</v>
      </c>
      <c r="O157" s="417">
        <f>ROUND(M157*$E157/100,0)</f>
        <v>44270</v>
      </c>
      <c r="T157" s="439">
        <f t="shared" si="69"/>
        <v>0</v>
      </c>
      <c r="AD157" s="400">
        <f>K157-[25]Blocking1!O157</f>
        <v>0</v>
      </c>
    </row>
    <row r="158" spans="1:30">
      <c r="A158" s="432" t="s">
        <v>351</v>
      </c>
      <c r="C158" s="433">
        <v>0</v>
      </c>
      <c r="D158" s="551"/>
      <c r="E158" s="406">
        <f>ROUND(C158*E148/C148,0)</f>
        <v>0</v>
      </c>
      <c r="F158" s="551"/>
      <c r="G158" s="434">
        <f>[25]Blocking1!M158</f>
        <v>648</v>
      </c>
      <c r="H158" s="515"/>
      <c r="I158" s="417">
        <f>ROUND($G158*C158,0)</f>
        <v>0</v>
      </c>
      <c r="J158" s="551"/>
      <c r="K158" s="417">
        <f>ROUND($G158*E158,0)</f>
        <v>0</v>
      </c>
      <c r="L158" s="551"/>
      <c r="M158" s="434">
        <f>M83</f>
        <v>648</v>
      </c>
      <c r="N158" s="515"/>
      <c r="O158" s="417">
        <f>ROUND(M158*$E158,0)</f>
        <v>0</v>
      </c>
      <c r="T158" s="439">
        <f t="shared" si="69"/>
        <v>0</v>
      </c>
      <c r="AD158" s="400">
        <f>K158-[25]Blocking1!O158</f>
        <v>0</v>
      </c>
    </row>
    <row r="159" spans="1:30">
      <c r="A159" s="432" t="s">
        <v>313</v>
      </c>
      <c r="C159" s="504">
        <f>'[25]Table 2'!J40</f>
        <v>12668</v>
      </c>
      <c r="E159" s="504">
        <v>0</v>
      </c>
      <c r="I159" s="507">
        <f>'[25]Table 3'!F40</f>
        <v>3135</v>
      </c>
      <c r="K159" s="507">
        <v>0</v>
      </c>
      <c r="O159" s="507">
        <v>0</v>
      </c>
      <c r="P159" s="417"/>
      <c r="Q159" s="404"/>
      <c r="R159" s="568"/>
      <c r="AD159" s="400">
        <f>K159-[25]Blocking1!O159</f>
        <v>0</v>
      </c>
    </row>
    <row r="160" spans="1:30" ht="16.5" thickBot="1">
      <c r="A160" s="432" t="s">
        <v>314</v>
      </c>
      <c r="C160" s="549">
        <f>C155+C159</f>
        <v>6224331</v>
      </c>
      <c r="E160" s="559">
        <f>[25]Energy!P19</f>
        <v>2159520</v>
      </c>
      <c r="G160" s="532"/>
      <c r="I160" s="533">
        <f>SUM(I148:I159)</f>
        <v>569585</v>
      </c>
      <c r="K160" s="533">
        <f>SUM(K148:K159)</f>
        <v>210792</v>
      </c>
      <c r="M160" s="534"/>
      <c r="O160" s="533">
        <f>SUM(O148:O159)</f>
        <v>212833</v>
      </c>
      <c r="P160" s="417"/>
      <c r="Q160" s="416" t="s">
        <v>601</v>
      </c>
      <c r="R160" s="518">
        <f>O160/K160-1</f>
        <v>9.6825306463244054E-3</v>
      </c>
      <c r="AD160" s="400">
        <f>K160-[25]Blocking1!O160</f>
        <v>0</v>
      </c>
    </row>
    <row r="161" spans="1:30" ht="16.5" thickTop="1">
      <c r="C161" s="406"/>
      <c r="E161" s="406"/>
      <c r="P161" s="417"/>
      <c r="AD161" s="400">
        <f>K161-[25]Blocking1!O161</f>
        <v>0</v>
      </c>
    </row>
    <row r="162" spans="1:30">
      <c r="A162" s="428" t="s">
        <v>362</v>
      </c>
      <c r="C162" s="406"/>
      <c r="E162" s="406"/>
      <c r="P162" s="417"/>
      <c r="S162" s="440"/>
      <c r="AD162" s="400">
        <f>K162-[25]Blocking1!O162</f>
        <v>0</v>
      </c>
    </row>
    <row r="163" spans="1:30">
      <c r="A163" s="569" t="s">
        <v>303</v>
      </c>
      <c r="C163" s="433">
        <f>'[25]6'!H22</f>
        <v>42.066475471698098</v>
      </c>
      <c r="E163" s="550">
        <f>[25]Bill!P35</f>
        <v>24</v>
      </c>
      <c r="G163" s="434">
        <f>[25]Blocking1!M163</f>
        <v>54</v>
      </c>
      <c r="H163" s="563"/>
      <c r="I163" s="417">
        <f>ROUND($G163*C163,0)</f>
        <v>2272</v>
      </c>
      <c r="K163" s="417">
        <f>ROUND($G163*E163,0)</f>
        <v>1296</v>
      </c>
      <c r="M163" s="434">
        <f>M73</f>
        <v>54</v>
      </c>
      <c r="N163" s="563"/>
      <c r="O163" s="417">
        <f t="shared" ref="O163:O169" si="70">ROUND(M163*$E163,0)</f>
        <v>1296</v>
      </c>
      <c r="P163" s="417"/>
      <c r="T163" s="439">
        <f t="shared" ref="T163:T169" si="71">M163/G163-1</f>
        <v>0</v>
      </c>
      <c r="AD163" s="400">
        <f>K163-[25]Blocking1!O163</f>
        <v>0</v>
      </c>
    </row>
    <row r="164" spans="1:30">
      <c r="A164" s="432" t="s">
        <v>360</v>
      </c>
      <c r="C164" s="433">
        <f>'[25]6'!J22</f>
        <v>4384.3421978411498</v>
      </c>
      <c r="E164" s="406">
        <f>ROUND(C164*$E$175/$C$175,0)</f>
        <v>2509</v>
      </c>
      <c r="G164" s="434"/>
      <c r="H164" s="563"/>
      <c r="I164" s="417"/>
      <c r="K164" s="417"/>
      <c r="M164" s="434"/>
      <c r="N164" s="563"/>
      <c r="O164" s="417"/>
      <c r="P164" s="417"/>
      <c r="S164" s="502"/>
      <c r="T164" s="439"/>
      <c r="AD164" s="400">
        <f>K164-[25]Blocking1!O164</f>
        <v>0</v>
      </c>
    </row>
    <row r="165" spans="1:30">
      <c r="A165" s="432" t="s">
        <v>361</v>
      </c>
      <c r="C165" s="433">
        <f>'[25]6'!K22</f>
        <v>2473.92297066422</v>
      </c>
      <c r="E165" s="406">
        <f>ROUND(C165*$E$175/$C$175,0)</f>
        <v>1416</v>
      </c>
      <c r="G165" s="434"/>
      <c r="H165" s="563"/>
      <c r="I165" s="417"/>
      <c r="K165" s="417"/>
      <c r="M165" s="434"/>
      <c r="N165" s="563"/>
      <c r="O165" s="417"/>
      <c r="P165" s="497"/>
      <c r="T165" s="439"/>
      <c r="AD165" s="400">
        <f>K165-[25]Blocking1!O165</f>
        <v>0</v>
      </c>
    </row>
    <row r="166" spans="1:30">
      <c r="A166" s="432" t="s">
        <v>346</v>
      </c>
      <c r="C166" s="433">
        <f>'[25]6'!L22</f>
        <v>0</v>
      </c>
      <c r="E166" s="406">
        <f>ROUND(C166*$E$175/$C$175,0)</f>
        <v>0</v>
      </c>
      <c r="G166" s="434">
        <f>[25]Blocking1!M166</f>
        <v>-0.94</v>
      </c>
      <c r="H166" s="563"/>
      <c r="I166" s="417">
        <f>ROUND($G166*C166,0)</f>
        <v>0</v>
      </c>
      <c r="K166" s="417">
        <f>ROUND($G166*E166,0)</f>
        <v>0</v>
      </c>
      <c r="M166" s="434">
        <f>M76</f>
        <v>-0.96</v>
      </c>
      <c r="N166" s="563"/>
      <c r="O166" s="417">
        <f t="shared" si="70"/>
        <v>0</v>
      </c>
      <c r="P166" s="497"/>
      <c r="R166" s="560"/>
      <c r="T166" s="439">
        <f t="shared" si="71"/>
        <v>2.1276595744680771E-2</v>
      </c>
      <c r="AD166" s="400">
        <f>K166-[25]Blocking1!O166</f>
        <v>0</v>
      </c>
    </row>
    <row r="167" spans="1:30" s="541" customFormat="1">
      <c r="A167" s="480" t="s">
        <v>398</v>
      </c>
      <c r="B167" s="481"/>
      <c r="C167" s="553">
        <f>C164+C165</f>
        <v>6858.2651685053697</v>
      </c>
      <c r="D167" s="483"/>
      <c r="E167" s="553">
        <f>E164+E165</f>
        <v>3925</v>
      </c>
      <c r="F167" s="483"/>
      <c r="G167" s="538">
        <f>[25]Blocking1!M167</f>
        <v>4.04</v>
      </c>
      <c r="H167" s="565"/>
      <c r="I167" s="485">
        <f t="shared" ref="I167:I169" si="72">ROUND($G167*C167,0)</f>
        <v>27707</v>
      </c>
      <c r="J167" s="483"/>
      <c r="K167" s="485">
        <f t="shared" ref="K167:K169" si="73">ROUND($G167*E167,0)</f>
        <v>15857</v>
      </c>
      <c r="L167" s="483"/>
      <c r="M167" s="538">
        <f t="shared" ref="M167:M169" si="74">M77</f>
        <v>4.04</v>
      </c>
      <c r="N167" s="565"/>
      <c r="O167" s="485">
        <f t="shared" si="70"/>
        <v>15857</v>
      </c>
      <c r="P167" s="485"/>
      <c r="Q167" s="481"/>
      <c r="S167" s="545"/>
      <c r="T167" s="439">
        <f t="shared" si="71"/>
        <v>0</v>
      </c>
      <c r="AD167" s="400">
        <f>K167-[25]Blocking1!O167</f>
        <v>0</v>
      </c>
    </row>
    <row r="168" spans="1:30" s="541" customFormat="1">
      <c r="A168" s="480" t="s">
        <v>360</v>
      </c>
      <c r="B168" s="481"/>
      <c r="C168" s="553">
        <f>C164</f>
        <v>4384.3421978411498</v>
      </c>
      <c r="D168" s="483"/>
      <c r="E168" s="553">
        <f>E164</f>
        <v>2509</v>
      </c>
      <c r="F168" s="483"/>
      <c r="G168" s="538">
        <f>[25]Blocking1!M168</f>
        <v>14.27</v>
      </c>
      <c r="H168" s="565"/>
      <c r="I168" s="485">
        <f t="shared" si="72"/>
        <v>62565</v>
      </c>
      <c r="J168" s="483"/>
      <c r="K168" s="485">
        <f t="shared" si="73"/>
        <v>35803</v>
      </c>
      <c r="L168" s="483"/>
      <c r="M168" s="538">
        <f t="shared" si="74"/>
        <v>14.62</v>
      </c>
      <c r="N168" s="565"/>
      <c r="O168" s="485">
        <f t="shared" si="70"/>
        <v>36682</v>
      </c>
      <c r="P168" s="542"/>
      <c r="Q168" s="481"/>
      <c r="T168" s="439">
        <f t="shared" si="71"/>
        <v>2.4526979677645278E-2</v>
      </c>
      <c r="AD168" s="400">
        <f>K168-[25]Blocking1!O168</f>
        <v>0</v>
      </c>
    </row>
    <row r="169" spans="1:30" s="541" customFormat="1">
      <c r="A169" s="480" t="s">
        <v>361</v>
      </c>
      <c r="B169" s="481"/>
      <c r="C169" s="553">
        <f>C165</f>
        <v>2473.92297066422</v>
      </c>
      <c r="D169" s="483"/>
      <c r="E169" s="553">
        <f>E165</f>
        <v>1416</v>
      </c>
      <c r="F169" s="483"/>
      <c r="G169" s="538">
        <f>[25]Blocking1!M169</f>
        <v>10.65</v>
      </c>
      <c r="H169" s="565"/>
      <c r="I169" s="485">
        <f t="shared" si="72"/>
        <v>26347</v>
      </c>
      <c r="J169" s="483"/>
      <c r="K169" s="485">
        <f t="shared" si="73"/>
        <v>15080</v>
      </c>
      <c r="L169" s="483"/>
      <c r="M169" s="538">
        <f t="shared" si="74"/>
        <v>10.91</v>
      </c>
      <c r="N169" s="565"/>
      <c r="O169" s="485">
        <f t="shared" si="70"/>
        <v>15449</v>
      </c>
      <c r="P169" s="542"/>
      <c r="Q169" s="481"/>
      <c r="R169" s="566"/>
      <c r="T169" s="439">
        <f t="shared" si="71"/>
        <v>2.4413145539906145E-2</v>
      </c>
      <c r="AD169" s="400">
        <f>K169-[25]Blocking1!O169</f>
        <v>0</v>
      </c>
    </row>
    <row r="170" spans="1:30">
      <c r="A170" s="432" t="s">
        <v>317</v>
      </c>
      <c r="C170" s="433">
        <f>C171+C172</f>
        <v>3027140</v>
      </c>
      <c r="E170" s="406">
        <f>SUM(E171:E172)</f>
        <v>1747977</v>
      </c>
      <c r="G170" s="547"/>
      <c r="H170" s="462"/>
      <c r="I170" s="417"/>
      <c r="K170" s="417"/>
      <c r="M170" s="558"/>
      <c r="N170" s="462"/>
      <c r="O170" s="417"/>
      <c r="P170" s="497"/>
      <c r="R170" s="560"/>
      <c r="AD170" s="400">
        <f>K170-[25]Blocking1!O170</f>
        <v>0</v>
      </c>
    </row>
    <row r="171" spans="1:30">
      <c r="A171" s="432" t="s">
        <v>354</v>
      </c>
      <c r="C171" s="433">
        <f>'[25]6'!N22+[25]TempRev!C403</f>
        <v>1991278</v>
      </c>
      <c r="E171" s="406">
        <f>SUM([25]Energy!D35:F35,[25]Energy!N35:O35)</f>
        <v>728323.75</v>
      </c>
      <c r="G171" s="547">
        <f>[25]Blocking1!M171</f>
        <v>3.8127</v>
      </c>
      <c r="H171" s="462" t="s">
        <v>305</v>
      </c>
      <c r="I171" s="417">
        <f>ROUND($G171*C171/100,0)</f>
        <v>75921</v>
      </c>
      <c r="K171" s="417">
        <f>ROUND($G171*E171/100,0)</f>
        <v>27769</v>
      </c>
      <c r="M171" s="558">
        <f>M81</f>
        <v>3.8127</v>
      </c>
      <c r="N171" s="462" t="s">
        <v>305</v>
      </c>
      <c r="O171" s="417">
        <f>ROUND(M171*$E171/100,0)</f>
        <v>27769</v>
      </c>
      <c r="P171" s="497"/>
      <c r="S171" s="570"/>
      <c r="T171" s="439">
        <f t="shared" ref="T171:T173" si="75">M171/G171-1</f>
        <v>0</v>
      </c>
      <c r="AD171" s="400">
        <f>K171-[25]Blocking1!O171</f>
        <v>0</v>
      </c>
    </row>
    <row r="172" spans="1:30">
      <c r="A172" s="432" t="s">
        <v>355</v>
      </c>
      <c r="C172" s="433">
        <f>'[25]6'!O22+[25]TempRev!C404</f>
        <v>1035862</v>
      </c>
      <c r="E172" s="406">
        <f>E175-E171</f>
        <v>1019653.25</v>
      </c>
      <c r="G172" s="547">
        <f>[25]Blocking1!M172</f>
        <v>3.5143</v>
      </c>
      <c r="H172" s="462" t="s">
        <v>305</v>
      </c>
      <c r="I172" s="417">
        <f>ROUND($G172*C172/100,0)</f>
        <v>36403</v>
      </c>
      <c r="K172" s="417">
        <f>ROUND($G172*E172/100,0)</f>
        <v>35834</v>
      </c>
      <c r="M172" s="558">
        <f>M82</f>
        <v>3.5143</v>
      </c>
      <c r="N172" s="462" t="s">
        <v>305</v>
      </c>
      <c r="O172" s="417">
        <f>ROUND(M172*$E172/100,0)</f>
        <v>35834</v>
      </c>
      <c r="S172" s="570"/>
      <c r="T172" s="439">
        <f t="shared" si="75"/>
        <v>0</v>
      </c>
      <c r="AD172" s="400">
        <f>K172-[25]Blocking1!O172</f>
        <v>0</v>
      </c>
    </row>
    <row r="173" spans="1:30">
      <c r="A173" s="432" t="s">
        <v>351</v>
      </c>
      <c r="C173" s="433">
        <v>0</v>
      </c>
      <c r="D173" s="551"/>
      <c r="E173" s="406">
        <f>ROUND(C173*E163/C163,0)</f>
        <v>0</v>
      </c>
      <c r="F173" s="551"/>
      <c r="G173" s="434">
        <f>[25]Blocking1!M173</f>
        <v>648</v>
      </c>
      <c r="H173" s="515"/>
      <c r="I173" s="417">
        <f>ROUND($G173*C173,0)</f>
        <v>0</v>
      </c>
      <c r="J173" s="551"/>
      <c r="K173" s="417">
        <f>ROUND($G173*E173,0)</f>
        <v>0</v>
      </c>
      <c r="L173" s="551"/>
      <c r="M173" s="434">
        <f>M83</f>
        <v>648</v>
      </c>
      <c r="N173" s="515"/>
      <c r="O173" s="417">
        <f>ROUND(M173*$E173,0)</f>
        <v>0</v>
      </c>
      <c r="S173" s="570"/>
      <c r="T173" s="439">
        <f t="shared" si="75"/>
        <v>0</v>
      </c>
      <c r="AD173" s="400">
        <f>K173-[25]Blocking1!O173</f>
        <v>0</v>
      </c>
    </row>
    <row r="174" spans="1:30">
      <c r="A174" s="432" t="s">
        <v>313</v>
      </c>
      <c r="C174" s="504">
        <f>'[25]Table 2'!J70</f>
        <v>26883</v>
      </c>
      <c r="E174" s="504">
        <v>0</v>
      </c>
      <c r="I174" s="507">
        <f>'[25]Table 3'!F70</f>
        <v>2424</v>
      </c>
      <c r="K174" s="507">
        <v>0</v>
      </c>
      <c r="O174" s="507">
        <v>0</v>
      </c>
      <c r="P174" s="417"/>
      <c r="Q174" s="404"/>
      <c r="R174" s="568"/>
      <c r="S174" s="570"/>
      <c r="AD174" s="400">
        <f>K174-[25]Blocking1!O174</f>
        <v>0</v>
      </c>
    </row>
    <row r="175" spans="1:30" ht="16.5" thickBot="1">
      <c r="A175" s="432" t="s">
        <v>314</v>
      </c>
      <c r="C175" s="549">
        <f>C170+C174</f>
        <v>3054023</v>
      </c>
      <c r="E175" s="559">
        <f>[25]Energy!P35</f>
        <v>1747977</v>
      </c>
      <c r="G175" s="532"/>
      <c r="I175" s="533">
        <f>SUM(I163:I174)</f>
        <v>233639</v>
      </c>
      <c r="K175" s="533">
        <f>SUM(K163:K174)</f>
        <v>131639</v>
      </c>
      <c r="M175" s="534"/>
      <c r="O175" s="533">
        <f>SUM(O163:O174)</f>
        <v>132887</v>
      </c>
      <c r="P175" s="417"/>
      <c r="Q175" s="416" t="s">
        <v>601</v>
      </c>
      <c r="R175" s="518">
        <f>O175/K175-1</f>
        <v>9.4804731120716745E-3</v>
      </c>
      <c r="S175" s="535"/>
      <c r="T175" s="570"/>
      <c r="AD175" s="400">
        <f>K175-[25]Blocking1!O175</f>
        <v>0</v>
      </c>
    </row>
    <row r="176" spans="1:30" ht="16.5" thickTop="1">
      <c r="C176" s="406"/>
      <c r="E176" s="406"/>
      <c r="P176" s="417"/>
      <c r="Q176" s="571"/>
      <c r="R176" s="514"/>
      <c r="T176" s="570"/>
      <c r="AD176" s="400">
        <f>K176-[25]Blocking1!O176</f>
        <v>0</v>
      </c>
    </row>
    <row r="177" spans="1:30">
      <c r="A177" s="428" t="s">
        <v>363</v>
      </c>
      <c r="C177" s="406"/>
      <c r="E177" s="406"/>
      <c r="G177" s="547"/>
      <c r="H177" s="572"/>
      <c r="M177" s="558"/>
      <c r="N177" s="572"/>
      <c r="P177" s="417"/>
      <c r="S177" s="440"/>
      <c r="T177" s="535"/>
      <c r="AD177" s="400">
        <f>K177-[25]Blocking1!O177</f>
        <v>0</v>
      </c>
    </row>
    <row r="178" spans="1:30">
      <c r="A178" s="432" t="s">
        <v>303</v>
      </c>
      <c r="C178" s="406">
        <f>C190+C202+C214</f>
        <v>26414.113335849139</v>
      </c>
      <c r="E178" s="406">
        <f>E190+E202+E214</f>
        <v>27307</v>
      </c>
      <c r="G178" s="434">
        <f>[25]Blocking1!M178</f>
        <v>54</v>
      </c>
      <c r="H178" s="515"/>
      <c r="I178" s="417">
        <f>ROUND($G178*C178,0)</f>
        <v>1426362</v>
      </c>
      <c r="K178" s="417">
        <f>ROUND($G178*E178,0)</f>
        <v>1474578</v>
      </c>
      <c r="M178" s="434">
        <f>M73</f>
        <v>54</v>
      </c>
      <c r="N178" s="515"/>
      <c r="O178" s="417">
        <f>ROUND(M178*$E178,0)</f>
        <v>1474578</v>
      </c>
      <c r="P178" s="417"/>
      <c r="Q178" s="437" t="s">
        <v>589</v>
      </c>
      <c r="R178" s="438">
        <f>O187</f>
        <v>34227404</v>
      </c>
      <c r="S178" s="440"/>
      <c r="T178" s="439">
        <f t="shared" ref="T178:T185" si="76">M178/G178-1</f>
        <v>0</v>
      </c>
      <c r="AD178" s="400">
        <f>K178-[25]Blocking1!O178</f>
        <v>0</v>
      </c>
    </row>
    <row r="179" spans="1:30">
      <c r="A179" s="432" t="s">
        <v>364</v>
      </c>
      <c r="C179" s="406">
        <f t="shared" ref="C179:E186" si="77">C191+C203+C215</f>
        <v>905589.39854085888</v>
      </c>
      <c r="D179" s="551"/>
      <c r="E179" s="406">
        <f t="shared" si="77"/>
        <v>918610</v>
      </c>
      <c r="F179" s="551"/>
      <c r="G179" s="434">
        <f>[25]Blocking1!M179</f>
        <v>6.45</v>
      </c>
      <c r="H179" s="435"/>
      <c r="I179" s="417">
        <f>ROUND($G179*C179,0)</f>
        <v>5841052</v>
      </c>
      <c r="J179" s="551"/>
      <c r="K179" s="417">
        <f>ROUND($G179*E179,0)</f>
        <v>5925035</v>
      </c>
      <c r="L179" s="551"/>
      <c r="M179" s="434">
        <f>ROUND(G179*(1+$R$183),2)</f>
        <v>6.52</v>
      </c>
      <c r="N179" s="435"/>
      <c r="O179" s="417">
        <f>ROUND(M179*$E179,0)</f>
        <v>5989337</v>
      </c>
      <c r="P179" s="417"/>
      <c r="Q179" s="444" t="s">
        <v>593</v>
      </c>
      <c r="R179" s="445">
        <f>[25]RateSpread2!M21*1000</f>
        <v>34227415</v>
      </c>
      <c r="T179" s="439">
        <f t="shared" si="76"/>
        <v>1.0852713178294504E-2</v>
      </c>
      <c r="AD179" s="400">
        <f>K179-[25]Blocking1!O179</f>
        <v>0</v>
      </c>
    </row>
    <row r="180" spans="1:30">
      <c r="A180" s="432" t="s">
        <v>365</v>
      </c>
      <c r="C180" s="406">
        <f t="shared" si="77"/>
        <v>1045712.9517142838</v>
      </c>
      <c r="D180" s="551"/>
      <c r="E180" s="406">
        <f t="shared" si="77"/>
        <v>1059783</v>
      </c>
      <c r="F180" s="551"/>
      <c r="G180" s="434">
        <f>[25]Blocking1!M180</f>
        <v>5.41</v>
      </c>
      <c r="H180" s="435"/>
      <c r="I180" s="417">
        <f>ROUND($G180*C180,0)</f>
        <v>5657307</v>
      </c>
      <c r="J180" s="551"/>
      <c r="K180" s="417">
        <f>ROUND($G180*E180,0)</f>
        <v>5733426</v>
      </c>
      <c r="L180" s="551"/>
      <c r="M180" s="434">
        <f>ROUND(G180*(1+$R$183),2)</f>
        <v>5.47</v>
      </c>
      <c r="N180" s="435"/>
      <c r="O180" s="417">
        <f>ROUND(M180*$E180,0)</f>
        <v>5797013</v>
      </c>
      <c r="P180" s="497"/>
      <c r="Q180" s="450" t="s">
        <v>159</v>
      </c>
      <c r="R180" s="451">
        <f>R179-R178</f>
        <v>11</v>
      </c>
      <c r="T180" s="439">
        <f t="shared" si="76"/>
        <v>1.109057301293892E-2</v>
      </c>
      <c r="AD180" s="400">
        <f>K180-[25]Blocking1!O180</f>
        <v>0</v>
      </c>
    </row>
    <row r="181" spans="1:30">
      <c r="A181" s="432" t="s">
        <v>346</v>
      </c>
      <c r="C181" s="406">
        <f t="shared" si="77"/>
        <v>38013.047820823238</v>
      </c>
      <c r="D181" s="551"/>
      <c r="E181" s="406">
        <f t="shared" si="77"/>
        <v>39296</v>
      </c>
      <c r="F181" s="551"/>
      <c r="G181" s="434">
        <f>[25]Blocking1!M181</f>
        <v>-0.6</v>
      </c>
      <c r="H181" s="435"/>
      <c r="I181" s="417">
        <f>ROUND($G181*C181,0)</f>
        <v>-22808</v>
      </c>
      <c r="J181" s="551"/>
      <c r="K181" s="417">
        <f>ROUND($G181*E181,0)</f>
        <v>-23578</v>
      </c>
      <c r="L181" s="551"/>
      <c r="M181" s="434">
        <f>ROUND(G181*(1+$R$183),2)</f>
        <v>-0.61</v>
      </c>
      <c r="N181" s="435"/>
      <c r="O181" s="417">
        <f>ROUND(M181*$E181,0)</f>
        <v>-23971</v>
      </c>
      <c r="P181" s="497"/>
      <c r="Q181" s="463" t="s">
        <v>601</v>
      </c>
      <c r="R181" s="536">
        <f>R178/K187-1</f>
        <v>1.0283327304527523E-2</v>
      </c>
      <c r="T181" s="439">
        <f t="shared" si="76"/>
        <v>1.6666666666666607E-2</v>
      </c>
      <c r="AD181" s="400">
        <f>K181-[25]Blocking1!O181</f>
        <v>0</v>
      </c>
    </row>
    <row r="182" spans="1:30">
      <c r="A182" s="432" t="s">
        <v>315</v>
      </c>
      <c r="C182" s="406">
        <f t="shared" si="77"/>
        <v>62998551</v>
      </c>
      <c r="D182" s="551"/>
      <c r="E182" s="406">
        <f t="shared" si="77"/>
        <v>62251233</v>
      </c>
      <c r="F182" s="551"/>
      <c r="G182" s="526">
        <f>[25]Blocking1!M182</f>
        <v>11.7997</v>
      </c>
      <c r="H182" s="462" t="s">
        <v>305</v>
      </c>
      <c r="I182" s="417">
        <f>ROUND($G182*C182/100,0)</f>
        <v>7433640</v>
      </c>
      <c r="J182" s="551"/>
      <c r="K182" s="417">
        <f>ROUND($G182*E182/100,0)</f>
        <v>7345459</v>
      </c>
      <c r="L182" s="551"/>
      <c r="M182" s="526">
        <f>ROUND(G182*(1+$R$183),$R$8)</f>
        <v>11.926600000000001</v>
      </c>
      <c r="N182" s="462" t="s">
        <v>305</v>
      </c>
      <c r="O182" s="417">
        <f>ROUND(M182*$E182/100,0)</f>
        <v>7424456</v>
      </c>
      <c r="P182" s="497"/>
      <c r="Q182" s="471" t="s">
        <v>603</v>
      </c>
      <c r="R182" s="540">
        <f>R179/K187-1</f>
        <v>1.0283651989291931E-2</v>
      </c>
      <c r="T182" s="439">
        <f t="shared" si="76"/>
        <v>1.0754510707899456E-2</v>
      </c>
      <c r="AD182" s="400">
        <f>K182-[25]Blocking1!O182</f>
        <v>0</v>
      </c>
    </row>
    <row r="183" spans="1:30">
      <c r="A183" s="432" t="s">
        <v>316</v>
      </c>
      <c r="C183" s="406">
        <f t="shared" si="77"/>
        <v>60383058.18145027</v>
      </c>
      <c r="D183" s="551"/>
      <c r="E183" s="406">
        <f t="shared" si="77"/>
        <v>59556790.452555798</v>
      </c>
      <c r="F183" s="551"/>
      <c r="G183" s="526">
        <f>[25]Blocking1!M183</f>
        <v>3.5526</v>
      </c>
      <c r="H183" s="462" t="s">
        <v>305</v>
      </c>
      <c r="I183" s="417">
        <f>ROUND($G183*C183/100,0)</f>
        <v>2145169</v>
      </c>
      <c r="J183" s="551"/>
      <c r="K183" s="417">
        <f>ROUND($G183*E183/100,0)</f>
        <v>2115815</v>
      </c>
      <c r="L183" s="551"/>
      <c r="M183" s="526">
        <f>ROUND(G183*(1+$R$183),$R$8)</f>
        <v>3.5908000000000002</v>
      </c>
      <c r="N183" s="462" t="s">
        <v>305</v>
      </c>
      <c r="O183" s="417">
        <f>ROUND(M183*$E183/100,0)</f>
        <v>2138565</v>
      </c>
      <c r="P183" s="497"/>
      <c r="Q183" s="488" t="s">
        <v>625</v>
      </c>
      <c r="R183" s="544">
        <f>(R179-O178)/(K187-K178)-1</f>
        <v>1.0751614045940716E-2</v>
      </c>
      <c r="T183" s="439">
        <f t="shared" si="76"/>
        <v>1.0752688172043001E-2</v>
      </c>
      <c r="AD183" s="400">
        <f>K183-[25]Blocking1!O183</f>
        <v>0</v>
      </c>
    </row>
    <row r="184" spans="1:30">
      <c r="A184" s="432" t="s">
        <v>366</v>
      </c>
      <c r="C184" s="406">
        <f t="shared" si="77"/>
        <v>88191644</v>
      </c>
      <c r="D184" s="551"/>
      <c r="E184" s="406">
        <f t="shared" si="77"/>
        <v>90625426</v>
      </c>
      <c r="F184" s="551"/>
      <c r="G184" s="526">
        <f>[25]Blocking1!M184</f>
        <v>9.8633000000000006</v>
      </c>
      <c r="H184" s="462" t="s">
        <v>305</v>
      </c>
      <c r="I184" s="417">
        <f>ROUND($G184*C184/100,0)</f>
        <v>8698606</v>
      </c>
      <c r="J184" s="551"/>
      <c r="K184" s="417">
        <f>ROUND($G184*E184/100,0)</f>
        <v>8938658</v>
      </c>
      <c r="L184" s="551"/>
      <c r="M184" s="526">
        <f>ROUND(G184*(1+$R$183),$R$8)</f>
        <v>9.9693000000000005</v>
      </c>
      <c r="N184" s="462" t="s">
        <v>305</v>
      </c>
      <c r="O184" s="417">
        <f>ROUND(M184*$E184/100,0)</f>
        <v>9034721</v>
      </c>
      <c r="Q184" s="573"/>
      <c r="R184" s="536"/>
      <c r="T184" s="439">
        <f t="shared" si="76"/>
        <v>1.0746910263299325E-2</v>
      </c>
      <c r="AD184" s="400">
        <f>K184-[25]Blocking1!O184</f>
        <v>0</v>
      </c>
    </row>
    <row r="185" spans="1:30">
      <c r="A185" s="432" t="s">
        <v>367</v>
      </c>
      <c r="C185" s="406">
        <f t="shared" si="77"/>
        <v>78568336.570622593</v>
      </c>
      <c r="D185" s="551"/>
      <c r="E185" s="406">
        <f t="shared" si="77"/>
        <v>79597650.39760986</v>
      </c>
      <c r="F185" s="551"/>
      <c r="G185" s="526">
        <f>[25]Blocking1!M185</f>
        <v>2.9769999999999999</v>
      </c>
      <c r="H185" s="462" t="s">
        <v>305</v>
      </c>
      <c r="I185" s="417">
        <f>ROUND($G185*C185/100,0)</f>
        <v>2338979</v>
      </c>
      <c r="J185" s="551"/>
      <c r="K185" s="417">
        <f>ROUND($G185*E185/100,0)</f>
        <v>2369622</v>
      </c>
      <c r="L185" s="551"/>
      <c r="M185" s="574">
        <f>ROUND((R179-SUM(O178:O184))/E185*100,$R$8)</f>
        <v>3.0059999999999998</v>
      </c>
      <c r="N185" s="462" t="s">
        <v>305</v>
      </c>
      <c r="O185" s="417">
        <f>ROUND(M185*$E185/100,0)</f>
        <v>2392705</v>
      </c>
      <c r="Q185" s="463" t="s">
        <v>631</v>
      </c>
      <c r="R185" s="464">
        <f>E182/(E182+E183)</f>
        <v>0.51106020141806863</v>
      </c>
      <c r="T185" s="439">
        <f t="shared" si="76"/>
        <v>9.7413503527039591E-3</v>
      </c>
      <c r="AD185" s="400">
        <f>K185-[25]Blocking1!O185</f>
        <v>0</v>
      </c>
    </row>
    <row r="186" spans="1:30">
      <c r="A186" s="432" t="s">
        <v>313</v>
      </c>
      <c r="C186" s="548">
        <f t="shared" si="77"/>
        <v>1010522</v>
      </c>
      <c r="E186" s="548">
        <f t="shared" si="77"/>
        <v>0</v>
      </c>
      <c r="I186" s="507">
        <f t="shared" ref="I186" si="78">I198+I210+I222</f>
        <v>225646</v>
      </c>
      <c r="K186" s="507">
        <f>K198+K210</f>
        <v>0</v>
      </c>
      <c r="O186" s="506">
        <v>0</v>
      </c>
      <c r="P186" s="417"/>
      <c r="Q186" s="471" t="s">
        <v>632</v>
      </c>
      <c r="R186" s="472">
        <f>E184/(E184+E185)</f>
        <v>0.53239212871652986</v>
      </c>
      <c r="AD186" s="400">
        <f>K186-[25]Blocking1!O186</f>
        <v>0</v>
      </c>
    </row>
    <row r="187" spans="1:30" ht="16.5" thickBot="1">
      <c r="A187" s="432" t="s">
        <v>314</v>
      </c>
      <c r="C187" s="549">
        <f>SUM(C182:C186)</f>
        <v>291152111.75207287</v>
      </c>
      <c r="E187" s="549">
        <f>SUM(E182:E186)</f>
        <v>292031099.85016567</v>
      </c>
      <c r="G187" s="532"/>
      <c r="I187" s="533">
        <f>SUM(I178:I186)</f>
        <v>33743953</v>
      </c>
      <c r="K187" s="533">
        <f>SUM(K178:K186)</f>
        <v>33879015</v>
      </c>
      <c r="M187" s="534"/>
      <c r="O187" s="533">
        <f>SUM(O178:O186)</f>
        <v>34227404</v>
      </c>
      <c r="P187" s="417"/>
      <c r="Q187" s="488" t="s">
        <v>633</v>
      </c>
      <c r="R187" s="575">
        <f>E187/E178</f>
        <v>10694.367739047339</v>
      </c>
      <c r="AD187" s="400">
        <f>K187-[25]Blocking1!O187</f>
        <v>0</v>
      </c>
    </row>
    <row r="188" spans="1:30" ht="16.5" thickTop="1">
      <c r="C188" s="406"/>
      <c r="E188" s="406"/>
      <c r="P188" s="417"/>
      <c r="AD188" s="400">
        <f>K188-[25]Blocking1!O188</f>
        <v>0</v>
      </c>
    </row>
    <row r="189" spans="1:30">
      <c r="A189" s="428" t="s">
        <v>634</v>
      </c>
      <c r="C189" s="406"/>
      <c r="E189" s="406"/>
      <c r="G189" s="547"/>
      <c r="H189" s="572"/>
      <c r="M189" s="558"/>
      <c r="N189" s="572"/>
      <c r="P189" s="417"/>
      <c r="AD189" s="400">
        <f>K189-[25]Blocking1!O189</f>
        <v>0</v>
      </c>
    </row>
    <row r="190" spans="1:30">
      <c r="A190" s="432" t="s">
        <v>303</v>
      </c>
      <c r="C190" s="433">
        <f>'[25]6A'!G11</f>
        <v>23004.544898113287</v>
      </c>
      <c r="E190" s="550">
        <f>[25]Bill!P18</f>
        <v>23820</v>
      </c>
      <c r="G190" s="496">
        <f>[25]Blocking1!M190</f>
        <v>54</v>
      </c>
      <c r="H190" s="551"/>
      <c r="I190" s="417">
        <f>ROUND($G190*C190,0)</f>
        <v>1242245</v>
      </c>
      <c r="K190" s="417">
        <f>ROUND($G190*E190,0)</f>
        <v>1286280</v>
      </c>
      <c r="M190" s="552">
        <f t="shared" ref="M190:M197" si="79">M178</f>
        <v>54</v>
      </c>
      <c r="N190" s="551"/>
      <c r="O190" s="417">
        <f>ROUND(M190*$E190,0)</f>
        <v>1286280</v>
      </c>
      <c r="P190" s="417"/>
      <c r="T190" s="439">
        <f t="shared" ref="T190:T197" si="80">M190/G190-1</f>
        <v>0</v>
      </c>
      <c r="AD190" s="400">
        <f>K190-[25]Blocking1!O190</f>
        <v>0</v>
      </c>
    </row>
    <row r="191" spans="1:30">
      <c r="A191" s="432" t="s">
        <v>364</v>
      </c>
      <c r="C191" s="433">
        <f>'[25]6A'!H11</f>
        <v>705101.18585565209</v>
      </c>
      <c r="E191" s="406">
        <f>ROUND(C191*$E$199/$C$199,0)</f>
        <v>708635</v>
      </c>
      <c r="G191" s="496">
        <f>[25]Blocking1!M191</f>
        <v>6.45</v>
      </c>
      <c r="H191" s="551"/>
      <c r="I191" s="417">
        <f>ROUND($G191*C191,0)</f>
        <v>4547903</v>
      </c>
      <c r="K191" s="417">
        <f>ROUND($G191*E191,0)</f>
        <v>4570696</v>
      </c>
      <c r="M191" s="552">
        <f t="shared" si="79"/>
        <v>6.52</v>
      </c>
      <c r="N191" s="551"/>
      <c r="O191" s="417">
        <f>ROUND(M191*$E191,0)</f>
        <v>4620300</v>
      </c>
      <c r="P191" s="417"/>
      <c r="S191" s="502"/>
      <c r="T191" s="439">
        <f t="shared" si="80"/>
        <v>1.0852713178294504E-2</v>
      </c>
      <c r="AD191" s="400">
        <f>K191-[25]Blocking1!O191</f>
        <v>0</v>
      </c>
    </row>
    <row r="192" spans="1:30">
      <c r="A192" s="432" t="s">
        <v>365</v>
      </c>
      <c r="C192" s="433">
        <f>'[25]6A'!I11</f>
        <v>820612.22171428439</v>
      </c>
      <c r="E192" s="406">
        <f>ROUND(C192*$E$199/$C$199,0)</f>
        <v>824725</v>
      </c>
      <c r="G192" s="496">
        <f>[25]Blocking1!M192</f>
        <v>5.41</v>
      </c>
      <c r="H192" s="551"/>
      <c r="I192" s="417">
        <f>ROUND($G192*C192,0)</f>
        <v>4439512</v>
      </c>
      <c r="K192" s="417">
        <f>ROUND($G192*E192,0)</f>
        <v>4461762</v>
      </c>
      <c r="M192" s="552">
        <f t="shared" si="79"/>
        <v>5.47</v>
      </c>
      <c r="N192" s="551"/>
      <c r="O192" s="417">
        <f>ROUND(M192*$E192,0)</f>
        <v>4511246</v>
      </c>
      <c r="P192" s="497"/>
      <c r="T192" s="439">
        <f t="shared" si="80"/>
        <v>1.109057301293892E-2</v>
      </c>
      <c r="AD192" s="400">
        <f>K192-[25]Blocking1!O192</f>
        <v>0</v>
      </c>
    </row>
    <row r="193" spans="1:30">
      <c r="A193" s="432" t="s">
        <v>346</v>
      </c>
      <c r="C193" s="433">
        <f>'[25]6A'!J11</f>
        <v>22576.062651331762</v>
      </c>
      <c r="E193" s="406">
        <f>ROUND(C193*$E$199/$C$199,0)</f>
        <v>22689</v>
      </c>
      <c r="G193" s="496">
        <f>[25]Blocking1!M193</f>
        <v>-0.6</v>
      </c>
      <c r="H193" s="551"/>
      <c r="I193" s="417">
        <f>ROUND($G193*C193,0)</f>
        <v>-13546</v>
      </c>
      <c r="K193" s="417">
        <f>ROUND($G193*E193,0)</f>
        <v>-13613</v>
      </c>
      <c r="M193" s="552">
        <f t="shared" si="79"/>
        <v>-0.61</v>
      </c>
      <c r="N193" s="551"/>
      <c r="O193" s="417">
        <f>ROUND(M193*$E193,0)</f>
        <v>-13840</v>
      </c>
      <c r="P193" s="497"/>
      <c r="T193" s="439">
        <f t="shared" si="80"/>
        <v>1.6666666666666607E-2</v>
      </c>
      <c r="AD193" s="400">
        <f>K193-[25]Blocking1!O193</f>
        <v>0</v>
      </c>
    </row>
    <row r="194" spans="1:30">
      <c r="A194" s="432" t="s">
        <v>315</v>
      </c>
      <c r="C194" s="433">
        <f>'[25]6A'!L11+[25]TempRev!C377</f>
        <v>42494475</v>
      </c>
      <c r="E194" s="406">
        <f>ROUND(SUM([25]Energy!$D$18:$F$18,[25]Energy!$N$18:$O$18)*'Blocking GRC'!C194/('Blocking GRC'!$C$194+'Blocking GRC'!$C$195),0)</f>
        <v>42869569</v>
      </c>
      <c r="G194" s="576">
        <f>[25]Blocking1!M194</f>
        <v>11.7997</v>
      </c>
      <c r="H194" s="462" t="s">
        <v>305</v>
      </c>
      <c r="I194" s="417">
        <f>ROUND($G194*C194/100,0)</f>
        <v>5014221</v>
      </c>
      <c r="K194" s="417">
        <f>ROUND($G194*E194/100,0)</f>
        <v>5058481</v>
      </c>
      <c r="M194" s="577">
        <f t="shared" si="79"/>
        <v>11.926600000000001</v>
      </c>
      <c r="N194" s="462" t="s">
        <v>305</v>
      </c>
      <c r="O194" s="417">
        <f>ROUND(M194*$E194/100,0)</f>
        <v>5112882</v>
      </c>
      <c r="P194" s="497"/>
      <c r="T194" s="439">
        <f t="shared" si="80"/>
        <v>1.0754510707899456E-2</v>
      </c>
      <c r="AD194" s="400">
        <f>K194-[25]Blocking1!O194</f>
        <v>0</v>
      </c>
    </row>
    <row r="195" spans="1:30">
      <c r="A195" s="432" t="s">
        <v>316</v>
      </c>
      <c r="C195" s="433">
        <f>'[25]6A'!M11+[25]TempRev!C378</f>
        <v>44826940.18145027</v>
      </c>
      <c r="D195" s="551"/>
      <c r="E195" s="406">
        <f>SUM([25]Energy!D18:F18,[25]Energy!N18:O18)-'Blocking GRC'!E194</f>
        <v>45222622.717978165</v>
      </c>
      <c r="F195" s="551"/>
      <c r="G195" s="576">
        <f>[25]Blocking1!M195</f>
        <v>3.5526</v>
      </c>
      <c r="H195" s="462" t="s">
        <v>305</v>
      </c>
      <c r="I195" s="417">
        <f>ROUND($G195*C195/100,0)</f>
        <v>1592522</v>
      </c>
      <c r="J195" s="551"/>
      <c r="K195" s="417">
        <f>ROUND($G195*E195/100,0)</f>
        <v>1606579</v>
      </c>
      <c r="L195" s="551"/>
      <c r="M195" s="577">
        <f t="shared" si="79"/>
        <v>3.5908000000000002</v>
      </c>
      <c r="N195" s="462" t="s">
        <v>305</v>
      </c>
      <c r="O195" s="417">
        <f>ROUND(M195*$E195/100,0)</f>
        <v>1623854</v>
      </c>
      <c r="P195" s="497"/>
      <c r="T195" s="439">
        <f t="shared" si="80"/>
        <v>1.0752688172043001E-2</v>
      </c>
      <c r="AD195" s="400">
        <f>K195-[25]Blocking1!O195</f>
        <v>0</v>
      </c>
    </row>
    <row r="196" spans="1:30">
      <c r="A196" s="432" t="s">
        <v>366</v>
      </c>
      <c r="C196" s="433">
        <f>'[25]6A'!N11+[25]TempRev!C379</f>
        <v>68574269</v>
      </c>
      <c r="E196" s="406">
        <f>ROUND(SUM([25]Energy!G18:M18)*'Blocking GRC'!C196/('Blocking GRC'!C196+'Blocking GRC'!C197),0)</f>
        <v>68984292</v>
      </c>
      <c r="G196" s="576">
        <f>[25]Blocking1!M196</f>
        <v>9.8633000000000006</v>
      </c>
      <c r="H196" s="462" t="s">
        <v>305</v>
      </c>
      <c r="I196" s="417">
        <f>ROUND($G196*C196/100,0)</f>
        <v>6763686</v>
      </c>
      <c r="K196" s="417">
        <f>ROUND($G196*E196/100,0)</f>
        <v>6804128</v>
      </c>
      <c r="M196" s="577">
        <f t="shared" si="79"/>
        <v>9.9693000000000005</v>
      </c>
      <c r="N196" s="462" t="s">
        <v>305</v>
      </c>
      <c r="O196" s="417">
        <f>ROUND(M196*$E196/100,0)</f>
        <v>6877251</v>
      </c>
      <c r="T196" s="439">
        <f t="shared" si="80"/>
        <v>1.0746910263299325E-2</v>
      </c>
      <c r="AD196" s="400">
        <f>K196-[25]Blocking1!O196</f>
        <v>0</v>
      </c>
    </row>
    <row r="197" spans="1:30">
      <c r="A197" s="432" t="s">
        <v>367</v>
      </c>
      <c r="C197" s="433">
        <f>'[25]6A'!O11+[25]TempRev!C380</f>
        <v>66086297.570622601</v>
      </c>
      <c r="D197" s="551"/>
      <c r="E197" s="406">
        <f>E199-E194-E195-E196</f>
        <v>66481444.632801175</v>
      </c>
      <c r="F197" s="551"/>
      <c r="G197" s="576">
        <f>[25]Blocking1!M197</f>
        <v>2.9769999999999999</v>
      </c>
      <c r="H197" s="462" t="s">
        <v>305</v>
      </c>
      <c r="I197" s="417">
        <f>ROUND($G197*C197/100,0)</f>
        <v>1967389</v>
      </c>
      <c r="J197" s="551"/>
      <c r="K197" s="417">
        <f>ROUND($G197*E197/100,0)</f>
        <v>1979153</v>
      </c>
      <c r="L197" s="551"/>
      <c r="M197" s="577">
        <f t="shared" si="79"/>
        <v>3.0059999999999998</v>
      </c>
      <c r="N197" s="462" t="s">
        <v>305</v>
      </c>
      <c r="O197" s="417">
        <f>ROUND(M197*$E197/100,0)</f>
        <v>1998432</v>
      </c>
      <c r="T197" s="439">
        <f t="shared" si="80"/>
        <v>9.7413503527039591E-3</v>
      </c>
      <c r="AD197" s="400">
        <f>K197-[25]Blocking1!O197</f>
        <v>0</v>
      </c>
    </row>
    <row r="198" spans="1:30">
      <c r="A198" s="432" t="s">
        <v>313</v>
      </c>
      <c r="C198" s="504">
        <f>'[25]Table 2'!J39</f>
        <v>461124</v>
      </c>
      <c r="E198" s="548">
        <v>0</v>
      </c>
      <c r="I198" s="507">
        <f>'[25]Table 3'!F39</f>
        <v>145159</v>
      </c>
      <c r="K198" s="507">
        <v>0</v>
      </c>
      <c r="O198" s="506">
        <v>0</v>
      </c>
      <c r="P198" s="417"/>
      <c r="Q198" s="404"/>
      <c r="R198" s="568"/>
      <c r="AD198" s="400">
        <f>K198-[25]Blocking1!O198</f>
        <v>0</v>
      </c>
    </row>
    <row r="199" spans="1:30" ht="16.5" thickBot="1">
      <c r="A199" s="432" t="s">
        <v>314</v>
      </c>
      <c r="C199" s="549">
        <f>C194+C195+C198+C196+C197</f>
        <v>222443105.75207287</v>
      </c>
      <c r="E199" s="559">
        <f>[25]Energy!P18</f>
        <v>223557928.35077935</v>
      </c>
      <c r="G199" s="532"/>
      <c r="I199" s="533">
        <f>SUM(I190:I198)</f>
        <v>25699091</v>
      </c>
      <c r="K199" s="533">
        <f>SUM(K190:K198)</f>
        <v>25753466</v>
      </c>
      <c r="M199" s="534"/>
      <c r="O199" s="533">
        <f>SUM(O190:O198)</f>
        <v>26016405</v>
      </c>
      <c r="P199" s="417"/>
      <c r="Q199" s="416" t="s">
        <v>601</v>
      </c>
      <c r="R199" s="518">
        <f>O199/K199-1</f>
        <v>1.0209849035465846E-2</v>
      </c>
      <c r="AD199" s="400">
        <f>K199-[25]Blocking1!O199</f>
        <v>0</v>
      </c>
    </row>
    <row r="200" spans="1:30" ht="16.5" thickTop="1">
      <c r="C200" s="406"/>
      <c r="E200" s="406"/>
      <c r="P200" s="417"/>
      <c r="AD200" s="400">
        <f>K200-[25]Blocking1!O200</f>
        <v>0</v>
      </c>
    </row>
    <row r="201" spans="1:30">
      <c r="A201" s="428" t="s">
        <v>635</v>
      </c>
      <c r="C201" s="406"/>
      <c r="E201" s="406"/>
      <c r="G201" s="547"/>
      <c r="H201" s="572"/>
      <c r="M201" s="558"/>
      <c r="N201" s="572"/>
      <c r="P201" s="417"/>
      <c r="AD201" s="400">
        <f>K201-[25]Blocking1!O201</f>
        <v>0</v>
      </c>
    </row>
    <row r="202" spans="1:30">
      <c r="A202" s="432" t="s">
        <v>303</v>
      </c>
      <c r="C202" s="433">
        <f>'[25]6A'!G12</f>
        <v>3183.4019735849101</v>
      </c>
      <c r="E202" s="550">
        <f>[25]Bill!P34</f>
        <v>3240</v>
      </c>
      <c r="G202" s="496">
        <f>[25]Blocking1!M202</f>
        <v>54</v>
      </c>
      <c r="H202" s="551"/>
      <c r="I202" s="417">
        <f>ROUND($G202*C202,0)</f>
        <v>171904</v>
      </c>
      <c r="K202" s="417">
        <f>ROUND($G202*E202,0)</f>
        <v>174960</v>
      </c>
      <c r="M202" s="552">
        <f t="shared" ref="M202:M209" si="81">M178</f>
        <v>54</v>
      </c>
      <c r="N202" s="551"/>
      <c r="O202" s="417">
        <f>ROUND(M202*$E202,0)</f>
        <v>174960</v>
      </c>
      <c r="P202" s="417"/>
      <c r="T202" s="439">
        <f t="shared" ref="T202:T209" si="82">M202/G202-1</f>
        <v>0</v>
      </c>
      <c r="AD202" s="400">
        <f>K202-[25]Blocking1!O202</f>
        <v>0</v>
      </c>
    </row>
    <row r="203" spans="1:30">
      <c r="A203" s="432" t="s">
        <v>364</v>
      </c>
      <c r="C203" s="433">
        <f>'[25]6A'!H12</f>
        <v>194853.6893346482</v>
      </c>
      <c r="E203" s="406">
        <f>ROUND(C203*$E$211/$C$211,0)</f>
        <v>209617</v>
      </c>
      <c r="G203" s="496">
        <f>[25]Blocking1!M203</f>
        <v>6.45</v>
      </c>
      <c r="H203" s="551"/>
      <c r="I203" s="417">
        <f>ROUND($G203*C203,0)</f>
        <v>1256806</v>
      </c>
      <c r="K203" s="417">
        <f>ROUND($G203*E203,0)</f>
        <v>1352030</v>
      </c>
      <c r="M203" s="552">
        <f t="shared" si="81"/>
        <v>6.52</v>
      </c>
      <c r="N203" s="551"/>
      <c r="O203" s="417">
        <f>ROUND(M203*$E203,0)</f>
        <v>1366703</v>
      </c>
      <c r="P203" s="417"/>
      <c r="S203" s="502"/>
      <c r="T203" s="439">
        <f t="shared" si="82"/>
        <v>1.0852713178294504E-2</v>
      </c>
      <c r="AD203" s="400">
        <f>K203-[25]Blocking1!O203</f>
        <v>0</v>
      </c>
    </row>
    <row r="204" spans="1:30">
      <c r="A204" s="432" t="s">
        <v>365</v>
      </c>
      <c r="C204" s="433">
        <f>'[25]6A'!I12</f>
        <v>218088.99047618991</v>
      </c>
      <c r="E204" s="406">
        <f>ROUND(C204*$E$211/$C$211,0)</f>
        <v>234612</v>
      </c>
      <c r="G204" s="496">
        <f>[25]Blocking1!M204</f>
        <v>5.41</v>
      </c>
      <c r="H204" s="551"/>
      <c r="I204" s="417">
        <f>ROUND($G204*C204,0)</f>
        <v>1179861</v>
      </c>
      <c r="K204" s="417">
        <f>ROUND($G204*E204,0)</f>
        <v>1269251</v>
      </c>
      <c r="M204" s="552">
        <f t="shared" si="81"/>
        <v>5.47</v>
      </c>
      <c r="N204" s="551"/>
      <c r="O204" s="417">
        <f>ROUND(M204*$E204,0)</f>
        <v>1283328</v>
      </c>
      <c r="P204" s="497"/>
      <c r="T204" s="439">
        <f t="shared" si="82"/>
        <v>1.109057301293892E-2</v>
      </c>
      <c r="AD204" s="400">
        <f>K204-[25]Blocking1!O204</f>
        <v>0</v>
      </c>
    </row>
    <row r="205" spans="1:30">
      <c r="A205" s="432" t="s">
        <v>346</v>
      </c>
      <c r="C205" s="433">
        <f>'[25]6A'!J12</f>
        <v>15436.98516949148</v>
      </c>
      <c r="D205" s="551"/>
      <c r="E205" s="406">
        <f>ROUND(C205*$E$211/$C$211,0)</f>
        <v>16607</v>
      </c>
      <c r="F205" s="551"/>
      <c r="G205" s="496">
        <f>[25]Blocking1!M205</f>
        <v>-0.6</v>
      </c>
      <c r="H205" s="551"/>
      <c r="I205" s="417">
        <f>ROUND($G205*C205,0)</f>
        <v>-9262</v>
      </c>
      <c r="J205" s="551"/>
      <c r="K205" s="417">
        <f>ROUND($G205*E205,0)</f>
        <v>-9964</v>
      </c>
      <c r="L205" s="551"/>
      <c r="M205" s="552">
        <f t="shared" si="81"/>
        <v>-0.61</v>
      </c>
      <c r="N205" s="551"/>
      <c r="O205" s="417">
        <f>ROUND(M205*$E205,0)</f>
        <v>-10130</v>
      </c>
      <c r="P205" s="497"/>
      <c r="T205" s="439">
        <f t="shared" si="82"/>
        <v>1.6666666666666607E-2</v>
      </c>
      <c r="AD205" s="400">
        <f>K205-[25]Blocking1!O205</f>
        <v>0</v>
      </c>
    </row>
    <row r="206" spans="1:30">
      <c r="A206" s="432" t="s">
        <v>315</v>
      </c>
      <c r="C206" s="433">
        <f>'[25]6A'!L12+[25]TempRev!C398</f>
        <v>19410292</v>
      </c>
      <c r="D206" s="551"/>
      <c r="E206" s="406">
        <f>ROUND(SUM([25]Energy!D34:F34,[25]Energy!N34:O34)*'Blocking GRC'!C206/('Blocking GRC'!C206+'Blocking GRC'!C207),0)</f>
        <v>19330222</v>
      </c>
      <c r="F206" s="551"/>
      <c r="G206" s="576">
        <f>[25]Blocking1!M206</f>
        <v>11.7997</v>
      </c>
      <c r="H206" s="462" t="s">
        <v>305</v>
      </c>
      <c r="I206" s="417">
        <f>ROUND($G206*C206/100,0)</f>
        <v>2290356</v>
      </c>
      <c r="J206" s="551"/>
      <c r="K206" s="417">
        <f>ROUND($G206*E206/100,0)</f>
        <v>2280908</v>
      </c>
      <c r="L206" s="551"/>
      <c r="M206" s="577">
        <f t="shared" si="81"/>
        <v>11.926600000000001</v>
      </c>
      <c r="N206" s="462" t="s">
        <v>305</v>
      </c>
      <c r="O206" s="417">
        <f>ROUND(M206*$E206/100,0)</f>
        <v>2305438</v>
      </c>
      <c r="P206" s="497"/>
      <c r="T206" s="439">
        <f t="shared" si="82"/>
        <v>1.0754510707899456E-2</v>
      </c>
      <c r="AD206" s="400">
        <f>K206-[25]Blocking1!O206</f>
        <v>0</v>
      </c>
    </row>
    <row r="207" spans="1:30">
      <c r="A207" s="432" t="s">
        <v>316</v>
      </c>
      <c r="C207" s="433">
        <f>'[25]6A'!M12+[25]TempRev!C399</f>
        <v>14335918</v>
      </c>
      <c r="D207" s="551"/>
      <c r="E207" s="406">
        <f>SUM([25]Energy!D34:F34,[25]Energy!N34:O34)-'Blocking GRC'!E206</f>
        <v>14276780.234577633</v>
      </c>
      <c r="F207" s="551"/>
      <c r="G207" s="576">
        <f>[25]Blocking1!M207</f>
        <v>3.5526</v>
      </c>
      <c r="H207" s="462" t="s">
        <v>305</v>
      </c>
      <c r="I207" s="417">
        <f>ROUND($G207*C207/100,0)</f>
        <v>509298</v>
      </c>
      <c r="J207" s="551"/>
      <c r="K207" s="417">
        <f>ROUND($G207*E207/100,0)</f>
        <v>507197</v>
      </c>
      <c r="L207" s="551"/>
      <c r="M207" s="577">
        <f t="shared" si="81"/>
        <v>3.5908000000000002</v>
      </c>
      <c r="N207" s="462" t="s">
        <v>305</v>
      </c>
      <c r="O207" s="417">
        <f>ROUND(M207*$E207/100,0)</f>
        <v>512651</v>
      </c>
      <c r="P207" s="497"/>
      <c r="T207" s="439">
        <f t="shared" si="82"/>
        <v>1.0752688172043001E-2</v>
      </c>
      <c r="AD207" s="400">
        <f>K207-[25]Blocking1!O207</f>
        <v>0</v>
      </c>
    </row>
    <row r="208" spans="1:30">
      <c r="A208" s="432" t="s">
        <v>366</v>
      </c>
      <c r="C208" s="433">
        <f>'[25]6A'!N12+[25]TempRev!C400</f>
        <v>18099850</v>
      </c>
      <c r="D208" s="551"/>
      <c r="E208" s="406">
        <f>ROUND(SUM([25]Energy!G34:M34)*'Blocking GRC'!C208/('Blocking GRC'!C208+'Blocking GRC'!C209),0)</f>
        <v>21526058</v>
      </c>
      <c r="F208" s="551"/>
      <c r="G208" s="576">
        <f>[25]Blocking1!M208</f>
        <v>9.8633000000000006</v>
      </c>
      <c r="H208" s="462" t="s">
        <v>305</v>
      </c>
      <c r="I208" s="417">
        <f>ROUND($G208*C208/100,0)</f>
        <v>1785243</v>
      </c>
      <c r="J208" s="551"/>
      <c r="K208" s="417">
        <f>ROUND($G208*E208/100,0)</f>
        <v>2123180</v>
      </c>
      <c r="L208" s="551"/>
      <c r="M208" s="577">
        <f t="shared" si="81"/>
        <v>9.9693000000000005</v>
      </c>
      <c r="N208" s="462" t="s">
        <v>305</v>
      </c>
      <c r="O208" s="417">
        <f>ROUND(M208*$E208/100,0)</f>
        <v>2145997</v>
      </c>
      <c r="T208" s="439">
        <f t="shared" si="82"/>
        <v>1.0746910263299325E-2</v>
      </c>
      <c r="AD208" s="400">
        <f>K208-[25]Blocking1!O208</f>
        <v>0</v>
      </c>
    </row>
    <row r="209" spans="1:30">
      <c r="A209" s="432" t="s">
        <v>367</v>
      </c>
      <c r="C209" s="433">
        <f>'[25]6A'!O12+[25]TempRev!C401</f>
        <v>10929569</v>
      </c>
      <c r="D209" s="551"/>
      <c r="E209" s="406">
        <f>E211-E206-E207-E208</f>
        <v>12998479.764808677</v>
      </c>
      <c r="F209" s="551"/>
      <c r="G209" s="576">
        <f>[25]Blocking1!M209</f>
        <v>2.9769999999999999</v>
      </c>
      <c r="H209" s="462" t="s">
        <v>305</v>
      </c>
      <c r="I209" s="417">
        <f>ROUND($G209*C209/100,0)</f>
        <v>325373</v>
      </c>
      <c r="J209" s="551"/>
      <c r="K209" s="417">
        <f>ROUND($G209*E209/100,0)</f>
        <v>386965</v>
      </c>
      <c r="L209" s="551"/>
      <c r="M209" s="577">
        <f t="shared" si="81"/>
        <v>3.0059999999999998</v>
      </c>
      <c r="N209" s="462" t="s">
        <v>305</v>
      </c>
      <c r="O209" s="417">
        <f>ROUND(M209*$E209/100,0)</f>
        <v>390734</v>
      </c>
      <c r="T209" s="439">
        <f t="shared" si="82"/>
        <v>9.7413503527039591E-3</v>
      </c>
      <c r="AD209" s="400">
        <f>K209-[25]Blocking1!O209</f>
        <v>0</v>
      </c>
    </row>
    <row r="210" spans="1:30">
      <c r="A210" s="432" t="s">
        <v>313</v>
      </c>
      <c r="C210" s="504">
        <f>'[25]Table 2'!J69</f>
        <v>557487</v>
      </c>
      <c r="E210" s="548">
        <v>0</v>
      </c>
      <c r="I210" s="507">
        <f>'[25]Table 3'!F69</f>
        <v>79501</v>
      </c>
      <c r="K210" s="507">
        <v>0</v>
      </c>
      <c r="O210" s="506">
        <v>0</v>
      </c>
      <c r="P210" s="417"/>
      <c r="Q210" s="404"/>
      <c r="R210" s="568"/>
      <c r="AD210" s="400">
        <f>K210-[25]Blocking1!O210</f>
        <v>0</v>
      </c>
    </row>
    <row r="211" spans="1:30" ht="16.5" thickBot="1">
      <c r="A211" s="432" t="s">
        <v>314</v>
      </c>
      <c r="C211" s="549">
        <f>C206+C207+C210+C208+C209</f>
        <v>63333116</v>
      </c>
      <c r="D211" s="551"/>
      <c r="E211" s="559">
        <f>[25]Energy!P34</f>
        <v>68131539.999386311</v>
      </c>
      <c r="F211" s="551"/>
      <c r="G211" s="532"/>
      <c r="I211" s="533">
        <f>SUM(I202:I210)</f>
        <v>7589080</v>
      </c>
      <c r="K211" s="533">
        <f>SUM(K202:K210)</f>
        <v>8084527</v>
      </c>
      <c r="L211" s="551"/>
      <c r="M211" s="534"/>
      <c r="O211" s="533">
        <f>SUM(O202:O210)</f>
        <v>8169681</v>
      </c>
      <c r="P211" s="417"/>
      <c r="Q211" s="416" t="s">
        <v>601</v>
      </c>
      <c r="R211" s="518">
        <f>O211/K211-1</f>
        <v>1.0532960060619434E-2</v>
      </c>
      <c r="S211" s="570"/>
      <c r="AD211" s="400">
        <f>K211-[25]Blocking1!O211</f>
        <v>0</v>
      </c>
    </row>
    <row r="212" spans="1:30" ht="16.5" thickTop="1">
      <c r="C212" s="406"/>
      <c r="E212" s="406"/>
      <c r="P212" s="417"/>
      <c r="AD212" s="400">
        <f>K212-[25]Blocking1!O212</f>
        <v>0</v>
      </c>
    </row>
    <row r="213" spans="1:30">
      <c r="A213" s="428" t="s">
        <v>636</v>
      </c>
      <c r="C213" s="406"/>
      <c r="E213" s="406"/>
      <c r="G213" s="547"/>
      <c r="H213" s="572"/>
      <c r="M213" s="558"/>
      <c r="N213" s="572"/>
      <c r="P213" s="417"/>
      <c r="AD213" s="400">
        <f>K213-[25]Blocking1!O213</f>
        <v>0</v>
      </c>
    </row>
    <row r="214" spans="1:30">
      <c r="A214" s="432" t="s">
        <v>303</v>
      </c>
      <c r="C214" s="433">
        <f>'[25]6A'!G13</f>
        <v>226.166464150943</v>
      </c>
      <c r="E214" s="550">
        <f>[25]Bill!P9</f>
        <v>247</v>
      </c>
      <c r="G214" s="496">
        <f>[25]Blocking1!M214</f>
        <v>54</v>
      </c>
      <c r="H214" s="551"/>
      <c r="I214" s="417">
        <f>ROUND($G214*C214,0)</f>
        <v>12213</v>
      </c>
      <c r="K214" s="417">
        <f>ROUND($G214*E214,0)</f>
        <v>13338</v>
      </c>
      <c r="M214" s="552">
        <f>M178</f>
        <v>54</v>
      </c>
      <c r="N214" s="551"/>
      <c r="O214" s="417">
        <f>ROUND(M214*$E214,0)</f>
        <v>13338</v>
      </c>
      <c r="P214" s="417"/>
      <c r="T214" s="439">
        <f t="shared" ref="T214:T221" si="83">M214/G214-1</f>
        <v>0</v>
      </c>
      <c r="AD214" s="400">
        <f>K214-[25]Blocking1!O214</f>
        <v>0</v>
      </c>
    </row>
    <row r="215" spans="1:30">
      <c r="A215" s="432" t="s">
        <v>364</v>
      </c>
      <c r="C215" s="433">
        <f>'[25]6A'!H13</f>
        <v>5634.5233505585702</v>
      </c>
      <c r="E215" s="406">
        <f>ROUND(C215*$E$223/$C$223,0)</f>
        <v>358</v>
      </c>
      <c r="G215" s="496">
        <f>[25]Blocking1!M215</f>
        <v>6.45</v>
      </c>
      <c r="H215" s="551"/>
      <c r="I215" s="417">
        <f>ROUND($G215*C215,0)</f>
        <v>36343</v>
      </c>
      <c r="K215" s="417">
        <f>ROUND($G215*E215,0)</f>
        <v>2309</v>
      </c>
      <c r="M215" s="552">
        <f t="shared" ref="M215:M221" si="84">M179</f>
        <v>6.52</v>
      </c>
      <c r="N215" s="551"/>
      <c r="O215" s="417">
        <f>ROUND(M215*$E215,0)</f>
        <v>2334</v>
      </c>
      <c r="P215" s="417"/>
      <c r="S215" s="502"/>
      <c r="T215" s="439">
        <f t="shared" si="83"/>
        <v>1.0852713178294504E-2</v>
      </c>
      <c r="AD215" s="400">
        <f>K215-[25]Blocking1!O215</f>
        <v>0</v>
      </c>
    </row>
    <row r="216" spans="1:30">
      <c r="A216" s="432" t="s">
        <v>365</v>
      </c>
      <c r="C216" s="433">
        <f>'[25]6A'!I13</f>
        <v>7011.7395238095296</v>
      </c>
      <c r="E216" s="406">
        <f t="shared" ref="E216:E217" si="85">ROUND(C216*$E$223/$C$223,0)</f>
        <v>446</v>
      </c>
      <c r="G216" s="496">
        <f>[25]Blocking1!M216</f>
        <v>5.41</v>
      </c>
      <c r="H216" s="551"/>
      <c r="I216" s="417">
        <f>ROUND($G216*C216,0)</f>
        <v>37934</v>
      </c>
      <c r="K216" s="417">
        <f>ROUND($G216*E216,0)</f>
        <v>2413</v>
      </c>
      <c r="M216" s="552">
        <f t="shared" si="84"/>
        <v>5.47</v>
      </c>
      <c r="N216" s="551"/>
      <c r="O216" s="417">
        <f>ROUND(M216*$E216,0)</f>
        <v>2440</v>
      </c>
      <c r="P216" s="497"/>
      <c r="T216" s="439">
        <f t="shared" si="83"/>
        <v>1.109057301293892E-2</v>
      </c>
      <c r="AD216" s="400">
        <f>K216-[25]Blocking1!O216</f>
        <v>0</v>
      </c>
    </row>
    <row r="217" spans="1:30">
      <c r="A217" s="432" t="s">
        <v>346</v>
      </c>
      <c r="C217" s="433">
        <f>'[25]6A'!J13</f>
        <v>0</v>
      </c>
      <c r="D217" s="551"/>
      <c r="E217" s="406">
        <f t="shared" si="85"/>
        <v>0</v>
      </c>
      <c r="F217" s="551"/>
      <c r="G217" s="496">
        <f>[25]Blocking1!M217</f>
        <v>-0.6</v>
      </c>
      <c r="H217" s="551"/>
      <c r="I217" s="417">
        <f>ROUND($G217*C217,0)</f>
        <v>0</v>
      </c>
      <c r="J217" s="551"/>
      <c r="K217" s="417">
        <f>ROUND($G217*E217,0)</f>
        <v>0</v>
      </c>
      <c r="L217" s="551"/>
      <c r="M217" s="552">
        <f t="shared" si="84"/>
        <v>-0.61</v>
      </c>
      <c r="N217" s="551"/>
      <c r="O217" s="417">
        <f>ROUND(M217*$E217,0)</f>
        <v>0</v>
      </c>
      <c r="P217" s="497"/>
      <c r="T217" s="439">
        <f t="shared" si="83"/>
        <v>1.6666666666666607E-2</v>
      </c>
      <c r="AD217" s="400">
        <f>K217-[25]Blocking1!O217</f>
        <v>0</v>
      </c>
    </row>
    <row r="218" spans="1:30">
      <c r="A218" s="432" t="s">
        <v>315</v>
      </c>
      <c r="C218" s="433">
        <f>'[25]6A'!L13</f>
        <v>1093784</v>
      </c>
      <c r="D218" s="551"/>
      <c r="E218" s="406">
        <f>ROUND(SUM([25]Energy!D9:F9,[25]Energy!N9:O9)*'Blocking GRC'!C218/('Blocking GRC'!C218+'Blocking GRC'!C219),0)</f>
        <v>51442</v>
      </c>
      <c r="F218" s="551"/>
      <c r="G218" s="576">
        <f>[25]Blocking1!M218</f>
        <v>11.7997</v>
      </c>
      <c r="H218" s="462" t="s">
        <v>305</v>
      </c>
      <c r="I218" s="417">
        <f>ROUND($G218*C218/100,0)</f>
        <v>129063</v>
      </c>
      <c r="J218" s="551"/>
      <c r="K218" s="417">
        <f>ROUND($G218*E218/100,0)</f>
        <v>6070</v>
      </c>
      <c r="L218" s="551"/>
      <c r="M218" s="577">
        <f t="shared" si="84"/>
        <v>11.926600000000001</v>
      </c>
      <c r="N218" s="462" t="s">
        <v>305</v>
      </c>
      <c r="O218" s="417">
        <f>ROUND(M218*$E218/100,0)</f>
        <v>6135</v>
      </c>
      <c r="P218" s="497"/>
      <c r="T218" s="439">
        <f t="shared" si="83"/>
        <v>1.0754510707899456E-2</v>
      </c>
      <c r="AD218" s="400">
        <f>K218-[25]Blocking1!O218</f>
        <v>0</v>
      </c>
    </row>
    <row r="219" spans="1:30">
      <c r="A219" s="432" t="s">
        <v>316</v>
      </c>
      <c r="C219" s="433">
        <f>'[25]6A'!M13</f>
        <v>1220200</v>
      </c>
      <c r="D219" s="551"/>
      <c r="E219" s="406">
        <f>SUM([25]Energy!D9:F9,[25]Energy!N9:O9)-'Blocking GRC'!E218</f>
        <v>57387.5</v>
      </c>
      <c r="F219" s="551"/>
      <c r="G219" s="576">
        <f>[25]Blocking1!M219</f>
        <v>3.5526</v>
      </c>
      <c r="H219" s="462" t="s">
        <v>305</v>
      </c>
      <c r="I219" s="417">
        <f>ROUND($G219*C219/100,0)</f>
        <v>43349</v>
      </c>
      <c r="J219" s="551"/>
      <c r="K219" s="417">
        <f>ROUND($G219*E219/100,0)</f>
        <v>2039</v>
      </c>
      <c r="L219" s="551"/>
      <c r="M219" s="577">
        <f t="shared" si="84"/>
        <v>3.5908000000000002</v>
      </c>
      <c r="N219" s="462" t="s">
        <v>305</v>
      </c>
      <c r="O219" s="417">
        <f>ROUND(M219*$E219/100,0)</f>
        <v>2061</v>
      </c>
      <c r="P219" s="497"/>
      <c r="T219" s="439">
        <f t="shared" si="83"/>
        <v>1.0752688172043001E-2</v>
      </c>
      <c r="AD219" s="400">
        <f>K219-[25]Blocking1!O219</f>
        <v>0</v>
      </c>
    </row>
    <row r="220" spans="1:30">
      <c r="A220" s="432" t="s">
        <v>366</v>
      </c>
      <c r="C220" s="433">
        <f>'[25]6A'!N13</f>
        <v>1517525</v>
      </c>
      <c r="D220" s="551"/>
      <c r="E220" s="406">
        <f>ROUND(SUM([25]Energy!G9:M9)*'Blocking GRC'!C220/('Blocking GRC'!C220+'Blocking GRC'!C221),0)</f>
        <v>115076</v>
      </c>
      <c r="F220" s="551"/>
      <c r="G220" s="576">
        <f>[25]Blocking1!M220</f>
        <v>9.8633000000000006</v>
      </c>
      <c r="H220" s="462" t="s">
        <v>305</v>
      </c>
      <c r="I220" s="417">
        <f>ROUND($G220*C220/100,0)</f>
        <v>149678</v>
      </c>
      <c r="J220" s="551"/>
      <c r="K220" s="417">
        <f>ROUND($G220*E220/100,0)</f>
        <v>11350</v>
      </c>
      <c r="L220" s="551"/>
      <c r="M220" s="577">
        <f t="shared" si="84"/>
        <v>9.9693000000000005</v>
      </c>
      <c r="N220" s="462" t="s">
        <v>305</v>
      </c>
      <c r="O220" s="417">
        <f>ROUND(M220*$E220/100,0)</f>
        <v>11472</v>
      </c>
      <c r="T220" s="439">
        <f t="shared" si="83"/>
        <v>1.0746910263299325E-2</v>
      </c>
      <c r="AD220" s="400">
        <f>K220-[25]Blocking1!O220</f>
        <v>0</v>
      </c>
    </row>
    <row r="221" spans="1:30">
      <c r="A221" s="432" t="s">
        <v>367</v>
      </c>
      <c r="C221" s="433">
        <f>'[25]6A'!O13</f>
        <v>1552470</v>
      </c>
      <c r="D221" s="551"/>
      <c r="E221" s="406">
        <f>E223-E218-E219-E220</f>
        <v>117726</v>
      </c>
      <c r="F221" s="551"/>
      <c r="G221" s="576">
        <f>[25]Blocking1!M221</f>
        <v>2.9769999999999999</v>
      </c>
      <c r="H221" s="462" t="s">
        <v>305</v>
      </c>
      <c r="I221" s="417">
        <f>ROUND($G221*C221/100,0)</f>
        <v>46217</v>
      </c>
      <c r="J221" s="551"/>
      <c r="K221" s="417">
        <f>ROUND($G221*E221/100,0)</f>
        <v>3505</v>
      </c>
      <c r="L221" s="551"/>
      <c r="M221" s="577">
        <f t="shared" si="84"/>
        <v>3.0059999999999998</v>
      </c>
      <c r="N221" s="462" t="s">
        <v>305</v>
      </c>
      <c r="O221" s="417">
        <f>ROUND(M221*$E221/100,0)</f>
        <v>3539</v>
      </c>
      <c r="T221" s="439">
        <f t="shared" si="83"/>
        <v>9.7413503527039591E-3</v>
      </c>
      <c r="AD221" s="400">
        <f>K221-[25]Blocking1!O221</f>
        <v>0</v>
      </c>
    </row>
    <row r="222" spans="1:30">
      <c r="A222" s="432" t="s">
        <v>313</v>
      </c>
      <c r="C222" s="504">
        <f>'[25]Table 2'!J17</f>
        <v>-8089</v>
      </c>
      <c r="E222" s="548">
        <v>0</v>
      </c>
      <c r="I222" s="507">
        <f>'[25]Table 3'!F17</f>
        <v>986</v>
      </c>
      <c r="K222" s="507">
        <v>0</v>
      </c>
      <c r="O222" s="506">
        <v>0</v>
      </c>
      <c r="P222" s="417"/>
      <c r="Q222" s="404"/>
      <c r="R222" s="568"/>
      <c r="AD222" s="400">
        <f>K222-[25]Blocking1!O222</f>
        <v>0</v>
      </c>
    </row>
    <row r="223" spans="1:30" ht="16.5" thickBot="1">
      <c r="A223" s="432" t="s">
        <v>314</v>
      </c>
      <c r="C223" s="549">
        <f>C218+C219+C222+C220+C221</f>
        <v>5375890</v>
      </c>
      <c r="D223" s="551"/>
      <c r="E223" s="559">
        <f>[25]Energy!P9</f>
        <v>341631.5</v>
      </c>
      <c r="F223" s="551"/>
      <c r="G223" s="532"/>
      <c r="I223" s="533">
        <f>SUM(I214:I222)</f>
        <v>455783</v>
      </c>
      <c r="K223" s="533">
        <f>SUM(K214:K222)</f>
        <v>41024</v>
      </c>
      <c r="L223" s="551"/>
      <c r="M223" s="534"/>
      <c r="O223" s="533">
        <f>SUM(O214:O222)</f>
        <v>41319</v>
      </c>
      <c r="P223" s="417"/>
      <c r="Q223" s="416" t="s">
        <v>601</v>
      </c>
      <c r="R223" s="518">
        <f>O223/K223-1</f>
        <v>7.1909126365055087E-3</v>
      </c>
      <c r="S223" s="570"/>
      <c r="AD223" s="400">
        <f>K223-[25]Blocking1!O223</f>
        <v>0</v>
      </c>
    </row>
    <row r="224" spans="1:30" ht="16.5" thickTop="1">
      <c r="D224" s="551"/>
      <c r="F224" s="551"/>
      <c r="J224" s="551"/>
      <c r="L224" s="551"/>
      <c r="P224" s="417"/>
      <c r="S224" s="570"/>
      <c r="AD224" s="400">
        <f>K224-[25]Blocking1!O224</f>
        <v>0</v>
      </c>
    </row>
    <row r="225" spans="1:30">
      <c r="A225" s="428" t="s">
        <v>637</v>
      </c>
      <c r="C225" s="406"/>
      <c r="E225" s="406"/>
      <c r="P225" s="417"/>
      <c r="R225" s="405"/>
      <c r="S225" s="570"/>
      <c r="T225" s="570"/>
      <c r="AD225" s="400">
        <f>K225-[25]Blocking1!O225</f>
        <v>0</v>
      </c>
    </row>
    <row r="226" spans="1:30">
      <c r="A226" s="480" t="s">
        <v>368</v>
      </c>
      <c r="C226" s="406"/>
      <c r="E226" s="406"/>
      <c r="I226" s="417"/>
      <c r="K226" s="417"/>
      <c r="O226" s="417"/>
      <c r="P226" s="417"/>
      <c r="Q226" s="436"/>
      <c r="R226" s="436"/>
      <c r="S226" s="570"/>
      <c r="T226" s="570"/>
      <c r="AD226" s="400">
        <f>K226-[25]Blocking1!O226</f>
        <v>0</v>
      </c>
    </row>
    <row r="227" spans="1:30">
      <c r="A227" s="432" t="s">
        <v>369</v>
      </c>
      <c r="B227" s="405">
        <v>29</v>
      </c>
      <c r="C227" s="433" t="e">
        <f>C267+C307+C347+C387</f>
        <v>#VALUE!</v>
      </c>
      <c r="E227" s="561" t="e">
        <f>E267+E307+E347+E387</f>
        <v>#VALUE!</v>
      </c>
      <c r="G227" s="434">
        <f>[25]Blocking1!M227</f>
        <v>5.68</v>
      </c>
      <c r="H227" s="435"/>
      <c r="I227" s="417" t="e">
        <f>ROUND(G227*$C227,0)</f>
        <v>#VALUE!</v>
      </c>
      <c r="K227" s="417" t="e">
        <f>ROUND(G227*$E227,0)</f>
        <v>#VALUE!</v>
      </c>
      <c r="M227" s="434" t="e">
        <f>ROUND(G227*(1+R$231),2)</f>
        <v>#VALUE!</v>
      </c>
      <c r="N227" s="435"/>
      <c r="O227" s="552" t="e">
        <f>ROUND(M227*$E227,0)</f>
        <v>#VALUE!</v>
      </c>
      <c r="P227" s="417"/>
      <c r="Q227" s="437" t="s">
        <v>589</v>
      </c>
      <c r="R227" s="438" t="e">
        <f>O263</f>
        <v>#VALUE!</v>
      </c>
      <c r="S227" s="570"/>
      <c r="T227" s="439" t="e">
        <f t="shared" ref="T227:T242" si="86">M227/G227-1</f>
        <v>#VALUE!</v>
      </c>
      <c r="AD227" s="400" t="e">
        <f>K227-[25]Blocking1!O227</f>
        <v>#VALUE!</v>
      </c>
    </row>
    <row r="228" spans="1:30">
      <c r="A228" s="432" t="s">
        <v>370</v>
      </c>
      <c r="B228" s="405">
        <v>1</v>
      </c>
      <c r="C228" s="433" t="e">
        <f t="shared" ref="C228:E230" si="87">C268+C308+C348+C388</f>
        <v>#VALUE!</v>
      </c>
      <c r="E228" s="561" t="e">
        <f t="shared" si="87"/>
        <v>#VALUE!</v>
      </c>
      <c r="G228" s="434">
        <f>[25]Blocking1!M228</f>
        <v>16.38</v>
      </c>
      <c r="H228" s="435"/>
      <c r="I228" s="417" t="e">
        <f>ROUND(G228*$C228,0)</f>
        <v>#VALUE!</v>
      </c>
      <c r="K228" s="417" t="e">
        <f>ROUND(G228*$E228,0)</f>
        <v>#VALUE!</v>
      </c>
      <c r="M228" s="434" t="e">
        <f>ROUND(G228*(1+R$231),2)</f>
        <v>#VALUE!</v>
      </c>
      <c r="N228" s="435"/>
      <c r="O228" s="417" t="e">
        <f>ROUND(M228*$E228,0)</f>
        <v>#VALUE!</v>
      </c>
      <c r="P228" s="417"/>
      <c r="Q228" s="444" t="s">
        <v>593</v>
      </c>
      <c r="R228" s="445">
        <f>[25]RateSpread2!M41*1000</f>
        <v>2999060</v>
      </c>
      <c r="S228" s="570"/>
      <c r="T228" s="439" t="e">
        <f t="shared" si="86"/>
        <v>#VALUE!</v>
      </c>
      <c r="AD228" s="400" t="e">
        <f>K228-[25]Blocking1!O228</f>
        <v>#VALUE!</v>
      </c>
    </row>
    <row r="229" spans="1:30">
      <c r="A229" s="432" t="s">
        <v>371</v>
      </c>
      <c r="B229" s="405">
        <v>28</v>
      </c>
      <c r="C229" s="433" t="e">
        <f t="shared" si="87"/>
        <v>#VALUE!</v>
      </c>
      <c r="E229" s="561" t="e">
        <f t="shared" si="87"/>
        <v>#VALUE!</v>
      </c>
      <c r="G229" s="434">
        <f>[25]Blocking1!M229</f>
        <v>8.0500000000000007</v>
      </c>
      <c r="H229" s="435"/>
      <c r="I229" s="417" t="e">
        <f>ROUND(G229*$C229,0)</f>
        <v>#VALUE!</v>
      </c>
      <c r="K229" s="417" t="e">
        <f>ROUND(G229*$E229,0)</f>
        <v>#VALUE!</v>
      </c>
      <c r="M229" s="434" t="e">
        <f>ROUND(G229*(1+R$231),2)</f>
        <v>#VALUE!</v>
      </c>
      <c r="N229" s="435"/>
      <c r="O229" s="417" t="e">
        <f>ROUND(M229*$E229,0)</f>
        <v>#VALUE!</v>
      </c>
      <c r="P229" s="417"/>
      <c r="Q229" s="450" t="s">
        <v>159</v>
      </c>
      <c r="R229" s="451" t="e">
        <f>R228-R227</f>
        <v>#VALUE!</v>
      </c>
      <c r="S229" s="570"/>
      <c r="T229" s="439" t="e">
        <f t="shared" si="86"/>
        <v>#VALUE!</v>
      </c>
      <c r="AD229" s="400" t="e">
        <f>K229-[25]Blocking1!O229</f>
        <v>#VALUE!</v>
      </c>
    </row>
    <row r="230" spans="1:30">
      <c r="A230" s="432" t="s">
        <v>372</v>
      </c>
      <c r="B230" s="405">
        <v>2</v>
      </c>
      <c r="C230" s="433" t="e">
        <f t="shared" si="87"/>
        <v>#VALUE!</v>
      </c>
      <c r="E230" s="561" t="e">
        <f t="shared" si="87"/>
        <v>#VALUE!</v>
      </c>
      <c r="G230" s="434">
        <f>[25]Blocking1!M230</f>
        <v>26.78</v>
      </c>
      <c r="H230" s="435"/>
      <c r="I230" s="417" t="e">
        <f>ROUND(G230*$C230,0)</f>
        <v>#VALUE!</v>
      </c>
      <c r="K230" s="417" t="e">
        <f>ROUND(G230*$E230,0)</f>
        <v>#VALUE!</v>
      </c>
      <c r="M230" s="434" t="e">
        <f>ROUND(G230*(1+R$231),2)</f>
        <v>#VALUE!</v>
      </c>
      <c r="N230" s="435"/>
      <c r="O230" s="417" t="e">
        <f>ROUND(M230*$E230,0)</f>
        <v>#VALUE!</v>
      </c>
      <c r="P230" s="417"/>
      <c r="Q230" s="463" t="s">
        <v>601</v>
      </c>
      <c r="R230" s="536" t="e">
        <f>R227/K263-1</f>
        <v>#VALUE!</v>
      </c>
      <c r="S230" s="570"/>
      <c r="T230" s="439" t="e">
        <f t="shared" si="86"/>
        <v>#VALUE!</v>
      </c>
      <c r="AD230" s="400" t="e">
        <f>K230-[25]Blocking1!O230</f>
        <v>#VALUE!</v>
      </c>
    </row>
    <row r="231" spans="1:30">
      <c r="A231" s="480" t="s">
        <v>373</v>
      </c>
      <c r="C231" s="433"/>
      <c r="E231" s="561"/>
      <c r="I231" s="417"/>
      <c r="K231" s="417"/>
      <c r="M231" s="404"/>
      <c r="O231" s="417"/>
      <c r="P231" s="417"/>
      <c r="Q231" s="488" t="s">
        <v>603</v>
      </c>
      <c r="R231" s="544" t="e">
        <f>R228/K263-1</f>
        <v>#VALUE!</v>
      </c>
      <c r="S231" s="570"/>
      <c r="T231" s="439"/>
      <c r="AD231" s="400">
        <f>K231-[25]Blocking1!O231</f>
        <v>0</v>
      </c>
    </row>
    <row r="232" spans="1:30">
      <c r="A232" s="432" t="s">
        <v>374</v>
      </c>
      <c r="B232" s="405">
        <v>3</v>
      </c>
      <c r="C232" s="433" t="e">
        <f t="shared" ref="C232:E242" si="88">C272+C312+C352+C392</f>
        <v>#VALUE!</v>
      </c>
      <c r="E232" s="561" t="e">
        <f t="shared" si="88"/>
        <v>#VALUE!</v>
      </c>
      <c r="G232" s="434">
        <f>[25]Blocking1!M232</f>
        <v>14.6</v>
      </c>
      <c r="H232" s="435"/>
      <c r="I232" s="417" t="e">
        <f t="shared" ref="I232:I242" si="89">ROUND(G232*$C232,0)</f>
        <v>#VALUE!</v>
      </c>
      <c r="K232" s="417" t="e">
        <f t="shared" ref="K232:K242" si="90">ROUND(G232*$E232,0)</f>
        <v>#VALUE!</v>
      </c>
      <c r="M232" s="434" t="e">
        <f t="shared" ref="M232:M242" si="91">ROUND(G232*(1+R$231),2)</f>
        <v>#VALUE!</v>
      </c>
      <c r="N232" s="435"/>
      <c r="O232" s="417" t="e">
        <f t="shared" ref="O232:O242" si="92">ROUND(M232*$E232,0)</f>
        <v>#VALUE!</v>
      </c>
      <c r="P232" s="417"/>
      <c r="Q232" s="578"/>
      <c r="R232" s="546"/>
      <c r="S232" s="570"/>
      <c r="T232" s="439" t="e">
        <f t="shared" si="86"/>
        <v>#VALUE!</v>
      </c>
      <c r="AD232" s="400" t="e">
        <f>K232-[25]Blocking1!O232</f>
        <v>#VALUE!</v>
      </c>
    </row>
    <row r="233" spans="1:30">
      <c r="A233" s="432" t="s">
        <v>375</v>
      </c>
      <c r="B233" s="405">
        <v>4</v>
      </c>
      <c r="C233" s="433" t="e">
        <f t="shared" si="88"/>
        <v>#VALUE!</v>
      </c>
      <c r="E233" s="561" t="e">
        <f t="shared" si="88"/>
        <v>#VALUE!</v>
      </c>
      <c r="G233" s="434">
        <f>[25]Blocking1!M233</f>
        <v>12.23</v>
      </c>
      <c r="H233" s="435"/>
      <c r="I233" s="417" t="e">
        <f t="shared" si="89"/>
        <v>#VALUE!</v>
      </c>
      <c r="K233" s="417" t="e">
        <f t="shared" si="90"/>
        <v>#VALUE!</v>
      </c>
      <c r="M233" s="434" t="e">
        <f t="shared" si="91"/>
        <v>#VALUE!</v>
      </c>
      <c r="N233" s="435"/>
      <c r="O233" s="417" t="e">
        <f t="shared" si="92"/>
        <v>#VALUE!</v>
      </c>
      <c r="P233" s="417"/>
      <c r="Q233" s="416" t="s">
        <v>638</v>
      </c>
      <c r="R233" s="536" t="e">
        <f>O263/K263-1</f>
        <v>#VALUE!</v>
      </c>
      <c r="S233" s="570"/>
      <c r="T233" s="439" t="e">
        <f t="shared" si="86"/>
        <v>#VALUE!</v>
      </c>
      <c r="AD233" s="400" t="e">
        <f>K233-[25]Blocking1!O233</f>
        <v>#VALUE!</v>
      </c>
    </row>
    <row r="234" spans="1:30">
      <c r="A234" s="432" t="s">
        <v>376</v>
      </c>
      <c r="B234" s="405">
        <v>5</v>
      </c>
      <c r="C234" s="433" t="e">
        <f t="shared" si="88"/>
        <v>#VALUE!</v>
      </c>
      <c r="E234" s="561" t="e">
        <f t="shared" si="88"/>
        <v>#VALUE!</v>
      </c>
      <c r="G234" s="434">
        <f>[25]Blocking1!M234</f>
        <v>15.47</v>
      </c>
      <c r="H234" s="435"/>
      <c r="I234" s="417" t="e">
        <f t="shared" si="89"/>
        <v>#VALUE!</v>
      </c>
      <c r="K234" s="417" t="e">
        <f t="shared" si="90"/>
        <v>#VALUE!</v>
      </c>
      <c r="M234" s="434" t="e">
        <f t="shared" si="91"/>
        <v>#VALUE!</v>
      </c>
      <c r="N234" s="435"/>
      <c r="O234" s="417" t="e">
        <f t="shared" si="92"/>
        <v>#VALUE!</v>
      </c>
      <c r="P234" s="417"/>
      <c r="Q234" s="436"/>
      <c r="R234" s="436"/>
      <c r="S234" s="570"/>
      <c r="T234" s="439" t="e">
        <f t="shared" si="86"/>
        <v>#VALUE!</v>
      </c>
      <c r="AD234" s="400" t="e">
        <f>K234-[25]Blocking1!O234</f>
        <v>#VALUE!</v>
      </c>
    </row>
    <row r="235" spans="1:30">
      <c r="A235" s="432" t="s">
        <v>377</v>
      </c>
      <c r="B235" s="405">
        <v>6</v>
      </c>
      <c r="C235" s="433" t="e">
        <f t="shared" si="88"/>
        <v>#VALUE!</v>
      </c>
      <c r="E235" s="561" t="e">
        <f t="shared" si="88"/>
        <v>#VALUE!</v>
      </c>
      <c r="G235" s="434">
        <f>[25]Blocking1!M235</f>
        <v>13.31</v>
      </c>
      <c r="H235" s="435"/>
      <c r="I235" s="417" t="e">
        <f t="shared" si="89"/>
        <v>#VALUE!</v>
      </c>
      <c r="K235" s="417" t="e">
        <f t="shared" si="90"/>
        <v>#VALUE!</v>
      </c>
      <c r="M235" s="434" t="e">
        <f t="shared" si="91"/>
        <v>#VALUE!</v>
      </c>
      <c r="N235" s="435"/>
      <c r="O235" s="417" t="e">
        <f t="shared" si="92"/>
        <v>#VALUE!</v>
      </c>
      <c r="P235" s="417"/>
      <c r="Q235" s="436"/>
      <c r="R235" s="436"/>
      <c r="S235" s="570"/>
      <c r="T235" s="439" t="e">
        <f t="shared" si="86"/>
        <v>#VALUE!</v>
      </c>
      <c r="AD235" s="400" t="e">
        <f>K235-[25]Blocking1!O235</f>
        <v>#VALUE!</v>
      </c>
    </row>
    <row r="236" spans="1:30">
      <c r="A236" s="432" t="s">
        <v>378</v>
      </c>
      <c r="B236" s="405">
        <v>7</v>
      </c>
      <c r="C236" s="433" t="e">
        <f t="shared" si="88"/>
        <v>#VALUE!</v>
      </c>
      <c r="E236" s="561" t="e">
        <f t="shared" si="88"/>
        <v>#VALUE!</v>
      </c>
      <c r="G236" s="434">
        <f>[25]Blocking1!M236</f>
        <v>19.46</v>
      </c>
      <c r="H236" s="435"/>
      <c r="I236" s="417" t="e">
        <f t="shared" si="89"/>
        <v>#VALUE!</v>
      </c>
      <c r="K236" s="417" t="e">
        <f t="shared" si="90"/>
        <v>#VALUE!</v>
      </c>
      <c r="M236" s="434" t="e">
        <f t="shared" si="91"/>
        <v>#VALUE!</v>
      </c>
      <c r="N236" s="435"/>
      <c r="O236" s="417" t="e">
        <f t="shared" si="92"/>
        <v>#VALUE!</v>
      </c>
      <c r="P236" s="417"/>
      <c r="Q236" s="436"/>
      <c r="R236" s="436"/>
      <c r="S236" s="570"/>
      <c r="T236" s="439" t="e">
        <f t="shared" si="86"/>
        <v>#VALUE!</v>
      </c>
      <c r="AD236" s="400" t="e">
        <f>K236-[25]Blocking1!O236</f>
        <v>#VALUE!</v>
      </c>
    </row>
    <row r="237" spans="1:30">
      <c r="A237" s="432" t="s">
        <v>379</v>
      </c>
      <c r="B237" s="405">
        <v>8</v>
      </c>
      <c r="C237" s="433" t="e">
        <f t="shared" si="88"/>
        <v>#VALUE!</v>
      </c>
      <c r="E237" s="561" t="e">
        <f t="shared" si="88"/>
        <v>#VALUE!</v>
      </c>
      <c r="G237" s="434">
        <f>[25]Blocking1!M237</f>
        <v>17.13</v>
      </c>
      <c r="H237" s="435"/>
      <c r="I237" s="417" t="e">
        <f t="shared" si="89"/>
        <v>#VALUE!</v>
      </c>
      <c r="K237" s="417" t="e">
        <f t="shared" si="90"/>
        <v>#VALUE!</v>
      </c>
      <c r="M237" s="434" t="e">
        <f t="shared" si="91"/>
        <v>#VALUE!</v>
      </c>
      <c r="N237" s="435"/>
      <c r="O237" s="417" t="e">
        <f t="shared" si="92"/>
        <v>#VALUE!</v>
      </c>
      <c r="P237" s="417"/>
      <c r="Q237" s="436"/>
      <c r="R237" s="436"/>
      <c r="S237" s="570"/>
      <c r="T237" s="439" t="e">
        <f t="shared" si="86"/>
        <v>#VALUE!</v>
      </c>
      <c r="AD237" s="400" t="e">
        <f>K237-[25]Blocking1!O237</f>
        <v>#VALUE!</v>
      </c>
    </row>
    <row r="238" spans="1:30">
      <c r="A238" s="432" t="s">
        <v>380</v>
      </c>
      <c r="B238" s="405">
        <v>9</v>
      </c>
      <c r="C238" s="433" t="e">
        <f t="shared" si="88"/>
        <v>#VALUE!</v>
      </c>
      <c r="E238" s="561" t="e">
        <f t="shared" si="88"/>
        <v>#VALUE!</v>
      </c>
      <c r="G238" s="434">
        <f>[25]Blocking1!M238</f>
        <v>21.07</v>
      </c>
      <c r="H238" s="435"/>
      <c r="I238" s="417" t="e">
        <f t="shared" si="89"/>
        <v>#VALUE!</v>
      </c>
      <c r="K238" s="417" t="e">
        <f t="shared" si="90"/>
        <v>#VALUE!</v>
      </c>
      <c r="M238" s="434" t="e">
        <f t="shared" si="91"/>
        <v>#VALUE!</v>
      </c>
      <c r="N238" s="435"/>
      <c r="O238" s="417" t="e">
        <f t="shared" si="92"/>
        <v>#VALUE!</v>
      </c>
      <c r="P238" s="417"/>
      <c r="Q238" s="436"/>
      <c r="R238" s="436"/>
      <c r="S238" s="570"/>
      <c r="T238" s="439" t="e">
        <f t="shared" si="86"/>
        <v>#VALUE!</v>
      </c>
      <c r="AD238" s="400" t="e">
        <f>K238-[25]Blocking1!O238</f>
        <v>#VALUE!</v>
      </c>
    </row>
    <row r="239" spans="1:30">
      <c r="A239" s="432" t="s">
        <v>381</v>
      </c>
      <c r="B239" s="405">
        <v>10</v>
      </c>
      <c r="C239" s="433" t="e">
        <f t="shared" si="88"/>
        <v>#VALUE!</v>
      </c>
      <c r="E239" s="561" t="e">
        <f t="shared" si="88"/>
        <v>#VALUE!</v>
      </c>
      <c r="G239" s="434">
        <f>[25]Blocking1!M239</f>
        <v>23.51</v>
      </c>
      <c r="H239" s="435"/>
      <c r="I239" s="417" t="e">
        <f t="shared" si="89"/>
        <v>#VALUE!</v>
      </c>
      <c r="K239" s="417" t="e">
        <f t="shared" si="90"/>
        <v>#VALUE!</v>
      </c>
      <c r="M239" s="434" t="e">
        <f t="shared" si="91"/>
        <v>#VALUE!</v>
      </c>
      <c r="N239" s="435"/>
      <c r="O239" s="417" t="e">
        <f t="shared" si="92"/>
        <v>#VALUE!</v>
      </c>
      <c r="P239" s="417"/>
      <c r="Q239" s="436"/>
      <c r="R239" s="436"/>
      <c r="S239" s="570"/>
      <c r="T239" s="439" t="e">
        <f t="shared" si="86"/>
        <v>#VALUE!</v>
      </c>
      <c r="AD239" s="400" t="e">
        <f>K239-[25]Blocking1!O239</f>
        <v>#VALUE!</v>
      </c>
    </row>
    <row r="240" spans="1:30">
      <c r="A240" s="432" t="s">
        <v>382</v>
      </c>
      <c r="B240" s="405">
        <v>11</v>
      </c>
      <c r="C240" s="433" t="e">
        <f t="shared" si="88"/>
        <v>#VALUE!</v>
      </c>
      <c r="E240" s="561" t="e">
        <f t="shared" si="88"/>
        <v>#VALUE!</v>
      </c>
      <c r="G240" s="434">
        <f>[25]Blocking1!M240</f>
        <v>21.23</v>
      </c>
      <c r="H240" s="435"/>
      <c r="I240" s="417" t="e">
        <f t="shared" si="89"/>
        <v>#VALUE!</v>
      </c>
      <c r="K240" s="417" t="e">
        <f t="shared" si="90"/>
        <v>#VALUE!</v>
      </c>
      <c r="M240" s="434" t="e">
        <f t="shared" si="91"/>
        <v>#VALUE!</v>
      </c>
      <c r="N240" s="435"/>
      <c r="O240" s="417" t="e">
        <f t="shared" si="92"/>
        <v>#VALUE!</v>
      </c>
      <c r="P240" s="417"/>
      <c r="Q240" s="436"/>
      <c r="R240" s="436"/>
      <c r="S240" s="570"/>
      <c r="T240" s="439" t="e">
        <f t="shared" si="86"/>
        <v>#VALUE!</v>
      </c>
      <c r="AD240" s="400" t="e">
        <f>K240-[25]Blocking1!O240</f>
        <v>#VALUE!</v>
      </c>
    </row>
    <row r="241" spans="1:30">
      <c r="A241" s="432" t="s">
        <v>383</v>
      </c>
      <c r="B241" s="405">
        <v>12</v>
      </c>
      <c r="C241" s="433" t="e">
        <f t="shared" si="88"/>
        <v>#VALUE!</v>
      </c>
      <c r="E241" s="561" t="e">
        <f t="shared" si="88"/>
        <v>#VALUE!</v>
      </c>
      <c r="G241" s="434">
        <f>[25]Blocking1!M241</f>
        <v>28.3</v>
      </c>
      <c r="H241" s="435"/>
      <c r="I241" s="417" t="e">
        <f t="shared" si="89"/>
        <v>#VALUE!</v>
      </c>
      <c r="K241" s="417" t="e">
        <f t="shared" si="90"/>
        <v>#VALUE!</v>
      </c>
      <c r="M241" s="434" t="e">
        <f t="shared" si="91"/>
        <v>#VALUE!</v>
      </c>
      <c r="N241" s="435"/>
      <c r="O241" s="417" t="e">
        <f t="shared" si="92"/>
        <v>#VALUE!</v>
      </c>
      <c r="P241" s="417"/>
      <c r="R241" s="405"/>
      <c r="S241" s="570"/>
      <c r="T241" s="439" t="e">
        <f t="shared" si="86"/>
        <v>#VALUE!</v>
      </c>
      <c r="AD241" s="400" t="e">
        <f>K241-[25]Blocking1!O241</f>
        <v>#VALUE!</v>
      </c>
    </row>
    <row r="242" spans="1:30">
      <c r="A242" s="432" t="s">
        <v>384</v>
      </c>
      <c r="B242" s="405">
        <v>13</v>
      </c>
      <c r="C242" s="433" t="e">
        <f t="shared" si="88"/>
        <v>#VALUE!</v>
      </c>
      <c r="E242" s="561" t="e">
        <f t="shared" si="88"/>
        <v>#VALUE!</v>
      </c>
      <c r="G242" s="434">
        <f>[25]Blocking1!M242</f>
        <v>25.99</v>
      </c>
      <c r="H242" s="435"/>
      <c r="I242" s="417" t="e">
        <f t="shared" si="89"/>
        <v>#VALUE!</v>
      </c>
      <c r="K242" s="417" t="e">
        <f t="shared" si="90"/>
        <v>#VALUE!</v>
      </c>
      <c r="M242" s="434" t="e">
        <f t="shared" si="91"/>
        <v>#VALUE!</v>
      </c>
      <c r="N242" s="435"/>
      <c r="O242" s="417" t="e">
        <f t="shared" si="92"/>
        <v>#VALUE!</v>
      </c>
      <c r="P242" s="417"/>
      <c r="Q242" s="436"/>
      <c r="R242" s="436"/>
      <c r="S242" s="570"/>
      <c r="T242" s="439" t="e">
        <f t="shared" si="86"/>
        <v>#VALUE!</v>
      </c>
      <c r="AD242" s="400" t="e">
        <f>K242-[25]Blocking1!O242</f>
        <v>#VALUE!</v>
      </c>
    </row>
    <row r="243" spans="1:30">
      <c r="A243" s="480" t="s">
        <v>385</v>
      </c>
      <c r="C243" s="433"/>
      <c r="E243" s="561"/>
      <c r="I243" s="417"/>
      <c r="K243" s="417"/>
      <c r="M243" s="404"/>
      <c r="O243" s="417"/>
      <c r="P243" s="417"/>
      <c r="Q243" s="436"/>
      <c r="R243" s="436"/>
      <c r="S243" s="570"/>
      <c r="T243" s="570"/>
      <c r="AD243" s="400">
        <f>K243-[25]Blocking1!O243</f>
        <v>0</v>
      </c>
    </row>
    <row r="244" spans="1:30">
      <c r="A244" s="432" t="s">
        <v>378</v>
      </c>
      <c r="B244" s="405">
        <v>14</v>
      </c>
      <c r="C244" s="433" t="e">
        <f t="shared" ref="C244:E249" si="93">C284+C324+C364+C404</f>
        <v>#VALUE!</v>
      </c>
      <c r="E244" s="561" t="e">
        <f t="shared" si="93"/>
        <v>#VALUE!</v>
      </c>
      <c r="G244" s="434">
        <f>[25]Blocking1!M244</f>
        <v>19.46</v>
      </c>
      <c r="H244" s="435"/>
      <c r="I244" s="417" t="e">
        <f t="shared" ref="I244:I249" si="94">ROUND(G244*$C244,0)</f>
        <v>#VALUE!</v>
      </c>
      <c r="K244" s="417" t="e">
        <f t="shared" ref="K244:K249" si="95">ROUND(G244*$E244,0)</f>
        <v>#VALUE!</v>
      </c>
      <c r="M244" s="434" t="e">
        <f t="shared" ref="M244:M249" si="96">ROUND(G244*(1+R$231),2)</f>
        <v>#VALUE!</v>
      </c>
      <c r="N244" s="435"/>
      <c r="O244" s="417" t="e">
        <f t="shared" ref="O244:O249" si="97">ROUND(M244*$E244,0)</f>
        <v>#VALUE!</v>
      </c>
      <c r="Q244" s="436"/>
      <c r="R244" s="436"/>
      <c r="S244" s="570"/>
      <c r="T244" s="439" t="e">
        <f t="shared" ref="T244:T249" si="98">M244/G244-1</f>
        <v>#VALUE!</v>
      </c>
      <c r="AD244" s="400" t="e">
        <f>K244-[25]Blocking1!O244</f>
        <v>#VALUE!</v>
      </c>
    </row>
    <row r="245" spans="1:30">
      <c r="A245" s="432" t="s">
        <v>379</v>
      </c>
      <c r="B245" s="405">
        <v>15</v>
      </c>
      <c r="C245" s="433" t="e">
        <f t="shared" si="93"/>
        <v>#VALUE!</v>
      </c>
      <c r="E245" s="561" t="e">
        <f t="shared" si="93"/>
        <v>#VALUE!</v>
      </c>
      <c r="G245" s="434">
        <f>[25]Blocking1!M245</f>
        <v>17.13</v>
      </c>
      <c r="H245" s="435"/>
      <c r="I245" s="417" t="e">
        <f t="shared" si="94"/>
        <v>#VALUE!</v>
      </c>
      <c r="K245" s="417" t="e">
        <f t="shared" si="95"/>
        <v>#VALUE!</v>
      </c>
      <c r="M245" s="434" t="e">
        <f t="shared" si="96"/>
        <v>#VALUE!</v>
      </c>
      <c r="N245" s="435"/>
      <c r="O245" s="417" t="e">
        <f t="shared" si="97"/>
        <v>#VALUE!</v>
      </c>
      <c r="P245" s="417"/>
      <c r="Q245" s="436"/>
      <c r="R245" s="436"/>
      <c r="S245" s="570"/>
      <c r="T245" s="439" t="e">
        <f t="shared" si="98"/>
        <v>#VALUE!</v>
      </c>
      <c r="AD245" s="400" t="e">
        <f>K245-[25]Blocking1!O245</f>
        <v>#VALUE!</v>
      </c>
    </row>
    <row r="246" spans="1:30">
      <c r="A246" s="432" t="s">
        <v>381</v>
      </c>
      <c r="B246" s="405">
        <v>16</v>
      </c>
      <c r="C246" s="433" t="e">
        <f t="shared" si="93"/>
        <v>#VALUE!</v>
      </c>
      <c r="E246" s="561" t="e">
        <f t="shared" si="93"/>
        <v>#VALUE!</v>
      </c>
      <c r="G246" s="434">
        <f>[25]Blocking1!M246</f>
        <v>23.51</v>
      </c>
      <c r="H246" s="435"/>
      <c r="I246" s="417" t="e">
        <f t="shared" si="94"/>
        <v>#VALUE!</v>
      </c>
      <c r="K246" s="417" t="e">
        <f t="shared" si="95"/>
        <v>#VALUE!</v>
      </c>
      <c r="M246" s="434" t="e">
        <f t="shared" si="96"/>
        <v>#VALUE!</v>
      </c>
      <c r="N246" s="435"/>
      <c r="O246" s="417" t="e">
        <f t="shared" si="97"/>
        <v>#VALUE!</v>
      </c>
      <c r="P246" s="417"/>
      <c r="Q246" s="436"/>
      <c r="R246" s="436"/>
      <c r="S246" s="570"/>
      <c r="T246" s="439" t="e">
        <f t="shared" si="98"/>
        <v>#VALUE!</v>
      </c>
      <c r="AD246" s="400" t="e">
        <f>K246-[25]Blocking1!O246</f>
        <v>#VALUE!</v>
      </c>
    </row>
    <row r="247" spans="1:30">
      <c r="A247" s="432" t="s">
        <v>382</v>
      </c>
      <c r="B247" s="405">
        <v>17</v>
      </c>
      <c r="C247" s="433" t="e">
        <f t="shared" si="93"/>
        <v>#VALUE!</v>
      </c>
      <c r="E247" s="561" t="e">
        <f t="shared" si="93"/>
        <v>#VALUE!</v>
      </c>
      <c r="G247" s="434">
        <f>[25]Blocking1!M247</f>
        <v>21.23</v>
      </c>
      <c r="H247" s="435"/>
      <c r="I247" s="417" t="e">
        <f t="shared" si="94"/>
        <v>#VALUE!</v>
      </c>
      <c r="K247" s="417" t="e">
        <f t="shared" si="95"/>
        <v>#VALUE!</v>
      </c>
      <c r="M247" s="434" t="e">
        <f t="shared" si="96"/>
        <v>#VALUE!</v>
      </c>
      <c r="N247" s="435"/>
      <c r="O247" s="417" t="e">
        <f t="shared" si="97"/>
        <v>#VALUE!</v>
      </c>
      <c r="P247" s="417"/>
      <c r="Q247" s="436"/>
      <c r="R247" s="436"/>
      <c r="S247" s="570"/>
      <c r="T247" s="439" t="e">
        <f t="shared" si="98"/>
        <v>#VALUE!</v>
      </c>
      <c r="AD247" s="400" t="e">
        <f>K247-[25]Blocking1!O247</f>
        <v>#VALUE!</v>
      </c>
    </row>
    <row r="248" spans="1:30">
      <c r="A248" s="432" t="s">
        <v>383</v>
      </c>
      <c r="B248" s="405">
        <v>18</v>
      </c>
      <c r="C248" s="433" t="e">
        <f t="shared" si="93"/>
        <v>#VALUE!</v>
      </c>
      <c r="E248" s="561" t="e">
        <f t="shared" si="93"/>
        <v>#VALUE!</v>
      </c>
      <c r="G248" s="434">
        <f>[25]Blocking1!M248</f>
        <v>28.3</v>
      </c>
      <c r="H248" s="435"/>
      <c r="I248" s="417" t="e">
        <f t="shared" si="94"/>
        <v>#VALUE!</v>
      </c>
      <c r="K248" s="417" t="e">
        <f t="shared" si="95"/>
        <v>#VALUE!</v>
      </c>
      <c r="M248" s="434" t="e">
        <f t="shared" si="96"/>
        <v>#VALUE!</v>
      </c>
      <c r="N248" s="435"/>
      <c r="O248" s="417" t="e">
        <f t="shared" si="97"/>
        <v>#VALUE!</v>
      </c>
      <c r="P248" s="417"/>
      <c r="R248" s="405"/>
      <c r="S248" s="570"/>
      <c r="T248" s="439" t="e">
        <f t="shared" si="98"/>
        <v>#VALUE!</v>
      </c>
      <c r="AD248" s="400" t="e">
        <f>K248-[25]Blocking1!O248</f>
        <v>#VALUE!</v>
      </c>
    </row>
    <row r="249" spans="1:30">
      <c r="A249" s="432" t="s">
        <v>384</v>
      </c>
      <c r="B249" s="405">
        <v>19</v>
      </c>
      <c r="C249" s="433" t="e">
        <f t="shared" si="93"/>
        <v>#VALUE!</v>
      </c>
      <c r="E249" s="561" t="e">
        <f t="shared" si="93"/>
        <v>#VALUE!</v>
      </c>
      <c r="G249" s="434">
        <f>[25]Blocking1!M249</f>
        <v>25.99</v>
      </c>
      <c r="H249" s="435"/>
      <c r="I249" s="417" t="e">
        <f t="shared" si="94"/>
        <v>#VALUE!</v>
      </c>
      <c r="K249" s="417" t="e">
        <f t="shared" si="95"/>
        <v>#VALUE!</v>
      </c>
      <c r="M249" s="434" t="e">
        <f t="shared" si="96"/>
        <v>#VALUE!</v>
      </c>
      <c r="N249" s="435"/>
      <c r="O249" s="417" t="e">
        <f t="shared" si="97"/>
        <v>#VALUE!</v>
      </c>
      <c r="P249" s="417"/>
      <c r="Q249" s="436"/>
      <c r="R249" s="436"/>
      <c r="T249" s="439" t="e">
        <f t="shared" si="98"/>
        <v>#VALUE!</v>
      </c>
      <c r="AD249" s="400" t="e">
        <f>K249-[25]Blocking1!O249</f>
        <v>#VALUE!</v>
      </c>
    </row>
    <row r="250" spans="1:30">
      <c r="A250" s="480" t="s">
        <v>386</v>
      </c>
      <c r="C250" s="433"/>
      <c r="E250" s="561"/>
      <c r="M250" s="404"/>
      <c r="P250" s="417"/>
      <c r="Q250" s="436"/>
      <c r="R250" s="436"/>
      <c r="T250" s="570"/>
      <c r="AD250" s="400">
        <f>K250-[25]Blocking1!O250</f>
        <v>0</v>
      </c>
    </row>
    <row r="251" spans="1:30">
      <c r="A251" s="432" t="s">
        <v>387</v>
      </c>
      <c r="B251" s="405">
        <v>20</v>
      </c>
      <c r="C251" s="433" t="e">
        <f t="shared" ref="C251:E261" si="99">C291+C331+C371+C411</f>
        <v>#VALUE!</v>
      </c>
      <c r="E251" s="561" t="e">
        <f t="shared" si="99"/>
        <v>#VALUE!</v>
      </c>
      <c r="G251" s="434">
        <f>[25]Blocking1!M251</f>
        <v>29.4</v>
      </c>
      <c r="H251" s="435"/>
      <c r="I251" s="417" t="e">
        <f t="shared" ref="I251:I258" si="100">ROUND(G251*$C251,0)</f>
        <v>#VALUE!</v>
      </c>
      <c r="K251" s="417" t="e">
        <f t="shared" ref="K251:K258" si="101">ROUND(G251*$E251,0)</f>
        <v>#VALUE!</v>
      </c>
      <c r="M251" s="434" t="e">
        <f t="shared" ref="M251:M258" si="102">ROUND(G251*(1+R$231),2)</f>
        <v>#VALUE!</v>
      </c>
      <c r="N251" s="435"/>
      <c r="O251" s="417" t="e">
        <f t="shared" ref="O251:O258" si="103">ROUND(M251*$E251,0)</f>
        <v>#VALUE!</v>
      </c>
      <c r="P251" s="417"/>
      <c r="Q251" s="436"/>
      <c r="R251" s="436"/>
      <c r="T251" s="439" t="e">
        <f t="shared" ref="T251:T258" si="104">M251/G251-1</f>
        <v>#VALUE!</v>
      </c>
      <c r="AD251" s="400" t="e">
        <f>K251-[25]Blocking1!O251</f>
        <v>#VALUE!</v>
      </c>
    </row>
    <row r="252" spans="1:30">
      <c r="A252" s="432" t="s">
        <v>388</v>
      </c>
      <c r="B252" s="405">
        <v>21</v>
      </c>
      <c r="C252" s="433" t="e">
        <f t="shared" si="99"/>
        <v>#VALUE!</v>
      </c>
      <c r="E252" s="561" t="e">
        <f t="shared" si="99"/>
        <v>#VALUE!</v>
      </c>
      <c r="G252" s="434">
        <f>[25]Blocking1!M252</f>
        <v>21.79</v>
      </c>
      <c r="H252" s="435"/>
      <c r="I252" s="417" t="e">
        <f t="shared" si="100"/>
        <v>#VALUE!</v>
      </c>
      <c r="K252" s="417" t="e">
        <f t="shared" si="101"/>
        <v>#VALUE!</v>
      </c>
      <c r="M252" s="434" t="e">
        <f t="shared" si="102"/>
        <v>#VALUE!</v>
      </c>
      <c r="N252" s="435"/>
      <c r="O252" s="417" t="e">
        <f t="shared" si="103"/>
        <v>#VALUE!</v>
      </c>
      <c r="P252" s="417"/>
      <c r="Q252" s="436"/>
      <c r="R252" s="436"/>
      <c r="T252" s="439" t="e">
        <f t="shared" si="104"/>
        <v>#VALUE!</v>
      </c>
      <c r="AD252" s="400" t="e">
        <f>K252-[25]Blocking1!O252</f>
        <v>#VALUE!</v>
      </c>
    </row>
    <row r="253" spans="1:30">
      <c r="A253" s="432" t="s">
        <v>389</v>
      </c>
      <c r="B253" s="405">
        <v>22</v>
      </c>
      <c r="C253" s="433" t="e">
        <f t="shared" si="99"/>
        <v>#VALUE!</v>
      </c>
      <c r="E253" s="561" t="e">
        <f t="shared" si="99"/>
        <v>#VALUE!</v>
      </c>
      <c r="G253" s="434">
        <f>[25]Blocking1!M253</f>
        <v>34.340000000000003</v>
      </c>
      <c r="H253" s="435"/>
      <c r="I253" s="417" t="e">
        <f t="shared" si="100"/>
        <v>#VALUE!</v>
      </c>
      <c r="K253" s="417" t="e">
        <f t="shared" si="101"/>
        <v>#VALUE!</v>
      </c>
      <c r="M253" s="434" t="e">
        <f t="shared" si="102"/>
        <v>#VALUE!</v>
      </c>
      <c r="N253" s="435"/>
      <c r="O253" s="417" t="e">
        <f t="shared" si="103"/>
        <v>#VALUE!</v>
      </c>
      <c r="P253" s="530"/>
      <c r="Q253" s="436"/>
      <c r="R253" s="436"/>
      <c r="T253" s="439" t="e">
        <f t="shared" si="104"/>
        <v>#VALUE!</v>
      </c>
      <c r="U253" s="440"/>
      <c r="AD253" s="400" t="e">
        <f>K253-[25]Blocking1!O253</f>
        <v>#VALUE!</v>
      </c>
    </row>
    <row r="254" spans="1:30">
      <c r="A254" s="432" t="s">
        <v>390</v>
      </c>
      <c r="B254" s="405">
        <v>23</v>
      </c>
      <c r="C254" s="433" t="e">
        <f t="shared" si="99"/>
        <v>#VALUE!</v>
      </c>
      <c r="E254" s="561" t="e">
        <f t="shared" si="99"/>
        <v>#VALUE!</v>
      </c>
      <c r="G254" s="434">
        <f>[25]Blocking1!M254</f>
        <v>27.43</v>
      </c>
      <c r="H254" s="435"/>
      <c r="I254" s="417" t="e">
        <f t="shared" si="100"/>
        <v>#VALUE!</v>
      </c>
      <c r="K254" s="417" t="e">
        <f t="shared" si="101"/>
        <v>#VALUE!</v>
      </c>
      <c r="M254" s="434" t="e">
        <f t="shared" si="102"/>
        <v>#VALUE!</v>
      </c>
      <c r="N254" s="435"/>
      <c r="O254" s="417" t="e">
        <f t="shared" si="103"/>
        <v>#VALUE!</v>
      </c>
      <c r="P254" s="530"/>
      <c r="Q254" s="436"/>
      <c r="R254" s="436"/>
      <c r="T254" s="439" t="e">
        <f t="shared" si="104"/>
        <v>#VALUE!</v>
      </c>
      <c r="AD254" s="400" t="e">
        <f>K254-[25]Blocking1!O254</f>
        <v>#VALUE!</v>
      </c>
    </row>
    <row r="255" spans="1:30" s="440" customFormat="1">
      <c r="A255" s="432" t="s">
        <v>391</v>
      </c>
      <c r="B255" s="405">
        <v>24</v>
      </c>
      <c r="C255" s="433" t="e">
        <f t="shared" si="99"/>
        <v>#VALUE!</v>
      </c>
      <c r="D255" s="407"/>
      <c r="E255" s="561" t="e">
        <f t="shared" si="99"/>
        <v>#VALUE!</v>
      </c>
      <c r="F255" s="407"/>
      <c r="G255" s="434">
        <f>[25]Blocking1!M255</f>
        <v>36.69</v>
      </c>
      <c r="H255" s="435"/>
      <c r="I255" s="417" t="e">
        <f t="shared" si="100"/>
        <v>#VALUE!</v>
      </c>
      <c r="J255" s="407"/>
      <c r="K255" s="417" t="e">
        <f t="shared" si="101"/>
        <v>#VALUE!</v>
      </c>
      <c r="L255" s="407"/>
      <c r="M255" s="434" t="e">
        <f t="shared" si="102"/>
        <v>#VALUE!</v>
      </c>
      <c r="N255" s="435"/>
      <c r="O255" s="417" t="e">
        <f t="shared" si="103"/>
        <v>#VALUE!</v>
      </c>
      <c r="P255" s="579"/>
      <c r="S255" s="400"/>
      <c r="T255" s="439" t="e">
        <f t="shared" si="104"/>
        <v>#VALUE!</v>
      </c>
      <c r="U255" s="400"/>
      <c r="AD255" s="400" t="e">
        <f>K255-[25]Blocking1!O255</f>
        <v>#VALUE!</v>
      </c>
    </row>
    <row r="256" spans="1:30">
      <c r="A256" s="432" t="s">
        <v>392</v>
      </c>
      <c r="B256" s="405">
        <v>25</v>
      </c>
      <c r="C256" s="433" t="e">
        <f t="shared" si="99"/>
        <v>#VALUE!</v>
      </c>
      <c r="E256" s="561" t="e">
        <f t="shared" si="99"/>
        <v>#VALUE!</v>
      </c>
      <c r="G256" s="434">
        <f>[25]Blocking1!M256</f>
        <v>29.72</v>
      </c>
      <c r="H256" s="435"/>
      <c r="I256" s="417" t="e">
        <f t="shared" si="100"/>
        <v>#VALUE!</v>
      </c>
      <c r="K256" s="417" t="e">
        <f t="shared" si="101"/>
        <v>#VALUE!</v>
      </c>
      <c r="M256" s="434" t="e">
        <f t="shared" si="102"/>
        <v>#VALUE!</v>
      </c>
      <c r="N256" s="435"/>
      <c r="O256" s="417" t="e">
        <f t="shared" si="103"/>
        <v>#VALUE!</v>
      </c>
      <c r="T256" s="439" t="e">
        <f t="shared" si="104"/>
        <v>#VALUE!</v>
      </c>
      <c r="AD256" s="400" t="e">
        <f>K256-[25]Blocking1!O256</f>
        <v>#VALUE!</v>
      </c>
    </row>
    <row r="257" spans="1:30">
      <c r="A257" s="432" t="s">
        <v>393</v>
      </c>
      <c r="B257" s="405">
        <v>26</v>
      </c>
      <c r="C257" s="433" t="e">
        <f t="shared" si="99"/>
        <v>#VALUE!</v>
      </c>
      <c r="E257" s="561" t="e">
        <f t="shared" si="99"/>
        <v>#VALUE!</v>
      </c>
      <c r="G257" s="434">
        <f>[25]Blocking1!M257</f>
        <v>57.58</v>
      </c>
      <c r="H257" s="435"/>
      <c r="I257" s="417" t="e">
        <f t="shared" si="100"/>
        <v>#VALUE!</v>
      </c>
      <c r="K257" s="417" t="e">
        <f t="shared" si="101"/>
        <v>#VALUE!</v>
      </c>
      <c r="M257" s="434" t="e">
        <f t="shared" si="102"/>
        <v>#VALUE!</v>
      </c>
      <c r="N257" s="435"/>
      <c r="O257" s="417" t="e">
        <f t="shared" si="103"/>
        <v>#VALUE!</v>
      </c>
      <c r="P257" s="530"/>
      <c r="S257" s="580"/>
      <c r="T257" s="439" t="e">
        <f t="shared" si="104"/>
        <v>#VALUE!</v>
      </c>
      <c r="AD257" s="400" t="e">
        <f>K257-[25]Blocking1!O257</f>
        <v>#VALUE!</v>
      </c>
    </row>
    <row r="258" spans="1:30">
      <c r="A258" s="432" t="s">
        <v>394</v>
      </c>
      <c r="B258" s="405">
        <v>27</v>
      </c>
      <c r="C258" s="433" t="e">
        <f t="shared" si="99"/>
        <v>#VALUE!</v>
      </c>
      <c r="E258" s="561" t="e">
        <f t="shared" si="99"/>
        <v>#VALUE!</v>
      </c>
      <c r="G258" s="434">
        <f>[25]Blocking1!M258</f>
        <v>49.1</v>
      </c>
      <c r="H258" s="435"/>
      <c r="I258" s="417" t="e">
        <f t="shared" si="100"/>
        <v>#VALUE!</v>
      </c>
      <c r="K258" s="417" t="e">
        <f t="shared" si="101"/>
        <v>#VALUE!</v>
      </c>
      <c r="M258" s="434" t="e">
        <f t="shared" si="102"/>
        <v>#VALUE!</v>
      </c>
      <c r="N258" s="435"/>
      <c r="O258" s="417" t="e">
        <f t="shared" si="103"/>
        <v>#VALUE!</v>
      </c>
      <c r="P258" s="497"/>
      <c r="T258" s="439" t="e">
        <f t="shared" si="104"/>
        <v>#VALUE!</v>
      </c>
      <c r="AD258" s="400" t="e">
        <f>K258-[25]Blocking1!O258</f>
        <v>#VALUE!</v>
      </c>
    </row>
    <row r="259" spans="1:30">
      <c r="A259" s="432" t="s">
        <v>182</v>
      </c>
      <c r="B259" s="416"/>
      <c r="C259" s="581" t="e">
        <f>SUM(C227:C258)</f>
        <v>#VALUE!</v>
      </c>
      <c r="D259" s="521"/>
      <c r="E259" s="561" t="e">
        <f>SUM(E227:E258)</f>
        <v>#VALUE!</v>
      </c>
      <c r="F259" s="521"/>
      <c r="H259" s="521"/>
      <c r="I259" s="530" t="e">
        <f>SUM(I227:I258)</f>
        <v>#VALUE!</v>
      </c>
      <c r="J259" s="521"/>
      <c r="K259" s="530" t="e">
        <f>SUM(K227:K258)</f>
        <v>#VALUE!</v>
      </c>
      <c r="L259" s="521"/>
      <c r="M259" s="404"/>
      <c r="N259" s="521"/>
      <c r="O259" s="530" t="e">
        <f>SUM(O227:O258)</f>
        <v>#VALUE!</v>
      </c>
      <c r="P259" s="497"/>
      <c r="AD259" s="400" t="e">
        <f>K259-[25]Blocking1!O259</f>
        <v>#VALUE!</v>
      </c>
    </row>
    <row r="260" spans="1:30">
      <c r="A260" s="432" t="s">
        <v>395</v>
      </c>
      <c r="C260" s="426">
        <f t="shared" si="99"/>
        <v>12354480.624766648</v>
      </c>
      <c r="E260" s="460">
        <f t="shared" si="99"/>
        <v>12440930.563737754</v>
      </c>
      <c r="I260" s="530"/>
      <c r="K260" s="530"/>
      <c r="M260" s="404"/>
      <c r="O260" s="530"/>
      <c r="S260" s="535"/>
      <c r="AD260" s="400">
        <f>K260-[25]Blocking1!O260</f>
        <v>0</v>
      </c>
    </row>
    <row r="261" spans="1:30">
      <c r="A261" s="432" t="s">
        <v>190</v>
      </c>
      <c r="C261" s="582">
        <f t="shared" si="99"/>
        <v>23732</v>
      </c>
      <c r="E261" s="583">
        <f t="shared" si="99"/>
        <v>0</v>
      </c>
      <c r="G261" s="584"/>
      <c r="I261" s="585">
        <f>I421+I301+I341+I381</f>
        <v>16062</v>
      </c>
      <c r="K261" s="585">
        <v>0</v>
      </c>
      <c r="M261" s="584"/>
      <c r="O261" s="585">
        <v>0</v>
      </c>
      <c r="S261" s="535"/>
      <c r="T261" s="580"/>
      <c r="AD261" s="400">
        <f>K261-[25]Blocking1!O261</f>
        <v>0</v>
      </c>
    </row>
    <row r="262" spans="1:30">
      <c r="A262" s="432" t="s">
        <v>173</v>
      </c>
      <c r="C262" s="433">
        <f>C302+C342+C382+C422</f>
        <v>7789.5833333333303</v>
      </c>
      <c r="E262" s="561">
        <f>E302+E342+E382+E422</f>
        <v>8046</v>
      </c>
      <c r="M262" s="404"/>
      <c r="P262" s="417"/>
      <c r="S262" s="535"/>
      <c r="AD262" s="400">
        <f>K262-[25]Blocking1!O262</f>
        <v>0</v>
      </c>
    </row>
    <row r="263" spans="1:30" ht="16.5" thickBot="1">
      <c r="A263" s="432" t="s">
        <v>396</v>
      </c>
      <c r="C263" s="586">
        <f>C260+C261</f>
        <v>12378212.624766648</v>
      </c>
      <c r="E263" s="587">
        <f>E260+E261</f>
        <v>12440930.563737754</v>
      </c>
      <c r="G263" s="510"/>
      <c r="I263" s="588" t="e">
        <f>I261+I259</f>
        <v>#VALUE!</v>
      </c>
      <c r="K263" s="588" t="e">
        <f>K261+K259</f>
        <v>#VALUE!</v>
      </c>
      <c r="M263" s="510"/>
      <c r="O263" s="588" t="e">
        <f>O261+O259</f>
        <v>#VALUE!</v>
      </c>
      <c r="P263" s="417"/>
      <c r="S263" s="535"/>
      <c r="AD263" s="400" t="e">
        <f>K263-[25]Blocking1!O263</f>
        <v>#VALUE!</v>
      </c>
    </row>
    <row r="264" spans="1:30" ht="16.5" thickTop="1">
      <c r="D264" s="551"/>
      <c r="F264" s="551"/>
      <c r="J264" s="551"/>
      <c r="L264" s="551"/>
      <c r="P264" s="417"/>
      <c r="S264" s="570"/>
      <c r="AD264" s="400">
        <f>K264-[25]Blocking1!O264</f>
        <v>0</v>
      </c>
    </row>
    <row r="265" spans="1:30">
      <c r="A265" s="428" t="s">
        <v>639</v>
      </c>
      <c r="C265" s="406"/>
      <c r="E265" s="406"/>
      <c r="P265" s="417"/>
      <c r="R265" s="405"/>
      <c r="S265" s="570"/>
      <c r="T265" s="570"/>
      <c r="AD265" s="400">
        <f>K265-[25]Blocking1!O265</f>
        <v>0</v>
      </c>
    </row>
    <row r="266" spans="1:30">
      <c r="A266" s="480" t="s">
        <v>368</v>
      </c>
      <c r="C266" s="406"/>
      <c r="E266" s="406"/>
      <c r="I266" s="417"/>
      <c r="K266" s="417"/>
      <c r="O266" s="417"/>
      <c r="P266" s="417"/>
      <c r="Q266" s="436"/>
      <c r="R266" s="436"/>
      <c r="S266" s="570"/>
      <c r="T266" s="570"/>
      <c r="AD266" s="400">
        <f>K266-[25]Blocking1!O266</f>
        <v>0</v>
      </c>
    </row>
    <row r="267" spans="1:30">
      <c r="A267" s="432" t="s">
        <v>369</v>
      </c>
      <c r="B267" s="405">
        <v>29</v>
      </c>
      <c r="C267" s="433" t="e">
        <f>SUMIF('[25]7'!C$2:C$27,B267,'[25]7'!M$2:M$27)</f>
        <v>#VALUE!</v>
      </c>
      <c r="E267" s="581" t="e">
        <f>ROUND(C267*$E$300/$C$300,0)</f>
        <v>#VALUE!</v>
      </c>
      <c r="G267" s="434">
        <f>[25]Blocking1!M267</f>
        <v>5.68</v>
      </c>
      <c r="H267" s="435"/>
      <c r="I267" s="417" t="e">
        <f>ROUND(G267*$C267,0)</f>
        <v>#VALUE!</v>
      </c>
      <c r="K267" s="417" t="e">
        <f>ROUND(G267*$E267,0)</f>
        <v>#VALUE!</v>
      </c>
      <c r="M267" s="434" t="e">
        <f>M227</f>
        <v>#VALUE!</v>
      </c>
      <c r="N267" s="435"/>
      <c r="O267" s="552" t="e">
        <f>ROUND(M267*$E267,0)</f>
        <v>#VALUE!</v>
      </c>
      <c r="P267" s="417"/>
      <c r="Q267" s="436"/>
      <c r="R267" s="436"/>
      <c r="S267" s="570"/>
      <c r="T267" s="439" t="e">
        <f t="shared" ref="T267:T270" si="105">M267/G267-1</f>
        <v>#VALUE!</v>
      </c>
      <c r="AD267" s="400" t="e">
        <f>K267-[25]Blocking1!O267</f>
        <v>#VALUE!</v>
      </c>
    </row>
    <row r="268" spans="1:30">
      <c r="A268" s="432" t="s">
        <v>370</v>
      </c>
      <c r="B268" s="405">
        <v>1</v>
      </c>
      <c r="C268" s="433" t="e">
        <f>SUMIF('[25]7'!C$2:C$27,B268,'[25]7'!M$2:M$27)</f>
        <v>#VALUE!</v>
      </c>
      <c r="E268" s="581" t="e">
        <f t="shared" ref="E268:E270" si="106">ROUND(C268*$E$300/$C$300,0)</f>
        <v>#VALUE!</v>
      </c>
      <c r="G268" s="434">
        <f>[25]Blocking1!M268</f>
        <v>16.38</v>
      </c>
      <c r="H268" s="435"/>
      <c r="I268" s="417" t="e">
        <f>ROUND(G268*$C268,0)</f>
        <v>#VALUE!</v>
      </c>
      <c r="K268" s="417" t="e">
        <f>ROUND(G268*$E268,0)</f>
        <v>#VALUE!</v>
      </c>
      <c r="M268" s="434" t="e">
        <f t="shared" ref="M268:M270" si="107">M228</f>
        <v>#VALUE!</v>
      </c>
      <c r="N268" s="435"/>
      <c r="O268" s="417" t="e">
        <f>ROUND(M268*$E268,0)</f>
        <v>#VALUE!</v>
      </c>
      <c r="P268" s="417"/>
      <c r="Q268" s="436"/>
      <c r="R268" s="436"/>
      <c r="S268" s="570"/>
      <c r="T268" s="439" t="e">
        <f t="shared" si="105"/>
        <v>#VALUE!</v>
      </c>
      <c r="AD268" s="400" t="e">
        <f>K268-[25]Blocking1!O268</f>
        <v>#VALUE!</v>
      </c>
    </row>
    <row r="269" spans="1:30">
      <c r="A269" s="432" t="s">
        <v>371</v>
      </c>
      <c r="B269" s="405">
        <v>28</v>
      </c>
      <c r="C269" s="433" t="e">
        <f>SUMIF('[25]7'!C$2:C$27,B269,'[25]7'!M$2:M$27)</f>
        <v>#VALUE!</v>
      </c>
      <c r="E269" s="581" t="e">
        <f t="shared" si="106"/>
        <v>#VALUE!</v>
      </c>
      <c r="G269" s="434">
        <f>[25]Blocking1!M269</f>
        <v>8.0500000000000007</v>
      </c>
      <c r="H269" s="435"/>
      <c r="I269" s="417" t="e">
        <f>ROUND(G269*$C269,0)</f>
        <v>#VALUE!</v>
      </c>
      <c r="K269" s="417" t="e">
        <f>ROUND(G269*$E269,0)</f>
        <v>#VALUE!</v>
      </c>
      <c r="M269" s="434" t="e">
        <f t="shared" si="107"/>
        <v>#VALUE!</v>
      </c>
      <c r="N269" s="435"/>
      <c r="O269" s="417" t="e">
        <f>ROUND(M269*$E269,0)</f>
        <v>#VALUE!</v>
      </c>
      <c r="P269" s="417"/>
      <c r="R269" s="405"/>
      <c r="S269" s="570"/>
      <c r="T269" s="439" t="e">
        <f t="shared" si="105"/>
        <v>#VALUE!</v>
      </c>
      <c r="AD269" s="400" t="e">
        <f>K269-[25]Blocking1!O269</f>
        <v>#VALUE!</v>
      </c>
    </row>
    <row r="270" spans="1:30">
      <c r="A270" s="432" t="s">
        <v>372</v>
      </c>
      <c r="B270" s="405">
        <v>2</v>
      </c>
      <c r="C270" s="433" t="e">
        <f>SUMIF('[25]7'!C$2:C$27,B270,'[25]7'!M$2:M$27)</f>
        <v>#VALUE!</v>
      </c>
      <c r="E270" s="581" t="e">
        <f t="shared" si="106"/>
        <v>#VALUE!</v>
      </c>
      <c r="G270" s="434">
        <f>[25]Blocking1!M270</f>
        <v>26.78</v>
      </c>
      <c r="H270" s="435"/>
      <c r="I270" s="417" t="e">
        <f>ROUND(G270*$C270,0)</f>
        <v>#VALUE!</v>
      </c>
      <c r="K270" s="417" t="e">
        <f>ROUND(G270*$E270,0)</f>
        <v>#VALUE!</v>
      </c>
      <c r="M270" s="434" t="e">
        <f t="shared" si="107"/>
        <v>#VALUE!</v>
      </c>
      <c r="N270" s="435"/>
      <c r="O270" s="417" t="e">
        <f>ROUND(M270*$E270,0)</f>
        <v>#VALUE!</v>
      </c>
      <c r="P270" s="417"/>
      <c r="Q270" s="436"/>
      <c r="R270" s="436"/>
      <c r="S270" s="570"/>
      <c r="T270" s="439" t="e">
        <f t="shared" si="105"/>
        <v>#VALUE!</v>
      </c>
      <c r="AD270" s="400" t="e">
        <f>K270-[25]Blocking1!O270</f>
        <v>#VALUE!</v>
      </c>
    </row>
    <row r="271" spans="1:30">
      <c r="A271" s="480" t="s">
        <v>373</v>
      </c>
      <c r="C271" s="433"/>
      <c r="E271" s="581"/>
      <c r="I271" s="417"/>
      <c r="K271" s="417"/>
      <c r="M271" s="404"/>
      <c r="O271" s="417"/>
      <c r="P271" s="417"/>
      <c r="Q271" s="436"/>
      <c r="R271" s="436"/>
      <c r="S271" s="570"/>
      <c r="T271" s="439"/>
      <c r="AD271" s="400">
        <f>K271-[25]Blocking1!O271</f>
        <v>0</v>
      </c>
    </row>
    <row r="272" spans="1:30">
      <c r="A272" s="432" t="s">
        <v>374</v>
      </c>
      <c r="B272" s="405">
        <v>3</v>
      </c>
      <c r="C272" s="433" t="e">
        <f>SUMIF('[25]7'!C$2:C$27,B272,'[25]7'!M$2:M$27)</f>
        <v>#VALUE!</v>
      </c>
      <c r="E272" s="581" t="e">
        <f t="shared" ref="E272:E282" si="108">ROUND(C272*$E$300/$C$300,0)</f>
        <v>#VALUE!</v>
      </c>
      <c r="G272" s="434">
        <f>[25]Blocking1!M272</f>
        <v>14.6</v>
      </c>
      <c r="H272" s="435"/>
      <c r="I272" s="417" t="e">
        <f t="shared" ref="I272:I282" si="109">ROUND(G272*$C272,0)</f>
        <v>#VALUE!</v>
      </c>
      <c r="K272" s="417" t="e">
        <f t="shared" ref="K272:K282" si="110">ROUND(G272*$E272,0)</f>
        <v>#VALUE!</v>
      </c>
      <c r="M272" s="434" t="e">
        <f t="shared" ref="M272:M282" si="111">M232</f>
        <v>#VALUE!</v>
      </c>
      <c r="N272" s="435"/>
      <c r="O272" s="417" t="e">
        <f t="shared" ref="O272:O282" si="112">ROUND(M272*$E272,0)</f>
        <v>#VALUE!</v>
      </c>
      <c r="P272" s="417"/>
      <c r="Q272" s="436"/>
      <c r="R272" s="436"/>
      <c r="S272" s="570"/>
      <c r="T272" s="439" t="e">
        <f t="shared" ref="T272:T282" si="113">M272/G272-1</f>
        <v>#VALUE!</v>
      </c>
      <c r="AD272" s="400" t="e">
        <f>K272-[25]Blocking1!O272</f>
        <v>#VALUE!</v>
      </c>
    </row>
    <row r="273" spans="1:30">
      <c r="A273" s="432" t="s">
        <v>375</v>
      </c>
      <c r="B273" s="405">
        <v>4</v>
      </c>
      <c r="C273" s="433" t="e">
        <f>SUMIF('[25]7'!C$2:C$27,B273,'[25]7'!M$2:M$27)</f>
        <v>#VALUE!</v>
      </c>
      <c r="E273" s="581" t="e">
        <f t="shared" si="108"/>
        <v>#VALUE!</v>
      </c>
      <c r="G273" s="434">
        <f>[25]Blocking1!M273</f>
        <v>12.23</v>
      </c>
      <c r="H273" s="435"/>
      <c r="I273" s="417" t="e">
        <f t="shared" si="109"/>
        <v>#VALUE!</v>
      </c>
      <c r="K273" s="417" t="e">
        <f t="shared" si="110"/>
        <v>#VALUE!</v>
      </c>
      <c r="M273" s="434" t="e">
        <f t="shared" si="111"/>
        <v>#VALUE!</v>
      </c>
      <c r="N273" s="435"/>
      <c r="O273" s="417" t="e">
        <f t="shared" si="112"/>
        <v>#VALUE!</v>
      </c>
      <c r="P273" s="417"/>
      <c r="Q273" s="436"/>
      <c r="R273" s="436"/>
      <c r="S273" s="570"/>
      <c r="T273" s="439" t="e">
        <f t="shared" si="113"/>
        <v>#VALUE!</v>
      </c>
      <c r="AD273" s="400" t="e">
        <f>K273-[25]Blocking1!O273</f>
        <v>#VALUE!</v>
      </c>
    </row>
    <row r="274" spans="1:30">
      <c r="A274" s="432" t="s">
        <v>376</v>
      </c>
      <c r="B274" s="405">
        <v>5</v>
      </c>
      <c r="C274" s="433" t="e">
        <f>SUMIF('[25]7'!C$2:C$27,B274,'[25]7'!M$2:M$27)</f>
        <v>#VALUE!</v>
      </c>
      <c r="E274" s="581" t="e">
        <f t="shared" si="108"/>
        <v>#VALUE!</v>
      </c>
      <c r="G274" s="434">
        <f>[25]Blocking1!M274</f>
        <v>15.47</v>
      </c>
      <c r="H274" s="435"/>
      <c r="I274" s="417" t="e">
        <f t="shared" si="109"/>
        <v>#VALUE!</v>
      </c>
      <c r="K274" s="417" t="e">
        <f t="shared" si="110"/>
        <v>#VALUE!</v>
      </c>
      <c r="M274" s="434" t="e">
        <f t="shared" si="111"/>
        <v>#VALUE!</v>
      </c>
      <c r="N274" s="435"/>
      <c r="O274" s="417" t="e">
        <f t="shared" si="112"/>
        <v>#VALUE!</v>
      </c>
      <c r="P274" s="417"/>
      <c r="Q274" s="436"/>
      <c r="R274" s="436"/>
      <c r="S274" s="570"/>
      <c r="T274" s="439" t="e">
        <f t="shared" si="113"/>
        <v>#VALUE!</v>
      </c>
      <c r="AD274" s="400" t="e">
        <f>K274-[25]Blocking1!O274</f>
        <v>#VALUE!</v>
      </c>
    </row>
    <row r="275" spans="1:30">
      <c r="A275" s="432" t="s">
        <v>377</v>
      </c>
      <c r="B275" s="405">
        <v>6</v>
      </c>
      <c r="C275" s="433" t="e">
        <f>SUMIF('[25]7'!C$2:C$27,B275,'[25]7'!M$2:M$27)</f>
        <v>#VALUE!</v>
      </c>
      <c r="E275" s="581" t="e">
        <f t="shared" si="108"/>
        <v>#VALUE!</v>
      </c>
      <c r="G275" s="434">
        <f>[25]Blocking1!M275</f>
        <v>13.31</v>
      </c>
      <c r="H275" s="435"/>
      <c r="I275" s="417" t="e">
        <f t="shared" si="109"/>
        <v>#VALUE!</v>
      </c>
      <c r="K275" s="417" t="e">
        <f t="shared" si="110"/>
        <v>#VALUE!</v>
      </c>
      <c r="M275" s="434" t="e">
        <f t="shared" si="111"/>
        <v>#VALUE!</v>
      </c>
      <c r="N275" s="435"/>
      <c r="O275" s="417" t="e">
        <f t="shared" si="112"/>
        <v>#VALUE!</v>
      </c>
      <c r="P275" s="417"/>
      <c r="Q275" s="436"/>
      <c r="R275" s="436"/>
      <c r="S275" s="570"/>
      <c r="T275" s="439" t="e">
        <f t="shared" si="113"/>
        <v>#VALUE!</v>
      </c>
      <c r="AD275" s="400" t="e">
        <f>K275-[25]Blocking1!O275</f>
        <v>#VALUE!</v>
      </c>
    </row>
    <row r="276" spans="1:30">
      <c r="A276" s="432" t="s">
        <v>378</v>
      </c>
      <c r="B276" s="405">
        <v>7</v>
      </c>
      <c r="C276" s="433" t="e">
        <f>SUMIF('[25]7'!C$2:C$27,B276,'[25]7'!M$2:M$27)</f>
        <v>#VALUE!</v>
      </c>
      <c r="E276" s="581" t="e">
        <f t="shared" si="108"/>
        <v>#VALUE!</v>
      </c>
      <c r="G276" s="434">
        <f>[25]Blocking1!M276</f>
        <v>19.46</v>
      </c>
      <c r="H276" s="435"/>
      <c r="I276" s="417" t="e">
        <f t="shared" si="109"/>
        <v>#VALUE!</v>
      </c>
      <c r="K276" s="417" t="e">
        <f t="shared" si="110"/>
        <v>#VALUE!</v>
      </c>
      <c r="M276" s="434" t="e">
        <f t="shared" si="111"/>
        <v>#VALUE!</v>
      </c>
      <c r="N276" s="435"/>
      <c r="O276" s="417" t="e">
        <f t="shared" si="112"/>
        <v>#VALUE!</v>
      </c>
      <c r="P276" s="417"/>
      <c r="Q276" s="436"/>
      <c r="R276" s="436"/>
      <c r="S276" s="570"/>
      <c r="T276" s="439" t="e">
        <f t="shared" si="113"/>
        <v>#VALUE!</v>
      </c>
      <c r="AD276" s="400" t="e">
        <f>K276-[25]Blocking1!O276</f>
        <v>#VALUE!</v>
      </c>
    </row>
    <row r="277" spans="1:30">
      <c r="A277" s="432" t="s">
        <v>379</v>
      </c>
      <c r="B277" s="405">
        <v>8</v>
      </c>
      <c r="C277" s="433" t="e">
        <f>SUMIF('[25]7'!C$2:C$27,B277,'[25]7'!M$2:M$27)</f>
        <v>#VALUE!</v>
      </c>
      <c r="E277" s="581" t="e">
        <f t="shared" si="108"/>
        <v>#VALUE!</v>
      </c>
      <c r="G277" s="434">
        <f>[25]Blocking1!M277</f>
        <v>17.13</v>
      </c>
      <c r="H277" s="435"/>
      <c r="I277" s="417" t="e">
        <f t="shared" si="109"/>
        <v>#VALUE!</v>
      </c>
      <c r="K277" s="417" t="e">
        <f t="shared" si="110"/>
        <v>#VALUE!</v>
      </c>
      <c r="M277" s="434" t="e">
        <f t="shared" si="111"/>
        <v>#VALUE!</v>
      </c>
      <c r="N277" s="435"/>
      <c r="O277" s="417" t="e">
        <f t="shared" si="112"/>
        <v>#VALUE!</v>
      </c>
      <c r="P277" s="417"/>
      <c r="Q277" s="436"/>
      <c r="R277" s="436"/>
      <c r="S277" s="570"/>
      <c r="T277" s="439" t="e">
        <f t="shared" si="113"/>
        <v>#VALUE!</v>
      </c>
      <c r="AD277" s="400" t="e">
        <f>K277-[25]Blocking1!O277</f>
        <v>#VALUE!</v>
      </c>
    </row>
    <row r="278" spans="1:30">
      <c r="A278" s="432" t="s">
        <v>380</v>
      </c>
      <c r="B278" s="405">
        <v>9</v>
      </c>
      <c r="C278" s="433" t="e">
        <f>SUMIF('[25]7'!C$2:C$27,B278,'[25]7'!M$2:M$27)</f>
        <v>#VALUE!</v>
      </c>
      <c r="E278" s="581" t="e">
        <f t="shared" si="108"/>
        <v>#VALUE!</v>
      </c>
      <c r="G278" s="434">
        <f>[25]Blocking1!M278</f>
        <v>21.07</v>
      </c>
      <c r="H278" s="435"/>
      <c r="I278" s="417" t="e">
        <f t="shared" si="109"/>
        <v>#VALUE!</v>
      </c>
      <c r="K278" s="417" t="e">
        <f t="shared" si="110"/>
        <v>#VALUE!</v>
      </c>
      <c r="M278" s="434" t="e">
        <f t="shared" si="111"/>
        <v>#VALUE!</v>
      </c>
      <c r="N278" s="435"/>
      <c r="O278" s="417" t="e">
        <f t="shared" si="112"/>
        <v>#VALUE!</v>
      </c>
      <c r="P278" s="417"/>
      <c r="Q278" s="436"/>
      <c r="R278" s="436"/>
      <c r="S278" s="570"/>
      <c r="T278" s="439" t="e">
        <f t="shared" si="113"/>
        <v>#VALUE!</v>
      </c>
      <c r="AD278" s="400" t="e">
        <f>K278-[25]Blocking1!O278</f>
        <v>#VALUE!</v>
      </c>
    </row>
    <row r="279" spans="1:30">
      <c r="A279" s="432" t="s">
        <v>381</v>
      </c>
      <c r="B279" s="405">
        <v>10</v>
      </c>
      <c r="C279" s="433" t="e">
        <f>SUMIF('[25]7'!C$2:C$27,B279,'[25]7'!M$2:M$27)</f>
        <v>#VALUE!</v>
      </c>
      <c r="E279" s="581" t="e">
        <f t="shared" si="108"/>
        <v>#VALUE!</v>
      </c>
      <c r="G279" s="434">
        <f>[25]Blocking1!M279</f>
        <v>23.51</v>
      </c>
      <c r="H279" s="435"/>
      <c r="I279" s="417" t="e">
        <f t="shared" si="109"/>
        <v>#VALUE!</v>
      </c>
      <c r="K279" s="417" t="e">
        <f t="shared" si="110"/>
        <v>#VALUE!</v>
      </c>
      <c r="M279" s="434" t="e">
        <f t="shared" si="111"/>
        <v>#VALUE!</v>
      </c>
      <c r="N279" s="435"/>
      <c r="O279" s="417" t="e">
        <f t="shared" si="112"/>
        <v>#VALUE!</v>
      </c>
      <c r="P279" s="417"/>
      <c r="Q279" s="436"/>
      <c r="R279" s="436"/>
      <c r="S279" s="570"/>
      <c r="T279" s="439" t="e">
        <f t="shared" si="113"/>
        <v>#VALUE!</v>
      </c>
      <c r="AD279" s="400" t="e">
        <f>K279-[25]Blocking1!O279</f>
        <v>#VALUE!</v>
      </c>
    </row>
    <row r="280" spans="1:30">
      <c r="A280" s="432" t="s">
        <v>382</v>
      </c>
      <c r="B280" s="405">
        <v>11</v>
      </c>
      <c r="C280" s="433" t="e">
        <f>SUMIF('[25]7'!C$2:C$27,B280,'[25]7'!M$2:M$27)</f>
        <v>#VALUE!</v>
      </c>
      <c r="E280" s="581" t="e">
        <f t="shared" si="108"/>
        <v>#VALUE!</v>
      </c>
      <c r="G280" s="434">
        <f>[25]Blocking1!M280</f>
        <v>21.23</v>
      </c>
      <c r="H280" s="435"/>
      <c r="I280" s="417" t="e">
        <f t="shared" si="109"/>
        <v>#VALUE!</v>
      </c>
      <c r="K280" s="417" t="e">
        <f t="shared" si="110"/>
        <v>#VALUE!</v>
      </c>
      <c r="M280" s="434" t="e">
        <f t="shared" si="111"/>
        <v>#VALUE!</v>
      </c>
      <c r="N280" s="435"/>
      <c r="O280" s="417" t="e">
        <f t="shared" si="112"/>
        <v>#VALUE!</v>
      </c>
      <c r="P280" s="417"/>
      <c r="Q280" s="436"/>
      <c r="R280" s="436"/>
      <c r="S280" s="570"/>
      <c r="T280" s="439" t="e">
        <f t="shared" si="113"/>
        <v>#VALUE!</v>
      </c>
      <c r="AD280" s="400" t="e">
        <f>K280-[25]Blocking1!O280</f>
        <v>#VALUE!</v>
      </c>
    </row>
    <row r="281" spans="1:30">
      <c r="A281" s="432" t="s">
        <v>383</v>
      </c>
      <c r="B281" s="405">
        <v>12</v>
      </c>
      <c r="C281" s="433" t="e">
        <f>SUMIF('[25]7'!C$2:C$27,B281,'[25]7'!M$2:M$27)</f>
        <v>#VALUE!</v>
      </c>
      <c r="E281" s="581" t="e">
        <f t="shared" si="108"/>
        <v>#VALUE!</v>
      </c>
      <c r="G281" s="434">
        <f>[25]Blocking1!M281</f>
        <v>28.3</v>
      </c>
      <c r="H281" s="435"/>
      <c r="I281" s="417" t="e">
        <f t="shared" si="109"/>
        <v>#VALUE!</v>
      </c>
      <c r="K281" s="417" t="e">
        <f t="shared" si="110"/>
        <v>#VALUE!</v>
      </c>
      <c r="M281" s="434" t="e">
        <f t="shared" si="111"/>
        <v>#VALUE!</v>
      </c>
      <c r="N281" s="435"/>
      <c r="O281" s="417" t="e">
        <f t="shared" si="112"/>
        <v>#VALUE!</v>
      </c>
      <c r="P281" s="417"/>
      <c r="R281" s="405"/>
      <c r="S281" s="570"/>
      <c r="T281" s="439" t="e">
        <f t="shared" si="113"/>
        <v>#VALUE!</v>
      </c>
      <c r="AD281" s="400" t="e">
        <f>K281-[25]Blocking1!O281</f>
        <v>#VALUE!</v>
      </c>
    </row>
    <row r="282" spans="1:30">
      <c r="A282" s="432" t="s">
        <v>384</v>
      </c>
      <c r="B282" s="405">
        <v>13</v>
      </c>
      <c r="C282" s="433" t="e">
        <f>SUMIF('[25]7'!C$2:C$27,B282,'[25]7'!M$2:M$27)</f>
        <v>#VALUE!</v>
      </c>
      <c r="E282" s="581" t="e">
        <f t="shared" si="108"/>
        <v>#VALUE!</v>
      </c>
      <c r="G282" s="434">
        <f>[25]Blocking1!M282</f>
        <v>25.99</v>
      </c>
      <c r="H282" s="435"/>
      <c r="I282" s="417" t="e">
        <f t="shared" si="109"/>
        <v>#VALUE!</v>
      </c>
      <c r="K282" s="417" t="e">
        <f t="shared" si="110"/>
        <v>#VALUE!</v>
      </c>
      <c r="M282" s="434" t="e">
        <f t="shared" si="111"/>
        <v>#VALUE!</v>
      </c>
      <c r="N282" s="435"/>
      <c r="O282" s="417" t="e">
        <f t="shared" si="112"/>
        <v>#VALUE!</v>
      </c>
      <c r="P282" s="417"/>
      <c r="Q282" s="436"/>
      <c r="R282" s="436"/>
      <c r="S282" s="570"/>
      <c r="T282" s="439" t="e">
        <f t="shared" si="113"/>
        <v>#VALUE!</v>
      </c>
      <c r="AD282" s="400" t="e">
        <f>K282-[25]Blocking1!O282</f>
        <v>#VALUE!</v>
      </c>
    </row>
    <row r="283" spans="1:30">
      <c r="A283" s="480" t="s">
        <v>385</v>
      </c>
      <c r="C283" s="433"/>
      <c r="E283" s="581"/>
      <c r="I283" s="417"/>
      <c r="K283" s="417"/>
      <c r="M283" s="404"/>
      <c r="O283" s="417"/>
      <c r="P283" s="417"/>
      <c r="Q283" s="436"/>
      <c r="R283" s="436"/>
      <c r="S283" s="570"/>
      <c r="T283" s="570"/>
      <c r="AD283" s="400">
        <f>K283-[25]Blocking1!O283</f>
        <v>0</v>
      </c>
    </row>
    <row r="284" spans="1:30">
      <c r="A284" s="432" t="s">
        <v>378</v>
      </c>
      <c r="B284" s="405">
        <v>14</v>
      </c>
      <c r="C284" s="433" t="e">
        <f>SUMIF('[25]7'!C$2:C$27,B284,'[25]7'!M$2:M$27)</f>
        <v>#VALUE!</v>
      </c>
      <c r="E284" s="581" t="e">
        <f t="shared" ref="E284:E289" si="114">ROUND(C284*$E$300/$C$300,0)</f>
        <v>#VALUE!</v>
      </c>
      <c r="G284" s="434">
        <f>[25]Blocking1!M284</f>
        <v>19.46</v>
      </c>
      <c r="H284" s="435"/>
      <c r="I284" s="417" t="e">
        <f t="shared" ref="I284:I289" si="115">ROUND(G284*$C284,0)</f>
        <v>#VALUE!</v>
      </c>
      <c r="K284" s="417" t="e">
        <f t="shared" ref="K284:K289" si="116">ROUND(G284*$E284,0)</f>
        <v>#VALUE!</v>
      </c>
      <c r="M284" s="434" t="e">
        <f t="shared" ref="M284:M289" si="117">M244</f>
        <v>#VALUE!</v>
      </c>
      <c r="N284" s="435"/>
      <c r="O284" s="417" t="e">
        <f t="shared" ref="O284:O289" si="118">ROUND(M284*$E284,0)</f>
        <v>#VALUE!</v>
      </c>
      <c r="Q284" s="436"/>
      <c r="R284" s="436"/>
      <c r="S284" s="570"/>
      <c r="T284" s="439" t="e">
        <f t="shared" ref="T284:T289" si="119">M284/G284-1</f>
        <v>#VALUE!</v>
      </c>
      <c r="AD284" s="400" t="e">
        <f>K284-[25]Blocking1!O284</f>
        <v>#VALUE!</v>
      </c>
    </row>
    <row r="285" spans="1:30">
      <c r="A285" s="432" t="s">
        <v>379</v>
      </c>
      <c r="B285" s="405">
        <v>15</v>
      </c>
      <c r="C285" s="433" t="e">
        <f>SUMIF('[25]7'!C$2:C$27,B285,'[25]7'!M$2:M$27)</f>
        <v>#VALUE!</v>
      </c>
      <c r="E285" s="581" t="e">
        <f t="shared" si="114"/>
        <v>#VALUE!</v>
      </c>
      <c r="G285" s="434">
        <f>[25]Blocking1!M285</f>
        <v>17.13</v>
      </c>
      <c r="H285" s="435"/>
      <c r="I285" s="417" t="e">
        <f t="shared" si="115"/>
        <v>#VALUE!</v>
      </c>
      <c r="K285" s="417" t="e">
        <f t="shared" si="116"/>
        <v>#VALUE!</v>
      </c>
      <c r="M285" s="434" t="e">
        <f t="shared" si="117"/>
        <v>#VALUE!</v>
      </c>
      <c r="N285" s="435"/>
      <c r="O285" s="417" t="e">
        <f t="shared" si="118"/>
        <v>#VALUE!</v>
      </c>
      <c r="P285" s="417"/>
      <c r="Q285" s="436"/>
      <c r="R285" s="436"/>
      <c r="S285" s="570"/>
      <c r="T285" s="439" t="e">
        <f t="shared" si="119"/>
        <v>#VALUE!</v>
      </c>
      <c r="AD285" s="400" t="e">
        <f>K285-[25]Blocking1!O285</f>
        <v>#VALUE!</v>
      </c>
    </row>
    <row r="286" spans="1:30">
      <c r="A286" s="432" t="s">
        <v>381</v>
      </c>
      <c r="B286" s="405">
        <v>16</v>
      </c>
      <c r="C286" s="433" t="e">
        <f>SUMIF('[25]7'!C$2:C$27,B286,'[25]7'!M$2:M$27)</f>
        <v>#VALUE!</v>
      </c>
      <c r="E286" s="581" t="e">
        <f t="shared" si="114"/>
        <v>#VALUE!</v>
      </c>
      <c r="G286" s="434">
        <f>[25]Blocking1!M286</f>
        <v>23.51</v>
      </c>
      <c r="H286" s="435"/>
      <c r="I286" s="417" t="e">
        <f t="shared" si="115"/>
        <v>#VALUE!</v>
      </c>
      <c r="K286" s="417" t="e">
        <f t="shared" si="116"/>
        <v>#VALUE!</v>
      </c>
      <c r="M286" s="434" t="e">
        <f t="shared" si="117"/>
        <v>#VALUE!</v>
      </c>
      <c r="N286" s="435"/>
      <c r="O286" s="417" t="e">
        <f t="shared" si="118"/>
        <v>#VALUE!</v>
      </c>
      <c r="P286" s="417"/>
      <c r="Q286" s="436"/>
      <c r="R286" s="436"/>
      <c r="S286" s="570"/>
      <c r="T286" s="439" t="e">
        <f t="shared" si="119"/>
        <v>#VALUE!</v>
      </c>
      <c r="AD286" s="400" t="e">
        <f>K286-[25]Blocking1!O286</f>
        <v>#VALUE!</v>
      </c>
    </row>
    <row r="287" spans="1:30">
      <c r="A287" s="432" t="s">
        <v>382</v>
      </c>
      <c r="B287" s="405">
        <v>17</v>
      </c>
      <c r="C287" s="433" t="e">
        <f>SUMIF('[25]7'!C$2:C$27,B287,'[25]7'!M$2:M$27)</f>
        <v>#VALUE!</v>
      </c>
      <c r="E287" s="581" t="e">
        <f t="shared" si="114"/>
        <v>#VALUE!</v>
      </c>
      <c r="G287" s="434">
        <f>[25]Blocking1!M287</f>
        <v>21.23</v>
      </c>
      <c r="H287" s="435"/>
      <c r="I287" s="417" t="e">
        <f t="shared" si="115"/>
        <v>#VALUE!</v>
      </c>
      <c r="K287" s="417" t="e">
        <f t="shared" si="116"/>
        <v>#VALUE!</v>
      </c>
      <c r="M287" s="434" t="e">
        <f t="shared" si="117"/>
        <v>#VALUE!</v>
      </c>
      <c r="N287" s="435"/>
      <c r="O287" s="417" t="e">
        <f t="shared" si="118"/>
        <v>#VALUE!</v>
      </c>
      <c r="P287" s="417"/>
      <c r="Q287" s="436"/>
      <c r="R287" s="436"/>
      <c r="S287" s="570"/>
      <c r="T287" s="439" t="e">
        <f t="shared" si="119"/>
        <v>#VALUE!</v>
      </c>
      <c r="AD287" s="400" t="e">
        <f>K287-[25]Blocking1!O287</f>
        <v>#VALUE!</v>
      </c>
    </row>
    <row r="288" spans="1:30">
      <c r="A288" s="432" t="s">
        <v>383</v>
      </c>
      <c r="B288" s="405">
        <v>18</v>
      </c>
      <c r="C288" s="433" t="e">
        <f>SUMIF('[25]7'!C$2:C$27,B288,'[25]7'!M$2:M$27)</f>
        <v>#VALUE!</v>
      </c>
      <c r="E288" s="581" t="e">
        <f t="shared" si="114"/>
        <v>#VALUE!</v>
      </c>
      <c r="G288" s="434">
        <f>[25]Blocking1!M288</f>
        <v>28.3</v>
      </c>
      <c r="H288" s="435"/>
      <c r="I288" s="417" t="e">
        <f t="shared" si="115"/>
        <v>#VALUE!</v>
      </c>
      <c r="K288" s="417" t="e">
        <f t="shared" si="116"/>
        <v>#VALUE!</v>
      </c>
      <c r="M288" s="434" t="e">
        <f t="shared" si="117"/>
        <v>#VALUE!</v>
      </c>
      <c r="N288" s="435"/>
      <c r="O288" s="417" t="e">
        <f t="shared" si="118"/>
        <v>#VALUE!</v>
      </c>
      <c r="P288" s="417"/>
      <c r="R288" s="405"/>
      <c r="S288" s="570"/>
      <c r="T288" s="439" t="e">
        <f t="shared" si="119"/>
        <v>#VALUE!</v>
      </c>
      <c r="AD288" s="400" t="e">
        <f>K288-[25]Blocking1!O288</f>
        <v>#VALUE!</v>
      </c>
    </row>
    <row r="289" spans="1:30">
      <c r="A289" s="432" t="s">
        <v>384</v>
      </c>
      <c r="B289" s="405">
        <v>19</v>
      </c>
      <c r="C289" s="433" t="e">
        <f>SUMIF('[25]7'!C$2:C$27,B289,'[25]7'!M$2:M$27)</f>
        <v>#VALUE!</v>
      </c>
      <c r="E289" s="581" t="e">
        <f t="shared" si="114"/>
        <v>#VALUE!</v>
      </c>
      <c r="G289" s="434">
        <f>[25]Blocking1!M289</f>
        <v>25.99</v>
      </c>
      <c r="H289" s="435"/>
      <c r="I289" s="417" t="e">
        <f t="shared" si="115"/>
        <v>#VALUE!</v>
      </c>
      <c r="K289" s="417" t="e">
        <f t="shared" si="116"/>
        <v>#VALUE!</v>
      </c>
      <c r="M289" s="434" t="e">
        <f t="shared" si="117"/>
        <v>#VALUE!</v>
      </c>
      <c r="N289" s="435"/>
      <c r="O289" s="417" t="e">
        <f t="shared" si="118"/>
        <v>#VALUE!</v>
      </c>
      <c r="P289" s="417"/>
      <c r="Q289" s="436"/>
      <c r="R289" s="436"/>
      <c r="T289" s="439" t="e">
        <f t="shared" si="119"/>
        <v>#VALUE!</v>
      </c>
      <c r="AD289" s="400" t="e">
        <f>K289-[25]Blocking1!O289</f>
        <v>#VALUE!</v>
      </c>
    </row>
    <row r="290" spans="1:30">
      <c r="A290" s="480" t="s">
        <v>386</v>
      </c>
      <c r="C290" s="433"/>
      <c r="E290" s="581"/>
      <c r="M290" s="404"/>
      <c r="P290" s="417"/>
      <c r="Q290" s="436"/>
      <c r="R290" s="436"/>
      <c r="T290" s="570"/>
      <c r="AD290" s="400">
        <f>K290-[25]Blocking1!O290</f>
        <v>0</v>
      </c>
    </row>
    <row r="291" spans="1:30">
      <c r="A291" s="432" t="s">
        <v>387</v>
      </c>
      <c r="B291" s="405">
        <v>20</v>
      </c>
      <c r="C291" s="433" t="e">
        <f>SUMIF('[25]7'!C$2:C$27,B291,'[25]7'!M$2:M$27)</f>
        <v>#VALUE!</v>
      </c>
      <c r="E291" s="581" t="e">
        <f t="shared" ref="E291:E298" si="120">ROUND(C291*$E$300/$C$300,0)</f>
        <v>#VALUE!</v>
      </c>
      <c r="G291" s="434">
        <f>[25]Blocking1!M291</f>
        <v>29.4</v>
      </c>
      <c r="H291" s="435"/>
      <c r="I291" s="417" t="e">
        <f t="shared" ref="I291:I298" si="121">ROUND(G291*$C291,0)</f>
        <v>#VALUE!</v>
      </c>
      <c r="K291" s="417" t="e">
        <f t="shared" ref="K291:K298" si="122">ROUND(G291*$E291,0)</f>
        <v>#VALUE!</v>
      </c>
      <c r="M291" s="434" t="e">
        <f t="shared" ref="M291:M298" si="123">M251</f>
        <v>#VALUE!</v>
      </c>
      <c r="N291" s="435"/>
      <c r="O291" s="417" t="e">
        <f t="shared" ref="O291:O298" si="124">ROUND(M291*$E291,0)</f>
        <v>#VALUE!</v>
      </c>
      <c r="P291" s="417"/>
      <c r="Q291" s="436"/>
      <c r="R291" s="436"/>
      <c r="T291" s="439" t="e">
        <f t="shared" ref="T291:T298" si="125">M291/G291-1</f>
        <v>#VALUE!</v>
      </c>
      <c r="AD291" s="400" t="e">
        <f>K291-[25]Blocking1!O291</f>
        <v>#VALUE!</v>
      </c>
    </row>
    <row r="292" spans="1:30">
      <c r="A292" s="432" t="s">
        <v>388</v>
      </c>
      <c r="B292" s="405">
        <v>21</v>
      </c>
      <c r="C292" s="433" t="e">
        <f>SUMIF('[25]7'!C$2:C$27,B292,'[25]7'!M$2:M$27)</f>
        <v>#VALUE!</v>
      </c>
      <c r="E292" s="581" t="e">
        <f t="shared" si="120"/>
        <v>#VALUE!</v>
      </c>
      <c r="G292" s="434">
        <f>[25]Blocking1!M292</f>
        <v>21.79</v>
      </c>
      <c r="H292" s="435"/>
      <c r="I292" s="417" t="e">
        <f t="shared" si="121"/>
        <v>#VALUE!</v>
      </c>
      <c r="K292" s="417" t="e">
        <f t="shared" si="122"/>
        <v>#VALUE!</v>
      </c>
      <c r="M292" s="434" t="e">
        <f t="shared" si="123"/>
        <v>#VALUE!</v>
      </c>
      <c r="N292" s="435"/>
      <c r="O292" s="417" t="e">
        <f t="shared" si="124"/>
        <v>#VALUE!</v>
      </c>
      <c r="P292" s="417"/>
      <c r="Q292" s="436"/>
      <c r="R292" s="436"/>
      <c r="T292" s="439" t="e">
        <f t="shared" si="125"/>
        <v>#VALUE!</v>
      </c>
      <c r="AD292" s="400" t="e">
        <f>K292-[25]Blocking1!O292</f>
        <v>#VALUE!</v>
      </c>
    </row>
    <row r="293" spans="1:30">
      <c r="A293" s="432" t="s">
        <v>389</v>
      </c>
      <c r="B293" s="405">
        <v>22</v>
      </c>
      <c r="C293" s="433" t="e">
        <f>SUMIF('[25]7'!C$2:C$27,B293,'[25]7'!M$2:M$27)</f>
        <v>#VALUE!</v>
      </c>
      <c r="E293" s="581" t="e">
        <f t="shared" si="120"/>
        <v>#VALUE!</v>
      </c>
      <c r="G293" s="434">
        <f>[25]Blocking1!M293</f>
        <v>34.340000000000003</v>
      </c>
      <c r="H293" s="435"/>
      <c r="I293" s="417" t="e">
        <f t="shared" si="121"/>
        <v>#VALUE!</v>
      </c>
      <c r="K293" s="417" t="e">
        <f t="shared" si="122"/>
        <v>#VALUE!</v>
      </c>
      <c r="M293" s="434" t="e">
        <f t="shared" si="123"/>
        <v>#VALUE!</v>
      </c>
      <c r="N293" s="435"/>
      <c r="O293" s="417" t="e">
        <f t="shared" si="124"/>
        <v>#VALUE!</v>
      </c>
      <c r="P293" s="530"/>
      <c r="Q293" s="436"/>
      <c r="R293" s="436"/>
      <c r="T293" s="439" t="e">
        <f t="shared" si="125"/>
        <v>#VALUE!</v>
      </c>
      <c r="U293" s="440"/>
      <c r="AD293" s="400" t="e">
        <f>K293-[25]Blocking1!O293</f>
        <v>#VALUE!</v>
      </c>
    </row>
    <row r="294" spans="1:30">
      <c r="A294" s="432" t="s">
        <v>390</v>
      </c>
      <c r="B294" s="405">
        <v>23</v>
      </c>
      <c r="C294" s="433" t="e">
        <f>SUMIF('[25]7'!C$2:C$27,B294,'[25]7'!M$2:M$27)</f>
        <v>#VALUE!</v>
      </c>
      <c r="E294" s="581" t="e">
        <f t="shared" si="120"/>
        <v>#VALUE!</v>
      </c>
      <c r="G294" s="434">
        <f>[25]Blocking1!M294</f>
        <v>27.43</v>
      </c>
      <c r="H294" s="435"/>
      <c r="I294" s="417" t="e">
        <f t="shared" si="121"/>
        <v>#VALUE!</v>
      </c>
      <c r="K294" s="417" t="e">
        <f t="shared" si="122"/>
        <v>#VALUE!</v>
      </c>
      <c r="M294" s="434" t="e">
        <f t="shared" si="123"/>
        <v>#VALUE!</v>
      </c>
      <c r="N294" s="435"/>
      <c r="O294" s="417" t="e">
        <f t="shared" si="124"/>
        <v>#VALUE!</v>
      </c>
      <c r="P294" s="530"/>
      <c r="Q294" s="436"/>
      <c r="R294" s="436"/>
      <c r="T294" s="439" t="e">
        <f t="shared" si="125"/>
        <v>#VALUE!</v>
      </c>
      <c r="AD294" s="400" t="e">
        <f>K294-[25]Blocking1!O294</f>
        <v>#VALUE!</v>
      </c>
    </row>
    <row r="295" spans="1:30" s="440" customFormat="1">
      <c r="A295" s="432" t="s">
        <v>391</v>
      </c>
      <c r="B295" s="405">
        <v>24</v>
      </c>
      <c r="C295" s="433" t="e">
        <f>SUMIF('[25]7'!C$2:C$27,B295,'[25]7'!M$2:M$27)</f>
        <v>#VALUE!</v>
      </c>
      <c r="D295" s="407"/>
      <c r="E295" s="581" t="e">
        <f t="shared" si="120"/>
        <v>#VALUE!</v>
      </c>
      <c r="F295" s="407"/>
      <c r="G295" s="434">
        <f>[25]Blocking1!M295</f>
        <v>36.69</v>
      </c>
      <c r="H295" s="435"/>
      <c r="I295" s="417" t="e">
        <f t="shared" si="121"/>
        <v>#VALUE!</v>
      </c>
      <c r="J295" s="407"/>
      <c r="K295" s="417" t="e">
        <f t="shared" si="122"/>
        <v>#VALUE!</v>
      </c>
      <c r="L295" s="407"/>
      <c r="M295" s="434" t="e">
        <f t="shared" si="123"/>
        <v>#VALUE!</v>
      </c>
      <c r="N295" s="435"/>
      <c r="O295" s="417" t="e">
        <f t="shared" si="124"/>
        <v>#VALUE!</v>
      </c>
      <c r="P295" s="579"/>
      <c r="Q295" s="589"/>
      <c r="R295" s="497"/>
      <c r="S295" s="400"/>
      <c r="T295" s="439" t="e">
        <f t="shared" si="125"/>
        <v>#VALUE!</v>
      </c>
      <c r="U295" s="400"/>
      <c r="AD295" s="400" t="e">
        <f>K295-[25]Blocking1!O295</f>
        <v>#VALUE!</v>
      </c>
    </row>
    <row r="296" spans="1:30">
      <c r="A296" s="432" t="s">
        <v>392</v>
      </c>
      <c r="B296" s="405">
        <v>25</v>
      </c>
      <c r="C296" s="433" t="e">
        <f>SUMIF('[25]7'!C$2:C$27,B296,'[25]7'!M$2:M$27)</f>
        <v>#VALUE!</v>
      </c>
      <c r="E296" s="581" t="e">
        <f t="shared" si="120"/>
        <v>#VALUE!</v>
      </c>
      <c r="G296" s="434">
        <f>[25]Blocking1!M296</f>
        <v>29.72</v>
      </c>
      <c r="H296" s="435"/>
      <c r="I296" s="417" t="e">
        <f t="shared" si="121"/>
        <v>#VALUE!</v>
      </c>
      <c r="K296" s="417" t="e">
        <f t="shared" si="122"/>
        <v>#VALUE!</v>
      </c>
      <c r="M296" s="434" t="e">
        <f t="shared" si="123"/>
        <v>#VALUE!</v>
      </c>
      <c r="N296" s="435"/>
      <c r="O296" s="417" t="e">
        <f t="shared" si="124"/>
        <v>#VALUE!</v>
      </c>
      <c r="Q296" s="589"/>
      <c r="R296" s="497"/>
      <c r="T296" s="439" t="e">
        <f t="shared" si="125"/>
        <v>#VALUE!</v>
      </c>
      <c r="AD296" s="400" t="e">
        <f>K296-[25]Blocking1!O296</f>
        <v>#VALUE!</v>
      </c>
    </row>
    <row r="297" spans="1:30">
      <c r="A297" s="432" t="s">
        <v>393</v>
      </c>
      <c r="B297" s="405">
        <v>26</v>
      </c>
      <c r="C297" s="433" t="e">
        <f>SUMIF('[25]7'!C$2:C$27,B297,'[25]7'!M$2:M$27)</f>
        <v>#VALUE!</v>
      </c>
      <c r="E297" s="581" t="e">
        <f t="shared" si="120"/>
        <v>#VALUE!</v>
      </c>
      <c r="G297" s="434">
        <f>[25]Blocking1!M297</f>
        <v>57.58</v>
      </c>
      <c r="H297" s="435"/>
      <c r="I297" s="417" t="e">
        <f t="shared" si="121"/>
        <v>#VALUE!</v>
      </c>
      <c r="K297" s="417" t="e">
        <f t="shared" si="122"/>
        <v>#VALUE!</v>
      </c>
      <c r="M297" s="434" t="e">
        <f t="shared" si="123"/>
        <v>#VALUE!</v>
      </c>
      <c r="N297" s="435"/>
      <c r="O297" s="417" t="e">
        <f t="shared" si="124"/>
        <v>#VALUE!</v>
      </c>
      <c r="P297" s="530"/>
      <c r="Q297" s="590"/>
      <c r="R297" s="497"/>
      <c r="S297" s="580"/>
      <c r="T297" s="439" t="e">
        <f t="shared" si="125"/>
        <v>#VALUE!</v>
      </c>
      <c r="AD297" s="400" t="e">
        <f>K297-[25]Blocking1!O297</f>
        <v>#VALUE!</v>
      </c>
    </row>
    <row r="298" spans="1:30">
      <c r="A298" s="432" t="s">
        <v>394</v>
      </c>
      <c r="B298" s="405">
        <v>27</v>
      </c>
      <c r="C298" s="433" t="e">
        <f>SUMIF('[25]7'!C$2:C$27,B298,'[25]7'!M$2:M$27)</f>
        <v>#VALUE!</v>
      </c>
      <c r="E298" s="581" t="e">
        <f t="shared" si="120"/>
        <v>#VALUE!</v>
      </c>
      <c r="G298" s="434">
        <f>[25]Blocking1!M298</f>
        <v>49.1</v>
      </c>
      <c r="H298" s="435"/>
      <c r="I298" s="417" t="e">
        <f t="shared" si="121"/>
        <v>#VALUE!</v>
      </c>
      <c r="K298" s="417" t="e">
        <f t="shared" si="122"/>
        <v>#VALUE!</v>
      </c>
      <c r="M298" s="434" t="e">
        <f t="shared" si="123"/>
        <v>#VALUE!</v>
      </c>
      <c r="N298" s="435"/>
      <c r="O298" s="417" t="e">
        <f t="shared" si="124"/>
        <v>#VALUE!</v>
      </c>
      <c r="P298" s="497"/>
      <c r="Q298" s="521"/>
      <c r="R298" s="568"/>
      <c r="T298" s="439" t="e">
        <f t="shared" si="125"/>
        <v>#VALUE!</v>
      </c>
      <c r="AD298" s="400" t="e">
        <f>K298-[25]Blocking1!O298</f>
        <v>#VALUE!</v>
      </c>
    </row>
    <row r="299" spans="1:30">
      <c r="A299" s="432" t="s">
        <v>182</v>
      </c>
      <c r="B299" s="416"/>
      <c r="C299" s="581" t="e">
        <f>SUM(C267:C298)</f>
        <v>#VALUE!</v>
      </c>
      <c r="D299" s="521"/>
      <c r="E299" s="581" t="e">
        <f>SUM(E267:E298)</f>
        <v>#VALUE!</v>
      </c>
      <c r="F299" s="521"/>
      <c r="H299" s="521"/>
      <c r="I299" s="530" t="e">
        <f>SUM(I267:I298)</f>
        <v>#VALUE!</v>
      </c>
      <c r="J299" s="521"/>
      <c r="K299" s="530" t="e">
        <f>SUM(K267:K298)</f>
        <v>#VALUE!</v>
      </c>
      <c r="L299" s="521"/>
      <c r="M299" s="404"/>
      <c r="N299" s="521"/>
      <c r="O299" s="530" t="e">
        <f>SUM(O267:O298)</f>
        <v>#VALUE!</v>
      </c>
      <c r="P299" s="497"/>
      <c r="Q299" s="521"/>
      <c r="R299" s="568"/>
      <c r="AD299" s="400" t="e">
        <f>K299-[25]Blocking1!O299</f>
        <v>#VALUE!</v>
      </c>
    </row>
    <row r="300" spans="1:30">
      <c r="A300" s="432" t="s">
        <v>395</v>
      </c>
      <c r="C300" s="426">
        <f>'[25]7'!N80</f>
        <v>8360327.718259478</v>
      </c>
      <c r="E300" s="591">
        <f>E303</f>
        <v>8401689.0497763921</v>
      </c>
      <c r="I300" s="530"/>
      <c r="K300" s="530"/>
      <c r="M300" s="404"/>
      <c r="O300" s="530"/>
      <c r="Q300" s="523"/>
      <c r="R300" s="568"/>
      <c r="S300" s="535"/>
      <c r="AD300" s="400">
        <f>K300-[25]Blocking1!O300</f>
        <v>0</v>
      </c>
    </row>
    <row r="301" spans="1:30">
      <c r="A301" s="432" t="s">
        <v>190</v>
      </c>
      <c r="C301" s="582">
        <f>'[25]Table 2'!J41</f>
        <v>16986</v>
      </c>
      <c r="E301" s="582">
        <v>0</v>
      </c>
      <c r="G301" s="584"/>
      <c r="I301" s="585">
        <f>'[25]Table 3'!F41</f>
        <v>11365</v>
      </c>
      <c r="K301" s="585">
        <v>0</v>
      </c>
      <c r="M301" s="584"/>
      <c r="O301" s="585">
        <v>0</v>
      </c>
      <c r="Q301" s="521"/>
      <c r="R301" s="568"/>
      <c r="S301" s="535"/>
      <c r="T301" s="580"/>
      <c r="AD301" s="400">
        <f>K301-[25]Blocking1!O301</f>
        <v>0</v>
      </c>
    </row>
    <row r="302" spans="1:30">
      <c r="A302" s="432" t="s">
        <v>173</v>
      </c>
      <c r="C302" s="433">
        <f>'[25]Table 2'!F41</f>
        <v>4333</v>
      </c>
      <c r="E302" s="550">
        <f>ROUND([25]Bill!P20/12,0)</f>
        <v>4513</v>
      </c>
      <c r="M302" s="404"/>
      <c r="P302" s="417"/>
      <c r="S302" s="535"/>
      <c r="AD302" s="400">
        <f>K302-[25]Blocking1!O302</f>
        <v>0</v>
      </c>
    </row>
    <row r="303" spans="1:30" ht="16.5" thickBot="1">
      <c r="A303" s="432" t="s">
        <v>396</v>
      </c>
      <c r="C303" s="586">
        <f>C300+C301</f>
        <v>8377313.718259478</v>
      </c>
      <c r="E303" s="592">
        <f>[25]Energy!P20</f>
        <v>8401689.0497763921</v>
      </c>
      <c r="G303" s="510"/>
      <c r="I303" s="588" t="e">
        <f>I301+I299</f>
        <v>#VALUE!</v>
      </c>
      <c r="K303" s="588" t="e">
        <f>K301+K299</f>
        <v>#VALUE!</v>
      </c>
      <c r="M303" s="510"/>
      <c r="O303" s="588" t="e">
        <f>O301+O299</f>
        <v>#VALUE!</v>
      </c>
      <c r="P303" s="417"/>
      <c r="S303" s="535"/>
      <c r="AD303" s="400" t="e">
        <f>K303-[25]Blocking1!O303</f>
        <v>#VALUE!</v>
      </c>
    </row>
    <row r="304" spans="1:30" ht="16.5" thickTop="1">
      <c r="D304" s="551"/>
      <c r="F304" s="551"/>
      <c r="J304" s="551"/>
      <c r="L304" s="551"/>
      <c r="P304" s="417"/>
      <c r="S304" s="570"/>
      <c r="AD304" s="400">
        <f>K304-[25]Blocking1!O304</f>
        <v>0</v>
      </c>
    </row>
    <row r="305" spans="1:30">
      <c r="A305" s="428" t="s">
        <v>640</v>
      </c>
      <c r="C305" s="406"/>
      <c r="E305" s="406"/>
      <c r="P305" s="417"/>
      <c r="R305" s="405"/>
      <c r="S305" s="570"/>
      <c r="T305" s="570"/>
      <c r="AD305" s="400">
        <f>K305-[25]Blocking1!O305</f>
        <v>0</v>
      </c>
    </row>
    <row r="306" spans="1:30">
      <c r="A306" s="480" t="s">
        <v>368</v>
      </c>
      <c r="C306" s="406"/>
      <c r="E306" s="406"/>
      <c r="I306" s="417"/>
      <c r="K306" s="417"/>
      <c r="O306" s="417"/>
      <c r="P306" s="417"/>
      <c r="Q306" s="436"/>
      <c r="R306" s="436"/>
      <c r="S306" s="570"/>
      <c r="T306" s="570"/>
      <c r="AD306" s="400">
        <f>K306-[25]Blocking1!O306</f>
        <v>0</v>
      </c>
    </row>
    <row r="307" spans="1:30">
      <c r="A307" s="432" t="s">
        <v>369</v>
      </c>
      <c r="B307" s="405">
        <v>29</v>
      </c>
      <c r="C307" s="433" t="e">
        <f>SUMIF('[25]7'!C$28:C$48,B307,'[25]7'!M$28:M$48)</f>
        <v>#VALUE!</v>
      </c>
      <c r="E307" s="581" t="e">
        <f>ROUND(C307*$E$340/$C$340,0)</f>
        <v>#VALUE!</v>
      </c>
      <c r="G307" s="434">
        <f>[25]Blocking1!M307</f>
        <v>5.68</v>
      </c>
      <c r="H307" s="435"/>
      <c r="I307" s="417" t="e">
        <f>ROUND(G307*$C307,0)</f>
        <v>#VALUE!</v>
      </c>
      <c r="K307" s="417" t="e">
        <f>ROUND(G307*$E307,0)</f>
        <v>#VALUE!</v>
      </c>
      <c r="M307" s="434" t="e">
        <f>M227</f>
        <v>#VALUE!</v>
      </c>
      <c r="N307" s="435"/>
      <c r="O307" s="552" t="e">
        <f>ROUND(M307*$E307,0)</f>
        <v>#VALUE!</v>
      </c>
      <c r="P307" s="417"/>
      <c r="Q307" s="436"/>
      <c r="R307" s="436"/>
      <c r="S307" s="570"/>
      <c r="T307" s="439" t="e">
        <f t="shared" ref="T307:T310" si="126">M307/G307-1</f>
        <v>#VALUE!</v>
      </c>
      <c r="AD307" s="400" t="e">
        <f>K307-[25]Blocking1!O307</f>
        <v>#VALUE!</v>
      </c>
    </row>
    <row r="308" spans="1:30">
      <c r="A308" s="432" t="s">
        <v>370</v>
      </c>
      <c r="B308" s="405">
        <v>1</v>
      </c>
      <c r="C308" s="433" t="e">
        <f>SUMIF('[25]7'!C$28:C$48,B308,'[25]7'!M$28:M$48)</f>
        <v>#VALUE!</v>
      </c>
      <c r="E308" s="581" t="e">
        <f t="shared" ref="E308:E310" si="127">ROUND(C308*$E$340/$C$340,0)</f>
        <v>#VALUE!</v>
      </c>
      <c r="G308" s="434">
        <f>[25]Blocking1!M308</f>
        <v>16.38</v>
      </c>
      <c r="H308" s="435"/>
      <c r="I308" s="417" t="e">
        <f>ROUND(G308*$C308,0)</f>
        <v>#VALUE!</v>
      </c>
      <c r="K308" s="417" t="e">
        <f>ROUND(G308*$E308,0)</f>
        <v>#VALUE!</v>
      </c>
      <c r="M308" s="434" t="e">
        <f t="shared" ref="M308:M310" si="128">M228</f>
        <v>#VALUE!</v>
      </c>
      <c r="N308" s="435"/>
      <c r="O308" s="417" t="e">
        <f>ROUND(M308*$E308,0)</f>
        <v>#VALUE!</v>
      </c>
      <c r="P308" s="417"/>
      <c r="Q308" s="436"/>
      <c r="R308" s="436"/>
      <c r="S308" s="570"/>
      <c r="T308" s="439" t="e">
        <f t="shared" si="126"/>
        <v>#VALUE!</v>
      </c>
      <c r="AD308" s="400" t="e">
        <f>K308-[25]Blocking1!O308</f>
        <v>#VALUE!</v>
      </c>
    </row>
    <row r="309" spans="1:30">
      <c r="A309" s="432" t="s">
        <v>371</v>
      </c>
      <c r="B309" s="405">
        <v>28</v>
      </c>
      <c r="C309" s="433" t="e">
        <f>SUMIF('[25]7'!C$28:C$48,B309,'[25]7'!M$28:M$48)</f>
        <v>#VALUE!</v>
      </c>
      <c r="E309" s="581" t="e">
        <f t="shared" si="127"/>
        <v>#VALUE!</v>
      </c>
      <c r="G309" s="434">
        <f>[25]Blocking1!M309</f>
        <v>8.0500000000000007</v>
      </c>
      <c r="H309" s="435"/>
      <c r="I309" s="417" t="e">
        <f>ROUND(G309*$C309,0)</f>
        <v>#VALUE!</v>
      </c>
      <c r="K309" s="417" t="e">
        <f>ROUND(G309*$E309,0)</f>
        <v>#VALUE!</v>
      </c>
      <c r="M309" s="434" t="e">
        <f t="shared" si="128"/>
        <v>#VALUE!</v>
      </c>
      <c r="N309" s="435"/>
      <c r="O309" s="417" t="e">
        <f>ROUND(M309*$E309,0)</f>
        <v>#VALUE!</v>
      </c>
      <c r="P309" s="417"/>
      <c r="R309" s="405"/>
      <c r="S309" s="570"/>
      <c r="T309" s="439" t="e">
        <f t="shared" si="126"/>
        <v>#VALUE!</v>
      </c>
      <c r="AD309" s="400" t="e">
        <f>K309-[25]Blocking1!O309</f>
        <v>#VALUE!</v>
      </c>
    </row>
    <row r="310" spans="1:30">
      <c r="A310" s="432" t="s">
        <v>372</v>
      </c>
      <c r="B310" s="405">
        <v>2</v>
      </c>
      <c r="C310" s="433" t="e">
        <f>SUMIF('[25]7'!C$28:C$48,B310,'[25]7'!M$28:M$48)</f>
        <v>#VALUE!</v>
      </c>
      <c r="E310" s="581" t="e">
        <f t="shared" si="127"/>
        <v>#VALUE!</v>
      </c>
      <c r="G310" s="434">
        <f>[25]Blocking1!M310</f>
        <v>26.78</v>
      </c>
      <c r="H310" s="435"/>
      <c r="I310" s="417" t="e">
        <f>ROUND(G310*$C310,0)</f>
        <v>#VALUE!</v>
      </c>
      <c r="K310" s="417" t="e">
        <f>ROUND(G310*$E310,0)</f>
        <v>#VALUE!</v>
      </c>
      <c r="M310" s="434" t="e">
        <f t="shared" si="128"/>
        <v>#VALUE!</v>
      </c>
      <c r="N310" s="435"/>
      <c r="O310" s="417" t="e">
        <f>ROUND(M310*$E310,0)</f>
        <v>#VALUE!</v>
      </c>
      <c r="P310" s="417"/>
      <c r="Q310" s="436"/>
      <c r="R310" s="436"/>
      <c r="S310" s="570"/>
      <c r="T310" s="439" t="e">
        <f t="shared" si="126"/>
        <v>#VALUE!</v>
      </c>
      <c r="AD310" s="400" t="e">
        <f>K310-[25]Blocking1!O310</f>
        <v>#VALUE!</v>
      </c>
    </row>
    <row r="311" spans="1:30">
      <c r="A311" s="480" t="s">
        <v>373</v>
      </c>
      <c r="C311" s="433"/>
      <c r="E311" s="581"/>
      <c r="I311" s="417"/>
      <c r="K311" s="417"/>
      <c r="M311" s="404"/>
      <c r="O311" s="417"/>
      <c r="P311" s="417"/>
      <c r="Q311" s="436"/>
      <c r="R311" s="436"/>
      <c r="S311" s="570"/>
      <c r="T311" s="439"/>
      <c r="AD311" s="400">
        <f>K311-[25]Blocking1!O311</f>
        <v>0</v>
      </c>
    </row>
    <row r="312" spans="1:30">
      <c r="A312" s="432" t="s">
        <v>374</v>
      </c>
      <c r="B312" s="405">
        <v>3</v>
      </c>
      <c r="C312" s="433" t="e">
        <f>SUMIF('[25]7'!C$28:C$48,B312,'[25]7'!M$28:M$48)</f>
        <v>#VALUE!</v>
      </c>
      <c r="E312" s="581" t="e">
        <f t="shared" ref="E312:E322" si="129">ROUND(C312*$E$340/$C$340,0)</f>
        <v>#VALUE!</v>
      </c>
      <c r="G312" s="434">
        <f>[25]Blocking1!M312</f>
        <v>14.6</v>
      </c>
      <c r="H312" s="435"/>
      <c r="I312" s="417" t="e">
        <f t="shared" ref="I312:I322" si="130">ROUND(G312*$C312,0)</f>
        <v>#VALUE!</v>
      </c>
      <c r="K312" s="417" t="e">
        <f t="shared" ref="K312:K322" si="131">ROUND(G312*$E312,0)</f>
        <v>#VALUE!</v>
      </c>
      <c r="M312" s="434" t="e">
        <f t="shared" ref="M312:M322" si="132">M232</f>
        <v>#VALUE!</v>
      </c>
      <c r="N312" s="435"/>
      <c r="O312" s="417" t="e">
        <f t="shared" ref="O312:O322" si="133">ROUND(M312*$E312,0)</f>
        <v>#VALUE!</v>
      </c>
      <c r="P312" s="417"/>
      <c r="Q312" s="436"/>
      <c r="R312" s="436"/>
      <c r="S312" s="570"/>
      <c r="T312" s="439" t="e">
        <f t="shared" ref="T312:T322" si="134">M312/G312-1</f>
        <v>#VALUE!</v>
      </c>
      <c r="AD312" s="400" t="e">
        <f>K312-[25]Blocking1!O312</f>
        <v>#VALUE!</v>
      </c>
    </row>
    <row r="313" spans="1:30">
      <c r="A313" s="432" t="s">
        <v>375</v>
      </c>
      <c r="B313" s="405">
        <v>4</v>
      </c>
      <c r="C313" s="433" t="e">
        <f>SUMIF('[25]7'!C$28:C$48,B313,'[25]7'!M$28:M$48)</f>
        <v>#VALUE!</v>
      </c>
      <c r="E313" s="581" t="e">
        <f t="shared" si="129"/>
        <v>#VALUE!</v>
      </c>
      <c r="G313" s="434">
        <f>[25]Blocking1!M313</f>
        <v>12.23</v>
      </c>
      <c r="H313" s="435"/>
      <c r="I313" s="417" t="e">
        <f t="shared" si="130"/>
        <v>#VALUE!</v>
      </c>
      <c r="K313" s="417" t="e">
        <f t="shared" si="131"/>
        <v>#VALUE!</v>
      </c>
      <c r="M313" s="434" t="e">
        <f t="shared" si="132"/>
        <v>#VALUE!</v>
      </c>
      <c r="N313" s="435"/>
      <c r="O313" s="417" t="e">
        <f t="shared" si="133"/>
        <v>#VALUE!</v>
      </c>
      <c r="P313" s="417"/>
      <c r="Q313" s="436"/>
      <c r="R313" s="436"/>
      <c r="S313" s="570"/>
      <c r="T313" s="439" t="e">
        <f t="shared" si="134"/>
        <v>#VALUE!</v>
      </c>
      <c r="AD313" s="400" t="e">
        <f>K313-[25]Blocking1!O313</f>
        <v>#VALUE!</v>
      </c>
    </row>
    <row r="314" spans="1:30">
      <c r="A314" s="432" t="s">
        <v>376</v>
      </c>
      <c r="B314" s="405">
        <v>5</v>
      </c>
      <c r="C314" s="433" t="e">
        <f>SUMIF('[25]7'!C$28:C$48,B314,'[25]7'!M$28:M$48)</f>
        <v>#VALUE!</v>
      </c>
      <c r="E314" s="581" t="e">
        <f t="shared" si="129"/>
        <v>#VALUE!</v>
      </c>
      <c r="G314" s="434">
        <f>[25]Blocking1!M314</f>
        <v>15.47</v>
      </c>
      <c r="H314" s="435"/>
      <c r="I314" s="417" t="e">
        <f t="shared" si="130"/>
        <v>#VALUE!</v>
      </c>
      <c r="K314" s="417" t="e">
        <f t="shared" si="131"/>
        <v>#VALUE!</v>
      </c>
      <c r="M314" s="434" t="e">
        <f t="shared" si="132"/>
        <v>#VALUE!</v>
      </c>
      <c r="N314" s="435"/>
      <c r="O314" s="417" t="e">
        <f t="shared" si="133"/>
        <v>#VALUE!</v>
      </c>
      <c r="P314" s="417"/>
      <c r="Q314" s="436"/>
      <c r="R314" s="436"/>
      <c r="S314" s="570"/>
      <c r="T314" s="439" t="e">
        <f t="shared" si="134"/>
        <v>#VALUE!</v>
      </c>
      <c r="AD314" s="400" t="e">
        <f>K314-[25]Blocking1!O314</f>
        <v>#VALUE!</v>
      </c>
    </row>
    <row r="315" spans="1:30">
      <c r="A315" s="432" t="s">
        <v>377</v>
      </c>
      <c r="B315" s="405">
        <v>6</v>
      </c>
      <c r="C315" s="433" t="e">
        <f>SUMIF('[25]7'!C$28:C$48,B315,'[25]7'!M$28:M$48)</f>
        <v>#VALUE!</v>
      </c>
      <c r="E315" s="581" t="e">
        <f t="shared" si="129"/>
        <v>#VALUE!</v>
      </c>
      <c r="G315" s="434">
        <f>[25]Blocking1!M315</f>
        <v>13.31</v>
      </c>
      <c r="H315" s="435"/>
      <c r="I315" s="417" t="e">
        <f t="shared" si="130"/>
        <v>#VALUE!</v>
      </c>
      <c r="K315" s="417" t="e">
        <f t="shared" si="131"/>
        <v>#VALUE!</v>
      </c>
      <c r="M315" s="434" t="e">
        <f t="shared" si="132"/>
        <v>#VALUE!</v>
      </c>
      <c r="N315" s="435"/>
      <c r="O315" s="417" t="e">
        <f t="shared" si="133"/>
        <v>#VALUE!</v>
      </c>
      <c r="P315" s="417"/>
      <c r="Q315" s="436"/>
      <c r="R315" s="436"/>
      <c r="S315" s="570"/>
      <c r="T315" s="439" t="e">
        <f t="shared" si="134"/>
        <v>#VALUE!</v>
      </c>
      <c r="AD315" s="400" t="e">
        <f>K315-[25]Blocking1!O315</f>
        <v>#VALUE!</v>
      </c>
    </row>
    <row r="316" spans="1:30">
      <c r="A316" s="432" t="s">
        <v>378</v>
      </c>
      <c r="B316" s="405">
        <v>7</v>
      </c>
      <c r="C316" s="433" t="e">
        <f>SUMIF('[25]7'!C$28:C$48,B316,'[25]7'!M$28:M$48)</f>
        <v>#VALUE!</v>
      </c>
      <c r="E316" s="581" t="e">
        <f t="shared" si="129"/>
        <v>#VALUE!</v>
      </c>
      <c r="G316" s="434">
        <f>[25]Blocking1!M316</f>
        <v>19.46</v>
      </c>
      <c r="H316" s="435"/>
      <c r="I316" s="417" t="e">
        <f t="shared" si="130"/>
        <v>#VALUE!</v>
      </c>
      <c r="K316" s="417" t="e">
        <f t="shared" si="131"/>
        <v>#VALUE!</v>
      </c>
      <c r="M316" s="434" t="e">
        <f t="shared" si="132"/>
        <v>#VALUE!</v>
      </c>
      <c r="N316" s="435"/>
      <c r="O316" s="417" t="e">
        <f t="shared" si="133"/>
        <v>#VALUE!</v>
      </c>
      <c r="P316" s="417"/>
      <c r="Q316" s="436"/>
      <c r="R316" s="436"/>
      <c r="S316" s="570"/>
      <c r="T316" s="439" t="e">
        <f t="shared" si="134"/>
        <v>#VALUE!</v>
      </c>
      <c r="AD316" s="400" t="e">
        <f>K316-[25]Blocking1!O316</f>
        <v>#VALUE!</v>
      </c>
    </row>
    <row r="317" spans="1:30">
      <c r="A317" s="432" t="s">
        <v>379</v>
      </c>
      <c r="B317" s="405">
        <v>8</v>
      </c>
      <c r="C317" s="433" t="e">
        <f>SUMIF('[25]7'!C$28:C$48,B317,'[25]7'!M$28:M$48)</f>
        <v>#VALUE!</v>
      </c>
      <c r="E317" s="581" t="e">
        <f t="shared" si="129"/>
        <v>#VALUE!</v>
      </c>
      <c r="G317" s="434">
        <f>[25]Blocking1!M317</f>
        <v>17.13</v>
      </c>
      <c r="H317" s="435"/>
      <c r="I317" s="417" t="e">
        <f t="shared" si="130"/>
        <v>#VALUE!</v>
      </c>
      <c r="K317" s="417" t="e">
        <f t="shared" si="131"/>
        <v>#VALUE!</v>
      </c>
      <c r="M317" s="434" t="e">
        <f t="shared" si="132"/>
        <v>#VALUE!</v>
      </c>
      <c r="N317" s="435"/>
      <c r="O317" s="417" t="e">
        <f t="shared" si="133"/>
        <v>#VALUE!</v>
      </c>
      <c r="P317" s="417"/>
      <c r="Q317" s="436"/>
      <c r="R317" s="436"/>
      <c r="S317" s="570"/>
      <c r="T317" s="439" t="e">
        <f t="shared" si="134"/>
        <v>#VALUE!</v>
      </c>
      <c r="AD317" s="400" t="e">
        <f>K317-[25]Blocking1!O317</f>
        <v>#VALUE!</v>
      </c>
    </row>
    <row r="318" spans="1:30">
      <c r="A318" s="432" t="s">
        <v>380</v>
      </c>
      <c r="B318" s="405">
        <v>9</v>
      </c>
      <c r="C318" s="433" t="e">
        <f>SUMIF('[25]7'!C$28:C$48,B318,'[25]7'!M$28:M$48)</f>
        <v>#VALUE!</v>
      </c>
      <c r="E318" s="581" t="e">
        <f t="shared" si="129"/>
        <v>#VALUE!</v>
      </c>
      <c r="G318" s="434">
        <f>[25]Blocking1!M318</f>
        <v>21.07</v>
      </c>
      <c r="H318" s="435"/>
      <c r="I318" s="417" t="e">
        <f t="shared" si="130"/>
        <v>#VALUE!</v>
      </c>
      <c r="K318" s="417" t="e">
        <f t="shared" si="131"/>
        <v>#VALUE!</v>
      </c>
      <c r="M318" s="434" t="e">
        <f t="shared" si="132"/>
        <v>#VALUE!</v>
      </c>
      <c r="N318" s="435"/>
      <c r="O318" s="417" t="e">
        <f t="shared" si="133"/>
        <v>#VALUE!</v>
      </c>
      <c r="P318" s="417"/>
      <c r="Q318" s="436"/>
      <c r="R318" s="436"/>
      <c r="S318" s="570"/>
      <c r="T318" s="439" t="e">
        <f t="shared" si="134"/>
        <v>#VALUE!</v>
      </c>
      <c r="AD318" s="400" t="e">
        <f>K318-[25]Blocking1!O318</f>
        <v>#VALUE!</v>
      </c>
    </row>
    <row r="319" spans="1:30">
      <c r="A319" s="432" t="s">
        <v>381</v>
      </c>
      <c r="B319" s="405">
        <v>10</v>
      </c>
      <c r="C319" s="433" t="e">
        <f>SUMIF('[25]7'!C$28:C$48,B319,'[25]7'!M$28:M$48)</f>
        <v>#VALUE!</v>
      </c>
      <c r="E319" s="581" t="e">
        <f t="shared" si="129"/>
        <v>#VALUE!</v>
      </c>
      <c r="G319" s="434">
        <f>[25]Blocking1!M319</f>
        <v>23.51</v>
      </c>
      <c r="H319" s="435"/>
      <c r="I319" s="417" t="e">
        <f t="shared" si="130"/>
        <v>#VALUE!</v>
      </c>
      <c r="K319" s="417" t="e">
        <f t="shared" si="131"/>
        <v>#VALUE!</v>
      </c>
      <c r="M319" s="434" t="e">
        <f t="shared" si="132"/>
        <v>#VALUE!</v>
      </c>
      <c r="N319" s="435"/>
      <c r="O319" s="417" t="e">
        <f t="shared" si="133"/>
        <v>#VALUE!</v>
      </c>
      <c r="P319" s="417"/>
      <c r="Q319" s="436"/>
      <c r="R319" s="436"/>
      <c r="S319" s="570"/>
      <c r="T319" s="439" t="e">
        <f t="shared" si="134"/>
        <v>#VALUE!</v>
      </c>
      <c r="AD319" s="400" t="e">
        <f>K319-[25]Blocking1!O319</f>
        <v>#VALUE!</v>
      </c>
    </row>
    <row r="320" spans="1:30">
      <c r="A320" s="432" t="s">
        <v>382</v>
      </c>
      <c r="B320" s="405">
        <v>11</v>
      </c>
      <c r="C320" s="433" t="e">
        <f>SUMIF('[25]7'!C$28:C$48,B320,'[25]7'!M$28:M$48)</f>
        <v>#VALUE!</v>
      </c>
      <c r="E320" s="581" t="e">
        <f t="shared" si="129"/>
        <v>#VALUE!</v>
      </c>
      <c r="G320" s="434">
        <f>[25]Blocking1!M320</f>
        <v>21.23</v>
      </c>
      <c r="H320" s="435"/>
      <c r="I320" s="417" t="e">
        <f t="shared" si="130"/>
        <v>#VALUE!</v>
      </c>
      <c r="K320" s="417" t="e">
        <f t="shared" si="131"/>
        <v>#VALUE!</v>
      </c>
      <c r="M320" s="434" t="e">
        <f t="shared" si="132"/>
        <v>#VALUE!</v>
      </c>
      <c r="N320" s="435"/>
      <c r="O320" s="417" t="e">
        <f t="shared" si="133"/>
        <v>#VALUE!</v>
      </c>
      <c r="P320" s="417"/>
      <c r="Q320" s="436"/>
      <c r="R320" s="436"/>
      <c r="S320" s="570"/>
      <c r="T320" s="439" t="e">
        <f t="shared" si="134"/>
        <v>#VALUE!</v>
      </c>
      <c r="AD320" s="400" t="e">
        <f>K320-[25]Blocking1!O320</f>
        <v>#VALUE!</v>
      </c>
    </row>
    <row r="321" spans="1:30">
      <c r="A321" s="432" t="s">
        <v>383</v>
      </c>
      <c r="B321" s="405">
        <v>12</v>
      </c>
      <c r="C321" s="433" t="e">
        <f>SUMIF('[25]7'!C$28:C$48,B321,'[25]7'!M$28:M$48)</f>
        <v>#VALUE!</v>
      </c>
      <c r="E321" s="581" t="e">
        <f t="shared" si="129"/>
        <v>#VALUE!</v>
      </c>
      <c r="G321" s="434">
        <f>[25]Blocking1!M321</f>
        <v>28.3</v>
      </c>
      <c r="H321" s="435"/>
      <c r="I321" s="417" t="e">
        <f t="shared" si="130"/>
        <v>#VALUE!</v>
      </c>
      <c r="K321" s="417" t="e">
        <f t="shared" si="131"/>
        <v>#VALUE!</v>
      </c>
      <c r="M321" s="434" t="e">
        <f t="shared" si="132"/>
        <v>#VALUE!</v>
      </c>
      <c r="N321" s="435"/>
      <c r="O321" s="417" t="e">
        <f t="shared" si="133"/>
        <v>#VALUE!</v>
      </c>
      <c r="P321" s="417"/>
      <c r="R321" s="405"/>
      <c r="S321" s="570"/>
      <c r="T321" s="439" t="e">
        <f t="shared" si="134"/>
        <v>#VALUE!</v>
      </c>
      <c r="AD321" s="400" t="e">
        <f>K321-[25]Blocking1!O321</f>
        <v>#VALUE!</v>
      </c>
    </row>
    <row r="322" spans="1:30">
      <c r="A322" s="432" t="s">
        <v>384</v>
      </c>
      <c r="B322" s="405">
        <v>13</v>
      </c>
      <c r="C322" s="433" t="e">
        <f>SUMIF('[25]7'!C$28:C$48,B322,'[25]7'!M$28:M$48)</f>
        <v>#VALUE!</v>
      </c>
      <c r="E322" s="581" t="e">
        <f t="shared" si="129"/>
        <v>#VALUE!</v>
      </c>
      <c r="G322" s="434">
        <f>[25]Blocking1!M322</f>
        <v>25.99</v>
      </c>
      <c r="H322" s="435"/>
      <c r="I322" s="417" t="e">
        <f t="shared" si="130"/>
        <v>#VALUE!</v>
      </c>
      <c r="K322" s="417" t="e">
        <f t="shared" si="131"/>
        <v>#VALUE!</v>
      </c>
      <c r="M322" s="434" t="e">
        <f t="shared" si="132"/>
        <v>#VALUE!</v>
      </c>
      <c r="N322" s="435"/>
      <c r="O322" s="417" t="e">
        <f t="shared" si="133"/>
        <v>#VALUE!</v>
      </c>
      <c r="P322" s="417"/>
      <c r="Q322" s="436"/>
      <c r="R322" s="436"/>
      <c r="S322" s="570"/>
      <c r="T322" s="439" t="e">
        <f t="shared" si="134"/>
        <v>#VALUE!</v>
      </c>
      <c r="AD322" s="400" t="e">
        <f>K322-[25]Blocking1!O322</f>
        <v>#VALUE!</v>
      </c>
    </row>
    <row r="323" spans="1:30">
      <c r="A323" s="480" t="s">
        <v>385</v>
      </c>
      <c r="C323" s="433"/>
      <c r="E323" s="581"/>
      <c r="I323" s="417"/>
      <c r="K323" s="417"/>
      <c r="M323" s="404"/>
      <c r="O323" s="417"/>
      <c r="P323" s="417"/>
      <c r="Q323" s="436"/>
      <c r="R323" s="436"/>
      <c r="S323" s="570"/>
      <c r="T323" s="570"/>
      <c r="AD323" s="400">
        <f>K323-[25]Blocking1!O323</f>
        <v>0</v>
      </c>
    </row>
    <row r="324" spans="1:30">
      <c r="A324" s="432" t="s">
        <v>378</v>
      </c>
      <c r="B324" s="405">
        <v>14</v>
      </c>
      <c r="C324" s="433" t="e">
        <f>SUMIF('[25]7'!C$28:C$48,B324,'[25]7'!M$28:M$48)</f>
        <v>#VALUE!</v>
      </c>
      <c r="E324" s="581" t="e">
        <f t="shared" ref="E324:E329" si="135">ROUND(C324*$E$340/$C$340,0)</f>
        <v>#VALUE!</v>
      </c>
      <c r="G324" s="434">
        <f>[25]Blocking1!M324</f>
        <v>19.46</v>
      </c>
      <c r="H324" s="435"/>
      <c r="I324" s="417" t="e">
        <f t="shared" ref="I324:I329" si="136">ROUND(G324*$C324,0)</f>
        <v>#VALUE!</v>
      </c>
      <c r="K324" s="417" t="e">
        <f t="shared" ref="K324:K329" si="137">ROUND(G324*$E324,0)</f>
        <v>#VALUE!</v>
      </c>
      <c r="M324" s="434" t="e">
        <f t="shared" ref="M324:M329" si="138">M244</f>
        <v>#VALUE!</v>
      </c>
      <c r="N324" s="435"/>
      <c r="O324" s="417" t="e">
        <f t="shared" ref="O324:O329" si="139">ROUND(M324*$E324,0)</f>
        <v>#VALUE!</v>
      </c>
      <c r="Q324" s="436"/>
      <c r="R324" s="436"/>
      <c r="S324" s="570"/>
      <c r="T324" s="439" t="e">
        <f t="shared" ref="T324:T329" si="140">M324/G324-1</f>
        <v>#VALUE!</v>
      </c>
      <c r="AD324" s="400" t="e">
        <f>K324-[25]Blocking1!O324</f>
        <v>#VALUE!</v>
      </c>
    </row>
    <row r="325" spans="1:30">
      <c r="A325" s="432" t="s">
        <v>379</v>
      </c>
      <c r="B325" s="405">
        <v>15</v>
      </c>
      <c r="C325" s="433" t="e">
        <f>SUMIF('[25]7'!C$28:C$48,B325,'[25]7'!M$28:M$48)</f>
        <v>#VALUE!</v>
      </c>
      <c r="E325" s="581" t="e">
        <f t="shared" si="135"/>
        <v>#VALUE!</v>
      </c>
      <c r="G325" s="434">
        <f>[25]Blocking1!M325</f>
        <v>17.13</v>
      </c>
      <c r="H325" s="435"/>
      <c r="I325" s="417" t="e">
        <f t="shared" si="136"/>
        <v>#VALUE!</v>
      </c>
      <c r="K325" s="417" t="e">
        <f t="shared" si="137"/>
        <v>#VALUE!</v>
      </c>
      <c r="M325" s="434" t="e">
        <f t="shared" si="138"/>
        <v>#VALUE!</v>
      </c>
      <c r="N325" s="435"/>
      <c r="O325" s="417" t="e">
        <f t="shared" si="139"/>
        <v>#VALUE!</v>
      </c>
      <c r="P325" s="417"/>
      <c r="Q325" s="436"/>
      <c r="R325" s="436"/>
      <c r="S325" s="570"/>
      <c r="T325" s="439" t="e">
        <f t="shared" si="140"/>
        <v>#VALUE!</v>
      </c>
      <c r="AD325" s="400" t="e">
        <f>K325-[25]Blocking1!O325</f>
        <v>#VALUE!</v>
      </c>
    </row>
    <row r="326" spans="1:30">
      <c r="A326" s="432" t="s">
        <v>381</v>
      </c>
      <c r="B326" s="405">
        <v>16</v>
      </c>
      <c r="C326" s="433" t="e">
        <f>SUMIF('[25]7'!C$28:C$48,B326,'[25]7'!M$28:M$48)</f>
        <v>#VALUE!</v>
      </c>
      <c r="E326" s="581" t="e">
        <f t="shared" si="135"/>
        <v>#VALUE!</v>
      </c>
      <c r="G326" s="434">
        <f>[25]Blocking1!M326</f>
        <v>23.51</v>
      </c>
      <c r="H326" s="435"/>
      <c r="I326" s="417" t="e">
        <f t="shared" si="136"/>
        <v>#VALUE!</v>
      </c>
      <c r="K326" s="417" t="e">
        <f t="shared" si="137"/>
        <v>#VALUE!</v>
      </c>
      <c r="M326" s="434" t="e">
        <f t="shared" si="138"/>
        <v>#VALUE!</v>
      </c>
      <c r="N326" s="435"/>
      <c r="O326" s="417" t="e">
        <f t="shared" si="139"/>
        <v>#VALUE!</v>
      </c>
      <c r="P326" s="417"/>
      <c r="Q326" s="436"/>
      <c r="R326" s="436"/>
      <c r="S326" s="570"/>
      <c r="T326" s="439" t="e">
        <f t="shared" si="140"/>
        <v>#VALUE!</v>
      </c>
      <c r="AD326" s="400" t="e">
        <f>K326-[25]Blocking1!O326</f>
        <v>#VALUE!</v>
      </c>
    </row>
    <row r="327" spans="1:30">
      <c r="A327" s="432" t="s">
        <v>382</v>
      </c>
      <c r="B327" s="405">
        <v>17</v>
      </c>
      <c r="C327" s="433" t="e">
        <f>SUMIF('[25]7'!C$28:C$48,B327,'[25]7'!M$28:M$48)</f>
        <v>#VALUE!</v>
      </c>
      <c r="E327" s="581" t="e">
        <f t="shared" si="135"/>
        <v>#VALUE!</v>
      </c>
      <c r="G327" s="434">
        <f>[25]Blocking1!M327</f>
        <v>21.23</v>
      </c>
      <c r="H327" s="435"/>
      <c r="I327" s="417" t="e">
        <f t="shared" si="136"/>
        <v>#VALUE!</v>
      </c>
      <c r="K327" s="417" t="e">
        <f t="shared" si="137"/>
        <v>#VALUE!</v>
      </c>
      <c r="M327" s="434" t="e">
        <f t="shared" si="138"/>
        <v>#VALUE!</v>
      </c>
      <c r="N327" s="435"/>
      <c r="O327" s="417" t="e">
        <f t="shared" si="139"/>
        <v>#VALUE!</v>
      </c>
      <c r="P327" s="417"/>
      <c r="Q327" s="436"/>
      <c r="R327" s="436"/>
      <c r="S327" s="570"/>
      <c r="T327" s="439" t="e">
        <f t="shared" si="140"/>
        <v>#VALUE!</v>
      </c>
      <c r="AD327" s="400" t="e">
        <f>K327-[25]Blocking1!O327</f>
        <v>#VALUE!</v>
      </c>
    </row>
    <row r="328" spans="1:30">
      <c r="A328" s="432" t="s">
        <v>383</v>
      </c>
      <c r="B328" s="405">
        <v>18</v>
      </c>
      <c r="C328" s="433" t="e">
        <f>SUMIF('[25]7'!C$28:C$48,B328,'[25]7'!M$28:M$48)</f>
        <v>#VALUE!</v>
      </c>
      <c r="E328" s="581" t="e">
        <f t="shared" si="135"/>
        <v>#VALUE!</v>
      </c>
      <c r="G328" s="434">
        <f>[25]Blocking1!M328</f>
        <v>28.3</v>
      </c>
      <c r="H328" s="435"/>
      <c r="I328" s="417" t="e">
        <f t="shared" si="136"/>
        <v>#VALUE!</v>
      </c>
      <c r="K328" s="417" t="e">
        <f t="shared" si="137"/>
        <v>#VALUE!</v>
      </c>
      <c r="M328" s="434" t="e">
        <f t="shared" si="138"/>
        <v>#VALUE!</v>
      </c>
      <c r="N328" s="435"/>
      <c r="O328" s="417" t="e">
        <f t="shared" si="139"/>
        <v>#VALUE!</v>
      </c>
      <c r="P328" s="417"/>
      <c r="R328" s="405"/>
      <c r="S328" s="570"/>
      <c r="T328" s="439" t="e">
        <f t="shared" si="140"/>
        <v>#VALUE!</v>
      </c>
      <c r="AD328" s="400" t="e">
        <f>K328-[25]Blocking1!O328</f>
        <v>#VALUE!</v>
      </c>
    </row>
    <row r="329" spans="1:30">
      <c r="A329" s="432" t="s">
        <v>384</v>
      </c>
      <c r="B329" s="405">
        <v>19</v>
      </c>
      <c r="C329" s="433" t="e">
        <f>SUMIF('[25]7'!C$28:C$48,B329,'[25]7'!M$28:M$48)</f>
        <v>#VALUE!</v>
      </c>
      <c r="E329" s="581" t="e">
        <f t="shared" si="135"/>
        <v>#VALUE!</v>
      </c>
      <c r="G329" s="434">
        <f>[25]Blocking1!M329</f>
        <v>25.99</v>
      </c>
      <c r="H329" s="435"/>
      <c r="I329" s="417" t="e">
        <f t="shared" si="136"/>
        <v>#VALUE!</v>
      </c>
      <c r="K329" s="417" t="e">
        <f t="shared" si="137"/>
        <v>#VALUE!</v>
      </c>
      <c r="M329" s="434" t="e">
        <f t="shared" si="138"/>
        <v>#VALUE!</v>
      </c>
      <c r="N329" s="435"/>
      <c r="O329" s="417" t="e">
        <f t="shared" si="139"/>
        <v>#VALUE!</v>
      </c>
      <c r="P329" s="417"/>
      <c r="Q329" s="436"/>
      <c r="R329" s="436"/>
      <c r="T329" s="439" t="e">
        <f t="shared" si="140"/>
        <v>#VALUE!</v>
      </c>
      <c r="AD329" s="400" t="e">
        <f>K329-[25]Blocking1!O329</f>
        <v>#VALUE!</v>
      </c>
    </row>
    <row r="330" spans="1:30">
      <c r="A330" s="480" t="s">
        <v>386</v>
      </c>
      <c r="C330" s="433"/>
      <c r="E330" s="581"/>
      <c r="M330" s="404"/>
      <c r="P330" s="417"/>
      <c r="Q330" s="436"/>
      <c r="R330" s="436"/>
      <c r="T330" s="570"/>
      <c r="AD330" s="400">
        <f>K330-[25]Blocking1!O330</f>
        <v>0</v>
      </c>
    </row>
    <row r="331" spans="1:30">
      <c r="A331" s="432" t="s">
        <v>387</v>
      </c>
      <c r="B331" s="405">
        <v>20</v>
      </c>
      <c r="C331" s="433" t="e">
        <f>SUMIF('[25]7'!C$28:C$48,B331,'[25]7'!M$28:M$48)</f>
        <v>#VALUE!</v>
      </c>
      <c r="E331" s="581" t="e">
        <f t="shared" ref="E331:E338" si="141">ROUND(C331*$E$340/$C$340,0)</f>
        <v>#VALUE!</v>
      </c>
      <c r="G331" s="434">
        <f>[25]Blocking1!M331</f>
        <v>29.4</v>
      </c>
      <c r="H331" s="435"/>
      <c r="I331" s="417" t="e">
        <f t="shared" ref="I331:I338" si="142">ROUND(G331*$C331,0)</f>
        <v>#VALUE!</v>
      </c>
      <c r="K331" s="417" t="e">
        <f t="shared" ref="K331:K338" si="143">ROUND(G331*$E331,0)</f>
        <v>#VALUE!</v>
      </c>
      <c r="M331" s="434" t="e">
        <f t="shared" ref="M331:M338" si="144">M251</f>
        <v>#VALUE!</v>
      </c>
      <c r="N331" s="435"/>
      <c r="O331" s="417" t="e">
        <f t="shared" ref="O331:O338" si="145">ROUND(M331*$E331,0)</f>
        <v>#VALUE!</v>
      </c>
      <c r="P331" s="417"/>
      <c r="Q331" s="436"/>
      <c r="R331" s="436"/>
      <c r="T331" s="439" t="e">
        <f t="shared" ref="T331:T338" si="146">M331/G331-1</f>
        <v>#VALUE!</v>
      </c>
      <c r="AD331" s="400" t="e">
        <f>K331-[25]Blocking1!O331</f>
        <v>#VALUE!</v>
      </c>
    </row>
    <row r="332" spans="1:30">
      <c r="A332" s="432" t="s">
        <v>388</v>
      </c>
      <c r="B332" s="405">
        <v>21</v>
      </c>
      <c r="C332" s="433" t="e">
        <f>SUMIF('[25]7'!C$28:C$48,B332,'[25]7'!M$28:M$48)</f>
        <v>#VALUE!</v>
      </c>
      <c r="E332" s="581" t="e">
        <f t="shared" si="141"/>
        <v>#VALUE!</v>
      </c>
      <c r="G332" s="434">
        <f>[25]Blocking1!M332</f>
        <v>21.79</v>
      </c>
      <c r="H332" s="435"/>
      <c r="I332" s="417" t="e">
        <f t="shared" si="142"/>
        <v>#VALUE!</v>
      </c>
      <c r="K332" s="417" t="e">
        <f t="shared" si="143"/>
        <v>#VALUE!</v>
      </c>
      <c r="M332" s="434" t="e">
        <f t="shared" si="144"/>
        <v>#VALUE!</v>
      </c>
      <c r="N332" s="435"/>
      <c r="O332" s="417" t="e">
        <f t="shared" si="145"/>
        <v>#VALUE!</v>
      </c>
      <c r="P332" s="417"/>
      <c r="Q332" s="436"/>
      <c r="R332" s="436"/>
      <c r="T332" s="439" t="e">
        <f t="shared" si="146"/>
        <v>#VALUE!</v>
      </c>
      <c r="AD332" s="400" t="e">
        <f>K332-[25]Blocking1!O332</f>
        <v>#VALUE!</v>
      </c>
    </row>
    <row r="333" spans="1:30">
      <c r="A333" s="432" t="s">
        <v>389</v>
      </c>
      <c r="B333" s="405">
        <v>22</v>
      </c>
      <c r="C333" s="433" t="e">
        <f>SUMIF('[25]7'!C$28:C$48,B333,'[25]7'!M$28:M$48)</f>
        <v>#VALUE!</v>
      </c>
      <c r="E333" s="581" t="e">
        <f t="shared" si="141"/>
        <v>#VALUE!</v>
      </c>
      <c r="G333" s="434">
        <f>[25]Blocking1!M333</f>
        <v>34.340000000000003</v>
      </c>
      <c r="H333" s="435"/>
      <c r="I333" s="417" t="e">
        <f t="shared" si="142"/>
        <v>#VALUE!</v>
      </c>
      <c r="K333" s="417" t="e">
        <f t="shared" si="143"/>
        <v>#VALUE!</v>
      </c>
      <c r="M333" s="434" t="e">
        <f t="shared" si="144"/>
        <v>#VALUE!</v>
      </c>
      <c r="N333" s="435"/>
      <c r="O333" s="417" t="e">
        <f t="shared" si="145"/>
        <v>#VALUE!</v>
      </c>
      <c r="P333" s="530"/>
      <c r="Q333" s="436"/>
      <c r="R333" s="436"/>
      <c r="T333" s="439" t="e">
        <f t="shared" si="146"/>
        <v>#VALUE!</v>
      </c>
      <c r="U333" s="440"/>
      <c r="AD333" s="400" t="e">
        <f>K333-[25]Blocking1!O333</f>
        <v>#VALUE!</v>
      </c>
    </row>
    <row r="334" spans="1:30">
      <c r="A334" s="432" t="s">
        <v>390</v>
      </c>
      <c r="B334" s="405">
        <v>23</v>
      </c>
      <c r="C334" s="433" t="e">
        <f>SUMIF('[25]7'!C$28:C$48,B334,'[25]7'!M$28:M$48)</f>
        <v>#VALUE!</v>
      </c>
      <c r="E334" s="581" t="e">
        <f t="shared" si="141"/>
        <v>#VALUE!</v>
      </c>
      <c r="G334" s="434">
        <f>[25]Blocking1!M334</f>
        <v>27.43</v>
      </c>
      <c r="H334" s="435"/>
      <c r="I334" s="417" t="e">
        <f t="shared" si="142"/>
        <v>#VALUE!</v>
      </c>
      <c r="K334" s="417" t="e">
        <f t="shared" si="143"/>
        <v>#VALUE!</v>
      </c>
      <c r="M334" s="434" t="e">
        <f t="shared" si="144"/>
        <v>#VALUE!</v>
      </c>
      <c r="N334" s="435"/>
      <c r="O334" s="417" t="e">
        <f t="shared" si="145"/>
        <v>#VALUE!</v>
      </c>
      <c r="P334" s="530"/>
      <c r="Q334" s="436"/>
      <c r="R334" s="436"/>
      <c r="T334" s="439" t="e">
        <f t="shared" si="146"/>
        <v>#VALUE!</v>
      </c>
      <c r="AD334" s="400" t="e">
        <f>K334-[25]Blocking1!O334</f>
        <v>#VALUE!</v>
      </c>
    </row>
    <row r="335" spans="1:30" s="440" customFormat="1">
      <c r="A335" s="432" t="s">
        <v>391</v>
      </c>
      <c r="B335" s="405">
        <v>24</v>
      </c>
      <c r="C335" s="433" t="e">
        <f>SUMIF('[25]7'!C$28:C$48,B335,'[25]7'!M$28:M$48)</f>
        <v>#VALUE!</v>
      </c>
      <c r="D335" s="407"/>
      <c r="E335" s="581" t="e">
        <f t="shared" si="141"/>
        <v>#VALUE!</v>
      </c>
      <c r="F335" s="407"/>
      <c r="G335" s="434">
        <f>[25]Blocking1!M335</f>
        <v>36.69</v>
      </c>
      <c r="H335" s="435"/>
      <c r="I335" s="417" t="e">
        <f t="shared" si="142"/>
        <v>#VALUE!</v>
      </c>
      <c r="J335" s="407"/>
      <c r="K335" s="417" t="e">
        <f t="shared" si="143"/>
        <v>#VALUE!</v>
      </c>
      <c r="L335" s="407"/>
      <c r="M335" s="434" t="e">
        <f t="shared" si="144"/>
        <v>#VALUE!</v>
      </c>
      <c r="N335" s="435"/>
      <c r="O335" s="417" t="e">
        <f t="shared" si="145"/>
        <v>#VALUE!</v>
      </c>
      <c r="P335" s="579"/>
      <c r="Q335" s="589"/>
      <c r="R335" s="497"/>
      <c r="S335" s="400"/>
      <c r="T335" s="439" t="e">
        <f t="shared" si="146"/>
        <v>#VALUE!</v>
      </c>
      <c r="U335" s="400"/>
      <c r="AD335" s="400" t="e">
        <f>K335-[25]Blocking1!O335</f>
        <v>#VALUE!</v>
      </c>
    </row>
    <row r="336" spans="1:30">
      <c r="A336" s="432" t="s">
        <v>392</v>
      </c>
      <c r="B336" s="405">
        <v>25</v>
      </c>
      <c r="C336" s="433" t="e">
        <f>SUMIF('[25]7'!C$28:C$48,B336,'[25]7'!M$28:M$48)</f>
        <v>#VALUE!</v>
      </c>
      <c r="E336" s="581" t="e">
        <f t="shared" si="141"/>
        <v>#VALUE!</v>
      </c>
      <c r="G336" s="434">
        <f>[25]Blocking1!M336</f>
        <v>29.72</v>
      </c>
      <c r="H336" s="435"/>
      <c r="I336" s="417" t="e">
        <f t="shared" si="142"/>
        <v>#VALUE!</v>
      </c>
      <c r="K336" s="417" t="e">
        <f t="shared" si="143"/>
        <v>#VALUE!</v>
      </c>
      <c r="M336" s="434" t="e">
        <f t="shared" si="144"/>
        <v>#VALUE!</v>
      </c>
      <c r="N336" s="435"/>
      <c r="O336" s="417" t="e">
        <f t="shared" si="145"/>
        <v>#VALUE!</v>
      </c>
      <c r="Q336" s="589"/>
      <c r="R336" s="497"/>
      <c r="T336" s="439" t="e">
        <f t="shared" si="146"/>
        <v>#VALUE!</v>
      </c>
      <c r="AD336" s="400" t="e">
        <f>K336-[25]Blocking1!O336</f>
        <v>#VALUE!</v>
      </c>
    </row>
    <row r="337" spans="1:30">
      <c r="A337" s="432" t="s">
        <v>393</v>
      </c>
      <c r="B337" s="405">
        <v>26</v>
      </c>
      <c r="C337" s="433" t="e">
        <f>SUMIF('[25]7'!C$28:C$48,B337,'[25]7'!M$28:M$48)</f>
        <v>#VALUE!</v>
      </c>
      <c r="E337" s="581" t="e">
        <f t="shared" si="141"/>
        <v>#VALUE!</v>
      </c>
      <c r="G337" s="434">
        <f>[25]Blocking1!M337</f>
        <v>57.58</v>
      </c>
      <c r="H337" s="435"/>
      <c r="I337" s="417" t="e">
        <f t="shared" si="142"/>
        <v>#VALUE!</v>
      </c>
      <c r="K337" s="417" t="e">
        <f t="shared" si="143"/>
        <v>#VALUE!</v>
      </c>
      <c r="M337" s="434" t="e">
        <f t="shared" si="144"/>
        <v>#VALUE!</v>
      </c>
      <c r="N337" s="435"/>
      <c r="O337" s="417" t="e">
        <f t="shared" si="145"/>
        <v>#VALUE!</v>
      </c>
      <c r="P337" s="530"/>
      <c r="Q337" s="590"/>
      <c r="R337" s="497"/>
      <c r="S337" s="580"/>
      <c r="T337" s="439" t="e">
        <f t="shared" si="146"/>
        <v>#VALUE!</v>
      </c>
      <c r="AD337" s="400" t="e">
        <f>K337-[25]Blocking1!O337</f>
        <v>#VALUE!</v>
      </c>
    </row>
    <row r="338" spans="1:30">
      <c r="A338" s="432" t="s">
        <v>394</v>
      </c>
      <c r="B338" s="405">
        <v>27</v>
      </c>
      <c r="C338" s="433" t="e">
        <f>SUMIF('[25]7'!C$28:C$48,B338,'[25]7'!M$28:M$48)</f>
        <v>#VALUE!</v>
      </c>
      <c r="E338" s="581" t="e">
        <f t="shared" si="141"/>
        <v>#VALUE!</v>
      </c>
      <c r="G338" s="434">
        <f>[25]Blocking1!M338</f>
        <v>49.1</v>
      </c>
      <c r="H338" s="435"/>
      <c r="I338" s="417" t="e">
        <f t="shared" si="142"/>
        <v>#VALUE!</v>
      </c>
      <c r="K338" s="417" t="e">
        <f t="shared" si="143"/>
        <v>#VALUE!</v>
      </c>
      <c r="M338" s="434" t="e">
        <f t="shared" si="144"/>
        <v>#VALUE!</v>
      </c>
      <c r="N338" s="435"/>
      <c r="O338" s="417" t="e">
        <f t="shared" si="145"/>
        <v>#VALUE!</v>
      </c>
      <c r="P338" s="497"/>
      <c r="Q338" s="521"/>
      <c r="R338" s="568"/>
      <c r="T338" s="439" t="e">
        <f t="shared" si="146"/>
        <v>#VALUE!</v>
      </c>
      <c r="AD338" s="400" t="e">
        <f>K338-[25]Blocking1!O338</f>
        <v>#VALUE!</v>
      </c>
    </row>
    <row r="339" spans="1:30">
      <c r="A339" s="432" t="s">
        <v>182</v>
      </c>
      <c r="B339" s="416"/>
      <c r="C339" s="581" t="e">
        <f>SUM(C307:C338)</f>
        <v>#VALUE!</v>
      </c>
      <c r="D339" s="521"/>
      <c r="E339" s="581" t="e">
        <f>SUM(E307:E338)</f>
        <v>#VALUE!</v>
      </c>
      <c r="F339" s="521"/>
      <c r="H339" s="521"/>
      <c r="I339" s="530" t="e">
        <f>SUM(I307:I338)</f>
        <v>#VALUE!</v>
      </c>
      <c r="J339" s="521"/>
      <c r="K339" s="530" t="e">
        <f>SUM(K307:K338)</f>
        <v>#VALUE!</v>
      </c>
      <c r="L339" s="521"/>
      <c r="M339" s="404"/>
      <c r="N339" s="521"/>
      <c r="O339" s="530" t="e">
        <f>SUM(O307:O338)</f>
        <v>#VALUE!</v>
      </c>
      <c r="P339" s="497"/>
      <c r="Q339" s="521"/>
      <c r="R339" s="568"/>
      <c r="AD339" s="400" t="e">
        <f>K339-[25]Blocking1!O339</f>
        <v>#VALUE!</v>
      </c>
    </row>
    <row r="340" spans="1:30">
      <c r="A340" s="432" t="s">
        <v>395</v>
      </c>
      <c r="C340" s="426">
        <f>'[25]7'!N81</f>
        <v>1239069.4789407332</v>
      </c>
      <c r="E340" s="591">
        <f>E343</f>
        <v>1323905.5139613608</v>
      </c>
      <c r="I340" s="530"/>
      <c r="K340" s="530"/>
      <c r="M340" s="404"/>
      <c r="O340" s="530"/>
      <c r="Q340" s="523"/>
      <c r="R340" s="568"/>
      <c r="S340" s="535"/>
      <c r="AD340" s="400">
        <f>K340-[25]Blocking1!O340</f>
        <v>0</v>
      </c>
    </row>
    <row r="341" spans="1:30">
      <c r="A341" s="432" t="s">
        <v>190</v>
      </c>
      <c r="C341" s="582">
        <f>'[25]Table 2'!J71</f>
        <v>10977</v>
      </c>
      <c r="E341" s="582">
        <v>0</v>
      </c>
      <c r="G341" s="584"/>
      <c r="I341" s="585">
        <f>'[25]Table 3'!F71</f>
        <v>2950</v>
      </c>
      <c r="K341" s="585">
        <v>0</v>
      </c>
      <c r="M341" s="584"/>
      <c r="O341" s="585">
        <v>0</v>
      </c>
      <c r="Q341" s="521"/>
      <c r="R341" s="568"/>
      <c r="S341" s="535"/>
      <c r="T341" s="580"/>
      <c r="AD341" s="400">
        <f>K341-[25]Blocking1!O341</f>
        <v>0</v>
      </c>
    </row>
    <row r="342" spans="1:30">
      <c r="A342" s="432" t="s">
        <v>173</v>
      </c>
      <c r="C342" s="433">
        <f>'[25]Table 2'!F71</f>
        <v>473.08333333333297</v>
      </c>
      <c r="E342" s="550">
        <f>ROUND([25]Bill!P36/12,0)</f>
        <v>454</v>
      </c>
      <c r="M342" s="404"/>
      <c r="P342" s="417"/>
      <c r="S342" s="535"/>
      <c r="AD342" s="400">
        <f>K342-[25]Blocking1!O342</f>
        <v>0</v>
      </c>
    </row>
    <row r="343" spans="1:30" ht="16.5" thickBot="1">
      <c r="A343" s="432" t="s">
        <v>396</v>
      </c>
      <c r="C343" s="586">
        <f>C340+C341</f>
        <v>1250046.4789407332</v>
      </c>
      <c r="E343" s="592">
        <f>[25]Energy!P36</f>
        <v>1323905.5139613608</v>
      </c>
      <c r="G343" s="510"/>
      <c r="I343" s="588" t="e">
        <f>I341+I339</f>
        <v>#VALUE!</v>
      </c>
      <c r="K343" s="588" t="e">
        <f>K341+K339</f>
        <v>#VALUE!</v>
      </c>
      <c r="M343" s="510"/>
      <c r="O343" s="588" t="e">
        <f>O341+O339</f>
        <v>#VALUE!</v>
      </c>
      <c r="P343" s="417"/>
      <c r="S343" s="535"/>
      <c r="AD343" s="400" t="e">
        <f>K343-[25]Blocking1!O343</f>
        <v>#VALUE!</v>
      </c>
    </row>
    <row r="344" spans="1:30" ht="16.5" thickTop="1">
      <c r="D344" s="551"/>
      <c r="F344" s="551"/>
      <c r="J344" s="551"/>
      <c r="L344" s="551"/>
      <c r="P344" s="417"/>
      <c r="S344" s="570"/>
      <c r="AD344" s="400">
        <f>K344-[25]Blocking1!O344</f>
        <v>0</v>
      </c>
    </row>
    <row r="345" spans="1:30">
      <c r="A345" s="428" t="s">
        <v>641</v>
      </c>
      <c r="C345" s="406"/>
      <c r="E345" s="406"/>
      <c r="P345" s="417"/>
      <c r="R345" s="405"/>
      <c r="S345" s="570"/>
      <c r="T345" s="570"/>
      <c r="AD345" s="400">
        <f>K345-[25]Blocking1!O345</f>
        <v>0</v>
      </c>
    </row>
    <row r="346" spans="1:30">
      <c r="A346" s="480" t="s">
        <v>368</v>
      </c>
      <c r="C346" s="406"/>
      <c r="E346" s="406"/>
      <c r="I346" s="417"/>
      <c r="K346" s="417"/>
      <c r="O346" s="417"/>
      <c r="P346" s="417"/>
      <c r="Q346" s="436"/>
      <c r="R346" s="436"/>
      <c r="S346" s="570"/>
      <c r="T346" s="570"/>
      <c r="AD346" s="400">
        <f>K346-[25]Blocking1!O346</f>
        <v>0</v>
      </c>
    </row>
    <row r="347" spans="1:30">
      <c r="A347" s="432" t="s">
        <v>369</v>
      </c>
      <c r="B347" s="405">
        <v>29</v>
      </c>
      <c r="C347" s="433" t="e">
        <f>SUMIF('[25]7'!C$49:C$57,B347,'[25]7'!M$49:M$57)</f>
        <v>#VALUE!</v>
      </c>
      <c r="E347" s="581" t="e">
        <f>ROUND(C347*$E$380/$C$380,0)</f>
        <v>#VALUE!</v>
      </c>
      <c r="G347" s="434">
        <f>[25]Blocking1!M347</f>
        <v>5.68</v>
      </c>
      <c r="H347" s="435"/>
      <c r="I347" s="417" t="e">
        <f>ROUND(G347*$C347,0)</f>
        <v>#VALUE!</v>
      </c>
      <c r="K347" s="417" t="e">
        <f>ROUND(G347*$E347,0)</f>
        <v>#VALUE!</v>
      </c>
      <c r="M347" s="434" t="e">
        <f>M227</f>
        <v>#VALUE!</v>
      </c>
      <c r="N347" s="435"/>
      <c r="O347" s="552" t="e">
        <f>ROUND(M347*$E347,0)</f>
        <v>#VALUE!</v>
      </c>
      <c r="P347" s="417"/>
      <c r="Q347" s="436"/>
      <c r="R347" s="436"/>
      <c r="S347" s="570"/>
      <c r="T347" s="439" t="e">
        <f t="shared" ref="T347:T350" si="147">M347/G347-1</f>
        <v>#VALUE!</v>
      </c>
      <c r="AD347" s="400" t="e">
        <f>K347-[25]Blocking1!O347</f>
        <v>#VALUE!</v>
      </c>
    </row>
    <row r="348" spans="1:30">
      <c r="A348" s="432" t="s">
        <v>370</v>
      </c>
      <c r="B348" s="405">
        <v>1</v>
      </c>
      <c r="C348" s="433" t="e">
        <f>SUMIF('[25]7'!C$49:C$57,B348,'[25]7'!M$49:M$57)</f>
        <v>#VALUE!</v>
      </c>
      <c r="E348" s="581" t="e">
        <f t="shared" ref="E348:E350" si="148">ROUND(C348*$E$380/$C$380,0)</f>
        <v>#VALUE!</v>
      </c>
      <c r="G348" s="434">
        <f>[25]Blocking1!M348</f>
        <v>16.38</v>
      </c>
      <c r="H348" s="435"/>
      <c r="I348" s="417" t="e">
        <f>ROUND(G348*$C348,0)</f>
        <v>#VALUE!</v>
      </c>
      <c r="K348" s="417" t="e">
        <f>ROUND(G348*$E348,0)</f>
        <v>#VALUE!</v>
      </c>
      <c r="M348" s="434" t="e">
        <f t="shared" ref="M348:M350" si="149">M228</f>
        <v>#VALUE!</v>
      </c>
      <c r="N348" s="435"/>
      <c r="O348" s="417" t="e">
        <f>ROUND(M348*$E348,0)</f>
        <v>#VALUE!</v>
      </c>
      <c r="P348" s="417"/>
      <c r="Q348" s="436"/>
      <c r="R348" s="436"/>
      <c r="S348" s="570"/>
      <c r="T348" s="439" t="e">
        <f t="shared" si="147"/>
        <v>#VALUE!</v>
      </c>
      <c r="AD348" s="400" t="e">
        <f>K348-[25]Blocking1!O348</f>
        <v>#VALUE!</v>
      </c>
    </row>
    <row r="349" spans="1:30">
      <c r="A349" s="432" t="s">
        <v>371</v>
      </c>
      <c r="B349" s="405">
        <v>28</v>
      </c>
      <c r="C349" s="433" t="e">
        <f>SUMIF('[25]7'!C$49:C$57,B349,'[25]7'!M$49:M$57)</f>
        <v>#VALUE!</v>
      </c>
      <c r="E349" s="581" t="e">
        <f t="shared" si="148"/>
        <v>#VALUE!</v>
      </c>
      <c r="G349" s="434">
        <f>[25]Blocking1!M349</f>
        <v>8.0500000000000007</v>
      </c>
      <c r="H349" s="435"/>
      <c r="I349" s="417" t="e">
        <f>ROUND(G349*$C349,0)</f>
        <v>#VALUE!</v>
      </c>
      <c r="K349" s="417" t="e">
        <f>ROUND(G349*$E349,0)</f>
        <v>#VALUE!</v>
      </c>
      <c r="M349" s="434" t="e">
        <f t="shared" si="149"/>
        <v>#VALUE!</v>
      </c>
      <c r="N349" s="435"/>
      <c r="O349" s="417" t="e">
        <f>ROUND(M349*$E349,0)</f>
        <v>#VALUE!</v>
      </c>
      <c r="P349" s="417"/>
      <c r="R349" s="405"/>
      <c r="S349" s="570"/>
      <c r="T349" s="439" t="e">
        <f t="shared" si="147"/>
        <v>#VALUE!</v>
      </c>
      <c r="AD349" s="400" t="e">
        <f>K349-[25]Blocking1!O349</f>
        <v>#VALUE!</v>
      </c>
    </row>
    <row r="350" spans="1:30">
      <c r="A350" s="432" t="s">
        <v>372</v>
      </c>
      <c r="B350" s="405">
        <v>2</v>
      </c>
      <c r="C350" s="433" t="e">
        <f>SUMIF('[25]7'!C$49:C$57,B350,'[25]7'!M$49:M$57)</f>
        <v>#VALUE!</v>
      </c>
      <c r="E350" s="581" t="e">
        <f t="shared" si="148"/>
        <v>#VALUE!</v>
      </c>
      <c r="G350" s="434">
        <f>[25]Blocking1!M350</f>
        <v>26.78</v>
      </c>
      <c r="H350" s="435"/>
      <c r="I350" s="417" t="e">
        <f>ROUND(G350*$C350,0)</f>
        <v>#VALUE!</v>
      </c>
      <c r="K350" s="417" t="e">
        <f>ROUND(G350*$E350,0)</f>
        <v>#VALUE!</v>
      </c>
      <c r="M350" s="434" t="e">
        <f t="shared" si="149"/>
        <v>#VALUE!</v>
      </c>
      <c r="N350" s="435"/>
      <c r="O350" s="417" t="e">
        <f>ROUND(M350*$E350,0)</f>
        <v>#VALUE!</v>
      </c>
      <c r="P350" s="417"/>
      <c r="Q350" s="436"/>
      <c r="R350" s="436"/>
      <c r="S350" s="570"/>
      <c r="T350" s="439" t="e">
        <f t="shared" si="147"/>
        <v>#VALUE!</v>
      </c>
      <c r="AD350" s="400" t="e">
        <f>K350-[25]Blocking1!O350</f>
        <v>#VALUE!</v>
      </c>
    </row>
    <row r="351" spans="1:30">
      <c r="A351" s="480" t="s">
        <v>373</v>
      </c>
      <c r="C351" s="433"/>
      <c r="E351" s="581"/>
      <c r="I351" s="417"/>
      <c r="K351" s="417"/>
      <c r="M351" s="404"/>
      <c r="O351" s="417"/>
      <c r="P351" s="417"/>
      <c r="Q351" s="436"/>
      <c r="R351" s="436"/>
      <c r="S351" s="570"/>
      <c r="T351" s="439"/>
      <c r="AD351" s="400">
        <f>K351-[25]Blocking1!O351</f>
        <v>0</v>
      </c>
    </row>
    <row r="352" spans="1:30">
      <c r="A352" s="432" t="s">
        <v>374</v>
      </c>
      <c r="B352" s="405">
        <v>3</v>
      </c>
      <c r="C352" s="433" t="e">
        <f>SUMIF('[25]7'!C$49:C$57,B352,'[25]7'!M$49:M$57)</f>
        <v>#VALUE!</v>
      </c>
      <c r="E352" s="581" t="e">
        <f t="shared" ref="E352:E362" si="150">ROUND(C352*$E$380/$C$380,0)</f>
        <v>#VALUE!</v>
      </c>
      <c r="G352" s="434">
        <f>[25]Blocking1!M352</f>
        <v>14.6</v>
      </c>
      <c r="H352" s="435"/>
      <c r="I352" s="417" t="e">
        <f t="shared" ref="I352:I362" si="151">ROUND(G352*$C352,0)</f>
        <v>#VALUE!</v>
      </c>
      <c r="K352" s="417" t="e">
        <f t="shared" ref="K352:K362" si="152">ROUND(G352*$E352,0)</f>
        <v>#VALUE!</v>
      </c>
      <c r="M352" s="434" t="e">
        <f t="shared" ref="M352:M362" si="153">M232</f>
        <v>#VALUE!</v>
      </c>
      <c r="N352" s="435"/>
      <c r="O352" s="417" t="e">
        <f t="shared" ref="O352:O362" si="154">ROUND(M352*$E352,0)</f>
        <v>#VALUE!</v>
      </c>
      <c r="P352" s="417"/>
      <c r="Q352" s="436"/>
      <c r="R352" s="436"/>
      <c r="S352" s="570"/>
      <c r="T352" s="439" t="e">
        <f t="shared" ref="T352:T362" si="155">M352/G352-1</f>
        <v>#VALUE!</v>
      </c>
      <c r="AD352" s="400" t="e">
        <f>K352-[25]Blocking1!O352</f>
        <v>#VALUE!</v>
      </c>
    </row>
    <row r="353" spans="1:30">
      <c r="A353" s="432" t="s">
        <v>375</v>
      </c>
      <c r="B353" s="405">
        <v>4</v>
      </c>
      <c r="C353" s="433" t="e">
        <f>SUMIF('[25]7'!C$49:C$57,B353,'[25]7'!M$49:M$57)</f>
        <v>#VALUE!</v>
      </c>
      <c r="E353" s="581" t="e">
        <f t="shared" si="150"/>
        <v>#VALUE!</v>
      </c>
      <c r="G353" s="434">
        <f>[25]Blocking1!M353</f>
        <v>12.23</v>
      </c>
      <c r="H353" s="435"/>
      <c r="I353" s="417" t="e">
        <f t="shared" si="151"/>
        <v>#VALUE!</v>
      </c>
      <c r="K353" s="417" t="e">
        <f t="shared" si="152"/>
        <v>#VALUE!</v>
      </c>
      <c r="M353" s="434" t="e">
        <f t="shared" si="153"/>
        <v>#VALUE!</v>
      </c>
      <c r="N353" s="435"/>
      <c r="O353" s="417" t="e">
        <f t="shared" si="154"/>
        <v>#VALUE!</v>
      </c>
      <c r="P353" s="417"/>
      <c r="Q353" s="436"/>
      <c r="R353" s="436"/>
      <c r="S353" s="570"/>
      <c r="T353" s="439" t="e">
        <f t="shared" si="155"/>
        <v>#VALUE!</v>
      </c>
      <c r="AD353" s="400" t="e">
        <f>K353-[25]Blocking1!O353</f>
        <v>#VALUE!</v>
      </c>
    </row>
    <row r="354" spans="1:30">
      <c r="A354" s="432" t="s">
        <v>376</v>
      </c>
      <c r="B354" s="405">
        <v>5</v>
      </c>
      <c r="C354" s="433" t="e">
        <f>SUMIF('[25]7'!C$49:C$57,B354,'[25]7'!M$49:M$57)</f>
        <v>#VALUE!</v>
      </c>
      <c r="E354" s="581" t="e">
        <f t="shared" si="150"/>
        <v>#VALUE!</v>
      </c>
      <c r="G354" s="434">
        <f>[25]Blocking1!M354</f>
        <v>15.47</v>
      </c>
      <c r="H354" s="435"/>
      <c r="I354" s="417" t="e">
        <f t="shared" si="151"/>
        <v>#VALUE!</v>
      </c>
      <c r="K354" s="417" t="e">
        <f t="shared" si="152"/>
        <v>#VALUE!</v>
      </c>
      <c r="M354" s="434" t="e">
        <f t="shared" si="153"/>
        <v>#VALUE!</v>
      </c>
      <c r="N354" s="435"/>
      <c r="O354" s="417" t="e">
        <f t="shared" si="154"/>
        <v>#VALUE!</v>
      </c>
      <c r="P354" s="417"/>
      <c r="Q354" s="436"/>
      <c r="R354" s="436"/>
      <c r="S354" s="570"/>
      <c r="T354" s="439" t="e">
        <f t="shared" si="155"/>
        <v>#VALUE!</v>
      </c>
      <c r="AD354" s="400" t="e">
        <f>K354-[25]Blocking1!O354</f>
        <v>#VALUE!</v>
      </c>
    </row>
    <row r="355" spans="1:30">
      <c r="A355" s="432" t="s">
        <v>377</v>
      </c>
      <c r="B355" s="405">
        <v>6</v>
      </c>
      <c r="C355" s="433" t="e">
        <f>SUMIF('[25]7'!C$49:C$57,B355,'[25]7'!M$49:M$57)</f>
        <v>#VALUE!</v>
      </c>
      <c r="E355" s="581" t="e">
        <f t="shared" si="150"/>
        <v>#VALUE!</v>
      </c>
      <c r="G355" s="434">
        <f>[25]Blocking1!M355</f>
        <v>13.31</v>
      </c>
      <c r="H355" s="435"/>
      <c r="I355" s="417" t="e">
        <f t="shared" si="151"/>
        <v>#VALUE!</v>
      </c>
      <c r="K355" s="417" t="e">
        <f t="shared" si="152"/>
        <v>#VALUE!</v>
      </c>
      <c r="M355" s="434" t="e">
        <f t="shared" si="153"/>
        <v>#VALUE!</v>
      </c>
      <c r="N355" s="435"/>
      <c r="O355" s="417" t="e">
        <f t="shared" si="154"/>
        <v>#VALUE!</v>
      </c>
      <c r="P355" s="417"/>
      <c r="Q355" s="436"/>
      <c r="R355" s="436"/>
      <c r="S355" s="570"/>
      <c r="T355" s="439" t="e">
        <f t="shared" si="155"/>
        <v>#VALUE!</v>
      </c>
      <c r="AD355" s="400" t="e">
        <f>K355-[25]Blocking1!O355</f>
        <v>#VALUE!</v>
      </c>
    </row>
    <row r="356" spans="1:30">
      <c r="A356" s="432" t="s">
        <v>378</v>
      </c>
      <c r="B356" s="405">
        <v>7</v>
      </c>
      <c r="C356" s="433" t="e">
        <f>SUMIF('[25]7'!C$49:C$57,B356,'[25]7'!M$49:M$57)</f>
        <v>#VALUE!</v>
      </c>
      <c r="E356" s="581" t="e">
        <f t="shared" si="150"/>
        <v>#VALUE!</v>
      </c>
      <c r="G356" s="434">
        <f>[25]Blocking1!M356</f>
        <v>19.46</v>
      </c>
      <c r="H356" s="435"/>
      <c r="I356" s="417" t="e">
        <f t="shared" si="151"/>
        <v>#VALUE!</v>
      </c>
      <c r="K356" s="417" t="e">
        <f t="shared" si="152"/>
        <v>#VALUE!</v>
      </c>
      <c r="M356" s="434" t="e">
        <f t="shared" si="153"/>
        <v>#VALUE!</v>
      </c>
      <c r="N356" s="435"/>
      <c r="O356" s="417" t="e">
        <f t="shared" si="154"/>
        <v>#VALUE!</v>
      </c>
      <c r="P356" s="417"/>
      <c r="Q356" s="436"/>
      <c r="R356" s="436"/>
      <c r="S356" s="570"/>
      <c r="T356" s="439" t="e">
        <f t="shared" si="155"/>
        <v>#VALUE!</v>
      </c>
      <c r="AD356" s="400" t="e">
        <f>K356-[25]Blocking1!O356</f>
        <v>#VALUE!</v>
      </c>
    </row>
    <row r="357" spans="1:30">
      <c r="A357" s="432" t="s">
        <v>379</v>
      </c>
      <c r="B357" s="405">
        <v>8</v>
      </c>
      <c r="C357" s="433" t="e">
        <f>SUMIF('[25]7'!C$49:C$57,B357,'[25]7'!M$49:M$57)</f>
        <v>#VALUE!</v>
      </c>
      <c r="E357" s="581" t="e">
        <f t="shared" si="150"/>
        <v>#VALUE!</v>
      </c>
      <c r="G357" s="434">
        <f>[25]Blocking1!M357</f>
        <v>17.13</v>
      </c>
      <c r="H357" s="435"/>
      <c r="I357" s="417" t="e">
        <f t="shared" si="151"/>
        <v>#VALUE!</v>
      </c>
      <c r="K357" s="417" t="e">
        <f t="shared" si="152"/>
        <v>#VALUE!</v>
      </c>
      <c r="M357" s="434" t="e">
        <f t="shared" si="153"/>
        <v>#VALUE!</v>
      </c>
      <c r="N357" s="435"/>
      <c r="O357" s="417" t="e">
        <f t="shared" si="154"/>
        <v>#VALUE!</v>
      </c>
      <c r="P357" s="417"/>
      <c r="Q357" s="436"/>
      <c r="R357" s="436"/>
      <c r="S357" s="570"/>
      <c r="T357" s="439" t="e">
        <f t="shared" si="155"/>
        <v>#VALUE!</v>
      </c>
      <c r="AD357" s="400" t="e">
        <f>K357-[25]Blocking1!O357</f>
        <v>#VALUE!</v>
      </c>
    </row>
    <row r="358" spans="1:30">
      <c r="A358" s="432" t="s">
        <v>380</v>
      </c>
      <c r="B358" s="405">
        <v>9</v>
      </c>
      <c r="C358" s="433" t="e">
        <f>SUMIF('[25]7'!C$49:C$57,B358,'[25]7'!M$49:M$57)</f>
        <v>#VALUE!</v>
      </c>
      <c r="E358" s="581" t="e">
        <f t="shared" si="150"/>
        <v>#VALUE!</v>
      </c>
      <c r="G358" s="434">
        <f>[25]Blocking1!M358</f>
        <v>21.07</v>
      </c>
      <c r="H358" s="435"/>
      <c r="I358" s="417" t="e">
        <f t="shared" si="151"/>
        <v>#VALUE!</v>
      </c>
      <c r="K358" s="417" t="e">
        <f t="shared" si="152"/>
        <v>#VALUE!</v>
      </c>
      <c r="M358" s="434" t="e">
        <f t="shared" si="153"/>
        <v>#VALUE!</v>
      </c>
      <c r="N358" s="435"/>
      <c r="O358" s="417" t="e">
        <f t="shared" si="154"/>
        <v>#VALUE!</v>
      </c>
      <c r="P358" s="417"/>
      <c r="Q358" s="436"/>
      <c r="R358" s="436"/>
      <c r="S358" s="570"/>
      <c r="T358" s="439" t="e">
        <f t="shared" si="155"/>
        <v>#VALUE!</v>
      </c>
      <c r="AD358" s="400" t="e">
        <f>K358-[25]Blocking1!O358</f>
        <v>#VALUE!</v>
      </c>
    </row>
    <row r="359" spans="1:30">
      <c r="A359" s="432" t="s">
        <v>381</v>
      </c>
      <c r="B359" s="405">
        <v>10</v>
      </c>
      <c r="C359" s="433" t="e">
        <f>SUMIF('[25]7'!C$49:C$57,B359,'[25]7'!M$49:M$57)</f>
        <v>#VALUE!</v>
      </c>
      <c r="E359" s="581" t="e">
        <f t="shared" si="150"/>
        <v>#VALUE!</v>
      </c>
      <c r="G359" s="434">
        <f>[25]Blocking1!M359</f>
        <v>23.51</v>
      </c>
      <c r="H359" s="435"/>
      <c r="I359" s="417" t="e">
        <f t="shared" si="151"/>
        <v>#VALUE!</v>
      </c>
      <c r="K359" s="417" t="e">
        <f t="shared" si="152"/>
        <v>#VALUE!</v>
      </c>
      <c r="M359" s="434" t="e">
        <f t="shared" si="153"/>
        <v>#VALUE!</v>
      </c>
      <c r="N359" s="435"/>
      <c r="O359" s="417" t="e">
        <f t="shared" si="154"/>
        <v>#VALUE!</v>
      </c>
      <c r="P359" s="417"/>
      <c r="Q359" s="436"/>
      <c r="R359" s="436"/>
      <c r="S359" s="570"/>
      <c r="T359" s="439" t="e">
        <f t="shared" si="155"/>
        <v>#VALUE!</v>
      </c>
      <c r="AD359" s="400" t="e">
        <f>K359-[25]Blocking1!O359</f>
        <v>#VALUE!</v>
      </c>
    </row>
    <row r="360" spans="1:30">
      <c r="A360" s="432" t="s">
        <v>382</v>
      </c>
      <c r="B360" s="405">
        <v>11</v>
      </c>
      <c r="C360" s="433" t="e">
        <f>SUMIF('[25]7'!C$49:C$57,B360,'[25]7'!M$49:M$57)</f>
        <v>#VALUE!</v>
      </c>
      <c r="E360" s="581" t="e">
        <f t="shared" si="150"/>
        <v>#VALUE!</v>
      </c>
      <c r="G360" s="434">
        <f>[25]Blocking1!M360</f>
        <v>21.23</v>
      </c>
      <c r="H360" s="435"/>
      <c r="I360" s="417" t="e">
        <f t="shared" si="151"/>
        <v>#VALUE!</v>
      </c>
      <c r="K360" s="417" t="e">
        <f t="shared" si="152"/>
        <v>#VALUE!</v>
      </c>
      <c r="M360" s="434" t="e">
        <f t="shared" si="153"/>
        <v>#VALUE!</v>
      </c>
      <c r="N360" s="435"/>
      <c r="O360" s="417" t="e">
        <f t="shared" si="154"/>
        <v>#VALUE!</v>
      </c>
      <c r="P360" s="417"/>
      <c r="Q360" s="436"/>
      <c r="R360" s="436"/>
      <c r="S360" s="570"/>
      <c r="T360" s="439" t="e">
        <f t="shared" si="155"/>
        <v>#VALUE!</v>
      </c>
      <c r="AD360" s="400" t="e">
        <f>K360-[25]Blocking1!O360</f>
        <v>#VALUE!</v>
      </c>
    </row>
    <row r="361" spans="1:30">
      <c r="A361" s="432" t="s">
        <v>383</v>
      </c>
      <c r="B361" s="405">
        <v>12</v>
      </c>
      <c r="C361" s="433" t="e">
        <f>SUMIF('[25]7'!C$49:C$57,B361,'[25]7'!M$49:M$57)</f>
        <v>#VALUE!</v>
      </c>
      <c r="E361" s="581" t="e">
        <f t="shared" si="150"/>
        <v>#VALUE!</v>
      </c>
      <c r="G361" s="434">
        <f>[25]Blocking1!M361</f>
        <v>28.3</v>
      </c>
      <c r="H361" s="435"/>
      <c r="I361" s="417" t="e">
        <f t="shared" si="151"/>
        <v>#VALUE!</v>
      </c>
      <c r="K361" s="417" t="e">
        <f t="shared" si="152"/>
        <v>#VALUE!</v>
      </c>
      <c r="M361" s="434" t="e">
        <f t="shared" si="153"/>
        <v>#VALUE!</v>
      </c>
      <c r="N361" s="435"/>
      <c r="O361" s="417" t="e">
        <f t="shared" si="154"/>
        <v>#VALUE!</v>
      </c>
      <c r="P361" s="417"/>
      <c r="R361" s="405"/>
      <c r="S361" s="570"/>
      <c r="T361" s="439" t="e">
        <f t="shared" si="155"/>
        <v>#VALUE!</v>
      </c>
      <c r="AD361" s="400" t="e">
        <f>K361-[25]Blocking1!O361</f>
        <v>#VALUE!</v>
      </c>
    </row>
    <row r="362" spans="1:30">
      <c r="A362" s="432" t="s">
        <v>384</v>
      </c>
      <c r="B362" s="405">
        <v>13</v>
      </c>
      <c r="C362" s="433" t="e">
        <f>SUMIF('[25]7'!C$49:C$57,B362,'[25]7'!M$49:M$57)</f>
        <v>#VALUE!</v>
      </c>
      <c r="E362" s="581" t="e">
        <f t="shared" si="150"/>
        <v>#VALUE!</v>
      </c>
      <c r="G362" s="434">
        <f>[25]Blocking1!M362</f>
        <v>25.99</v>
      </c>
      <c r="H362" s="435"/>
      <c r="I362" s="417" t="e">
        <f t="shared" si="151"/>
        <v>#VALUE!</v>
      </c>
      <c r="K362" s="417" t="e">
        <f t="shared" si="152"/>
        <v>#VALUE!</v>
      </c>
      <c r="M362" s="434" t="e">
        <f t="shared" si="153"/>
        <v>#VALUE!</v>
      </c>
      <c r="N362" s="435"/>
      <c r="O362" s="417" t="e">
        <f t="shared" si="154"/>
        <v>#VALUE!</v>
      </c>
      <c r="P362" s="417"/>
      <c r="Q362" s="436"/>
      <c r="R362" s="436"/>
      <c r="S362" s="570"/>
      <c r="T362" s="439" t="e">
        <f t="shared" si="155"/>
        <v>#VALUE!</v>
      </c>
      <c r="AD362" s="400" t="e">
        <f>K362-[25]Blocking1!O362</f>
        <v>#VALUE!</v>
      </c>
    </row>
    <row r="363" spans="1:30">
      <c r="A363" s="480" t="s">
        <v>385</v>
      </c>
      <c r="C363" s="433"/>
      <c r="E363" s="581"/>
      <c r="I363" s="417"/>
      <c r="K363" s="417"/>
      <c r="M363" s="404"/>
      <c r="O363" s="417"/>
      <c r="P363" s="417"/>
      <c r="Q363" s="436"/>
      <c r="R363" s="436"/>
      <c r="S363" s="570"/>
      <c r="T363" s="570"/>
      <c r="AD363" s="400">
        <f>K363-[25]Blocking1!O363</f>
        <v>0</v>
      </c>
    </row>
    <row r="364" spans="1:30">
      <c r="A364" s="432" t="s">
        <v>378</v>
      </c>
      <c r="B364" s="405">
        <v>14</v>
      </c>
      <c r="C364" s="433" t="e">
        <f>SUMIF('[25]7'!C$49:C$57,B364,'[25]7'!M$49:M$57)</f>
        <v>#VALUE!</v>
      </c>
      <c r="E364" s="581" t="e">
        <f t="shared" ref="E364:E369" si="156">ROUND(C364*$E$380/$C$380,0)</f>
        <v>#VALUE!</v>
      </c>
      <c r="G364" s="434">
        <f>[25]Blocking1!M364</f>
        <v>19.46</v>
      </c>
      <c r="H364" s="435"/>
      <c r="I364" s="417" t="e">
        <f t="shared" ref="I364:I369" si="157">ROUND(G364*$C364,0)</f>
        <v>#VALUE!</v>
      </c>
      <c r="K364" s="417" t="e">
        <f t="shared" ref="K364:K369" si="158">ROUND(G364*$E364,0)</f>
        <v>#VALUE!</v>
      </c>
      <c r="M364" s="434" t="e">
        <f t="shared" ref="M364:M369" si="159">M244</f>
        <v>#VALUE!</v>
      </c>
      <c r="N364" s="435"/>
      <c r="O364" s="417" t="e">
        <f t="shared" ref="O364:O369" si="160">ROUND(M364*$E364,0)</f>
        <v>#VALUE!</v>
      </c>
      <c r="Q364" s="436"/>
      <c r="R364" s="436"/>
      <c r="S364" s="570"/>
      <c r="T364" s="439" t="e">
        <f t="shared" ref="T364:T369" si="161">M364/G364-1</f>
        <v>#VALUE!</v>
      </c>
      <c r="AD364" s="400" t="e">
        <f>K364-[25]Blocking1!O364</f>
        <v>#VALUE!</v>
      </c>
    </row>
    <row r="365" spans="1:30">
      <c r="A365" s="432" t="s">
        <v>379</v>
      </c>
      <c r="B365" s="405">
        <v>15</v>
      </c>
      <c r="C365" s="433" t="e">
        <f>SUMIF('[25]7'!C$49:C$57,B365,'[25]7'!M$49:M$57)</f>
        <v>#VALUE!</v>
      </c>
      <c r="E365" s="581" t="e">
        <f t="shared" si="156"/>
        <v>#VALUE!</v>
      </c>
      <c r="G365" s="434">
        <f>[25]Blocking1!M365</f>
        <v>17.13</v>
      </c>
      <c r="H365" s="435"/>
      <c r="I365" s="417" t="e">
        <f t="shared" si="157"/>
        <v>#VALUE!</v>
      </c>
      <c r="K365" s="417" t="e">
        <f t="shared" si="158"/>
        <v>#VALUE!</v>
      </c>
      <c r="M365" s="434" t="e">
        <f t="shared" si="159"/>
        <v>#VALUE!</v>
      </c>
      <c r="N365" s="435"/>
      <c r="O365" s="417" t="e">
        <f t="shared" si="160"/>
        <v>#VALUE!</v>
      </c>
      <c r="P365" s="417"/>
      <c r="Q365" s="436"/>
      <c r="R365" s="436"/>
      <c r="S365" s="570"/>
      <c r="T365" s="439" t="e">
        <f t="shared" si="161"/>
        <v>#VALUE!</v>
      </c>
      <c r="AD365" s="400" t="e">
        <f>K365-[25]Blocking1!O365</f>
        <v>#VALUE!</v>
      </c>
    </row>
    <row r="366" spans="1:30">
      <c r="A366" s="432" t="s">
        <v>381</v>
      </c>
      <c r="B366" s="405">
        <v>16</v>
      </c>
      <c r="C366" s="433" t="e">
        <f>SUMIF('[25]7'!C$49:C$57,B366,'[25]7'!M$49:M$57)</f>
        <v>#VALUE!</v>
      </c>
      <c r="E366" s="581" t="e">
        <f t="shared" si="156"/>
        <v>#VALUE!</v>
      </c>
      <c r="G366" s="434">
        <f>[25]Blocking1!M366</f>
        <v>23.51</v>
      </c>
      <c r="H366" s="435"/>
      <c r="I366" s="417" t="e">
        <f t="shared" si="157"/>
        <v>#VALUE!</v>
      </c>
      <c r="K366" s="417" t="e">
        <f t="shared" si="158"/>
        <v>#VALUE!</v>
      </c>
      <c r="M366" s="434" t="e">
        <f t="shared" si="159"/>
        <v>#VALUE!</v>
      </c>
      <c r="N366" s="435"/>
      <c r="O366" s="417" t="e">
        <f t="shared" si="160"/>
        <v>#VALUE!</v>
      </c>
      <c r="P366" s="417"/>
      <c r="Q366" s="436"/>
      <c r="R366" s="436"/>
      <c r="S366" s="570"/>
      <c r="T366" s="439" t="e">
        <f t="shared" si="161"/>
        <v>#VALUE!</v>
      </c>
      <c r="AD366" s="400" t="e">
        <f>K366-[25]Blocking1!O366</f>
        <v>#VALUE!</v>
      </c>
    </row>
    <row r="367" spans="1:30">
      <c r="A367" s="432" t="s">
        <v>382</v>
      </c>
      <c r="B367" s="405">
        <v>17</v>
      </c>
      <c r="C367" s="433" t="e">
        <f>SUMIF('[25]7'!C$49:C$57,B367,'[25]7'!M$49:M$57)</f>
        <v>#VALUE!</v>
      </c>
      <c r="E367" s="581" t="e">
        <f t="shared" si="156"/>
        <v>#VALUE!</v>
      </c>
      <c r="G367" s="434">
        <f>[25]Blocking1!M367</f>
        <v>21.23</v>
      </c>
      <c r="H367" s="435"/>
      <c r="I367" s="417" t="e">
        <f t="shared" si="157"/>
        <v>#VALUE!</v>
      </c>
      <c r="K367" s="417" t="e">
        <f t="shared" si="158"/>
        <v>#VALUE!</v>
      </c>
      <c r="M367" s="434" t="e">
        <f t="shared" si="159"/>
        <v>#VALUE!</v>
      </c>
      <c r="N367" s="435"/>
      <c r="O367" s="417" t="e">
        <f t="shared" si="160"/>
        <v>#VALUE!</v>
      </c>
      <c r="P367" s="417"/>
      <c r="Q367" s="436"/>
      <c r="R367" s="436"/>
      <c r="S367" s="570"/>
      <c r="T367" s="439" t="e">
        <f t="shared" si="161"/>
        <v>#VALUE!</v>
      </c>
      <c r="AD367" s="400" t="e">
        <f>K367-[25]Blocking1!O367</f>
        <v>#VALUE!</v>
      </c>
    </row>
    <row r="368" spans="1:30">
      <c r="A368" s="432" t="s">
        <v>383</v>
      </c>
      <c r="B368" s="405">
        <v>18</v>
      </c>
      <c r="C368" s="433" t="e">
        <f>SUMIF('[25]7'!C$49:C$57,B368,'[25]7'!M$49:M$57)</f>
        <v>#VALUE!</v>
      </c>
      <c r="E368" s="581" t="e">
        <f t="shared" si="156"/>
        <v>#VALUE!</v>
      </c>
      <c r="G368" s="434">
        <f>[25]Blocking1!M368</f>
        <v>28.3</v>
      </c>
      <c r="H368" s="435"/>
      <c r="I368" s="417" t="e">
        <f t="shared" si="157"/>
        <v>#VALUE!</v>
      </c>
      <c r="K368" s="417" t="e">
        <f t="shared" si="158"/>
        <v>#VALUE!</v>
      </c>
      <c r="M368" s="434" t="e">
        <f t="shared" si="159"/>
        <v>#VALUE!</v>
      </c>
      <c r="N368" s="435"/>
      <c r="O368" s="417" t="e">
        <f t="shared" si="160"/>
        <v>#VALUE!</v>
      </c>
      <c r="P368" s="417"/>
      <c r="R368" s="405"/>
      <c r="S368" s="570"/>
      <c r="T368" s="439" t="e">
        <f t="shared" si="161"/>
        <v>#VALUE!</v>
      </c>
      <c r="AD368" s="400" t="e">
        <f>K368-[25]Blocking1!O368</f>
        <v>#VALUE!</v>
      </c>
    </row>
    <row r="369" spans="1:30">
      <c r="A369" s="432" t="s">
        <v>384</v>
      </c>
      <c r="B369" s="405">
        <v>19</v>
      </c>
      <c r="C369" s="433" t="e">
        <f>SUMIF('[25]7'!C$49:C$57,B369,'[25]7'!M$49:M$57)</f>
        <v>#VALUE!</v>
      </c>
      <c r="E369" s="581" t="e">
        <f t="shared" si="156"/>
        <v>#VALUE!</v>
      </c>
      <c r="G369" s="434">
        <f>[25]Blocking1!M369</f>
        <v>25.99</v>
      </c>
      <c r="H369" s="435"/>
      <c r="I369" s="417" t="e">
        <f t="shared" si="157"/>
        <v>#VALUE!</v>
      </c>
      <c r="K369" s="417" t="e">
        <f t="shared" si="158"/>
        <v>#VALUE!</v>
      </c>
      <c r="M369" s="434" t="e">
        <f t="shared" si="159"/>
        <v>#VALUE!</v>
      </c>
      <c r="N369" s="435"/>
      <c r="O369" s="417" t="e">
        <f t="shared" si="160"/>
        <v>#VALUE!</v>
      </c>
      <c r="P369" s="417"/>
      <c r="Q369" s="436"/>
      <c r="R369" s="436"/>
      <c r="T369" s="439" t="e">
        <f t="shared" si="161"/>
        <v>#VALUE!</v>
      </c>
      <c r="AD369" s="400" t="e">
        <f>K369-[25]Blocking1!O369</f>
        <v>#VALUE!</v>
      </c>
    </row>
    <row r="370" spans="1:30">
      <c r="A370" s="480" t="s">
        <v>386</v>
      </c>
      <c r="C370" s="433"/>
      <c r="E370" s="581"/>
      <c r="M370" s="404"/>
      <c r="P370" s="417"/>
      <c r="Q370" s="436"/>
      <c r="R370" s="436"/>
      <c r="T370" s="570"/>
      <c r="AD370" s="400">
        <f>K370-[25]Blocking1!O370</f>
        <v>0</v>
      </c>
    </row>
    <row r="371" spans="1:30">
      <c r="A371" s="432" t="s">
        <v>387</v>
      </c>
      <c r="B371" s="405">
        <v>20</v>
      </c>
      <c r="C371" s="433" t="e">
        <f>SUMIF('[25]7'!C$49:C$57,B371,'[25]7'!M$49:M$57)</f>
        <v>#VALUE!</v>
      </c>
      <c r="E371" s="581" t="e">
        <f t="shared" ref="E371:E378" si="162">ROUND(C371*$E$380/$C$380,0)</f>
        <v>#VALUE!</v>
      </c>
      <c r="G371" s="434">
        <f>[25]Blocking1!M371</f>
        <v>29.4</v>
      </c>
      <c r="H371" s="435"/>
      <c r="I371" s="417" t="e">
        <f t="shared" ref="I371:I378" si="163">ROUND(G371*$C371,0)</f>
        <v>#VALUE!</v>
      </c>
      <c r="K371" s="417" t="e">
        <f t="shared" ref="K371:K378" si="164">ROUND(G371*$E371,0)</f>
        <v>#VALUE!</v>
      </c>
      <c r="M371" s="434" t="e">
        <f t="shared" ref="M371:M378" si="165">M251</f>
        <v>#VALUE!</v>
      </c>
      <c r="N371" s="435"/>
      <c r="O371" s="417" t="e">
        <f t="shared" ref="O371:O378" si="166">ROUND(M371*$E371,0)</f>
        <v>#VALUE!</v>
      </c>
      <c r="P371" s="417"/>
      <c r="Q371" s="436"/>
      <c r="R371" s="436"/>
      <c r="T371" s="439" t="e">
        <f t="shared" ref="T371:T378" si="167">M371/G371-1</f>
        <v>#VALUE!</v>
      </c>
      <c r="AD371" s="400" t="e">
        <f>K371-[25]Blocking1!O371</f>
        <v>#VALUE!</v>
      </c>
    </row>
    <row r="372" spans="1:30">
      <c r="A372" s="432" t="s">
        <v>388</v>
      </c>
      <c r="B372" s="405">
        <v>21</v>
      </c>
      <c r="C372" s="433" t="e">
        <f>SUMIF('[25]7'!C$49:C$57,B372,'[25]7'!M$49:M$57)</f>
        <v>#VALUE!</v>
      </c>
      <c r="E372" s="581" t="e">
        <f t="shared" si="162"/>
        <v>#VALUE!</v>
      </c>
      <c r="G372" s="434">
        <f>[25]Blocking1!M372</f>
        <v>21.79</v>
      </c>
      <c r="H372" s="435"/>
      <c r="I372" s="417" t="e">
        <f t="shared" si="163"/>
        <v>#VALUE!</v>
      </c>
      <c r="K372" s="417" t="e">
        <f t="shared" si="164"/>
        <v>#VALUE!</v>
      </c>
      <c r="M372" s="434" t="e">
        <f t="shared" si="165"/>
        <v>#VALUE!</v>
      </c>
      <c r="N372" s="435"/>
      <c r="O372" s="417" t="e">
        <f t="shared" si="166"/>
        <v>#VALUE!</v>
      </c>
      <c r="P372" s="417"/>
      <c r="Q372" s="436"/>
      <c r="R372" s="436"/>
      <c r="T372" s="439" t="e">
        <f t="shared" si="167"/>
        <v>#VALUE!</v>
      </c>
      <c r="AD372" s="400" t="e">
        <f>K372-[25]Blocking1!O372</f>
        <v>#VALUE!</v>
      </c>
    </row>
    <row r="373" spans="1:30">
      <c r="A373" s="432" t="s">
        <v>389</v>
      </c>
      <c r="B373" s="405">
        <v>22</v>
      </c>
      <c r="C373" s="433" t="e">
        <f>SUMIF('[25]7'!C$49:C$57,B373,'[25]7'!M$49:M$57)</f>
        <v>#VALUE!</v>
      </c>
      <c r="E373" s="581" t="e">
        <f t="shared" si="162"/>
        <v>#VALUE!</v>
      </c>
      <c r="G373" s="434">
        <f>[25]Blocking1!M373</f>
        <v>34.340000000000003</v>
      </c>
      <c r="H373" s="435"/>
      <c r="I373" s="417" t="e">
        <f t="shared" si="163"/>
        <v>#VALUE!</v>
      </c>
      <c r="K373" s="417" t="e">
        <f t="shared" si="164"/>
        <v>#VALUE!</v>
      </c>
      <c r="M373" s="434" t="e">
        <f t="shared" si="165"/>
        <v>#VALUE!</v>
      </c>
      <c r="N373" s="435"/>
      <c r="O373" s="417" t="e">
        <f t="shared" si="166"/>
        <v>#VALUE!</v>
      </c>
      <c r="P373" s="530"/>
      <c r="Q373" s="436"/>
      <c r="R373" s="436"/>
      <c r="T373" s="439" t="e">
        <f t="shared" si="167"/>
        <v>#VALUE!</v>
      </c>
      <c r="U373" s="440"/>
      <c r="AD373" s="400" t="e">
        <f>K373-[25]Blocking1!O373</f>
        <v>#VALUE!</v>
      </c>
    </row>
    <row r="374" spans="1:30">
      <c r="A374" s="432" t="s">
        <v>390</v>
      </c>
      <c r="B374" s="405">
        <v>23</v>
      </c>
      <c r="C374" s="433" t="e">
        <f>SUMIF('[25]7'!C$49:C$57,B374,'[25]7'!M$49:M$57)</f>
        <v>#VALUE!</v>
      </c>
      <c r="E374" s="581" t="e">
        <f t="shared" si="162"/>
        <v>#VALUE!</v>
      </c>
      <c r="G374" s="434">
        <f>[25]Blocking1!M374</f>
        <v>27.43</v>
      </c>
      <c r="H374" s="435"/>
      <c r="I374" s="417" t="e">
        <f t="shared" si="163"/>
        <v>#VALUE!</v>
      </c>
      <c r="K374" s="417" t="e">
        <f t="shared" si="164"/>
        <v>#VALUE!</v>
      </c>
      <c r="M374" s="434" t="e">
        <f t="shared" si="165"/>
        <v>#VALUE!</v>
      </c>
      <c r="N374" s="435"/>
      <c r="O374" s="417" t="e">
        <f t="shared" si="166"/>
        <v>#VALUE!</v>
      </c>
      <c r="P374" s="530"/>
      <c r="Q374" s="436"/>
      <c r="R374" s="436"/>
      <c r="T374" s="439" t="e">
        <f t="shared" si="167"/>
        <v>#VALUE!</v>
      </c>
      <c r="AD374" s="400" t="e">
        <f>K374-[25]Blocking1!O374</f>
        <v>#VALUE!</v>
      </c>
    </row>
    <row r="375" spans="1:30" s="440" customFormat="1">
      <c r="A375" s="432" t="s">
        <v>391</v>
      </c>
      <c r="B375" s="405">
        <v>24</v>
      </c>
      <c r="C375" s="433" t="e">
        <f>SUMIF('[25]7'!C$49:C$57,B375,'[25]7'!M$49:M$57)</f>
        <v>#VALUE!</v>
      </c>
      <c r="D375" s="407"/>
      <c r="E375" s="581" t="e">
        <f t="shared" si="162"/>
        <v>#VALUE!</v>
      </c>
      <c r="F375" s="407"/>
      <c r="G375" s="434">
        <f>[25]Blocking1!M375</f>
        <v>36.69</v>
      </c>
      <c r="H375" s="435"/>
      <c r="I375" s="417" t="e">
        <f t="shared" si="163"/>
        <v>#VALUE!</v>
      </c>
      <c r="J375" s="407"/>
      <c r="K375" s="417" t="e">
        <f t="shared" si="164"/>
        <v>#VALUE!</v>
      </c>
      <c r="L375" s="407"/>
      <c r="M375" s="434" t="e">
        <f t="shared" si="165"/>
        <v>#VALUE!</v>
      </c>
      <c r="N375" s="435"/>
      <c r="O375" s="417" t="e">
        <f t="shared" si="166"/>
        <v>#VALUE!</v>
      </c>
      <c r="P375" s="579"/>
      <c r="Q375" s="589"/>
      <c r="R375" s="497"/>
      <c r="S375" s="400"/>
      <c r="T375" s="439" t="e">
        <f t="shared" si="167"/>
        <v>#VALUE!</v>
      </c>
      <c r="U375" s="400"/>
      <c r="AD375" s="400" t="e">
        <f>K375-[25]Blocking1!O375</f>
        <v>#VALUE!</v>
      </c>
    </row>
    <row r="376" spans="1:30">
      <c r="A376" s="432" t="s">
        <v>392</v>
      </c>
      <c r="B376" s="405">
        <v>25</v>
      </c>
      <c r="C376" s="433" t="e">
        <f>SUMIF('[25]7'!C$49:C$57,B376,'[25]7'!M$49:M$57)</f>
        <v>#VALUE!</v>
      </c>
      <c r="E376" s="581" t="e">
        <f t="shared" si="162"/>
        <v>#VALUE!</v>
      </c>
      <c r="G376" s="434">
        <f>[25]Blocking1!M376</f>
        <v>29.72</v>
      </c>
      <c r="H376" s="435"/>
      <c r="I376" s="417" t="e">
        <f t="shared" si="163"/>
        <v>#VALUE!</v>
      </c>
      <c r="K376" s="417" t="e">
        <f t="shared" si="164"/>
        <v>#VALUE!</v>
      </c>
      <c r="M376" s="434" t="e">
        <f t="shared" si="165"/>
        <v>#VALUE!</v>
      </c>
      <c r="N376" s="435"/>
      <c r="O376" s="417" t="e">
        <f t="shared" si="166"/>
        <v>#VALUE!</v>
      </c>
      <c r="Q376" s="589"/>
      <c r="R376" s="497"/>
      <c r="T376" s="439" t="e">
        <f t="shared" si="167"/>
        <v>#VALUE!</v>
      </c>
      <c r="AD376" s="400" t="e">
        <f>K376-[25]Blocking1!O376</f>
        <v>#VALUE!</v>
      </c>
    </row>
    <row r="377" spans="1:30">
      <c r="A377" s="432" t="s">
        <v>393</v>
      </c>
      <c r="B377" s="405">
        <v>26</v>
      </c>
      <c r="C377" s="433" t="e">
        <f>SUMIF('[25]7'!C$49:C$57,B377,'[25]7'!M$49:M$57)</f>
        <v>#VALUE!</v>
      </c>
      <c r="E377" s="581" t="e">
        <f t="shared" si="162"/>
        <v>#VALUE!</v>
      </c>
      <c r="G377" s="434">
        <f>[25]Blocking1!M377</f>
        <v>57.58</v>
      </c>
      <c r="H377" s="435"/>
      <c r="I377" s="417" t="e">
        <f t="shared" si="163"/>
        <v>#VALUE!</v>
      </c>
      <c r="K377" s="417" t="e">
        <f t="shared" si="164"/>
        <v>#VALUE!</v>
      </c>
      <c r="M377" s="434" t="e">
        <f t="shared" si="165"/>
        <v>#VALUE!</v>
      </c>
      <c r="N377" s="435"/>
      <c r="O377" s="417" t="e">
        <f t="shared" si="166"/>
        <v>#VALUE!</v>
      </c>
      <c r="P377" s="530"/>
      <c r="Q377" s="590"/>
      <c r="R377" s="497"/>
      <c r="S377" s="580"/>
      <c r="T377" s="439" t="e">
        <f t="shared" si="167"/>
        <v>#VALUE!</v>
      </c>
      <c r="AD377" s="400" t="e">
        <f>K377-[25]Blocking1!O377</f>
        <v>#VALUE!</v>
      </c>
    </row>
    <row r="378" spans="1:30">
      <c r="A378" s="432" t="s">
        <v>394</v>
      </c>
      <c r="B378" s="405">
        <v>27</v>
      </c>
      <c r="C378" s="433" t="e">
        <f>SUMIF('[25]7'!C$49:C$57,B378,'[25]7'!M$49:M$57)</f>
        <v>#VALUE!</v>
      </c>
      <c r="E378" s="581" t="e">
        <f t="shared" si="162"/>
        <v>#VALUE!</v>
      </c>
      <c r="G378" s="434">
        <f>[25]Blocking1!M378</f>
        <v>49.1</v>
      </c>
      <c r="H378" s="435"/>
      <c r="I378" s="417" t="e">
        <f t="shared" si="163"/>
        <v>#VALUE!</v>
      </c>
      <c r="K378" s="417" t="e">
        <f t="shared" si="164"/>
        <v>#VALUE!</v>
      </c>
      <c r="M378" s="434" t="e">
        <f t="shared" si="165"/>
        <v>#VALUE!</v>
      </c>
      <c r="N378" s="435"/>
      <c r="O378" s="417" t="e">
        <f t="shared" si="166"/>
        <v>#VALUE!</v>
      </c>
      <c r="P378" s="497"/>
      <c r="Q378" s="521"/>
      <c r="R378" s="568"/>
      <c r="T378" s="439" t="e">
        <f t="shared" si="167"/>
        <v>#VALUE!</v>
      </c>
      <c r="AD378" s="400" t="e">
        <f>K378-[25]Blocking1!O378</f>
        <v>#VALUE!</v>
      </c>
    </row>
    <row r="379" spans="1:30">
      <c r="A379" s="432" t="s">
        <v>182</v>
      </c>
      <c r="B379" s="416"/>
      <c r="C379" s="581" t="e">
        <f>SUM(C347:C378)</f>
        <v>#VALUE!</v>
      </c>
      <c r="D379" s="521"/>
      <c r="E379" s="581" t="e">
        <f>SUM(E347:E378)</f>
        <v>#VALUE!</v>
      </c>
      <c r="F379" s="521"/>
      <c r="H379" s="521"/>
      <c r="I379" s="530" t="e">
        <f>SUM(I347:I378)</f>
        <v>#VALUE!</v>
      </c>
      <c r="J379" s="521"/>
      <c r="K379" s="530" t="e">
        <f>SUM(K347:K378)</f>
        <v>#VALUE!</v>
      </c>
      <c r="L379" s="521"/>
      <c r="M379" s="404"/>
      <c r="N379" s="521"/>
      <c r="O379" s="530" t="e">
        <f>SUM(O347:O378)</f>
        <v>#VALUE!</v>
      </c>
      <c r="P379" s="497"/>
      <c r="Q379" s="521"/>
      <c r="R379" s="568"/>
      <c r="AD379" s="400" t="e">
        <f>K379-[25]Blocking1!O379</f>
        <v>#VALUE!</v>
      </c>
    </row>
    <row r="380" spans="1:30">
      <c r="A380" s="432" t="s">
        <v>395</v>
      </c>
      <c r="C380" s="426">
        <f>'[25]7'!N82</f>
        <v>12000.528553761847</v>
      </c>
      <c r="E380" s="591">
        <f>E383</f>
        <v>0</v>
      </c>
      <c r="I380" s="530"/>
      <c r="K380" s="530"/>
      <c r="M380" s="404"/>
      <c r="O380" s="530"/>
      <c r="Q380" s="523"/>
      <c r="R380" s="568"/>
      <c r="S380" s="535"/>
      <c r="AD380" s="400">
        <f>K380-[25]Blocking1!O380</f>
        <v>0</v>
      </c>
    </row>
    <row r="381" spans="1:30">
      <c r="A381" s="432" t="s">
        <v>190</v>
      </c>
      <c r="C381" s="582">
        <f>'[25]Table 2'!J117</f>
        <v>-114</v>
      </c>
      <c r="E381" s="582">
        <v>0</v>
      </c>
      <c r="G381" s="584"/>
      <c r="I381" s="585">
        <f>'[25]Table 3'!F117</f>
        <v>-29</v>
      </c>
      <c r="K381" s="585">
        <v>0</v>
      </c>
      <c r="M381" s="584"/>
      <c r="O381" s="585">
        <v>0</v>
      </c>
      <c r="Q381" s="521"/>
      <c r="R381" s="568"/>
      <c r="S381" s="535"/>
      <c r="T381" s="580"/>
      <c r="AD381" s="400">
        <f>K381-[25]Blocking1!O381</f>
        <v>0</v>
      </c>
    </row>
    <row r="382" spans="1:30">
      <c r="A382" s="432" t="s">
        <v>173</v>
      </c>
      <c r="C382" s="433">
        <f>'[25]Table 2'!F117</f>
        <v>5.4166666666666696</v>
      </c>
      <c r="E382" s="581">
        <f>ROUND([25]Bill!P56/12,0)</f>
        <v>0</v>
      </c>
      <c r="M382" s="404"/>
      <c r="P382" s="417"/>
      <c r="S382" s="535"/>
      <c r="AD382" s="400">
        <f>K382-[25]Blocking1!O382</f>
        <v>0</v>
      </c>
    </row>
    <row r="383" spans="1:30" ht="16.5" thickBot="1">
      <c r="A383" s="432" t="s">
        <v>396</v>
      </c>
      <c r="C383" s="586">
        <f>C380+C381</f>
        <v>11886.528553761847</v>
      </c>
      <c r="E383" s="592">
        <f>[25]Energy!P56</f>
        <v>0</v>
      </c>
      <c r="G383" s="510"/>
      <c r="I383" s="588" t="e">
        <f>I381+I379</f>
        <v>#VALUE!</v>
      </c>
      <c r="K383" s="588" t="e">
        <f>K381+K379</f>
        <v>#VALUE!</v>
      </c>
      <c r="M383" s="510"/>
      <c r="O383" s="588" t="e">
        <f>O381+O379</f>
        <v>#VALUE!</v>
      </c>
      <c r="P383" s="417"/>
      <c r="S383" s="535"/>
      <c r="AD383" s="400" t="e">
        <f>K383-[25]Blocking1!O383</f>
        <v>#VALUE!</v>
      </c>
    </row>
    <row r="384" spans="1:30" ht="16.5" thickTop="1">
      <c r="C384" s="406"/>
      <c r="E384" s="406"/>
      <c r="P384" s="417"/>
      <c r="T384" s="535"/>
      <c r="AD384" s="400">
        <f>K384-[25]Blocking1!O384</f>
        <v>0</v>
      </c>
    </row>
    <row r="385" spans="1:30">
      <c r="A385" s="428" t="s">
        <v>642</v>
      </c>
      <c r="C385" s="406"/>
      <c r="E385" s="406"/>
      <c r="P385" s="417"/>
      <c r="R385" s="405"/>
      <c r="S385" s="570"/>
      <c r="T385" s="570"/>
      <c r="AD385" s="400">
        <f>K385-[25]Blocking1!O385</f>
        <v>0</v>
      </c>
    </row>
    <row r="386" spans="1:30">
      <c r="A386" s="480" t="s">
        <v>368</v>
      </c>
      <c r="C386" s="406"/>
      <c r="E386" s="406"/>
      <c r="I386" s="417"/>
      <c r="K386" s="417"/>
      <c r="O386" s="417"/>
      <c r="P386" s="417"/>
      <c r="Q386" s="436"/>
      <c r="R386" s="436"/>
      <c r="S386" s="570"/>
      <c r="T386" s="570"/>
      <c r="AD386" s="400">
        <f>K386-[25]Blocking1!O386</f>
        <v>0</v>
      </c>
    </row>
    <row r="387" spans="1:30">
      <c r="A387" s="432" t="s">
        <v>369</v>
      </c>
      <c r="B387" s="405">
        <v>29</v>
      </c>
      <c r="C387" s="433" t="e">
        <f>SUMIF('[25]7'!C$58:C$77,B387,'[25]7'!M$58:M$77)</f>
        <v>#VALUE!</v>
      </c>
      <c r="E387" s="581" t="e">
        <f>ROUND(C387*$E$420/$C$420,0)</f>
        <v>#VALUE!</v>
      </c>
      <c r="G387" s="434">
        <f>[25]Blocking1!M387</f>
        <v>5.68</v>
      </c>
      <c r="H387" s="435"/>
      <c r="I387" s="417" t="e">
        <f>ROUND(G387*$C387,0)</f>
        <v>#VALUE!</v>
      </c>
      <c r="K387" s="417" t="e">
        <f>ROUND(G387*$E387,0)</f>
        <v>#VALUE!</v>
      </c>
      <c r="M387" s="434" t="e">
        <f>M227</f>
        <v>#VALUE!</v>
      </c>
      <c r="N387" s="435"/>
      <c r="O387" s="552" t="e">
        <f>ROUND(M387*$E387,0)</f>
        <v>#VALUE!</v>
      </c>
      <c r="P387" s="417"/>
      <c r="Q387" s="436"/>
      <c r="R387" s="436"/>
      <c r="S387" s="570"/>
      <c r="T387" s="439" t="e">
        <f t="shared" ref="T387:T390" si="168">M387/G387-1</f>
        <v>#VALUE!</v>
      </c>
      <c r="AD387" s="400" t="e">
        <f>K387-[25]Blocking1!O387</f>
        <v>#VALUE!</v>
      </c>
    </row>
    <row r="388" spans="1:30">
      <c r="A388" s="432" t="s">
        <v>370</v>
      </c>
      <c r="B388" s="405">
        <v>1</v>
      </c>
      <c r="C388" s="433" t="e">
        <f>SUMIF('[25]7'!C$58:C$77,B388,'[25]7'!M$58:M$77)</f>
        <v>#VALUE!</v>
      </c>
      <c r="E388" s="581" t="e">
        <f t="shared" ref="E388:E390" si="169">ROUND(C388*$E$420/$C$420,0)</f>
        <v>#VALUE!</v>
      </c>
      <c r="G388" s="434">
        <f>[25]Blocking1!M388</f>
        <v>16.38</v>
      </c>
      <c r="H388" s="435"/>
      <c r="I388" s="417" t="e">
        <f>ROUND(G388*$C388,0)</f>
        <v>#VALUE!</v>
      </c>
      <c r="K388" s="417" t="e">
        <f>ROUND(G388*$E388,0)</f>
        <v>#VALUE!</v>
      </c>
      <c r="M388" s="434" t="e">
        <f t="shared" ref="M388:M390" si="170">M228</f>
        <v>#VALUE!</v>
      </c>
      <c r="N388" s="435"/>
      <c r="O388" s="417" t="e">
        <f>ROUND(M388*$E388,0)</f>
        <v>#VALUE!</v>
      </c>
      <c r="P388" s="417"/>
      <c r="Q388" s="436"/>
      <c r="R388" s="436"/>
      <c r="S388" s="570"/>
      <c r="T388" s="439" t="e">
        <f t="shared" si="168"/>
        <v>#VALUE!</v>
      </c>
      <c r="AD388" s="400" t="e">
        <f>K388-[25]Blocking1!O388</f>
        <v>#VALUE!</v>
      </c>
    </row>
    <row r="389" spans="1:30">
      <c r="A389" s="432" t="s">
        <v>371</v>
      </c>
      <c r="B389" s="405">
        <v>28</v>
      </c>
      <c r="C389" s="433" t="e">
        <f>SUMIF('[25]7'!C$58:C$77,B389,'[25]7'!M$58:M$77)</f>
        <v>#VALUE!</v>
      </c>
      <c r="E389" s="581" t="e">
        <f t="shared" si="169"/>
        <v>#VALUE!</v>
      </c>
      <c r="G389" s="434">
        <f>[25]Blocking1!M389</f>
        <v>8.0500000000000007</v>
      </c>
      <c r="H389" s="435"/>
      <c r="I389" s="417" t="e">
        <f>ROUND(G389*$C389,0)</f>
        <v>#VALUE!</v>
      </c>
      <c r="K389" s="417" t="e">
        <f>ROUND(G389*$E389,0)</f>
        <v>#VALUE!</v>
      </c>
      <c r="M389" s="434" t="e">
        <f t="shared" si="170"/>
        <v>#VALUE!</v>
      </c>
      <c r="N389" s="435"/>
      <c r="O389" s="417" t="e">
        <f>ROUND(M389*$E389,0)</f>
        <v>#VALUE!</v>
      </c>
      <c r="P389" s="417"/>
      <c r="R389" s="405"/>
      <c r="S389" s="570"/>
      <c r="T389" s="439" t="e">
        <f t="shared" si="168"/>
        <v>#VALUE!</v>
      </c>
      <c r="AD389" s="400" t="e">
        <f>K389-[25]Blocking1!O389</f>
        <v>#VALUE!</v>
      </c>
    </row>
    <row r="390" spans="1:30">
      <c r="A390" s="432" t="s">
        <v>372</v>
      </c>
      <c r="B390" s="405">
        <v>2</v>
      </c>
      <c r="C390" s="433" t="e">
        <f>SUMIF('[25]7'!C$58:C$77,B390,'[25]7'!M$58:M$77)</f>
        <v>#VALUE!</v>
      </c>
      <c r="E390" s="581" t="e">
        <f t="shared" si="169"/>
        <v>#VALUE!</v>
      </c>
      <c r="G390" s="434">
        <f>[25]Blocking1!M390</f>
        <v>26.78</v>
      </c>
      <c r="H390" s="435"/>
      <c r="I390" s="417" t="e">
        <f>ROUND(G390*$C390,0)</f>
        <v>#VALUE!</v>
      </c>
      <c r="K390" s="417" t="e">
        <f>ROUND(G390*$E390,0)</f>
        <v>#VALUE!</v>
      </c>
      <c r="M390" s="434" t="e">
        <f t="shared" si="170"/>
        <v>#VALUE!</v>
      </c>
      <c r="N390" s="435"/>
      <c r="O390" s="417" t="e">
        <f>ROUND(M390*$E390,0)</f>
        <v>#VALUE!</v>
      </c>
      <c r="P390" s="417"/>
      <c r="Q390" s="436"/>
      <c r="R390" s="436"/>
      <c r="S390" s="570"/>
      <c r="T390" s="439" t="e">
        <f t="shared" si="168"/>
        <v>#VALUE!</v>
      </c>
      <c r="AD390" s="400" t="e">
        <f>K390-[25]Blocking1!O390</f>
        <v>#VALUE!</v>
      </c>
    </row>
    <row r="391" spans="1:30">
      <c r="A391" s="480" t="s">
        <v>373</v>
      </c>
      <c r="C391" s="433"/>
      <c r="E391" s="581"/>
      <c r="I391" s="417"/>
      <c r="K391" s="417"/>
      <c r="M391" s="404"/>
      <c r="O391" s="417"/>
      <c r="P391" s="417"/>
      <c r="Q391" s="436"/>
      <c r="R391" s="436"/>
      <c r="S391" s="570"/>
      <c r="T391" s="439"/>
      <c r="AD391" s="400">
        <f>K391-[25]Blocking1!O391</f>
        <v>0</v>
      </c>
    </row>
    <row r="392" spans="1:30">
      <c r="A392" s="432" t="s">
        <v>374</v>
      </c>
      <c r="B392" s="405">
        <v>3</v>
      </c>
      <c r="C392" s="433" t="e">
        <f>SUMIF('[25]7'!C$58:C$77,B392,'[25]7'!M$58:M$77)</f>
        <v>#VALUE!</v>
      </c>
      <c r="E392" s="581" t="e">
        <f t="shared" ref="E392:E402" si="171">ROUND(C392*$E$420/$C$420,0)</f>
        <v>#VALUE!</v>
      </c>
      <c r="G392" s="434">
        <f>[25]Blocking1!M392</f>
        <v>14.6</v>
      </c>
      <c r="H392" s="435"/>
      <c r="I392" s="417" t="e">
        <f t="shared" ref="I392:I402" si="172">ROUND(G392*$C392,0)</f>
        <v>#VALUE!</v>
      </c>
      <c r="K392" s="417" t="e">
        <f t="shared" ref="K392:K402" si="173">ROUND(G392*$E392,0)</f>
        <v>#VALUE!</v>
      </c>
      <c r="M392" s="434" t="e">
        <f t="shared" ref="M392:M402" si="174">M232</f>
        <v>#VALUE!</v>
      </c>
      <c r="N392" s="435"/>
      <c r="O392" s="417" t="e">
        <f t="shared" ref="O392:O402" si="175">ROUND(M392*$E392,0)</f>
        <v>#VALUE!</v>
      </c>
      <c r="P392" s="417"/>
      <c r="Q392" s="436"/>
      <c r="R392" s="436"/>
      <c r="S392" s="570"/>
      <c r="T392" s="439" t="e">
        <f t="shared" ref="T392:T402" si="176">M392/G392-1</f>
        <v>#VALUE!</v>
      </c>
      <c r="AD392" s="400" t="e">
        <f>K392-[25]Blocking1!O392</f>
        <v>#VALUE!</v>
      </c>
    </row>
    <row r="393" spans="1:30">
      <c r="A393" s="432" t="s">
        <v>375</v>
      </c>
      <c r="B393" s="405">
        <v>4</v>
      </c>
      <c r="C393" s="433" t="e">
        <f>SUMIF('[25]7'!C$58:C$77,B393,'[25]7'!M$58:M$77)</f>
        <v>#VALUE!</v>
      </c>
      <c r="E393" s="581" t="e">
        <f t="shared" si="171"/>
        <v>#VALUE!</v>
      </c>
      <c r="G393" s="434">
        <f>[25]Blocking1!M393</f>
        <v>12.23</v>
      </c>
      <c r="H393" s="435"/>
      <c r="I393" s="417" t="e">
        <f t="shared" si="172"/>
        <v>#VALUE!</v>
      </c>
      <c r="K393" s="417" t="e">
        <f t="shared" si="173"/>
        <v>#VALUE!</v>
      </c>
      <c r="M393" s="434" t="e">
        <f t="shared" si="174"/>
        <v>#VALUE!</v>
      </c>
      <c r="N393" s="435"/>
      <c r="O393" s="417" t="e">
        <f t="shared" si="175"/>
        <v>#VALUE!</v>
      </c>
      <c r="P393" s="417"/>
      <c r="Q393" s="436"/>
      <c r="R393" s="436"/>
      <c r="S393" s="570"/>
      <c r="T393" s="439" t="e">
        <f t="shared" si="176"/>
        <v>#VALUE!</v>
      </c>
      <c r="AD393" s="400" t="e">
        <f>K393-[25]Blocking1!O393</f>
        <v>#VALUE!</v>
      </c>
    </row>
    <row r="394" spans="1:30">
      <c r="A394" s="432" t="s">
        <v>376</v>
      </c>
      <c r="B394" s="405">
        <v>5</v>
      </c>
      <c r="C394" s="433" t="e">
        <f>SUMIF('[25]7'!C$58:C$77,B394,'[25]7'!M$58:M$77)</f>
        <v>#VALUE!</v>
      </c>
      <c r="E394" s="581" t="e">
        <f t="shared" si="171"/>
        <v>#VALUE!</v>
      </c>
      <c r="G394" s="434">
        <f>[25]Blocking1!M394</f>
        <v>15.47</v>
      </c>
      <c r="H394" s="435"/>
      <c r="I394" s="417" t="e">
        <f t="shared" si="172"/>
        <v>#VALUE!</v>
      </c>
      <c r="K394" s="417" t="e">
        <f t="shared" si="173"/>
        <v>#VALUE!</v>
      </c>
      <c r="M394" s="434" t="e">
        <f t="shared" si="174"/>
        <v>#VALUE!</v>
      </c>
      <c r="N394" s="435"/>
      <c r="O394" s="417" t="e">
        <f t="shared" si="175"/>
        <v>#VALUE!</v>
      </c>
      <c r="P394" s="417"/>
      <c r="Q394" s="436"/>
      <c r="R394" s="436"/>
      <c r="S394" s="570"/>
      <c r="T394" s="439" t="e">
        <f t="shared" si="176"/>
        <v>#VALUE!</v>
      </c>
      <c r="AD394" s="400" t="e">
        <f>K394-[25]Blocking1!O394</f>
        <v>#VALUE!</v>
      </c>
    </row>
    <row r="395" spans="1:30">
      <c r="A395" s="432" t="s">
        <v>377</v>
      </c>
      <c r="B395" s="405">
        <v>6</v>
      </c>
      <c r="C395" s="433" t="e">
        <f>SUMIF('[25]7'!C$58:C$77,B395,'[25]7'!M$58:M$77)</f>
        <v>#VALUE!</v>
      </c>
      <c r="E395" s="581" t="e">
        <f t="shared" si="171"/>
        <v>#VALUE!</v>
      </c>
      <c r="G395" s="434">
        <f>[25]Blocking1!M395</f>
        <v>13.31</v>
      </c>
      <c r="H395" s="435"/>
      <c r="I395" s="417" t="e">
        <f t="shared" si="172"/>
        <v>#VALUE!</v>
      </c>
      <c r="K395" s="417" t="e">
        <f t="shared" si="173"/>
        <v>#VALUE!</v>
      </c>
      <c r="M395" s="434" t="e">
        <f t="shared" si="174"/>
        <v>#VALUE!</v>
      </c>
      <c r="N395" s="435"/>
      <c r="O395" s="417" t="e">
        <f t="shared" si="175"/>
        <v>#VALUE!</v>
      </c>
      <c r="P395" s="417"/>
      <c r="Q395" s="436"/>
      <c r="R395" s="436"/>
      <c r="S395" s="570"/>
      <c r="T395" s="439" t="e">
        <f t="shared" si="176"/>
        <v>#VALUE!</v>
      </c>
      <c r="AD395" s="400" t="e">
        <f>K395-[25]Blocking1!O395</f>
        <v>#VALUE!</v>
      </c>
    </row>
    <row r="396" spans="1:30">
      <c r="A396" s="432" t="s">
        <v>378</v>
      </c>
      <c r="B396" s="405">
        <v>7</v>
      </c>
      <c r="C396" s="433" t="e">
        <f>SUMIF('[25]7'!C$58:C$77,B396,'[25]7'!M$58:M$77)</f>
        <v>#VALUE!</v>
      </c>
      <c r="E396" s="581" t="e">
        <f t="shared" si="171"/>
        <v>#VALUE!</v>
      </c>
      <c r="G396" s="434">
        <f>[25]Blocking1!M396</f>
        <v>19.46</v>
      </c>
      <c r="H396" s="435"/>
      <c r="I396" s="417" t="e">
        <f t="shared" si="172"/>
        <v>#VALUE!</v>
      </c>
      <c r="K396" s="417" t="e">
        <f t="shared" si="173"/>
        <v>#VALUE!</v>
      </c>
      <c r="M396" s="434" t="e">
        <f t="shared" si="174"/>
        <v>#VALUE!</v>
      </c>
      <c r="N396" s="435"/>
      <c r="O396" s="417" t="e">
        <f t="shared" si="175"/>
        <v>#VALUE!</v>
      </c>
      <c r="P396" s="417"/>
      <c r="Q396" s="436"/>
      <c r="R396" s="436"/>
      <c r="S396" s="570"/>
      <c r="T396" s="439" t="e">
        <f t="shared" si="176"/>
        <v>#VALUE!</v>
      </c>
      <c r="AD396" s="400" t="e">
        <f>K396-[25]Blocking1!O396</f>
        <v>#VALUE!</v>
      </c>
    </row>
    <row r="397" spans="1:30">
      <c r="A397" s="432" t="s">
        <v>379</v>
      </c>
      <c r="B397" s="405">
        <v>8</v>
      </c>
      <c r="C397" s="433" t="e">
        <f>SUMIF('[25]7'!C$58:C$77,B397,'[25]7'!M$58:M$77)</f>
        <v>#VALUE!</v>
      </c>
      <c r="E397" s="581" t="e">
        <f t="shared" si="171"/>
        <v>#VALUE!</v>
      </c>
      <c r="G397" s="434">
        <f>[25]Blocking1!M397</f>
        <v>17.13</v>
      </c>
      <c r="H397" s="435"/>
      <c r="I397" s="417" t="e">
        <f t="shared" si="172"/>
        <v>#VALUE!</v>
      </c>
      <c r="K397" s="417" t="e">
        <f t="shared" si="173"/>
        <v>#VALUE!</v>
      </c>
      <c r="M397" s="434" t="e">
        <f t="shared" si="174"/>
        <v>#VALUE!</v>
      </c>
      <c r="N397" s="435"/>
      <c r="O397" s="417" t="e">
        <f t="shared" si="175"/>
        <v>#VALUE!</v>
      </c>
      <c r="P397" s="417"/>
      <c r="Q397" s="436"/>
      <c r="R397" s="436"/>
      <c r="S397" s="570"/>
      <c r="T397" s="439" t="e">
        <f t="shared" si="176"/>
        <v>#VALUE!</v>
      </c>
      <c r="AD397" s="400" t="e">
        <f>K397-[25]Blocking1!O397</f>
        <v>#VALUE!</v>
      </c>
    </row>
    <row r="398" spans="1:30">
      <c r="A398" s="432" t="s">
        <v>380</v>
      </c>
      <c r="B398" s="405">
        <v>9</v>
      </c>
      <c r="C398" s="433" t="e">
        <f>SUMIF('[25]7'!C$58:C$77,B398,'[25]7'!M$58:M$77)</f>
        <v>#VALUE!</v>
      </c>
      <c r="E398" s="581" t="e">
        <f t="shared" si="171"/>
        <v>#VALUE!</v>
      </c>
      <c r="G398" s="434">
        <f>[25]Blocking1!M398</f>
        <v>21.07</v>
      </c>
      <c r="H398" s="435"/>
      <c r="I398" s="417" t="e">
        <f t="shared" si="172"/>
        <v>#VALUE!</v>
      </c>
      <c r="K398" s="417" t="e">
        <f t="shared" si="173"/>
        <v>#VALUE!</v>
      </c>
      <c r="M398" s="434" t="e">
        <f t="shared" si="174"/>
        <v>#VALUE!</v>
      </c>
      <c r="N398" s="435"/>
      <c r="O398" s="417" t="e">
        <f t="shared" si="175"/>
        <v>#VALUE!</v>
      </c>
      <c r="P398" s="417"/>
      <c r="Q398" s="436"/>
      <c r="R398" s="436"/>
      <c r="S398" s="570"/>
      <c r="T398" s="439" t="e">
        <f t="shared" si="176"/>
        <v>#VALUE!</v>
      </c>
      <c r="AD398" s="400" t="e">
        <f>K398-[25]Blocking1!O398</f>
        <v>#VALUE!</v>
      </c>
    </row>
    <row r="399" spans="1:30">
      <c r="A399" s="432" t="s">
        <v>381</v>
      </c>
      <c r="B399" s="405">
        <v>10</v>
      </c>
      <c r="C399" s="433" t="e">
        <f>SUMIF('[25]7'!C$58:C$77,B399,'[25]7'!M$58:M$77)</f>
        <v>#VALUE!</v>
      </c>
      <c r="E399" s="581" t="e">
        <f t="shared" si="171"/>
        <v>#VALUE!</v>
      </c>
      <c r="G399" s="434">
        <f>[25]Blocking1!M399</f>
        <v>23.51</v>
      </c>
      <c r="H399" s="435"/>
      <c r="I399" s="417" t="e">
        <f t="shared" si="172"/>
        <v>#VALUE!</v>
      </c>
      <c r="K399" s="417" t="e">
        <f t="shared" si="173"/>
        <v>#VALUE!</v>
      </c>
      <c r="M399" s="434" t="e">
        <f t="shared" si="174"/>
        <v>#VALUE!</v>
      </c>
      <c r="N399" s="435"/>
      <c r="O399" s="417" t="e">
        <f t="shared" si="175"/>
        <v>#VALUE!</v>
      </c>
      <c r="P399" s="417"/>
      <c r="Q399" s="436"/>
      <c r="R399" s="436"/>
      <c r="S399" s="570"/>
      <c r="T399" s="439" t="e">
        <f t="shared" si="176"/>
        <v>#VALUE!</v>
      </c>
      <c r="AD399" s="400" t="e">
        <f>K399-[25]Blocking1!O399</f>
        <v>#VALUE!</v>
      </c>
    </row>
    <row r="400" spans="1:30">
      <c r="A400" s="432" t="s">
        <v>382</v>
      </c>
      <c r="B400" s="405">
        <v>11</v>
      </c>
      <c r="C400" s="433" t="e">
        <f>SUMIF('[25]7'!C$58:C$77,B400,'[25]7'!M$58:M$77)</f>
        <v>#VALUE!</v>
      </c>
      <c r="E400" s="581" t="e">
        <f t="shared" si="171"/>
        <v>#VALUE!</v>
      </c>
      <c r="G400" s="434">
        <f>[25]Blocking1!M400</f>
        <v>21.23</v>
      </c>
      <c r="H400" s="435"/>
      <c r="I400" s="417" t="e">
        <f t="shared" si="172"/>
        <v>#VALUE!</v>
      </c>
      <c r="K400" s="417" t="e">
        <f t="shared" si="173"/>
        <v>#VALUE!</v>
      </c>
      <c r="M400" s="434" t="e">
        <f t="shared" si="174"/>
        <v>#VALUE!</v>
      </c>
      <c r="N400" s="435"/>
      <c r="O400" s="417" t="e">
        <f t="shared" si="175"/>
        <v>#VALUE!</v>
      </c>
      <c r="P400" s="417"/>
      <c r="Q400" s="436"/>
      <c r="R400" s="436"/>
      <c r="S400" s="570"/>
      <c r="T400" s="439" t="e">
        <f t="shared" si="176"/>
        <v>#VALUE!</v>
      </c>
      <c r="AD400" s="400" t="e">
        <f>K400-[25]Blocking1!O400</f>
        <v>#VALUE!</v>
      </c>
    </row>
    <row r="401" spans="1:30">
      <c r="A401" s="432" t="s">
        <v>383</v>
      </c>
      <c r="B401" s="405">
        <v>12</v>
      </c>
      <c r="C401" s="433" t="e">
        <f>SUMIF('[25]7'!C$58:C$77,B401,'[25]7'!M$58:M$77)</f>
        <v>#VALUE!</v>
      </c>
      <c r="E401" s="581" t="e">
        <f t="shared" si="171"/>
        <v>#VALUE!</v>
      </c>
      <c r="G401" s="434">
        <f>[25]Blocking1!M401</f>
        <v>28.3</v>
      </c>
      <c r="H401" s="435"/>
      <c r="I401" s="417" t="e">
        <f t="shared" si="172"/>
        <v>#VALUE!</v>
      </c>
      <c r="K401" s="417" t="e">
        <f t="shared" si="173"/>
        <v>#VALUE!</v>
      </c>
      <c r="M401" s="434" t="e">
        <f t="shared" si="174"/>
        <v>#VALUE!</v>
      </c>
      <c r="N401" s="435"/>
      <c r="O401" s="417" t="e">
        <f t="shared" si="175"/>
        <v>#VALUE!</v>
      </c>
      <c r="P401" s="417"/>
      <c r="R401" s="405"/>
      <c r="S401" s="570"/>
      <c r="T401" s="439" t="e">
        <f t="shared" si="176"/>
        <v>#VALUE!</v>
      </c>
      <c r="AD401" s="400" t="e">
        <f>K401-[25]Blocking1!O401</f>
        <v>#VALUE!</v>
      </c>
    </row>
    <row r="402" spans="1:30">
      <c r="A402" s="432" t="s">
        <v>384</v>
      </c>
      <c r="B402" s="405">
        <v>13</v>
      </c>
      <c r="C402" s="433" t="e">
        <f>SUMIF('[25]7'!C$58:C$77,B402,'[25]7'!M$58:M$77)</f>
        <v>#VALUE!</v>
      </c>
      <c r="E402" s="581" t="e">
        <f t="shared" si="171"/>
        <v>#VALUE!</v>
      </c>
      <c r="G402" s="434">
        <f>[25]Blocking1!M402</f>
        <v>25.99</v>
      </c>
      <c r="H402" s="435"/>
      <c r="I402" s="417" t="e">
        <f t="shared" si="172"/>
        <v>#VALUE!</v>
      </c>
      <c r="K402" s="417" t="e">
        <f t="shared" si="173"/>
        <v>#VALUE!</v>
      </c>
      <c r="M402" s="434" t="e">
        <f t="shared" si="174"/>
        <v>#VALUE!</v>
      </c>
      <c r="N402" s="435"/>
      <c r="O402" s="417" t="e">
        <f t="shared" si="175"/>
        <v>#VALUE!</v>
      </c>
      <c r="P402" s="417"/>
      <c r="Q402" s="436"/>
      <c r="R402" s="436"/>
      <c r="S402" s="570"/>
      <c r="T402" s="439" t="e">
        <f t="shared" si="176"/>
        <v>#VALUE!</v>
      </c>
      <c r="AD402" s="400" t="e">
        <f>K402-[25]Blocking1!O402</f>
        <v>#VALUE!</v>
      </c>
    </row>
    <row r="403" spans="1:30">
      <c r="A403" s="480" t="s">
        <v>385</v>
      </c>
      <c r="C403" s="433"/>
      <c r="E403" s="581"/>
      <c r="I403" s="417"/>
      <c r="K403" s="417"/>
      <c r="M403" s="404"/>
      <c r="O403" s="417"/>
      <c r="P403" s="417"/>
      <c r="Q403" s="436"/>
      <c r="R403" s="436"/>
      <c r="S403" s="570"/>
      <c r="T403" s="570"/>
      <c r="AD403" s="400">
        <f>K403-[25]Blocking1!O403</f>
        <v>0</v>
      </c>
    </row>
    <row r="404" spans="1:30">
      <c r="A404" s="432" t="s">
        <v>378</v>
      </c>
      <c r="B404" s="405">
        <v>14</v>
      </c>
      <c r="C404" s="433" t="e">
        <f>SUMIF('[25]7'!C$58:C$77,B404,'[25]7'!M$58:M$77)</f>
        <v>#VALUE!</v>
      </c>
      <c r="E404" s="581" t="e">
        <f t="shared" ref="E404:E409" si="177">ROUND(C404*$E$420/$C$420,0)</f>
        <v>#VALUE!</v>
      </c>
      <c r="G404" s="434">
        <f>[25]Blocking1!M404</f>
        <v>19.46</v>
      </c>
      <c r="H404" s="435"/>
      <c r="I404" s="417" t="e">
        <f t="shared" ref="I404:I409" si="178">ROUND(G404*$C404,0)</f>
        <v>#VALUE!</v>
      </c>
      <c r="K404" s="417" t="e">
        <f t="shared" ref="K404:K409" si="179">ROUND(G404*$E404,0)</f>
        <v>#VALUE!</v>
      </c>
      <c r="M404" s="434" t="e">
        <f t="shared" ref="M404:M409" si="180">M244</f>
        <v>#VALUE!</v>
      </c>
      <c r="N404" s="435"/>
      <c r="O404" s="417" t="e">
        <f t="shared" ref="O404:O409" si="181">ROUND(M404*$E404,0)</f>
        <v>#VALUE!</v>
      </c>
      <c r="Q404" s="436"/>
      <c r="R404" s="436"/>
      <c r="S404" s="570"/>
      <c r="T404" s="439" t="e">
        <f t="shared" ref="T404:T409" si="182">M404/G404-1</f>
        <v>#VALUE!</v>
      </c>
      <c r="AD404" s="400" t="e">
        <f>K404-[25]Blocking1!O404</f>
        <v>#VALUE!</v>
      </c>
    </row>
    <row r="405" spans="1:30">
      <c r="A405" s="432" t="s">
        <v>379</v>
      </c>
      <c r="B405" s="405">
        <v>15</v>
      </c>
      <c r="C405" s="433" t="e">
        <f>SUMIF('[25]7'!C$58:C$77,B405,'[25]7'!M$58:M$77)</f>
        <v>#VALUE!</v>
      </c>
      <c r="E405" s="581" t="e">
        <f t="shared" si="177"/>
        <v>#VALUE!</v>
      </c>
      <c r="G405" s="434">
        <f>[25]Blocking1!M405</f>
        <v>17.13</v>
      </c>
      <c r="H405" s="435"/>
      <c r="I405" s="417" t="e">
        <f t="shared" si="178"/>
        <v>#VALUE!</v>
      </c>
      <c r="K405" s="417" t="e">
        <f t="shared" si="179"/>
        <v>#VALUE!</v>
      </c>
      <c r="M405" s="434" t="e">
        <f t="shared" si="180"/>
        <v>#VALUE!</v>
      </c>
      <c r="N405" s="435"/>
      <c r="O405" s="417" t="e">
        <f t="shared" si="181"/>
        <v>#VALUE!</v>
      </c>
      <c r="P405" s="417"/>
      <c r="Q405" s="436"/>
      <c r="R405" s="436"/>
      <c r="S405" s="570"/>
      <c r="T405" s="439" t="e">
        <f t="shared" si="182"/>
        <v>#VALUE!</v>
      </c>
      <c r="AD405" s="400" t="e">
        <f>K405-[25]Blocking1!O405</f>
        <v>#VALUE!</v>
      </c>
    </row>
    <row r="406" spans="1:30">
      <c r="A406" s="432" t="s">
        <v>381</v>
      </c>
      <c r="B406" s="405">
        <v>16</v>
      </c>
      <c r="C406" s="433" t="e">
        <f>SUMIF('[25]7'!C$58:C$77,B406,'[25]7'!M$58:M$77)</f>
        <v>#VALUE!</v>
      </c>
      <c r="E406" s="581" t="e">
        <f t="shared" si="177"/>
        <v>#VALUE!</v>
      </c>
      <c r="G406" s="434">
        <f>[25]Blocking1!M406</f>
        <v>23.51</v>
      </c>
      <c r="H406" s="435"/>
      <c r="I406" s="417" t="e">
        <f t="shared" si="178"/>
        <v>#VALUE!</v>
      </c>
      <c r="K406" s="417" t="e">
        <f t="shared" si="179"/>
        <v>#VALUE!</v>
      </c>
      <c r="M406" s="434" t="e">
        <f t="shared" si="180"/>
        <v>#VALUE!</v>
      </c>
      <c r="N406" s="435"/>
      <c r="O406" s="417" t="e">
        <f t="shared" si="181"/>
        <v>#VALUE!</v>
      </c>
      <c r="P406" s="417"/>
      <c r="Q406" s="436"/>
      <c r="R406" s="436"/>
      <c r="S406" s="570"/>
      <c r="T406" s="439" t="e">
        <f t="shared" si="182"/>
        <v>#VALUE!</v>
      </c>
      <c r="AD406" s="400" t="e">
        <f>K406-[25]Blocking1!O406</f>
        <v>#VALUE!</v>
      </c>
    </row>
    <row r="407" spans="1:30">
      <c r="A407" s="432" t="s">
        <v>382</v>
      </c>
      <c r="B407" s="405">
        <v>17</v>
      </c>
      <c r="C407" s="433" t="e">
        <f>SUMIF('[25]7'!C$58:C$77,B407,'[25]7'!M$58:M$77)</f>
        <v>#VALUE!</v>
      </c>
      <c r="E407" s="581" t="e">
        <f t="shared" si="177"/>
        <v>#VALUE!</v>
      </c>
      <c r="G407" s="434">
        <f>[25]Blocking1!M407</f>
        <v>21.23</v>
      </c>
      <c r="H407" s="435"/>
      <c r="I407" s="417" t="e">
        <f t="shared" si="178"/>
        <v>#VALUE!</v>
      </c>
      <c r="K407" s="417" t="e">
        <f t="shared" si="179"/>
        <v>#VALUE!</v>
      </c>
      <c r="M407" s="434" t="e">
        <f t="shared" si="180"/>
        <v>#VALUE!</v>
      </c>
      <c r="N407" s="435"/>
      <c r="O407" s="417" t="e">
        <f t="shared" si="181"/>
        <v>#VALUE!</v>
      </c>
      <c r="P407" s="417"/>
      <c r="Q407" s="436"/>
      <c r="R407" s="436"/>
      <c r="S407" s="570"/>
      <c r="T407" s="439" t="e">
        <f t="shared" si="182"/>
        <v>#VALUE!</v>
      </c>
      <c r="AD407" s="400" t="e">
        <f>K407-[25]Blocking1!O407</f>
        <v>#VALUE!</v>
      </c>
    </row>
    <row r="408" spans="1:30">
      <c r="A408" s="432" t="s">
        <v>383</v>
      </c>
      <c r="B408" s="405">
        <v>18</v>
      </c>
      <c r="C408" s="433" t="e">
        <f>SUMIF('[25]7'!C$58:C$77,B408,'[25]7'!M$58:M$77)</f>
        <v>#VALUE!</v>
      </c>
      <c r="E408" s="581" t="e">
        <f t="shared" si="177"/>
        <v>#VALUE!</v>
      </c>
      <c r="G408" s="434">
        <f>[25]Blocking1!M408</f>
        <v>28.3</v>
      </c>
      <c r="H408" s="435"/>
      <c r="I408" s="417" t="e">
        <f t="shared" si="178"/>
        <v>#VALUE!</v>
      </c>
      <c r="K408" s="417" t="e">
        <f t="shared" si="179"/>
        <v>#VALUE!</v>
      </c>
      <c r="M408" s="434" t="e">
        <f t="shared" si="180"/>
        <v>#VALUE!</v>
      </c>
      <c r="N408" s="435"/>
      <c r="O408" s="417" t="e">
        <f t="shared" si="181"/>
        <v>#VALUE!</v>
      </c>
      <c r="P408" s="417"/>
      <c r="R408" s="405"/>
      <c r="S408" s="570"/>
      <c r="T408" s="439" t="e">
        <f t="shared" si="182"/>
        <v>#VALUE!</v>
      </c>
      <c r="AD408" s="400" t="e">
        <f>K408-[25]Blocking1!O408</f>
        <v>#VALUE!</v>
      </c>
    </row>
    <row r="409" spans="1:30">
      <c r="A409" s="432" t="s">
        <v>384</v>
      </c>
      <c r="B409" s="405">
        <v>19</v>
      </c>
      <c r="C409" s="433" t="e">
        <f>SUMIF('[25]7'!C$58:C$77,B409,'[25]7'!M$58:M$77)</f>
        <v>#VALUE!</v>
      </c>
      <c r="E409" s="581" t="e">
        <f t="shared" si="177"/>
        <v>#VALUE!</v>
      </c>
      <c r="G409" s="434">
        <f>[25]Blocking1!M409</f>
        <v>25.99</v>
      </c>
      <c r="H409" s="435"/>
      <c r="I409" s="417" t="e">
        <f t="shared" si="178"/>
        <v>#VALUE!</v>
      </c>
      <c r="K409" s="417" t="e">
        <f t="shared" si="179"/>
        <v>#VALUE!</v>
      </c>
      <c r="M409" s="434" t="e">
        <f t="shared" si="180"/>
        <v>#VALUE!</v>
      </c>
      <c r="N409" s="435"/>
      <c r="O409" s="417" t="e">
        <f t="shared" si="181"/>
        <v>#VALUE!</v>
      </c>
      <c r="P409" s="417"/>
      <c r="Q409" s="436"/>
      <c r="R409" s="436"/>
      <c r="T409" s="439" t="e">
        <f t="shared" si="182"/>
        <v>#VALUE!</v>
      </c>
      <c r="AD409" s="400" t="e">
        <f>K409-[25]Blocking1!O409</f>
        <v>#VALUE!</v>
      </c>
    </row>
    <row r="410" spans="1:30">
      <c r="A410" s="480" t="s">
        <v>386</v>
      </c>
      <c r="C410" s="433"/>
      <c r="E410" s="581"/>
      <c r="M410" s="404"/>
      <c r="P410" s="417"/>
      <c r="Q410" s="436"/>
      <c r="R410" s="436"/>
      <c r="T410" s="570"/>
      <c r="AD410" s="400">
        <f>K410-[25]Blocking1!O410</f>
        <v>0</v>
      </c>
    </row>
    <row r="411" spans="1:30">
      <c r="A411" s="432" t="s">
        <v>387</v>
      </c>
      <c r="B411" s="405">
        <v>20</v>
      </c>
      <c r="C411" s="433" t="e">
        <f>SUMIF('[25]7'!C$58:C$77,B411,'[25]7'!M$58:M$77)</f>
        <v>#VALUE!</v>
      </c>
      <c r="E411" s="581" t="e">
        <f t="shared" ref="E411:E418" si="183">ROUND(C411*$E$420/$C$420,0)</f>
        <v>#VALUE!</v>
      </c>
      <c r="G411" s="434">
        <f>[25]Blocking1!M411</f>
        <v>29.4</v>
      </c>
      <c r="H411" s="435"/>
      <c r="I411" s="417" t="e">
        <f t="shared" ref="I411:I418" si="184">ROUND(G411*$C411,0)</f>
        <v>#VALUE!</v>
      </c>
      <c r="K411" s="417" t="e">
        <f t="shared" ref="K411:K418" si="185">ROUND(G411*$E411,0)</f>
        <v>#VALUE!</v>
      </c>
      <c r="M411" s="434" t="e">
        <f t="shared" ref="M411:M418" si="186">M251</f>
        <v>#VALUE!</v>
      </c>
      <c r="N411" s="435"/>
      <c r="O411" s="417" t="e">
        <f t="shared" ref="O411:O418" si="187">ROUND(M411*$E411,0)</f>
        <v>#VALUE!</v>
      </c>
      <c r="P411" s="417"/>
      <c r="Q411" s="436"/>
      <c r="R411" s="436"/>
      <c r="T411" s="439" t="e">
        <f t="shared" ref="T411:T418" si="188">M411/G411-1</f>
        <v>#VALUE!</v>
      </c>
      <c r="AD411" s="400" t="e">
        <f>K411-[25]Blocking1!O411</f>
        <v>#VALUE!</v>
      </c>
    </row>
    <row r="412" spans="1:30">
      <c r="A412" s="432" t="s">
        <v>388</v>
      </c>
      <c r="B412" s="405">
        <v>21</v>
      </c>
      <c r="C412" s="433" t="e">
        <f>SUMIF('[25]7'!C$58:C$77,B412,'[25]7'!M$58:M$77)</f>
        <v>#VALUE!</v>
      </c>
      <c r="E412" s="581" t="e">
        <f t="shared" si="183"/>
        <v>#VALUE!</v>
      </c>
      <c r="G412" s="434">
        <f>[25]Blocking1!M412</f>
        <v>21.79</v>
      </c>
      <c r="H412" s="435"/>
      <c r="I412" s="417" t="e">
        <f t="shared" si="184"/>
        <v>#VALUE!</v>
      </c>
      <c r="K412" s="417" t="e">
        <f t="shared" si="185"/>
        <v>#VALUE!</v>
      </c>
      <c r="M412" s="434" t="e">
        <f t="shared" si="186"/>
        <v>#VALUE!</v>
      </c>
      <c r="N412" s="435"/>
      <c r="O412" s="417" t="e">
        <f t="shared" si="187"/>
        <v>#VALUE!</v>
      </c>
      <c r="P412" s="417"/>
      <c r="Q412" s="436"/>
      <c r="R412" s="436"/>
      <c r="T412" s="439" t="e">
        <f t="shared" si="188"/>
        <v>#VALUE!</v>
      </c>
      <c r="AD412" s="400" t="e">
        <f>K412-[25]Blocking1!O412</f>
        <v>#VALUE!</v>
      </c>
    </row>
    <row r="413" spans="1:30">
      <c r="A413" s="432" t="s">
        <v>389</v>
      </c>
      <c r="B413" s="405">
        <v>22</v>
      </c>
      <c r="C413" s="433" t="e">
        <f>SUMIF('[25]7'!C$58:C$77,B413,'[25]7'!M$58:M$77)</f>
        <v>#VALUE!</v>
      </c>
      <c r="E413" s="581" t="e">
        <f t="shared" si="183"/>
        <v>#VALUE!</v>
      </c>
      <c r="G413" s="434">
        <f>[25]Blocking1!M413</f>
        <v>34.340000000000003</v>
      </c>
      <c r="H413" s="435"/>
      <c r="I413" s="417" t="e">
        <f t="shared" si="184"/>
        <v>#VALUE!</v>
      </c>
      <c r="K413" s="417" t="e">
        <f t="shared" si="185"/>
        <v>#VALUE!</v>
      </c>
      <c r="M413" s="434" t="e">
        <f t="shared" si="186"/>
        <v>#VALUE!</v>
      </c>
      <c r="N413" s="435"/>
      <c r="O413" s="417" t="e">
        <f t="shared" si="187"/>
        <v>#VALUE!</v>
      </c>
      <c r="P413" s="530"/>
      <c r="Q413" s="436"/>
      <c r="R413" s="436"/>
      <c r="T413" s="439" t="e">
        <f t="shared" si="188"/>
        <v>#VALUE!</v>
      </c>
      <c r="U413" s="440"/>
      <c r="AD413" s="400" t="e">
        <f>K413-[25]Blocking1!O413</f>
        <v>#VALUE!</v>
      </c>
    </row>
    <row r="414" spans="1:30">
      <c r="A414" s="432" t="s">
        <v>390</v>
      </c>
      <c r="B414" s="405">
        <v>23</v>
      </c>
      <c r="C414" s="433" t="e">
        <f>SUMIF('[25]7'!C$58:C$77,B414,'[25]7'!M$58:M$77)</f>
        <v>#VALUE!</v>
      </c>
      <c r="E414" s="581" t="e">
        <f t="shared" si="183"/>
        <v>#VALUE!</v>
      </c>
      <c r="G414" s="434">
        <f>[25]Blocking1!M414</f>
        <v>27.43</v>
      </c>
      <c r="H414" s="435"/>
      <c r="I414" s="417" t="e">
        <f t="shared" si="184"/>
        <v>#VALUE!</v>
      </c>
      <c r="K414" s="417" t="e">
        <f t="shared" si="185"/>
        <v>#VALUE!</v>
      </c>
      <c r="M414" s="434" t="e">
        <f t="shared" si="186"/>
        <v>#VALUE!</v>
      </c>
      <c r="N414" s="435"/>
      <c r="O414" s="417" t="e">
        <f t="shared" si="187"/>
        <v>#VALUE!</v>
      </c>
      <c r="P414" s="530"/>
      <c r="Q414" s="436"/>
      <c r="R414" s="436"/>
      <c r="T414" s="439" t="e">
        <f t="shared" si="188"/>
        <v>#VALUE!</v>
      </c>
      <c r="AD414" s="400" t="e">
        <f>K414-[25]Blocking1!O414</f>
        <v>#VALUE!</v>
      </c>
    </row>
    <row r="415" spans="1:30" s="440" customFormat="1">
      <c r="A415" s="432" t="s">
        <v>391</v>
      </c>
      <c r="B415" s="405">
        <v>24</v>
      </c>
      <c r="C415" s="433" t="e">
        <f>SUMIF('[25]7'!C$58:C$77,B415,'[25]7'!M$58:M$77)</f>
        <v>#VALUE!</v>
      </c>
      <c r="D415" s="407"/>
      <c r="E415" s="581" t="e">
        <f t="shared" si="183"/>
        <v>#VALUE!</v>
      </c>
      <c r="F415" s="407"/>
      <c r="G415" s="434">
        <f>[25]Blocking1!M415</f>
        <v>36.69</v>
      </c>
      <c r="H415" s="435"/>
      <c r="I415" s="417" t="e">
        <f t="shared" si="184"/>
        <v>#VALUE!</v>
      </c>
      <c r="J415" s="407"/>
      <c r="K415" s="417" t="e">
        <f t="shared" si="185"/>
        <v>#VALUE!</v>
      </c>
      <c r="L415" s="407"/>
      <c r="M415" s="434" t="e">
        <f t="shared" si="186"/>
        <v>#VALUE!</v>
      </c>
      <c r="N415" s="435"/>
      <c r="O415" s="417" t="e">
        <f t="shared" si="187"/>
        <v>#VALUE!</v>
      </c>
      <c r="P415" s="579"/>
      <c r="Q415" s="589"/>
      <c r="R415" s="497"/>
      <c r="S415" s="400"/>
      <c r="T415" s="439" t="e">
        <f t="shared" si="188"/>
        <v>#VALUE!</v>
      </c>
      <c r="U415" s="400"/>
      <c r="AD415" s="400" t="e">
        <f>K415-[25]Blocking1!O415</f>
        <v>#VALUE!</v>
      </c>
    </row>
    <row r="416" spans="1:30">
      <c r="A416" s="432" t="s">
        <v>392</v>
      </c>
      <c r="B416" s="405">
        <v>25</v>
      </c>
      <c r="C416" s="433" t="e">
        <f>SUMIF('[25]7'!C$58:C$77,B416,'[25]7'!M$58:M$77)</f>
        <v>#VALUE!</v>
      </c>
      <c r="E416" s="581" t="e">
        <f t="shared" si="183"/>
        <v>#VALUE!</v>
      </c>
      <c r="G416" s="434">
        <f>[25]Blocking1!M416</f>
        <v>29.72</v>
      </c>
      <c r="H416" s="435"/>
      <c r="I416" s="417" t="e">
        <f t="shared" si="184"/>
        <v>#VALUE!</v>
      </c>
      <c r="K416" s="417" t="e">
        <f t="shared" si="185"/>
        <v>#VALUE!</v>
      </c>
      <c r="M416" s="434" t="e">
        <f t="shared" si="186"/>
        <v>#VALUE!</v>
      </c>
      <c r="N416" s="435"/>
      <c r="O416" s="417" t="e">
        <f t="shared" si="187"/>
        <v>#VALUE!</v>
      </c>
      <c r="Q416" s="589"/>
      <c r="R416" s="497"/>
      <c r="T416" s="439" t="e">
        <f t="shared" si="188"/>
        <v>#VALUE!</v>
      </c>
      <c r="AD416" s="400" t="e">
        <f>K416-[25]Blocking1!O416</f>
        <v>#VALUE!</v>
      </c>
    </row>
    <row r="417" spans="1:30">
      <c r="A417" s="432" t="s">
        <v>393</v>
      </c>
      <c r="B417" s="405">
        <v>26</v>
      </c>
      <c r="C417" s="433" t="e">
        <f>SUMIF('[25]7'!C$58:C$77,B417,'[25]7'!M$58:M$77)</f>
        <v>#VALUE!</v>
      </c>
      <c r="E417" s="581" t="e">
        <f t="shared" si="183"/>
        <v>#VALUE!</v>
      </c>
      <c r="G417" s="434">
        <f>[25]Blocking1!M417</f>
        <v>57.58</v>
      </c>
      <c r="H417" s="435"/>
      <c r="I417" s="417" t="e">
        <f t="shared" si="184"/>
        <v>#VALUE!</v>
      </c>
      <c r="K417" s="417" t="e">
        <f t="shared" si="185"/>
        <v>#VALUE!</v>
      </c>
      <c r="M417" s="434" t="e">
        <f t="shared" si="186"/>
        <v>#VALUE!</v>
      </c>
      <c r="N417" s="435"/>
      <c r="O417" s="417" t="e">
        <f t="shared" si="187"/>
        <v>#VALUE!</v>
      </c>
      <c r="P417" s="530"/>
      <c r="Q417" s="590"/>
      <c r="R417" s="497"/>
      <c r="S417" s="580"/>
      <c r="T417" s="439" t="e">
        <f t="shared" si="188"/>
        <v>#VALUE!</v>
      </c>
      <c r="AD417" s="400" t="e">
        <f>K417-[25]Blocking1!O417</f>
        <v>#VALUE!</v>
      </c>
    </row>
    <row r="418" spans="1:30">
      <c r="A418" s="432" t="s">
        <v>394</v>
      </c>
      <c r="B418" s="405">
        <v>27</v>
      </c>
      <c r="C418" s="433" t="e">
        <f>SUMIF('[25]7'!C$58:C$77,B418,'[25]7'!M$58:M$77)</f>
        <v>#VALUE!</v>
      </c>
      <c r="E418" s="581" t="e">
        <f t="shared" si="183"/>
        <v>#VALUE!</v>
      </c>
      <c r="G418" s="434">
        <f>[25]Blocking1!M418</f>
        <v>49.1</v>
      </c>
      <c r="H418" s="435"/>
      <c r="I418" s="417" t="e">
        <f t="shared" si="184"/>
        <v>#VALUE!</v>
      </c>
      <c r="K418" s="417" t="e">
        <f t="shared" si="185"/>
        <v>#VALUE!</v>
      </c>
      <c r="M418" s="434" t="e">
        <f t="shared" si="186"/>
        <v>#VALUE!</v>
      </c>
      <c r="N418" s="435"/>
      <c r="O418" s="417" t="e">
        <f t="shared" si="187"/>
        <v>#VALUE!</v>
      </c>
      <c r="P418" s="497"/>
      <c r="Q418" s="521"/>
      <c r="R418" s="568"/>
      <c r="T418" s="439" t="e">
        <f t="shared" si="188"/>
        <v>#VALUE!</v>
      </c>
      <c r="AD418" s="400" t="e">
        <f>K418-[25]Blocking1!O418</f>
        <v>#VALUE!</v>
      </c>
    </row>
    <row r="419" spans="1:30">
      <c r="A419" s="432" t="s">
        <v>182</v>
      </c>
      <c r="B419" s="416"/>
      <c r="C419" s="581" t="e">
        <f>SUM(C387:C418)</f>
        <v>#VALUE!</v>
      </c>
      <c r="D419" s="521"/>
      <c r="E419" s="581" t="e">
        <f>SUM(E387:E418)</f>
        <v>#VALUE!</v>
      </c>
      <c r="F419" s="521"/>
      <c r="H419" s="521"/>
      <c r="I419" s="530" t="e">
        <f>SUM(I387:I418)</f>
        <v>#VALUE!</v>
      </c>
      <c r="J419" s="521"/>
      <c r="K419" s="530" t="e">
        <f>SUM(K387:K418)</f>
        <v>#VALUE!</v>
      </c>
      <c r="L419" s="521"/>
      <c r="M419" s="404"/>
      <c r="N419" s="521"/>
      <c r="O419" s="530" t="e">
        <f>SUM(O387:O418)</f>
        <v>#VALUE!</v>
      </c>
      <c r="P419" s="497"/>
      <c r="Q419" s="521"/>
      <c r="R419" s="568"/>
      <c r="AD419" s="400" t="e">
        <f>K419-[25]Blocking1!O419</f>
        <v>#VALUE!</v>
      </c>
    </row>
    <row r="420" spans="1:30">
      <c r="A420" s="432" t="s">
        <v>395</v>
      </c>
      <c r="C420" s="426">
        <f>'[25]7'!N83</f>
        <v>2743082.8990126764</v>
      </c>
      <c r="E420" s="591">
        <f>E423</f>
        <v>2715336</v>
      </c>
      <c r="I420" s="530"/>
      <c r="K420" s="530"/>
      <c r="M420" s="404"/>
      <c r="O420" s="530"/>
      <c r="Q420" s="523"/>
      <c r="R420" s="568"/>
      <c r="S420" s="535"/>
      <c r="AD420" s="400">
        <f>K420-[25]Blocking1!O420</f>
        <v>0</v>
      </c>
    </row>
    <row r="421" spans="1:30">
      <c r="A421" s="432" t="s">
        <v>190</v>
      </c>
      <c r="C421" s="582">
        <f>'[25]Table 2'!J18</f>
        <v>-4117</v>
      </c>
      <c r="E421" s="582">
        <v>0</v>
      </c>
      <c r="G421" s="584"/>
      <c r="I421" s="585">
        <f>'[25]Table 3'!F18</f>
        <v>1776</v>
      </c>
      <c r="K421" s="585">
        <v>0</v>
      </c>
      <c r="M421" s="584"/>
      <c r="O421" s="585">
        <v>0</v>
      </c>
      <c r="Q421" s="521"/>
      <c r="R421" s="568"/>
      <c r="S421" s="535"/>
      <c r="T421" s="580"/>
      <c r="AD421" s="400">
        <f>K421-[25]Blocking1!O421</f>
        <v>0</v>
      </c>
    </row>
    <row r="422" spans="1:30">
      <c r="A422" s="432" t="s">
        <v>173</v>
      </c>
      <c r="C422" s="433">
        <f>'[25]Table 2'!F18</f>
        <v>2978.0833333333298</v>
      </c>
      <c r="E422" s="550">
        <f>ROUND([25]Bill!P10/12,0)</f>
        <v>3079</v>
      </c>
      <c r="M422" s="404"/>
      <c r="P422" s="417"/>
      <c r="S422" s="535"/>
      <c r="AD422" s="400">
        <f>K422-[25]Blocking1!O422</f>
        <v>0</v>
      </c>
    </row>
    <row r="423" spans="1:30" ht="16.5" thickBot="1">
      <c r="A423" s="432" t="s">
        <v>396</v>
      </c>
      <c r="C423" s="586">
        <f>C420+C421</f>
        <v>2738965.8990126764</v>
      </c>
      <c r="E423" s="592">
        <f>[25]Energy!P10</f>
        <v>2715336</v>
      </c>
      <c r="G423" s="510"/>
      <c r="I423" s="588" t="e">
        <f>I421+I419</f>
        <v>#VALUE!</v>
      </c>
      <c r="K423" s="588" t="e">
        <f>K421+K419</f>
        <v>#VALUE!</v>
      </c>
      <c r="M423" s="510"/>
      <c r="O423" s="588" t="e">
        <f>O421+O419</f>
        <v>#VALUE!</v>
      </c>
      <c r="P423" s="417"/>
      <c r="S423" s="535"/>
      <c r="AD423" s="400" t="e">
        <f>K423-[25]Blocking1!O423</f>
        <v>#VALUE!</v>
      </c>
    </row>
    <row r="424" spans="1:30" ht="16.5" thickTop="1">
      <c r="D424" s="551"/>
      <c r="F424" s="551"/>
      <c r="J424" s="551"/>
      <c r="L424" s="551"/>
      <c r="P424" s="417"/>
      <c r="S424" s="570"/>
      <c r="AD424" s="400">
        <f>K424-[25]Blocking1!O424</f>
        <v>0</v>
      </c>
    </row>
    <row r="425" spans="1:30">
      <c r="A425" s="428" t="s">
        <v>397</v>
      </c>
      <c r="C425" s="406"/>
      <c r="E425" s="406"/>
      <c r="P425" s="417"/>
      <c r="S425" s="440"/>
      <c r="T425" s="535"/>
      <c r="AD425" s="400">
        <f>K425-[25]Blocking1!O425</f>
        <v>0</v>
      </c>
    </row>
    <row r="426" spans="1:30">
      <c r="A426" s="432" t="s">
        <v>303</v>
      </c>
      <c r="C426" s="581">
        <f t="shared" ref="C426:C435" si="189">C438+C450</f>
        <v>3244.0755131964806</v>
      </c>
      <c r="E426" s="581">
        <f t="shared" ref="E426:E435" si="190">E438+E450</f>
        <v>3282</v>
      </c>
      <c r="G426" s="434">
        <f>[25]Blocking1!M426</f>
        <v>69</v>
      </c>
      <c r="H426" s="515"/>
      <c r="I426" s="417">
        <f>ROUND($G426*C426,0)</f>
        <v>223841</v>
      </c>
      <c r="K426" s="417">
        <f>ROUND($G426*E426,0)</f>
        <v>226458</v>
      </c>
      <c r="M426" s="436">
        <f>ROUND(G426*(1+R431),0)</f>
        <v>70</v>
      </c>
      <c r="N426" s="515"/>
      <c r="O426" s="417">
        <f>ROUND(M426*$E426,0)</f>
        <v>229740</v>
      </c>
      <c r="P426" s="417"/>
      <c r="Q426" s="516"/>
      <c r="T426" s="439">
        <f t="shared" ref="T426:T433" si="191">M426/G426-1</f>
        <v>1.449275362318847E-2</v>
      </c>
      <c r="AD426" s="400">
        <f>K426-[25]Blocking1!O426</f>
        <v>0</v>
      </c>
    </row>
    <row r="427" spans="1:30">
      <c r="A427" s="432" t="s">
        <v>398</v>
      </c>
      <c r="C427" s="581">
        <f t="shared" si="189"/>
        <v>4767329.8322084472</v>
      </c>
      <c r="E427" s="581">
        <f t="shared" si="190"/>
        <v>5010201</v>
      </c>
      <c r="G427" s="434">
        <f>[25]Blocking1!M427</f>
        <v>4.71</v>
      </c>
      <c r="H427" s="515"/>
      <c r="I427" s="417">
        <f>ROUND($G427*C427,0)</f>
        <v>22454124</v>
      </c>
      <c r="K427" s="417">
        <f>ROUND($G427*E427,0)</f>
        <v>23598047</v>
      </c>
      <c r="M427" s="434">
        <f>ROUND(G427*(1+$R$432),2)</f>
        <v>4.76</v>
      </c>
      <c r="N427" s="515"/>
      <c r="O427" s="417">
        <f>ROUND(M427*$E427,0)</f>
        <v>23848557</v>
      </c>
      <c r="P427" s="417"/>
      <c r="Q427" s="437" t="s">
        <v>589</v>
      </c>
      <c r="R427" s="438">
        <f>O435</f>
        <v>167313409</v>
      </c>
      <c r="S427" s="580"/>
      <c r="T427" s="439">
        <f t="shared" si="191"/>
        <v>1.0615711252653925E-2</v>
      </c>
      <c r="AD427" s="400">
        <f>K427-[25]Blocking1!O427</f>
        <v>0</v>
      </c>
    </row>
    <row r="428" spans="1:30">
      <c r="A428" s="432" t="s">
        <v>399</v>
      </c>
      <c r="C428" s="581">
        <f t="shared" si="189"/>
        <v>1996878.9322348891</v>
      </c>
      <c r="E428" s="581">
        <f t="shared" si="190"/>
        <v>2097818</v>
      </c>
      <c r="G428" s="434">
        <f>[25]Blocking1!M428</f>
        <v>15.4</v>
      </c>
      <c r="H428" s="435"/>
      <c r="I428" s="417">
        <f>ROUND($G428*C428,0)</f>
        <v>30751936</v>
      </c>
      <c r="K428" s="417">
        <f>ROUND($G428*E428,0)</f>
        <v>32306397</v>
      </c>
      <c r="M428" s="434">
        <f>ROUND(G428*(1+$R$432),2)</f>
        <v>15.56</v>
      </c>
      <c r="N428" s="435"/>
      <c r="O428" s="417">
        <f>ROUND(M428*$E428,0)</f>
        <v>32642048</v>
      </c>
      <c r="P428" s="497"/>
      <c r="Q428" s="444" t="s">
        <v>593</v>
      </c>
      <c r="R428" s="445">
        <f>([25]RateSpread2!M24)*1000</f>
        <v>167289593</v>
      </c>
      <c r="T428" s="439">
        <f t="shared" si="191"/>
        <v>1.0389610389610393E-2</v>
      </c>
      <c r="AD428" s="400">
        <f>K428-[25]Blocking1!O428</f>
        <v>0</v>
      </c>
    </row>
    <row r="429" spans="1:30">
      <c r="A429" s="432" t="s">
        <v>400</v>
      </c>
      <c r="C429" s="581">
        <f t="shared" si="189"/>
        <v>2627273.2843035478</v>
      </c>
      <c r="E429" s="581">
        <f t="shared" si="190"/>
        <v>2761958</v>
      </c>
      <c r="G429" s="434">
        <f>[25]Blocking1!M429</f>
        <v>11.08</v>
      </c>
      <c r="H429" s="435"/>
      <c r="I429" s="417">
        <f>ROUND($G429*C429,0)</f>
        <v>29110188</v>
      </c>
      <c r="K429" s="417">
        <f>ROUND($G429*E429,0)</f>
        <v>30602495</v>
      </c>
      <c r="M429" s="434">
        <f>ROUND(G429*(1+$R$432),2)</f>
        <v>11.19</v>
      </c>
      <c r="N429" s="435"/>
      <c r="O429" s="417">
        <f>ROUND(M429*$E429,0)</f>
        <v>30906310</v>
      </c>
      <c r="P429" s="497"/>
      <c r="Q429" s="450" t="s">
        <v>159</v>
      </c>
      <c r="R429" s="451">
        <f>R428-R427</f>
        <v>-23816</v>
      </c>
      <c r="T429" s="439">
        <f t="shared" si="191"/>
        <v>9.9277978339349371E-3</v>
      </c>
      <c r="AD429" s="400">
        <f>K429-[25]Blocking1!O429</f>
        <v>0</v>
      </c>
    </row>
    <row r="430" spans="1:30">
      <c r="A430" s="432" t="s">
        <v>346</v>
      </c>
      <c r="C430" s="581">
        <f t="shared" si="189"/>
        <v>2023347.2075506593</v>
      </c>
      <c r="E430" s="581">
        <f t="shared" si="190"/>
        <v>2132830</v>
      </c>
      <c r="G430" s="434">
        <f>[25]Blocking1!M430</f>
        <v>-1.1200000000000001</v>
      </c>
      <c r="H430" s="435"/>
      <c r="I430" s="417">
        <f>ROUND($G430*C430,0)</f>
        <v>-2266149</v>
      </c>
      <c r="K430" s="417">
        <f>ROUND($G430*E430,0)</f>
        <v>-2388770</v>
      </c>
      <c r="M430" s="434">
        <f>ROUND(G430*(1+$R$432),2)</f>
        <v>-1.1299999999999999</v>
      </c>
      <c r="N430" s="435"/>
      <c r="O430" s="417">
        <f>ROUND(M430*$E430,0)</f>
        <v>-2410098</v>
      </c>
      <c r="P430" s="497"/>
      <c r="Q430" s="463" t="s">
        <v>601</v>
      </c>
      <c r="R430" s="536">
        <f>R427/K435-1</f>
        <v>1.0427494701659601E-2</v>
      </c>
      <c r="T430" s="439">
        <f t="shared" si="191"/>
        <v>8.9285714285711748E-3</v>
      </c>
      <c r="AD430" s="400">
        <f>K430-[25]Blocking1!O430</f>
        <v>0</v>
      </c>
    </row>
    <row r="431" spans="1:30">
      <c r="A431" s="432" t="s">
        <v>315</v>
      </c>
      <c r="C431" s="581">
        <f t="shared" si="189"/>
        <v>246230057</v>
      </c>
      <c r="E431" s="581">
        <f t="shared" si="190"/>
        <v>260094535</v>
      </c>
      <c r="G431" s="593">
        <f>[25]Blocking1!M431</f>
        <v>4.9961000000000002</v>
      </c>
      <c r="H431" s="462" t="s">
        <v>305</v>
      </c>
      <c r="I431" s="417">
        <f>ROUND($G431*C431/100,0)</f>
        <v>12301900</v>
      </c>
      <c r="K431" s="417">
        <f>ROUND($G431*E431/100,0)</f>
        <v>12994583</v>
      </c>
      <c r="M431" s="593">
        <f>ROUND(G431*(1+$R$432),$R$8)</f>
        <v>5.0473999999999997</v>
      </c>
      <c r="N431" s="462" t="s">
        <v>305</v>
      </c>
      <c r="O431" s="417">
        <f>ROUND(M431*$E431/100,0)</f>
        <v>13128012</v>
      </c>
      <c r="P431" s="497"/>
      <c r="Q431" s="471" t="s">
        <v>603</v>
      </c>
      <c r="R431" s="540">
        <f>R428/K435-1</f>
        <v>1.02836667720414E-2</v>
      </c>
      <c r="T431" s="439">
        <f t="shared" si="191"/>
        <v>1.0268009047056603E-2</v>
      </c>
      <c r="AD431" s="400">
        <f>K431-[25]Blocking1!O431</f>
        <v>0</v>
      </c>
    </row>
    <row r="432" spans="1:30">
      <c r="A432" s="432" t="s">
        <v>366</v>
      </c>
      <c r="C432" s="581">
        <f t="shared" si="189"/>
        <v>592357192</v>
      </c>
      <c r="E432" s="581">
        <f t="shared" si="190"/>
        <v>625992212</v>
      </c>
      <c r="G432" s="593">
        <f>[25]Blocking1!M432</f>
        <v>3.9108999999999998</v>
      </c>
      <c r="H432" s="462" t="s">
        <v>305</v>
      </c>
      <c r="I432" s="417">
        <f>ROUND($G432*C432/100,0)</f>
        <v>23166497</v>
      </c>
      <c r="K432" s="417">
        <f>ROUND($G432*E432/100,0)</f>
        <v>24481929</v>
      </c>
      <c r="M432" s="593">
        <f>ROUND(G432*(1+$R$432),$R$8)</f>
        <v>3.9510999999999998</v>
      </c>
      <c r="N432" s="462" t="s">
        <v>305</v>
      </c>
      <c r="O432" s="417">
        <f>ROUND(M432*$E432/100,0)</f>
        <v>24733578</v>
      </c>
      <c r="Q432" s="471" t="s">
        <v>625</v>
      </c>
      <c r="R432" s="540">
        <f>(R428-O426)/(K435-K426)-1</f>
        <v>1.0277902502061398E-2</v>
      </c>
      <c r="S432" s="535"/>
      <c r="T432" s="439">
        <f t="shared" si="191"/>
        <v>1.0278963921348083E-2</v>
      </c>
      <c r="AD432" s="400">
        <f>K432-[25]Blocking1!O432</f>
        <v>0</v>
      </c>
    </row>
    <row r="433" spans="1:30">
      <c r="A433" s="432" t="s">
        <v>401</v>
      </c>
      <c r="C433" s="581">
        <f t="shared" si="189"/>
        <v>1231736133.3947215</v>
      </c>
      <c r="E433" s="581">
        <f t="shared" si="190"/>
        <v>1300960578.5884075</v>
      </c>
      <c r="G433" s="593">
        <f>[25]Blocking1!M433</f>
        <v>3.3640999999999996</v>
      </c>
      <c r="H433" s="462" t="s">
        <v>305</v>
      </c>
      <c r="I433" s="417">
        <f>ROUND($G433*C433/100,0)</f>
        <v>41436835</v>
      </c>
      <c r="K433" s="417">
        <f>ROUND($G433*E433/100,0)</f>
        <v>43765615</v>
      </c>
      <c r="M433" s="594">
        <f>ROUND((R428-SUM(O426:O432))/E433*100,$R$8)+R782</f>
        <v>3.4001999999999999</v>
      </c>
      <c r="N433" s="462" t="s">
        <v>305</v>
      </c>
      <c r="O433" s="417">
        <f>ROUND(M433*$E433/100,0)</f>
        <v>44235262</v>
      </c>
      <c r="Q433" s="488" t="s">
        <v>605</v>
      </c>
      <c r="R433" s="489">
        <f>M426/G426-1</f>
        <v>1.449275362318847E-2</v>
      </c>
      <c r="S433" s="535"/>
      <c r="T433" s="439">
        <f t="shared" si="191"/>
        <v>1.0730953301031576E-2</v>
      </c>
      <c r="AD433" s="400">
        <f>K433-[25]Blocking1!O433</f>
        <v>0</v>
      </c>
    </row>
    <row r="434" spans="1:30">
      <c r="A434" s="432" t="s">
        <v>313</v>
      </c>
      <c r="C434" s="548">
        <f t="shared" si="189"/>
        <v>11359783</v>
      </c>
      <c r="E434" s="548">
        <f t="shared" si="190"/>
        <v>0</v>
      </c>
      <c r="I434" s="506">
        <f>I446+I458</f>
        <v>1252831</v>
      </c>
      <c r="K434" s="506">
        <f>K446+K458</f>
        <v>0</v>
      </c>
      <c r="M434" s="404"/>
      <c r="O434" s="506">
        <v>0</v>
      </c>
      <c r="P434" s="417"/>
      <c r="Q434" s="430" t="s">
        <v>643</v>
      </c>
      <c r="R434" s="546">
        <f>(O435)/(K435)-1</f>
        <v>1.0427494701659601E-2</v>
      </c>
      <c r="S434" s="535"/>
      <c r="AD434" s="400">
        <f>K434-[25]Blocking1!O434</f>
        <v>0</v>
      </c>
    </row>
    <row r="435" spans="1:30" ht="16.5" thickBot="1">
      <c r="A435" s="432" t="s">
        <v>314</v>
      </c>
      <c r="C435" s="595">
        <f t="shared" si="189"/>
        <v>2081683165.3947215</v>
      </c>
      <c r="E435" s="595">
        <f t="shared" si="190"/>
        <v>2187047325.5884075</v>
      </c>
      <c r="G435" s="532"/>
      <c r="I435" s="533">
        <f>SUM(I426:I434)</f>
        <v>158432003</v>
      </c>
      <c r="K435" s="533">
        <f>SUM(K426:K434)</f>
        <v>165586754</v>
      </c>
      <c r="M435" s="532"/>
      <c r="O435" s="533">
        <f>SUM(O426:O434)</f>
        <v>167313409</v>
      </c>
      <c r="P435" s="417"/>
      <c r="Q435" s="430" t="s">
        <v>644</v>
      </c>
      <c r="R435" s="596">
        <f>(G431-G433)</f>
        <v>1.6320000000000006</v>
      </c>
      <c r="S435" s="535"/>
      <c r="T435" s="400">
        <f>M431-M433</f>
        <v>1.6471999999999998</v>
      </c>
      <c r="AD435" s="400">
        <f>K435-[25]Blocking1!O435</f>
        <v>0</v>
      </c>
    </row>
    <row r="436" spans="1:30" ht="16.5" thickTop="1">
      <c r="P436" s="417"/>
      <c r="T436" s="597"/>
      <c r="AD436" s="400">
        <f>K436-[25]Blocking1!O436</f>
        <v>0</v>
      </c>
    </row>
    <row r="437" spans="1:30">
      <c r="A437" s="428" t="s">
        <v>645</v>
      </c>
      <c r="P437" s="417"/>
      <c r="S437" s="440"/>
      <c r="T437" s="535"/>
      <c r="AD437" s="400">
        <f>K437-[25]Blocking1!O437</f>
        <v>0</v>
      </c>
    </row>
    <row r="438" spans="1:30">
      <c r="A438" s="432" t="s">
        <v>303</v>
      </c>
      <c r="C438" s="433">
        <f>'[25]8'!G9</f>
        <v>1898.0072531769254</v>
      </c>
      <c r="E438" s="550">
        <f>[25]Bill!P21</f>
        <v>1991</v>
      </c>
      <c r="G438" s="496">
        <f>[25]Blocking1!M438</f>
        <v>69</v>
      </c>
      <c r="H438" s="551"/>
      <c r="I438" s="417">
        <f>ROUND($G438*C438,0)</f>
        <v>130963</v>
      </c>
      <c r="K438" s="417">
        <f>ROUND($G438*E438,0)</f>
        <v>137379</v>
      </c>
      <c r="M438" s="552">
        <f t="shared" ref="M438:M445" si="192">M426</f>
        <v>70</v>
      </c>
      <c r="N438" s="551"/>
      <c r="O438" s="417">
        <f>ROUND(M438*$E438,0)</f>
        <v>139370</v>
      </c>
      <c r="P438" s="417"/>
      <c r="Q438" s="516"/>
      <c r="R438" s="436"/>
      <c r="T438" s="439">
        <f t="shared" ref="T438:T445" si="193">M438/G438-1</f>
        <v>1.449275362318847E-2</v>
      </c>
      <c r="AD438" s="400">
        <f>K438-[25]Blocking1!O438</f>
        <v>0</v>
      </c>
    </row>
    <row r="439" spans="1:30">
      <c r="A439" s="432" t="s">
        <v>398</v>
      </c>
      <c r="C439" s="433">
        <f>'[25]8'!H9</f>
        <v>2339299.3793056016</v>
      </c>
      <c r="E439" s="406">
        <f>ROUND(C439*$E$447/$C$447,0)</f>
        <v>2397942</v>
      </c>
      <c r="G439" s="496">
        <f>[25]Blocking1!M439</f>
        <v>4.71</v>
      </c>
      <c r="H439" s="551"/>
      <c r="I439" s="417">
        <f>ROUND($G439*C439,0)</f>
        <v>11018100</v>
      </c>
      <c r="K439" s="417">
        <f>ROUND($G439*E439,0)</f>
        <v>11294307</v>
      </c>
      <c r="M439" s="552">
        <f t="shared" si="192"/>
        <v>4.76</v>
      </c>
      <c r="N439" s="551"/>
      <c r="O439" s="417">
        <f>ROUND(M439*$E439,0)</f>
        <v>11414204</v>
      </c>
      <c r="P439" s="417"/>
      <c r="Q439" s="516"/>
      <c r="R439" s="436"/>
      <c r="S439" s="580"/>
      <c r="T439" s="439">
        <f t="shared" si="193"/>
        <v>1.0615711252653925E-2</v>
      </c>
      <c r="AD439" s="400">
        <f>K439-[25]Blocking1!O439</f>
        <v>0</v>
      </c>
    </row>
    <row r="440" spans="1:30">
      <c r="A440" s="432" t="s">
        <v>399</v>
      </c>
      <c r="C440" s="433">
        <f>'[25]8'!J9</f>
        <v>995440.9162569535</v>
      </c>
      <c r="E440" s="406">
        <f>ROUND(C440*$E$447/$C$447,0)</f>
        <v>1020395</v>
      </c>
      <c r="G440" s="496">
        <f>[25]Blocking1!M440</f>
        <v>15.4</v>
      </c>
      <c r="H440" s="551"/>
      <c r="I440" s="417">
        <f>ROUND($G440*C440,0)</f>
        <v>15329790</v>
      </c>
      <c r="K440" s="417">
        <f>ROUND($G440*E440,0)</f>
        <v>15714083</v>
      </c>
      <c r="M440" s="552">
        <f t="shared" si="192"/>
        <v>15.56</v>
      </c>
      <c r="N440" s="551"/>
      <c r="O440" s="417">
        <f>ROUND(M440*$E440,0)</f>
        <v>15877346</v>
      </c>
      <c r="P440" s="497"/>
      <c r="Q440" s="516"/>
      <c r="T440" s="439">
        <f t="shared" si="193"/>
        <v>1.0389610389610393E-2</v>
      </c>
      <c r="AD440" s="400">
        <f>K440-[25]Blocking1!O440</f>
        <v>0</v>
      </c>
    </row>
    <row r="441" spans="1:30">
      <c r="A441" s="432" t="s">
        <v>400</v>
      </c>
      <c r="C441" s="433">
        <f>'[25]8'!K9</f>
        <v>1272672.964916633</v>
      </c>
      <c r="E441" s="406">
        <f>ROUND(C441*$E$447/$C$447,0)</f>
        <v>1304577</v>
      </c>
      <c r="G441" s="496">
        <f>[25]Blocking1!M441</f>
        <v>11.08</v>
      </c>
      <c r="H441" s="551"/>
      <c r="I441" s="417">
        <f>ROUND($G441*C441,0)</f>
        <v>14101216</v>
      </c>
      <c r="K441" s="417">
        <f>ROUND($G441*E441,0)</f>
        <v>14454713</v>
      </c>
      <c r="M441" s="552">
        <f t="shared" si="192"/>
        <v>11.19</v>
      </c>
      <c r="N441" s="551"/>
      <c r="O441" s="417">
        <f>ROUND(M441*$E441,0)</f>
        <v>14598217</v>
      </c>
      <c r="P441" s="497"/>
      <c r="R441" s="560"/>
      <c r="T441" s="439">
        <f t="shared" si="193"/>
        <v>9.9277978339349371E-3</v>
      </c>
      <c r="AD441" s="400">
        <f>K441-[25]Blocking1!O441</f>
        <v>0</v>
      </c>
    </row>
    <row r="442" spans="1:30">
      <c r="A442" s="432" t="s">
        <v>346</v>
      </c>
      <c r="C442" s="433">
        <f>'[25]8'!L9</f>
        <v>866806.45035625109</v>
      </c>
      <c r="E442" s="406">
        <f>ROUND(C442*$E$447/$C$447,0)</f>
        <v>888536</v>
      </c>
      <c r="G442" s="496">
        <f>[25]Blocking1!M442</f>
        <v>-1.1200000000000001</v>
      </c>
      <c r="H442" s="551"/>
      <c r="I442" s="417">
        <f>ROUND($G442*C442,0)</f>
        <v>-970823</v>
      </c>
      <c r="K442" s="417">
        <f>ROUND($G442*E442,0)</f>
        <v>-995160</v>
      </c>
      <c r="M442" s="552">
        <f t="shared" si="192"/>
        <v>-1.1299999999999999</v>
      </c>
      <c r="N442" s="551"/>
      <c r="O442" s="417">
        <f>ROUND(M442*$E442,0)</f>
        <v>-1004046</v>
      </c>
      <c r="P442" s="497"/>
      <c r="R442" s="560"/>
      <c r="T442" s="439">
        <f t="shared" si="193"/>
        <v>8.9285714285711748E-3</v>
      </c>
      <c r="AD442" s="400">
        <f>K442-[25]Blocking1!O442</f>
        <v>0</v>
      </c>
    </row>
    <row r="443" spans="1:30">
      <c r="A443" s="432" t="s">
        <v>315</v>
      </c>
      <c r="C443" s="433">
        <f>'[25]8'!N9+[25]TempRev!C385</f>
        <v>123146182</v>
      </c>
      <c r="E443" s="406">
        <f>ROUND(C443*($E$447-$E$446)/($C$447-$C$446),0)</f>
        <v>126495609</v>
      </c>
      <c r="G443" s="547">
        <f>[25]Blocking1!M443</f>
        <v>4.9961000000000002</v>
      </c>
      <c r="H443" s="462" t="s">
        <v>305</v>
      </c>
      <c r="I443" s="417">
        <f>ROUND($G443*C443/100,0)</f>
        <v>6152506</v>
      </c>
      <c r="K443" s="417">
        <f>ROUND($G443*E443/100,0)</f>
        <v>6319847</v>
      </c>
      <c r="M443" s="558">
        <f t="shared" si="192"/>
        <v>5.0473999999999997</v>
      </c>
      <c r="N443" s="462" t="s">
        <v>305</v>
      </c>
      <c r="O443" s="417">
        <f>ROUND(M443*$E443/100,0)</f>
        <v>6384739</v>
      </c>
      <c r="P443" s="497"/>
      <c r="R443" s="560"/>
      <c r="T443" s="439">
        <f t="shared" si="193"/>
        <v>1.0268009047056603E-2</v>
      </c>
      <c r="AD443" s="400">
        <f>K443-[25]Blocking1!O443</f>
        <v>0</v>
      </c>
    </row>
    <row r="444" spans="1:30">
      <c r="A444" s="432" t="s">
        <v>366</v>
      </c>
      <c r="C444" s="433">
        <f>'[25]8'!O9+[25]TempRev!C386</f>
        <v>291425192</v>
      </c>
      <c r="E444" s="406">
        <f>ROUND(C444*($E$447-$E$446)/($C$447-$C$446),0)</f>
        <v>299351603</v>
      </c>
      <c r="G444" s="547">
        <f>[25]Blocking1!M444</f>
        <v>3.9108999999999998</v>
      </c>
      <c r="H444" s="462" t="s">
        <v>305</v>
      </c>
      <c r="I444" s="417">
        <f>ROUND($G444*C444/100,0)</f>
        <v>11397348</v>
      </c>
      <c r="K444" s="417">
        <f>ROUND($G444*E444/100,0)</f>
        <v>11707342</v>
      </c>
      <c r="M444" s="558">
        <f t="shared" si="192"/>
        <v>3.9510999999999998</v>
      </c>
      <c r="N444" s="462" t="s">
        <v>305</v>
      </c>
      <c r="O444" s="417">
        <f>ROUND(M444*$E444/100,0)</f>
        <v>11827681</v>
      </c>
      <c r="T444" s="439">
        <f t="shared" si="193"/>
        <v>1.0278963921348083E-2</v>
      </c>
      <c r="AD444" s="400">
        <f>K444-[25]Blocking1!O444</f>
        <v>0</v>
      </c>
    </row>
    <row r="445" spans="1:30">
      <c r="A445" s="432" t="s">
        <v>401</v>
      </c>
      <c r="C445" s="433">
        <f>'[25]8'!P9+[25]TempRev!C387</f>
        <v>618272333.39472139</v>
      </c>
      <c r="E445" s="406">
        <f>E447-E443-E444</f>
        <v>635088590.33479583</v>
      </c>
      <c r="G445" s="547">
        <f>[25]Blocking1!M445</f>
        <v>3.3640999999999996</v>
      </c>
      <c r="H445" s="462" t="s">
        <v>305</v>
      </c>
      <c r="I445" s="417">
        <f>ROUND($G445*C445/100,0)</f>
        <v>20799300</v>
      </c>
      <c r="K445" s="417">
        <f>ROUND($G445*E445/100,0)</f>
        <v>21365015</v>
      </c>
      <c r="M445" s="558">
        <f t="shared" si="192"/>
        <v>3.4001999999999999</v>
      </c>
      <c r="N445" s="462" t="s">
        <v>305</v>
      </c>
      <c r="O445" s="417">
        <f>ROUND(M445*$E445/100,0)</f>
        <v>21594282</v>
      </c>
      <c r="T445" s="439">
        <f t="shared" si="193"/>
        <v>1.0730953301031576E-2</v>
      </c>
      <c r="AD445" s="400">
        <f>K445-[25]Blocking1!O445</f>
        <v>0</v>
      </c>
    </row>
    <row r="446" spans="1:30">
      <c r="A446" s="432" t="s">
        <v>313</v>
      </c>
      <c r="C446" s="504">
        <f>'[25]Table 2'!J42</f>
        <v>2146313</v>
      </c>
      <c r="E446" s="548">
        <v>0</v>
      </c>
      <c r="I446" s="507">
        <f>'[25]Table 3'!F42</f>
        <v>431146</v>
      </c>
      <c r="K446" s="507">
        <v>0</v>
      </c>
      <c r="O446" s="507">
        <v>0</v>
      </c>
      <c r="P446" s="417"/>
      <c r="Q446" s="416"/>
      <c r="R446" s="568"/>
      <c r="AD446" s="400">
        <f>K446-[25]Blocking1!O446</f>
        <v>0</v>
      </c>
    </row>
    <row r="447" spans="1:30" ht="16.5" thickBot="1">
      <c r="A447" s="432" t="s">
        <v>314</v>
      </c>
      <c r="C447" s="595">
        <f>SUM(C443:C446)</f>
        <v>1034990020.3947214</v>
      </c>
      <c r="E447" s="559">
        <f>[25]Energy!P21</f>
        <v>1060935802.3347958</v>
      </c>
      <c r="G447" s="532"/>
      <c r="I447" s="533">
        <f>SUM(I438:I446)</f>
        <v>78389546</v>
      </c>
      <c r="K447" s="533">
        <f>SUM(K438:K446)</f>
        <v>79997526</v>
      </c>
      <c r="M447" s="534"/>
      <c r="O447" s="533">
        <f>SUM(O438:O446)</f>
        <v>80831793</v>
      </c>
      <c r="P447" s="417"/>
      <c r="Q447" s="416" t="s">
        <v>601</v>
      </c>
      <c r="R447" s="518">
        <f>O447/K447-1</f>
        <v>1.0428660006310597E-2</v>
      </c>
      <c r="AD447" s="400">
        <f>K447-[25]Blocking1!O447</f>
        <v>0</v>
      </c>
    </row>
    <row r="448" spans="1:30" ht="16.5" thickTop="1">
      <c r="P448" s="417"/>
      <c r="AD448" s="400">
        <f>K448-[25]Blocking1!O448</f>
        <v>0</v>
      </c>
    </row>
    <row r="449" spans="1:30">
      <c r="A449" s="428" t="s">
        <v>646</v>
      </c>
      <c r="P449" s="417"/>
      <c r="S449" s="440"/>
      <c r="AD449" s="400">
        <f>K449-[25]Blocking1!O449</f>
        <v>0</v>
      </c>
    </row>
    <row r="450" spans="1:30">
      <c r="A450" s="432" t="s">
        <v>303</v>
      </c>
      <c r="C450" s="433">
        <f>'[25]8'!G10</f>
        <v>1346.0682600195555</v>
      </c>
      <c r="E450" s="550">
        <f>[25]Bill!P37</f>
        <v>1291</v>
      </c>
      <c r="G450" s="496">
        <f>[25]Blocking1!M450</f>
        <v>69</v>
      </c>
      <c r="H450" s="551"/>
      <c r="I450" s="417">
        <f>ROUND($G450*C450,0)</f>
        <v>92879</v>
      </c>
      <c r="K450" s="417">
        <f>ROUND($G450*E450,0)</f>
        <v>89079</v>
      </c>
      <c r="M450" s="552">
        <f>M426</f>
        <v>70</v>
      </c>
      <c r="N450" s="551"/>
      <c r="O450" s="417">
        <f>ROUND(M450*$E450,0)</f>
        <v>90370</v>
      </c>
      <c r="P450" s="417"/>
      <c r="T450" s="439">
        <f t="shared" ref="T450:T457" si="194">M450/G450-1</f>
        <v>1.449275362318847E-2</v>
      </c>
      <c r="AD450" s="400">
        <f>K450-[25]Blocking1!O450</f>
        <v>0</v>
      </c>
    </row>
    <row r="451" spans="1:30">
      <c r="A451" s="432" t="s">
        <v>398</v>
      </c>
      <c r="C451" s="433">
        <f>'[25]8'!H10</f>
        <v>2428030.4529028451</v>
      </c>
      <c r="E451" s="406">
        <f>ROUND(C451*$E$459/$C$459,0)</f>
        <v>2612259</v>
      </c>
      <c r="G451" s="496">
        <f>[25]Blocking1!M451</f>
        <v>4.71</v>
      </c>
      <c r="H451" s="551"/>
      <c r="I451" s="417">
        <f>ROUND($G451*C451,0)</f>
        <v>11436023</v>
      </c>
      <c r="K451" s="417">
        <f>ROUND($G451*E451,0)</f>
        <v>12303740</v>
      </c>
      <c r="M451" s="552">
        <f t="shared" ref="M451:M457" si="195">M427</f>
        <v>4.76</v>
      </c>
      <c r="N451" s="551"/>
      <c r="O451" s="417">
        <f>ROUND(M451*$E451,0)</f>
        <v>12434353</v>
      </c>
      <c r="P451" s="417"/>
      <c r="S451" s="580"/>
      <c r="T451" s="439">
        <f t="shared" si="194"/>
        <v>1.0615711252653925E-2</v>
      </c>
      <c r="AD451" s="400">
        <f>K451-[25]Blocking1!O451</f>
        <v>0</v>
      </c>
    </row>
    <row r="452" spans="1:30">
      <c r="A452" s="432" t="s">
        <v>399</v>
      </c>
      <c r="C452" s="433">
        <f>'[25]8'!J10</f>
        <v>1001438.0159779356</v>
      </c>
      <c r="E452" s="406">
        <f>ROUND(C452*$E$459/$C$459,0)</f>
        <v>1077423</v>
      </c>
      <c r="G452" s="496">
        <f>[25]Blocking1!M452</f>
        <v>15.4</v>
      </c>
      <c r="H452" s="551"/>
      <c r="I452" s="417">
        <f>ROUND($G452*C452,0)</f>
        <v>15422145</v>
      </c>
      <c r="K452" s="417">
        <f>ROUND($G452*E452,0)</f>
        <v>16592314</v>
      </c>
      <c r="M452" s="552">
        <f t="shared" si="195"/>
        <v>15.56</v>
      </c>
      <c r="N452" s="551"/>
      <c r="O452" s="417">
        <f>ROUND(M452*$E452,0)</f>
        <v>16764702</v>
      </c>
      <c r="P452" s="497"/>
      <c r="S452" s="580"/>
      <c r="T452" s="439">
        <f t="shared" si="194"/>
        <v>1.0389610389610393E-2</v>
      </c>
      <c r="AD452" s="400">
        <f>K452-[25]Blocking1!O452</f>
        <v>0</v>
      </c>
    </row>
    <row r="453" spans="1:30">
      <c r="A453" s="432" t="s">
        <v>400</v>
      </c>
      <c r="C453" s="433">
        <f>'[25]8'!K10</f>
        <v>1354600.3193869151</v>
      </c>
      <c r="E453" s="406">
        <f>ROUND(C453*$E$459/$C$459,0)</f>
        <v>1457381</v>
      </c>
      <c r="G453" s="496">
        <f>[25]Blocking1!M453</f>
        <v>11.08</v>
      </c>
      <c r="H453" s="551"/>
      <c r="I453" s="417">
        <f>ROUND($G453*C453,0)</f>
        <v>15008972</v>
      </c>
      <c r="K453" s="417">
        <f>ROUND($G453*E453,0)</f>
        <v>16147781</v>
      </c>
      <c r="M453" s="552">
        <f t="shared" si="195"/>
        <v>11.19</v>
      </c>
      <c r="N453" s="551"/>
      <c r="O453" s="417">
        <f>ROUND(M453*$E453,0)</f>
        <v>16308093</v>
      </c>
      <c r="P453" s="497"/>
      <c r="T453" s="439">
        <f t="shared" si="194"/>
        <v>9.9277978339349371E-3</v>
      </c>
      <c r="AD453" s="400">
        <f>K453-[25]Blocking1!O453</f>
        <v>0</v>
      </c>
    </row>
    <row r="454" spans="1:30">
      <c r="A454" s="432" t="s">
        <v>346</v>
      </c>
      <c r="C454" s="433">
        <f>'[25]8'!L10</f>
        <v>1156540.7571944082</v>
      </c>
      <c r="E454" s="406">
        <f>ROUND(C454*$E$459/$C$459,0)</f>
        <v>1244294</v>
      </c>
      <c r="G454" s="496">
        <f>[25]Blocking1!M454</f>
        <v>-1.1200000000000001</v>
      </c>
      <c r="H454" s="551"/>
      <c r="I454" s="417">
        <f>ROUND($G454*C454,0)</f>
        <v>-1295326</v>
      </c>
      <c r="K454" s="417">
        <f>ROUND($G454*E454,0)</f>
        <v>-1393609</v>
      </c>
      <c r="M454" s="552">
        <f t="shared" si="195"/>
        <v>-1.1299999999999999</v>
      </c>
      <c r="N454" s="551"/>
      <c r="O454" s="417">
        <f>ROUND(M454*$E454,0)</f>
        <v>-1406052</v>
      </c>
      <c r="P454" s="497"/>
      <c r="T454" s="439">
        <f t="shared" si="194"/>
        <v>8.9285714285711748E-3</v>
      </c>
      <c r="AD454" s="400">
        <f>K454-[25]Blocking1!O454</f>
        <v>0</v>
      </c>
    </row>
    <row r="455" spans="1:30">
      <c r="A455" s="432" t="s">
        <v>315</v>
      </c>
      <c r="C455" s="433">
        <f>'[25]8'!N10</f>
        <v>123083875</v>
      </c>
      <c r="E455" s="406">
        <f>ROUND(C455*($E$459-$E$458)/($C$459-$C$458),0)</f>
        <v>133598926</v>
      </c>
      <c r="G455" s="547">
        <f>[25]Blocking1!M455</f>
        <v>4.9961000000000002</v>
      </c>
      <c r="H455" s="462" t="s">
        <v>305</v>
      </c>
      <c r="I455" s="417">
        <f>ROUND($G455*C455/100,0)</f>
        <v>6149393</v>
      </c>
      <c r="K455" s="417">
        <f>ROUND($G455*E455/100,0)</f>
        <v>6674736</v>
      </c>
      <c r="M455" s="558">
        <f t="shared" si="195"/>
        <v>5.0473999999999997</v>
      </c>
      <c r="N455" s="462" t="s">
        <v>305</v>
      </c>
      <c r="O455" s="417">
        <f>ROUND(M455*$E455/100,0)</f>
        <v>6743272</v>
      </c>
      <c r="P455" s="497"/>
      <c r="S455" s="535"/>
      <c r="T455" s="439">
        <f t="shared" si="194"/>
        <v>1.0268009047056603E-2</v>
      </c>
      <c r="AD455" s="400">
        <f>K455-[25]Blocking1!O455</f>
        <v>0</v>
      </c>
    </row>
    <row r="456" spans="1:30">
      <c r="A456" s="432" t="s">
        <v>366</v>
      </c>
      <c r="C456" s="433">
        <f>'[25]8'!O10</f>
        <v>300932000</v>
      </c>
      <c r="E456" s="406">
        <f>ROUND(C456*($E$459-$E$458)/($C$459-$C$458),0)</f>
        <v>326640609</v>
      </c>
      <c r="G456" s="547">
        <f>[25]Blocking1!M456</f>
        <v>3.9108999999999998</v>
      </c>
      <c r="H456" s="462" t="s">
        <v>305</v>
      </c>
      <c r="I456" s="417">
        <f>ROUND($G456*C456/100,0)</f>
        <v>11769150</v>
      </c>
      <c r="K456" s="417">
        <f>ROUND($G456*E456/100,0)</f>
        <v>12774588</v>
      </c>
      <c r="M456" s="558">
        <f t="shared" si="195"/>
        <v>3.9510999999999998</v>
      </c>
      <c r="N456" s="462" t="s">
        <v>305</v>
      </c>
      <c r="O456" s="417">
        <f>ROUND(M456*$E456/100,0)</f>
        <v>12905897</v>
      </c>
      <c r="P456" s="580"/>
      <c r="S456" s="535"/>
      <c r="T456" s="439">
        <f t="shared" si="194"/>
        <v>1.0278963921348083E-2</v>
      </c>
      <c r="U456" s="580"/>
      <c r="AD456" s="400">
        <f>K456-[25]Blocking1!O456</f>
        <v>0</v>
      </c>
    </row>
    <row r="457" spans="1:30">
      <c r="A457" s="432" t="s">
        <v>401</v>
      </c>
      <c r="C457" s="433">
        <f>'[25]8'!P10</f>
        <v>613463800</v>
      </c>
      <c r="E457" s="406">
        <f>E459-E455-E456</f>
        <v>665871988.2536118</v>
      </c>
      <c r="G457" s="547">
        <f>[25]Blocking1!M457</f>
        <v>3.3640999999999996</v>
      </c>
      <c r="H457" s="462" t="s">
        <v>305</v>
      </c>
      <c r="I457" s="417">
        <f>ROUND($G457*C457/100,0)</f>
        <v>20637536</v>
      </c>
      <c r="K457" s="417">
        <f>ROUND($G457*E457/100,0)</f>
        <v>22400600</v>
      </c>
      <c r="M457" s="558">
        <f t="shared" si="195"/>
        <v>3.4001999999999999</v>
      </c>
      <c r="N457" s="462" t="s">
        <v>305</v>
      </c>
      <c r="O457" s="417">
        <f>ROUND(M457*$E457/100,0)</f>
        <v>22640979</v>
      </c>
      <c r="S457" s="535"/>
      <c r="T457" s="439">
        <f t="shared" si="194"/>
        <v>1.0730953301031576E-2</v>
      </c>
      <c r="AD457" s="400">
        <f>K457-[25]Blocking1!O457</f>
        <v>0</v>
      </c>
    </row>
    <row r="458" spans="1:30" s="580" customFormat="1">
      <c r="A458" s="432" t="s">
        <v>313</v>
      </c>
      <c r="B458" s="405"/>
      <c r="C458" s="504">
        <f>'[25]Table 2'!J72</f>
        <v>9213470</v>
      </c>
      <c r="D458" s="407"/>
      <c r="E458" s="548">
        <v>0</v>
      </c>
      <c r="F458" s="407"/>
      <c r="G458" s="404"/>
      <c r="H458" s="407"/>
      <c r="I458" s="507">
        <f>'[25]Table 3'!F72</f>
        <v>821685</v>
      </c>
      <c r="J458" s="598"/>
      <c r="K458" s="507">
        <v>0</v>
      </c>
      <c r="L458" s="598"/>
      <c r="M458" s="599"/>
      <c r="N458" s="598"/>
      <c r="O458" s="507">
        <v>0</v>
      </c>
      <c r="P458" s="417"/>
      <c r="Q458" s="416"/>
      <c r="R458" s="568"/>
      <c r="S458" s="400"/>
      <c r="T458" s="400"/>
      <c r="U458" s="400"/>
      <c r="AD458" s="400">
        <f>K458-[25]Blocking1!O458</f>
        <v>0</v>
      </c>
    </row>
    <row r="459" spans="1:30" ht="16.5" thickBot="1">
      <c r="A459" s="432" t="s">
        <v>314</v>
      </c>
      <c r="C459" s="595">
        <f>SUM(C455:C458)</f>
        <v>1046693145</v>
      </c>
      <c r="E459" s="559">
        <f>[25]Energy!P37</f>
        <v>1126111523.2536118</v>
      </c>
      <c r="G459" s="532"/>
      <c r="I459" s="533">
        <f>SUM(I450:I458)</f>
        <v>80042457</v>
      </c>
      <c r="K459" s="533">
        <f>SUM(K450:K458)</f>
        <v>85589229</v>
      </c>
      <c r="M459" s="534"/>
      <c r="O459" s="533">
        <f>SUM(O450:O458)</f>
        <v>86481614</v>
      </c>
      <c r="P459" s="417"/>
      <c r="Q459" s="416" t="s">
        <v>601</v>
      </c>
      <c r="R459" s="518">
        <f>O459/K459-1</f>
        <v>1.0426370355550274E-2</v>
      </c>
      <c r="T459" s="535"/>
      <c r="AD459" s="400">
        <f>K459-[25]Blocking1!O459</f>
        <v>0</v>
      </c>
    </row>
    <row r="460" spans="1:30" ht="16.5" thickTop="1">
      <c r="A460" s="600"/>
      <c r="B460" s="580"/>
      <c r="C460" s="601"/>
      <c r="D460" s="602"/>
      <c r="E460" s="580"/>
      <c r="F460" s="602"/>
      <c r="G460" s="600"/>
      <c r="H460" s="602"/>
      <c r="I460" s="580"/>
      <c r="J460" s="602"/>
      <c r="K460" s="580"/>
      <c r="L460" s="602"/>
      <c r="M460" s="580"/>
      <c r="N460" s="602"/>
      <c r="O460" s="580"/>
      <c r="P460" s="417"/>
      <c r="Q460" s="580"/>
      <c r="R460" s="580"/>
      <c r="S460" s="440"/>
      <c r="T460" s="535"/>
      <c r="AD460" s="400">
        <f>K460-[25]Blocking1!O460</f>
        <v>0</v>
      </c>
    </row>
    <row r="461" spans="1:30">
      <c r="A461" s="428" t="s">
        <v>402</v>
      </c>
      <c r="C461" s="406"/>
      <c r="E461" s="406"/>
      <c r="P461" s="417"/>
      <c r="Q461" s="416" t="s">
        <v>647</v>
      </c>
      <c r="AD461" s="400">
        <f>K461-[25]Blocking1!O461</f>
        <v>0</v>
      </c>
    </row>
    <row r="462" spans="1:30">
      <c r="A462" s="432" t="s">
        <v>303</v>
      </c>
      <c r="C462" s="406">
        <f t="shared" ref="C462:C468" si="196">C473+C495+C484</f>
        <v>1798.3875224926248</v>
      </c>
      <c r="E462" s="406">
        <f t="shared" ref="E462:E468" si="197">E473+E495+E484</f>
        <v>1791</v>
      </c>
      <c r="G462" s="434">
        <f>[25]Blocking1!M462</f>
        <v>255</v>
      </c>
      <c r="H462" s="435"/>
      <c r="I462" s="417">
        <f>ROUND($G462*C462,0)</f>
        <v>458589</v>
      </c>
      <c r="K462" s="417">
        <f>ROUND($G462*E462,0)</f>
        <v>456705</v>
      </c>
      <c r="M462" s="434">
        <f>ROUND(G462*(1+R466),0)</f>
        <v>259</v>
      </c>
      <c r="N462" s="435"/>
      <c r="O462" s="417">
        <f>ROUND(M462*$E462,0)</f>
        <v>463869</v>
      </c>
      <c r="P462" s="417"/>
      <c r="Q462" s="437" t="s">
        <v>589</v>
      </c>
      <c r="R462" s="438">
        <f>O470+SUM(O1095:O1100)</f>
        <v>312215191</v>
      </c>
      <c r="T462" s="439">
        <f t="shared" ref="T462:T468" si="198">M462/G462-1</f>
        <v>1.5686274509803866E-2</v>
      </c>
      <c r="AD462" s="400">
        <f>K462-[25]Blocking1!O462</f>
        <v>0</v>
      </c>
    </row>
    <row r="463" spans="1:30">
      <c r="A463" s="432" t="s">
        <v>398</v>
      </c>
      <c r="C463" s="406">
        <f t="shared" si="196"/>
        <v>8488464.2656891234</v>
      </c>
      <c r="E463" s="406">
        <f t="shared" si="197"/>
        <v>9053509</v>
      </c>
      <c r="G463" s="434">
        <f>[25]Blocking1!M463</f>
        <v>2.19</v>
      </c>
      <c r="H463" s="435"/>
      <c r="I463" s="417">
        <f>ROUND($G463*C463,0)</f>
        <v>18589737</v>
      </c>
      <c r="K463" s="417">
        <f>ROUND($G463*E463,0)</f>
        <v>19827185</v>
      </c>
      <c r="M463" s="434">
        <f>ROUND(G463*(1+$R$467),2)</f>
        <v>2.2200000000000002</v>
      </c>
      <c r="N463" s="435"/>
      <c r="O463" s="417">
        <f>ROUND(M463*$E463,0)</f>
        <v>20098790</v>
      </c>
      <c r="P463" s="497"/>
      <c r="Q463" s="444" t="s">
        <v>593</v>
      </c>
      <c r="R463" s="445">
        <f>([25]RateSpread2!M25+[25]RateSpread2!M36*SUM('Blocking GRC'!K1095:K1100)/'Blocking GRC'!K1101)*1000</f>
        <v>311964131.33692229</v>
      </c>
      <c r="T463" s="439">
        <f t="shared" si="198"/>
        <v>1.3698630136986356E-2</v>
      </c>
      <c r="AD463" s="400">
        <f>K463-[25]Blocking1!O463</f>
        <v>0</v>
      </c>
    </row>
    <row r="464" spans="1:30">
      <c r="A464" s="432" t="s">
        <v>399</v>
      </c>
      <c r="C464" s="406">
        <f t="shared" si="196"/>
        <v>3482091.0143030011</v>
      </c>
      <c r="E464" s="406">
        <f t="shared" si="197"/>
        <v>3715246</v>
      </c>
      <c r="G464" s="434">
        <f>[25]Blocking1!M464</f>
        <v>13.75</v>
      </c>
      <c r="H464" s="435"/>
      <c r="I464" s="417">
        <f>ROUND($G464*C464,0)</f>
        <v>47878751</v>
      </c>
      <c r="K464" s="417">
        <f>ROUND($G464*E464,0)</f>
        <v>51084633</v>
      </c>
      <c r="M464" s="434">
        <f t="shared" ref="M464:M465" si="199">ROUND(G464*(1+$R$467),2)</f>
        <v>13.96</v>
      </c>
      <c r="N464" s="435"/>
      <c r="O464" s="417">
        <f>ROUND(M464*$E464,0)</f>
        <v>51864834</v>
      </c>
      <c r="P464" s="497"/>
      <c r="Q464" s="450" t="s">
        <v>159</v>
      </c>
      <c r="R464" s="451">
        <f>R463-R462</f>
        <v>-251059.66307771206</v>
      </c>
      <c r="T464" s="439">
        <f t="shared" si="198"/>
        <v>1.5272727272727327E-2</v>
      </c>
      <c r="AD464" s="400">
        <f>K464-[25]Blocking1!O464</f>
        <v>0</v>
      </c>
    </row>
    <row r="465" spans="1:30">
      <c r="A465" s="432" t="s">
        <v>400</v>
      </c>
      <c r="C465" s="406">
        <f t="shared" si="196"/>
        <v>4834536.455543031</v>
      </c>
      <c r="E465" s="406">
        <f t="shared" si="197"/>
        <v>5150021</v>
      </c>
      <c r="G465" s="434">
        <f>[25]Blocking1!M465</f>
        <v>9.32</v>
      </c>
      <c r="H465" s="435"/>
      <c r="I465" s="417">
        <f>ROUND($G465*C465,0)</f>
        <v>45057880</v>
      </c>
      <c r="K465" s="417">
        <f>ROUND($G465*E465,0)</f>
        <v>47998196</v>
      </c>
      <c r="M465" s="434">
        <f t="shared" si="199"/>
        <v>9.4700000000000006</v>
      </c>
      <c r="N465" s="435"/>
      <c r="O465" s="417">
        <f>ROUND(M465*$E465,0)</f>
        <v>48770699</v>
      </c>
      <c r="P465" s="497"/>
      <c r="Q465" s="463" t="s">
        <v>601</v>
      </c>
      <c r="R465" s="536">
        <f>R462/SUM(K470,K1095:K1100)-1</f>
        <v>1.5490244199339864E-2</v>
      </c>
      <c r="T465" s="439">
        <f t="shared" si="198"/>
        <v>1.6094420600858417E-2</v>
      </c>
      <c r="AD465" s="400">
        <f>K465-[25]Blocking1!O465</f>
        <v>0</v>
      </c>
    </row>
    <row r="466" spans="1:30">
      <c r="A466" s="432" t="s">
        <v>403</v>
      </c>
      <c r="C466" s="406">
        <f t="shared" si="196"/>
        <v>472106043</v>
      </c>
      <c r="E466" s="406">
        <f t="shared" si="197"/>
        <v>507349132</v>
      </c>
      <c r="G466" s="603">
        <f>[25]Blocking1!M466</f>
        <v>4.5818000000000003</v>
      </c>
      <c r="H466" s="462" t="s">
        <v>305</v>
      </c>
      <c r="I466" s="417">
        <f>ROUND($G466*C466/100,0)</f>
        <v>21630955</v>
      </c>
      <c r="K466" s="417">
        <f>ROUND($G466*E466/100,0)</f>
        <v>23245723</v>
      </c>
      <c r="M466" s="461">
        <f>ROUND(G466*(1+$R$467),$R$8)</f>
        <v>4.6531000000000002</v>
      </c>
      <c r="N466" s="462" t="s">
        <v>305</v>
      </c>
      <c r="O466" s="417">
        <f>ROUND(M466*$E466/100,0)</f>
        <v>23607462</v>
      </c>
      <c r="P466" s="497"/>
      <c r="Q466" s="471" t="s">
        <v>603</v>
      </c>
      <c r="R466" s="540">
        <f>R463/SUM(K470,K1095:K1100)-1</f>
        <v>1.4673664334180714E-2</v>
      </c>
      <c r="T466" s="439">
        <f t="shared" si="198"/>
        <v>1.556156968876854E-2</v>
      </c>
      <c r="AD466" s="400">
        <f>K466-[25]Blocking1!O466</f>
        <v>0</v>
      </c>
    </row>
    <row r="467" spans="1:30">
      <c r="A467" s="432" t="s">
        <v>404</v>
      </c>
      <c r="C467" s="406">
        <f t="shared" si="196"/>
        <v>1290306958</v>
      </c>
      <c r="E467" s="406">
        <f t="shared" si="197"/>
        <v>1382941034</v>
      </c>
      <c r="G467" s="603">
        <f>[25]Blocking1!M467</f>
        <v>3.4453</v>
      </c>
      <c r="H467" s="462" t="s">
        <v>305</v>
      </c>
      <c r="I467" s="417">
        <f>ROUND($G467*C467/100,0)</f>
        <v>44454946</v>
      </c>
      <c r="K467" s="417">
        <f>ROUND($G467*E467/100,0)</f>
        <v>47646467</v>
      </c>
      <c r="M467" s="461">
        <f>ROUND(G467*(1+$R$467),$R$8)</f>
        <v>3.4988999999999999</v>
      </c>
      <c r="N467" s="462" t="s">
        <v>305</v>
      </c>
      <c r="O467" s="417">
        <f>ROUND(M467*$E467/100,0)</f>
        <v>48387724</v>
      </c>
      <c r="Q467" s="471" t="s">
        <v>625</v>
      </c>
      <c r="R467" s="604">
        <f>(R463-O462)/SUM(K470,K1095:K1100,-K462)-1+R474</f>
        <v>1.5557957916582495E-2</v>
      </c>
      <c r="T467" s="439">
        <f t="shared" si="198"/>
        <v>1.5557426058688595E-2</v>
      </c>
      <c r="AD467" s="400">
        <f>K467-[25]Blocking1!O467</f>
        <v>0</v>
      </c>
    </row>
    <row r="468" spans="1:30">
      <c r="A468" s="432" t="s">
        <v>401</v>
      </c>
      <c r="C468" s="406">
        <f t="shared" si="196"/>
        <v>2925186125.5988102</v>
      </c>
      <c r="E468" s="406">
        <f t="shared" si="197"/>
        <v>3137145374.7653074</v>
      </c>
      <c r="G468" s="605">
        <f>[25]Blocking1!M468</f>
        <v>2.8776999999999999</v>
      </c>
      <c r="H468" s="462" t="s">
        <v>305</v>
      </c>
      <c r="I468" s="417">
        <f>ROUND($G468*C468/100,0)</f>
        <v>84178081</v>
      </c>
      <c r="K468" s="417">
        <f>ROUND($G468*E468/100,0)</f>
        <v>90277632</v>
      </c>
      <c r="M468" s="461">
        <f>ROUND(G468*(1+$R$467),$R$8)</f>
        <v>2.9224999999999999</v>
      </c>
      <c r="N468" s="462" t="s">
        <v>305</v>
      </c>
      <c r="O468" s="417">
        <f>ROUND(M468*$E468/100,0)</f>
        <v>91683074</v>
      </c>
      <c r="Q468" s="488" t="s">
        <v>605</v>
      </c>
      <c r="R468" s="606">
        <f>M462/G462-1</f>
        <v>1.5686274509803866E-2</v>
      </c>
      <c r="S468" s="535"/>
      <c r="T468" s="439">
        <f t="shared" si="198"/>
        <v>1.5567988324008741E-2</v>
      </c>
      <c r="AD468" s="400">
        <f>K468-[25]Blocking1!O468</f>
        <v>0</v>
      </c>
    </row>
    <row r="469" spans="1:30">
      <c r="A469" s="432" t="s">
        <v>313</v>
      </c>
      <c r="C469" s="548">
        <f>C491+C480+C502</f>
        <v>33908361</v>
      </c>
      <c r="E469" s="548">
        <f>E491+E480+E502</f>
        <v>0</v>
      </c>
      <c r="I469" s="506">
        <f>I491+I480+I502</f>
        <v>2308597</v>
      </c>
      <c r="K469" s="506">
        <f>K491+K480+K502</f>
        <v>0</v>
      </c>
      <c r="M469" s="404"/>
      <c r="O469" s="507">
        <v>0</v>
      </c>
      <c r="P469" s="417"/>
      <c r="Q469" s="430" t="s">
        <v>643</v>
      </c>
      <c r="R469" s="546">
        <f>(O470)/(K470)-1</f>
        <v>1.5470038179447032E-2</v>
      </c>
      <c r="AD469" s="400">
        <f>K469-[25]Blocking1!O469</f>
        <v>0</v>
      </c>
    </row>
    <row r="470" spans="1:30" ht="16.5" thickBot="1">
      <c r="A470" s="432" t="s">
        <v>314</v>
      </c>
      <c r="C470" s="549">
        <f>C492+C481+C503</f>
        <v>4721507487.5988102</v>
      </c>
      <c r="E470" s="549">
        <f>E492+E481+E503</f>
        <v>5027435540.7653065</v>
      </c>
      <c r="G470" s="532"/>
      <c r="I470" s="533">
        <f>SUM(I462:I469)</f>
        <v>264557536</v>
      </c>
      <c r="K470" s="533">
        <f>SUM(K462:K469)</f>
        <v>280536541</v>
      </c>
      <c r="M470" s="532"/>
      <c r="O470" s="533">
        <f>SUM(O462:O469)</f>
        <v>284876452</v>
      </c>
      <c r="P470" s="417"/>
      <c r="Q470" s="521" t="s">
        <v>648</v>
      </c>
      <c r="R470" s="607"/>
      <c r="AD470" s="400">
        <f>K470-[25]Blocking1!O470</f>
        <v>0</v>
      </c>
    </row>
    <row r="471" spans="1:30" ht="16.5" thickTop="1">
      <c r="C471" s="406"/>
      <c r="E471" s="406"/>
      <c r="P471" s="417"/>
      <c r="Q471" s="437" t="s">
        <v>589</v>
      </c>
      <c r="R471" s="438">
        <f>O470+O884+O1101</f>
        <v>319487524</v>
      </c>
      <c r="AD471" s="400">
        <f>K471-[25]Blocking1!O471</f>
        <v>0</v>
      </c>
    </row>
    <row r="472" spans="1:30">
      <c r="A472" s="428" t="s">
        <v>649</v>
      </c>
      <c r="C472" s="406"/>
      <c r="E472" s="406"/>
      <c r="P472" s="417"/>
      <c r="Q472" s="444" t="s">
        <v>593</v>
      </c>
      <c r="R472" s="445">
        <f>([25]RateSpread2!M25+[25]RateSpread2!M33+[25]RateSpread2!M36)*1000</f>
        <v>319460124</v>
      </c>
      <c r="AD472" s="400">
        <f>K472-[25]Blocking1!O472</f>
        <v>0</v>
      </c>
    </row>
    <row r="473" spans="1:30">
      <c r="A473" s="432" t="s">
        <v>303</v>
      </c>
      <c r="C473" s="433">
        <f>'[25]9'!G9</f>
        <v>337.20001327433619</v>
      </c>
      <c r="E473" s="550">
        <f>[25]Bill!P22</f>
        <v>408</v>
      </c>
      <c r="G473" s="496">
        <f>[25]Blocking1!M473</f>
        <v>255</v>
      </c>
      <c r="H473" s="551"/>
      <c r="I473" s="417">
        <f>ROUND($G473*C473,0)</f>
        <v>85986</v>
      </c>
      <c r="K473" s="417">
        <f>ROUND($G473*E473,0)</f>
        <v>104040</v>
      </c>
      <c r="M473" s="552">
        <f t="shared" ref="M473:M479" si="200">M462</f>
        <v>259</v>
      </c>
      <c r="N473" s="551"/>
      <c r="O473" s="417">
        <f>ROUND(M473*$E473,0)</f>
        <v>105672</v>
      </c>
      <c r="P473" s="417"/>
      <c r="Q473" s="450" t="s">
        <v>159</v>
      </c>
      <c r="R473" s="451">
        <f>R472-R471</f>
        <v>-27400</v>
      </c>
      <c r="S473" s="502"/>
      <c r="T473" s="439">
        <f t="shared" ref="T473:T479" si="201">M473/G473-1</f>
        <v>1.5686274509803866E-2</v>
      </c>
      <c r="AD473" s="400">
        <f>K473-[25]Blocking1!O473</f>
        <v>0</v>
      </c>
    </row>
    <row r="474" spans="1:30">
      <c r="A474" s="432" t="s">
        <v>398</v>
      </c>
      <c r="C474" s="433">
        <f>'[25]9'!H9</f>
        <v>1134676.568861976</v>
      </c>
      <c r="E474" s="406">
        <f>ROUND(C474*$E$481/$C$481,0)</f>
        <v>1424841</v>
      </c>
      <c r="G474" s="496">
        <f>[25]Blocking1!M474</f>
        <v>2.19</v>
      </c>
      <c r="H474" s="551"/>
      <c r="I474" s="417">
        <f>ROUND($G474*C474,0)</f>
        <v>2484942</v>
      </c>
      <c r="K474" s="417">
        <f>ROUND($G474*E474,0)</f>
        <v>3120402</v>
      </c>
      <c r="M474" s="552">
        <f t="shared" si="200"/>
        <v>2.2200000000000002</v>
      </c>
      <c r="N474" s="551"/>
      <c r="O474" s="417">
        <f>ROUND(M474*$E474,0)</f>
        <v>3163147</v>
      </c>
      <c r="P474" s="497"/>
      <c r="Q474" s="463" t="s">
        <v>616</v>
      </c>
      <c r="R474" s="608">
        <v>8.8579999999999996E-4</v>
      </c>
      <c r="T474" s="439">
        <f t="shared" si="201"/>
        <v>1.3698630136986356E-2</v>
      </c>
      <c r="AD474" s="400">
        <f>K474-[25]Blocking1!O474</f>
        <v>0</v>
      </c>
    </row>
    <row r="475" spans="1:30">
      <c r="A475" s="432" t="s">
        <v>399</v>
      </c>
      <c r="C475" s="433">
        <f>'[25]9'!J9</f>
        <v>475031.00168397703</v>
      </c>
      <c r="E475" s="406">
        <f>ROUND(C475*$E$481/$C$481,0)</f>
        <v>596508</v>
      </c>
      <c r="G475" s="496">
        <f>[25]Blocking1!M475</f>
        <v>13.75</v>
      </c>
      <c r="H475" s="551"/>
      <c r="I475" s="417">
        <f>ROUND($G475*C475,0)</f>
        <v>6531676</v>
      </c>
      <c r="K475" s="417">
        <f>ROUND($G475*E475,0)</f>
        <v>8201985</v>
      </c>
      <c r="M475" s="552">
        <f t="shared" si="200"/>
        <v>13.96</v>
      </c>
      <c r="N475" s="551"/>
      <c r="O475" s="417">
        <f>ROUND(M475*$E475,0)</f>
        <v>8327252</v>
      </c>
      <c r="P475" s="497"/>
      <c r="Q475" s="488" t="s">
        <v>603</v>
      </c>
      <c r="R475" s="544">
        <f>R472/SUM(K470,K884,K1101)-1</f>
        <v>1.467366321354624E-2</v>
      </c>
      <c r="T475" s="439">
        <f t="shared" si="201"/>
        <v>1.5272727272727327E-2</v>
      </c>
      <c r="AD475" s="400">
        <f>K475-[25]Blocking1!O475</f>
        <v>0</v>
      </c>
    </row>
    <row r="476" spans="1:30">
      <c r="A476" s="432" t="s">
        <v>400</v>
      </c>
      <c r="C476" s="433">
        <f>'[25]9'!K9</f>
        <v>609917.76302143803</v>
      </c>
      <c r="E476" s="406">
        <f>ROUND(C476*$E$481/$C$481,0)</f>
        <v>765889</v>
      </c>
      <c r="G476" s="496">
        <f>[25]Blocking1!M476</f>
        <v>9.32</v>
      </c>
      <c r="H476" s="551"/>
      <c r="I476" s="417">
        <f>ROUND($G476*C476,0)</f>
        <v>5684434</v>
      </c>
      <c r="K476" s="417">
        <f>ROUND($G476*E476,0)</f>
        <v>7138085</v>
      </c>
      <c r="M476" s="552">
        <f t="shared" si="200"/>
        <v>9.4700000000000006</v>
      </c>
      <c r="N476" s="551"/>
      <c r="O476" s="417">
        <f>ROUND(M476*$E476,0)</f>
        <v>7252969</v>
      </c>
      <c r="P476" s="497"/>
      <c r="Q476" s="437" t="s">
        <v>601</v>
      </c>
      <c r="R476" s="568">
        <f>R471/(K470+K884+K1101)-1</f>
        <v>1.4760691472422316E-2</v>
      </c>
      <c r="T476" s="439">
        <f t="shared" si="201"/>
        <v>1.6094420600858417E-2</v>
      </c>
      <c r="AD476" s="400">
        <f>K476-[25]Blocking1!O476</f>
        <v>0</v>
      </c>
    </row>
    <row r="477" spans="1:30">
      <c r="A477" s="432" t="s">
        <v>403</v>
      </c>
      <c r="C477" s="433">
        <f>'[25]9'!M9</f>
        <v>62591313</v>
      </c>
      <c r="E477" s="406">
        <f>ROUND(C477*$E$481/($C$481-$C$480),0)</f>
        <v>78757746</v>
      </c>
      <c r="G477" s="576">
        <f>[25]Blocking1!M477</f>
        <v>4.5818000000000003</v>
      </c>
      <c r="H477" s="462" t="s">
        <v>305</v>
      </c>
      <c r="I477" s="417">
        <f>ROUND($G477*C477/100,0)</f>
        <v>2867809</v>
      </c>
      <c r="K477" s="417">
        <f>ROUND($G477*E477/100,0)</f>
        <v>3608522</v>
      </c>
      <c r="M477" s="577">
        <f t="shared" si="200"/>
        <v>4.6531000000000002</v>
      </c>
      <c r="N477" s="462" t="s">
        <v>305</v>
      </c>
      <c r="O477" s="417">
        <f>ROUND(M477*$E477/100,0)</f>
        <v>3664677</v>
      </c>
      <c r="P477" s="497"/>
      <c r="Q477" s="521"/>
      <c r="R477" s="609"/>
      <c r="T477" s="439">
        <f t="shared" si="201"/>
        <v>1.556156968876854E-2</v>
      </c>
      <c r="AD477" s="400">
        <f>K477-[25]Blocking1!O477</f>
        <v>0</v>
      </c>
    </row>
    <row r="478" spans="1:30">
      <c r="A478" s="432" t="s">
        <v>404</v>
      </c>
      <c r="C478" s="433">
        <f>'[25]9'!N9</f>
        <v>158269180</v>
      </c>
      <c r="E478" s="406">
        <f>ROUND(C478*$E$481/($C$481-$C$480),0)</f>
        <v>199147827</v>
      </c>
      <c r="G478" s="576">
        <f>[25]Blocking1!M478</f>
        <v>3.4453</v>
      </c>
      <c r="H478" s="462" t="s">
        <v>305</v>
      </c>
      <c r="I478" s="417">
        <f>ROUND($G478*C478/100,0)</f>
        <v>5452848</v>
      </c>
      <c r="K478" s="417">
        <f>ROUND($G478*E478/100,0)</f>
        <v>6861240</v>
      </c>
      <c r="M478" s="577">
        <f t="shared" si="200"/>
        <v>3.4988999999999999</v>
      </c>
      <c r="N478" s="462" t="s">
        <v>305</v>
      </c>
      <c r="O478" s="417">
        <f>ROUND(M478*$E478/100,0)</f>
        <v>6967983</v>
      </c>
      <c r="Q478" s="521"/>
      <c r="R478" s="568"/>
      <c r="T478" s="439">
        <f t="shared" si="201"/>
        <v>1.5557426058688595E-2</v>
      </c>
      <c r="AD478" s="400">
        <f>K478-[25]Blocking1!O478</f>
        <v>0</v>
      </c>
    </row>
    <row r="479" spans="1:30">
      <c r="A479" s="432" t="s">
        <v>401</v>
      </c>
      <c r="C479" s="433">
        <f>'[25]9'!O9</f>
        <v>352961750</v>
      </c>
      <c r="E479" s="406">
        <f>E481-E477-E478</f>
        <v>444126679.9218533</v>
      </c>
      <c r="G479" s="576">
        <f>[25]Blocking1!M479</f>
        <v>2.8776999999999999</v>
      </c>
      <c r="H479" s="462" t="s">
        <v>305</v>
      </c>
      <c r="I479" s="417">
        <f>ROUND($G479*C479/100,0)</f>
        <v>10157180</v>
      </c>
      <c r="K479" s="417">
        <f>ROUND($G479*E479/100,0)</f>
        <v>12780633</v>
      </c>
      <c r="M479" s="577">
        <f t="shared" si="200"/>
        <v>2.9224999999999999</v>
      </c>
      <c r="N479" s="462" t="s">
        <v>305</v>
      </c>
      <c r="O479" s="417">
        <f>ROUND(M479*$E479/100,0)</f>
        <v>12979602</v>
      </c>
      <c r="T479" s="439">
        <f t="shared" si="201"/>
        <v>1.5567988324008741E-2</v>
      </c>
      <c r="AD479" s="400">
        <f>K479-[25]Blocking1!O479</f>
        <v>0</v>
      </c>
    </row>
    <row r="480" spans="1:30">
      <c r="A480" s="432" t="s">
        <v>313</v>
      </c>
      <c r="C480" s="504">
        <f>'[25]Table 2'!J43</f>
        <v>1170215</v>
      </c>
      <c r="E480" s="504">
        <v>0</v>
      </c>
      <c r="I480" s="507">
        <f>'[25]Table 3'!F43</f>
        <v>180357</v>
      </c>
      <c r="K480" s="507">
        <v>0</v>
      </c>
      <c r="O480" s="507">
        <v>0</v>
      </c>
      <c r="P480" s="417"/>
      <c r="Q480" s="416"/>
      <c r="R480" s="568"/>
      <c r="AD480" s="400">
        <f>K480-[25]Blocking1!O480</f>
        <v>0</v>
      </c>
    </row>
    <row r="481" spans="1:30" ht="16.5" thickBot="1">
      <c r="A481" s="432" t="s">
        <v>314</v>
      </c>
      <c r="C481" s="549">
        <f>SUM(C477:C480)</f>
        <v>574992458</v>
      </c>
      <c r="E481" s="559">
        <f>[25]Energy!P22</f>
        <v>722032252.9218533</v>
      </c>
      <c r="G481" s="532"/>
      <c r="I481" s="533">
        <f>SUM(I473:I480)</f>
        <v>33445232</v>
      </c>
      <c r="K481" s="533">
        <f>SUM(K473:K480)</f>
        <v>41814907</v>
      </c>
      <c r="M481" s="534"/>
      <c r="O481" s="533">
        <f>SUM(O473:O480)</f>
        <v>42461302</v>
      </c>
      <c r="P481" s="417"/>
      <c r="Q481" s="416" t="s">
        <v>601</v>
      </c>
      <c r="R481" s="518">
        <f>O481/K481-1</f>
        <v>1.5458482306321963E-2</v>
      </c>
      <c r="AD481" s="400">
        <f>K481-[25]Blocking1!O481</f>
        <v>0</v>
      </c>
    </row>
    <row r="482" spans="1:30" ht="16.5" thickTop="1">
      <c r="C482" s="406"/>
      <c r="E482" s="406"/>
      <c r="P482" s="417"/>
      <c r="AD482" s="400">
        <f>K482-[25]Blocking1!O482</f>
        <v>0</v>
      </c>
    </row>
    <row r="483" spans="1:30">
      <c r="A483" s="428" t="s">
        <v>650</v>
      </c>
      <c r="C483" s="406"/>
      <c r="E483" s="406"/>
      <c r="P483" s="417"/>
      <c r="AD483" s="400">
        <f>K483-[25]Blocking1!O483</f>
        <v>0</v>
      </c>
    </row>
    <row r="484" spans="1:30">
      <c r="A484" s="432" t="s">
        <v>303</v>
      </c>
      <c r="C484" s="433">
        <f>'[25]9'!G10</f>
        <v>1437.1875298672562</v>
      </c>
      <c r="E484" s="550">
        <f>[25]Bill!P38</f>
        <v>1359</v>
      </c>
      <c r="G484" s="496">
        <f>[25]Blocking1!M484</f>
        <v>255</v>
      </c>
      <c r="H484" s="551"/>
      <c r="I484" s="417">
        <f>ROUND($G484*C484,0)</f>
        <v>366483</v>
      </c>
      <c r="K484" s="417">
        <f>ROUND($G484*E484,0)</f>
        <v>346545</v>
      </c>
      <c r="M484" s="552">
        <f t="shared" ref="M484:M490" si="202">M462</f>
        <v>259</v>
      </c>
      <c r="N484" s="551"/>
      <c r="O484" s="417">
        <f>ROUND(M484*$E484,0)</f>
        <v>351981</v>
      </c>
      <c r="P484" s="417"/>
      <c r="S484" s="502"/>
      <c r="T484" s="439">
        <f t="shared" ref="T484:T490" si="203">M484/G484-1</f>
        <v>1.5686274509803866E-2</v>
      </c>
      <c r="AD484" s="400">
        <f>K484-[25]Blocking1!O484</f>
        <v>0</v>
      </c>
    </row>
    <row r="485" spans="1:30">
      <c r="A485" s="432" t="s">
        <v>398</v>
      </c>
      <c r="C485" s="433">
        <f>'[25]9'!H10</f>
        <v>6851428.6998298494</v>
      </c>
      <c r="E485" s="406">
        <f>ROUND(C485*$E$492/$C$492,0)</f>
        <v>7168278</v>
      </c>
      <c r="G485" s="496">
        <f>[25]Blocking1!M485</f>
        <v>2.19</v>
      </c>
      <c r="H485" s="551"/>
      <c r="I485" s="417">
        <f>ROUND($G485*C485,0)</f>
        <v>15004629</v>
      </c>
      <c r="K485" s="417">
        <f>ROUND($G485*E485,0)</f>
        <v>15698529</v>
      </c>
      <c r="M485" s="552">
        <f t="shared" si="202"/>
        <v>2.2200000000000002</v>
      </c>
      <c r="N485" s="551"/>
      <c r="O485" s="417">
        <f>ROUND(M485*$E485,0)</f>
        <v>15913577</v>
      </c>
      <c r="P485" s="497"/>
      <c r="T485" s="439">
        <f t="shared" si="203"/>
        <v>1.3698630136986356E-2</v>
      </c>
      <c r="AD485" s="400">
        <f>K485-[25]Blocking1!O485</f>
        <v>0</v>
      </c>
    </row>
    <row r="486" spans="1:30">
      <c r="A486" s="432" t="s">
        <v>399</v>
      </c>
      <c r="C486" s="433">
        <f>'[25]9'!J10</f>
        <v>2796053.0126190241</v>
      </c>
      <c r="E486" s="406">
        <f>ROUND(C486*$E$492/$C$492,0)</f>
        <v>2925359</v>
      </c>
      <c r="G486" s="496">
        <f>[25]Blocking1!M486</f>
        <v>13.75</v>
      </c>
      <c r="H486" s="551"/>
      <c r="I486" s="417">
        <f>ROUND($G486*C486,0)</f>
        <v>38445729</v>
      </c>
      <c r="K486" s="417">
        <f>ROUND($G486*E486,0)</f>
        <v>40223686</v>
      </c>
      <c r="M486" s="552">
        <f t="shared" si="202"/>
        <v>13.96</v>
      </c>
      <c r="N486" s="551"/>
      <c r="O486" s="417">
        <f>ROUND(M486*$E486,0)</f>
        <v>40838012</v>
      </c>
      <c r="P486" s="497"/>
      <c r="T486" s="439">
        <f t="shared" si="203"/>
        <v>1.5272727272727327E-2</v>
      </c>
      <c r="AD486" s="400">
        <f>K486-[25]Blocking1!O486</f>
        <v>0</v>
      </c>
    </row>
    <row r="487" spans="1:30">
      <c r="A487" s="432" t="s">
        <v>400</v>
      </c>
      <c r="C487" s="433">
        <f>'[25]9'!K10</f>
        <v>3948349.691860985</v>
      </c>
      <c r="E487" s="406">
        <f>ROUND(C487*$E$492/$C$492,0)</f>
        <v>4130944</v>
      </c>
      <c r="G487" s="496">
        <f>[25]Blocking1!M487</f>
        <v>9.32</v>
      </c>
      <c r="H487" s="551"/>
      <c r="I487" s="417">
        <f>ROUND($G487*C487,0)</f>
        <v>36798619</v>
      </c>
      <c r="K487" s="417">
        <f>ROUND($G487*E487,0)</f>
        <v>38500398</v>
      </c>
      <c r="M487" s="552">
        <f t="shared" si="202"/>
        <v>9.4700000000000006</v>
      </c>
      <c r="N487" s="551"/>
      <c r="O487" s="417">
        <f>ROUND(M487*$E487,0)</f>
        <v>39120040</v>
      </c>
      <c r="P487" s="497"/>
      <c r="T487" s="439">
        <f t="shared" si="203"/>
        <v>1.6094420600858417E-2</v>
      </c>
      <c r="AD487" s="400">
        <f>K487-[25]Blocking1!O487</f>
        <v>0</v>
      </c>
    </row>
    <row r="488" spans="1:30">
      <c r="A488" s="432" t="s">
        <v>403</v>
      </c>
      <c r="C488" s="433">
        <f>'[25]9'!M10</f>
        <v>384156551</v>
      </c>
      <c r="E488" s="406">
        <f>ROUND(C488*$E$492/($C$492-C$491),0)</f>
        <v>405491476</v>
      </c>
      <c r="G488" s="576">
        <f>[25]Blocking1!M488</f>
        <v>4.5818000000000003</v>
      </c>
      <c r="H488" s="462" t="s">
        <v>305</v>
      </c>
      <c r="I488" s="417">
        <f>ROUND($G488*C488/100,0)</f>
        <v>17601285</v>
      </c>
      <c r="K488" s="417">
        <f>ROUND($G488*E488/100,0)</f>
        <v>18578808</v>
      </c>
      <c r="M488" s="577">
        <f t="shared" si="202"/>
        <v>4.6531000000000002</v>
      </c>
      <c r="N488" s="462" t="s">
        <v>305</v>
      </c>
      <c r="O488" s="417">
        <f>ROUND(M488*$E488/100,0)</f>
        <v>18867924</v>
      </c>
      <c r="P488" s="497"/>
      <c r="T488" s="439">
        <f t="shared" si="203"/>
        <v>1.556156968876854E-2</v>
      </c>
      <c r="AD488" s="400">
        <f>K488-[25]Blocking1!O488</f>
        <v>0</v>
      </c>
    </row>
    <row r="489" spans="1:30">
      <c r="A489" s="432" t="s">
        <v>404</v>
      </c>
      <c r="C489" s="433">
        <f>'[25]9'!N10</f>
        <v>1055168888</v>
      </c>
      <c r="E489" s="406">
        <f>ROUND(C489*$E$492/($C$492-C$491),0)</f>
        <v>1113769865</v>
      </c>
      <c r="G489" s="576">
        <f>[25]Blocking1!M489</f>
        <v>3.4453</v>
      </c>
      <c r="H489" s="462" t="s">
        <v>305</v>
      </c>
      <c r="I489" s="417">
        <f>ROUND($G489*C489/100,0)</f>
        <v>36353734</v>
      </c>
      <c r="K489" s="417">
        <f>ROUND($G489*E489/100,0)</f>
        <v>38372713</v>
      </c>
      <c r="M489" s="577">
        <f t="shared" si="202"/>
        <v>3.4988999999999999</v>
      </c>
      <c r="N489" s="462" t="s">
        <v>305</v>
      </c>
      <c r="O489" s="417">
        <f>ROUND(M489*$E489/100,0)</f>
        <v>38969694</v>
      </c>
      <c r="T489" s="439">
        <f t="shared" si="203"/>
        <v>1.5557426058688595E-2</v>
      </c>
      <c r="AD489" s="400">
        <f>K489-[25]Blocking1!O489</f>
        <v>0</v>
      </c>
    </row>
    <row r="490" spans="1:30">
      <c r="A490" s="432" t="s">
        <v>401</v>
      </c>
      <c r="C490" s="433">
        <f>'[25]9'!O10</f>
        <v>2419660800</v>
      </c>
      <c r="E490" s="406">
        <f>E492-E488-E489</f>
        <v>2554041645.1892738</v>
      </c>
      <c r="G490" s="576">
        <f>[25]Blocking1!M490</f>
        <v>2.8776999999999999</v>
      </c>
      <c r="H490" s="462" t="s">
        <v>305</v>
      </c>
      <c r="I490" s="417">
        <f>ROUND($G490*C490/100,0)</f>
        <v>69630579</v>
      </c>
      <c r="K490" s="417">
        <f>ROUND($G490*E490/100,0)</f>
        <v>73497656</v>
      </c>
      <c r="M490" s="577">
        <f t="shared" si="202"/>
        <v>2.9224999999999999</v>
      </c>
      <c r="N490" s="462" t="s">
        <v>305</v>
      </c>
      <c r="O490" s="417">
        <f>ROUND(M490*$E490/100,0)</f>
        <v>74641867</v>
      </c>
      <c r="T490" s="439">
        <f t="shared" si="203"/>
        <v>1.5567988324008741E-2</v>
      </c>
      <c r="AD490" s="400">
        <f>K490-[25]Blocking1!O490</f>
        <v>0</v>
      </c>
    </row>
    <row r="491" spans="1:30">
      <c r="A491" s="432" t="s">
        <v>313</v>
      </c>
      <c r="C491" s="504">
        <f>'[25]Table 2'!J73</f>
        <v>34270217</v>
      </c>
      <c r="E491" s="504">
        <v>0</v>
      </c>
      <c r="I491" s="507">
        <f>'[25]Table 3'!F73</f>
        <v>2192830</v>
      </c>
      <c r="J491" s="598"/>
      <c r="K491" s="507">
        <v>0</v>
      </c>
      <c r="L491" s="598"/>
      <c r="M491" s="599"/>
      <c r="N491" s="598"/>
      <c r="O491" s="507">
        <v>0</v>
      </c>
      <c r="P491" s="417"/>
      <c r="Q491" s="416"/>
      <c r="R491" s="568"/>
      <c r="AD491" s="400">
        <f>K491-[25]Blocking1!O491</f>
        <v>0</v>
      </c>
    </row>
    <row r="492" spans="1:30" ht="16.5" thickBot="1">
      <c r="A492" s="432" t="s">
        <v>314</v>
      </c>
      <c r="C492" s="549">
        <f>SUM(C488:C491)</f>
        <v>3893256456</v>
      </c>
      <c r="E492" s="559">
        <f>[25]Energy!P38</f>
        <v>4073302986.1892738</v>
      </c>
      <c r="G492" s="532"/>
      <c r="I492" s="533">
        <f>SUM(I484:I491)</f>
        <v>216393888</v>
      </c>
      <c r="K492" s="533">
        <f>SUM(K484:K491)</f>
        <v>225218335</v>
      </c>
      <c r="M492" s="534"/>
      <c r="O492" s="533">
        <f>SUM(O484:O491)</f>
        <v>228703095</v>
      </c>
      <c r="P492" s="417"/>
      <c r="Q492" s="416" t="s">
        <v>601</v>
      </c>
      <c r="R492" s="518">
        <f>O492/K492-1</f>
        <v>1.5472807753418527E-2</v>
      </c>
      <c r="AD492" s="400">
        <f>K492-[25]Blocking1!O492</f>
        <v>0</v>
      </c>
    </row>
    <row r="493" spans="1:30" ht="16.5" thickTop="1">
      <c r="C493" s="406"/>
      <c r="E493" s="406"/>
      <c r="P493" s="417"/>
      <c r="AD493" s="400">
        <f>K493-[25]Blocking1!O493</f>
        <v>0</v>
      </c>
    </row>
    <row r="494" spans="1:30">
      <c r="A494" s="428" t="s">
        <v>651</v>
      </c>
      <c r="C494" s="406"/>
      <c r="E494" s="406"/>
      <c r="P494" s="417"/>
      <c r="AD494" s="400">
        <f>K494-[25]Blocking1!O494</f>
        <v>0</v>
      </c>
    </row>
    <row r="495" spans="1:30">
      <c r="A495" s="432" t="s">
        <v>303</v>
      </c>
      <c r="C495" s="433">
        <f>'[25]9'!G11</f>
        <v>23.999979351032501</v>
      </c>
      <c r="E495" s="550">
        <f>[25]Bill!P67</f>
        <v>24</v>
      </c>
      <c r="G495" s="496">
        <f>[25]Blocking1!M495</f>
        <v>255</v>
      </c>
      <c r="H495" s="551"/>
      <c r="I495" s="417">
        <f>ROUND($G495*C495,0)</f>
        <v>6120</v>
      </c>
      <c r="K495" s="417">
        <f>ROUND($G495*E495,0)</f>
        <v>6120</v>
      </c>
      <c r="M495" s="552">
        <f t="shared" ref="M495:M501" si="204">M462</f>
        <v>259</v>
      </c>
      <c r="N495" s="551"/>
      <c r="O495" s="417">
        <f>ROUND(M495*$E495,0)</f>
        <v>6216</v>
      </c>
      <c r="P495" s="417"/>
      <c r="S495" s="502"/>
      <c r="T495" s="439">
        <f t="shared" ref="T495:T501" si="205">M495/G495-1</f>
        <v>1.5686274509803866E-2</v>
      </c>
      <c r="AD495" s="400">
        <f>K495-[25]Blocking1!O495</f>
        <v>0</v>
      </c>
    </row>
    <row r="496" spans="1:30">
      <c r="A496" s="432" t="s">
        <v>398</v>
      </c>
      <c r="C496" s="433">
        <f>'[25]9'!H11</f>
        <v>502358.99699729797</v>
      </c>
      <c r="E496" s="406">
        <f>ROUND(C496*$E$503/$C$503,0)</f>
        <v>460390</v>
      </c>
      <c r="G496" s="496">
        <f>[25]Blocking1!M496</f>
        <v>2.19</v>
      </c>
      <c r="H496" s="551"/>
      <c r="I496" s="417">
        <f>ROUND($G496*C496,0)</f>
        <v>1100166</v>
      </c>
      <c r="K496" s="417">
        <f>ROUND($G496*E496,0)</f>
        <v>1008254</v>
      </c>
      <c r="M496" s="552">
        <f t="shared" si="204"/>
        <v>2.2200000000000002</v>
      </c>
      <c r="N496" s="551"/>
      <c r="O496" s="417">
        <f>ROUND(M496*$E496,0)</f>
        <v>1022066</v>
      </c>
      <c r="P496" s="497"/>
      <c r="T496" s="439">
        <f t="shared" si="205"/>
        <v>1.3698630136986356E-2</v>
      </c>
      <c r="AD496" s="400">
        <f>K496-[25]Blocking1!O496</f>
        <v>0</v>
      </c>
    </row>
    <row r="497" spans="1:30">
      <c r="A497" s="432" t="s">
        <v>399</v>
      </c>
      <c r="C497" s="433">
        <f>'[25]9'!J11</f>
        <v>211007</v>
      </c>
      <c r="E497" s="406">
        <f>ROUND(C497*$E$503/$C$503,0)</f>
        <v>193379</v>
      </c>
      <c r="G497" s="496">
        <f>[25]Blocking1!M497</f>
        <v>13.75</v>
      </c>
      <c r="H497" s="551"/>
      <c r="I497" s="417">
        <f>ROUND($G497*C497,0)</f>
        <v>2901346</v>
      </c>
      <c r="K497" s="417">
        <f>ROUND($G497*E497,0)</f>
        <v>2658961</v>
      </c>
      <c r="M497" s="552">
        <f t="shared" si="204"/>
        <v>13.96</v>
      </c>
      <c r="N497" s="551"/>
      <c r="O497" s="417">
        <f>ROUND(M497*$E497,0)</f>
        <v>2699571</v>
      </c>
      <c r="P497" s="497"/>
      <c r="T497" s="439">
        <f t="shared" si="205"/>
        <v>1.5272727272727327E-2</v>
      </c>
      <c r="AD497" s="400">
        <f>K497-[25]Blocking1!O497</f>
        <v>0</v>
      </c>
    </row>
    <row r="498" spans="1:30">
      <c r="A498" s="432" t="s">
        <v>400</v>
      </c>
      <c r="C498" s="433">
        <f>'[25]9'!K11</f>
        <v>276269.000660608</v>
      </c>
      <c r="E498" s="406">
        <f>ROUND(C498*$E$503/$C$503,0)</f>
        <v>253188</v>
      </c>
      <c r="G498" s="496">
        <f>[25]Blocking1!M498</f>
        <v>9.32</v>
      </c>
      <c r="H498" s="551"/>
      <c r="I498" s="417">
        <f>ROUND($G498*C498,0)</f>
        <v>2574827</v>
      </c>
      <c r="K498" s="417">
        <f>ROUND($G498*E498,0)</f>
        <v>2359712</v>
      </c>
      <c r="M498" s="552">
        <f t="shared" si="204"/>
        <v>9.4700000000000006</v>
      </c>
      <c r="N498" s="551"/>
      <c r="O498" s="417">
        <f>ROUND(M498*$E498,0)</f>
        <v>2397690</v>
      </c>
      <c r="P498" s="497"/>
      <c r="T498" s="439">
        <f t="shared" si="205"/>
        <v>1.6094420600858417E-2</v>
      </c>
      <c r="AD498" s="400">
        <f>K498-[25]Blocking1!O498</f>
        <v>0</v>
      </c>
    </row>
    <row r="499" spans="1:30">
      <c r="A499" s="432" t="s">
        <v>403</v>
      </c>
      <c r="C499" s="433">
        <f>'[25]9'!M11+[25]TempRev!C424</f>
        <v>25358179</v>
      </c>
      <c r="E499" s="406">
        <f>ROUND(C499*$E$503/($C$503-$C$502),0)</f>
        <v>23099910</v>
      </c>
      <c r="G499" s="576">
        <f>[25]Blocking1!M499</f>
        <v>4.5818000000000003</v>
      </c>
      <c r="H499" s="462" t="s">
        <v>305</v>
      </c>
      <c r="I499" s="417">
        <f>ROUND($G499*C499/100,0)</f>
        <v>1161861</v>
      </c>
      <c r="K499" s="417">
        <f>ROUND($G499*E499/100,0)</f>
        <v>1058392</v>
      </c>
      <c r="M499" s="577">
        <f t="shared" si="204"/>
        <v>4.6531000000000002</v>
      </c>
      <c r="N499" s="462" t="s">
        <v>305</v>
      </c>
      <c r="O499" s="417">
        <f>ROUND(M499*$E499/100,0)</f>
        <v>1074862</v>
      </c>
      <c r="P499" s="497"/>
      <c r="T499" s="439">
        <f t="shared" si="205"/>
        <v>1.556156968876854E-2</v>
      </c>
      <c r="AD499" s="400">
        <f>K499-[25]Blocking1!O499</f>
        <v>0</v>
      </c>
    </row>
    <row r="500" spans="1:30">
      <c r="A500" s="432" t="s">
        <v>404</v>
      </c>
      <c r="C500" s="433">
        <f>'[25]9'!N11+[25]TempRev!C425</f>
        <v>76868890</v>
      </c>
      <c r="E500" s="406">
        <f>ROUND(C500*$E$503/($C$503-$C$502),0)</f>
        <v>70023342</v>
      </c>
      <c r="G500" s="576">
        <f>[25]Blocking1!M500</f>
        <v>3.4453</v>
      </c>
      <c r="H500" s="462" t="s">
        <v>305</v>
      </c>
      <c r="I500" s="417">
        <f>ROUND($G500*C500/100,0)</f>
        <v>2648364</v>
      </c>
      <c r="K500" s="417">
        <f>ROUND($G500*E500/100,0)</f>
        <v>2412514</v>
      </c>
      <c r="M500" s="577">
        <f t="shared" si="204"/>
        <v>3.4988999999999999</v>
      </c>
      <c r="N500" s="462" t="s">
        <v>305</v>
      </c>
      <c r="O500" s="417">
        <f>ROUND(M500*$E500/100,0)</f>
        <v>2450047</v>
      </c>
      <c r="S500" s="535"/>
      <c r="T500" s="439">
        <f t="shared" si="205"/>
        <v>1.5557426058688595E-2</v>
      </c>
      <c r="AD500" s="400">
        <f>K500-[25]Blocking1!O500</f>
        <v>0</v>
      </c>
    </row>
    <row r="501" spans="1:30">
      <c r="A501" s="432" t="s">
        <v>401</v>
      </c>
      <c r="C501" s="433">
        <f>'[25]9'!O11+[25]TempRev!C426</f>
        <v>152563575.59881043</v>
      </c>
      <c r="E501" s="406">
        <f>E503-E499-E500</f>
        <v>138977049.65418002</v>
      </c>
      <c r="G501" s="576">
        <f>[25]Blocking1!M501</f>
        <v>2.8776999999999999</v>
      </c>
      <c r="H501" s="462" t="s">
        <v>305</v>
      </c>
      <c r="I501" s="417">
        <f>ROUND($G501*C501/100,0)</f>
        <v>4390322</v>
      </c>
      <c r="K501" s="417">
        <f>ROUND($G501*E501/100,0)</f>
        <v>3999343</v>
      </c>
      <c r="M501" s="577">
        <f t="shared" si="204"/>
        <v>2.9224999999999999</v>
      </c>
      <c r="N501" s="462" t="s">
        <v>305</v>
      </c>
      <c r="O501" s="417">
        <f>ROUND(M501*$E501/100,0)</f>
        <v>4061604</v>
      </c>
      <c r="S501" s="535"/>
      <c r="T501" s="439">
        <f t="shared" si="205"/>
        <v>1.5567988324008741E-2</v>
      </c>
      <c r="AD501" s="400">
        <f>K501-[25]Blocking1!O501</f>
        <v>0</v>
      </c>
    </row>
    <row r="502" spans="1:30">
      <c r="A502" s="432" t="s">
        <v>313</v>
      </c>
      <c r="C502" s="504">
        <f>'[25]Table 2'!J143</f>
        <v>-1532071</v>
      </c>
      <c r="E502" s="504">
        <v>0</v>
      </c>
      <c r="I502" s="507">
        <f>'[25]Table 3'!F143</f>
        <v>-64590</v>
      </c>
      <c r="K502" s="507">
        <v>0</v>
      </c>
      <c r="O502" s="507">
        <v>0</v>
      </c>
      <c r="P502" s="417"/>
      <c r="Q502" s="416"/>
      <c r="R502" s="568"/>
      <c r="S502" s="440"/>
      <c r="AD502" s="400">
        <f>K502-[25]Blocking1!O502</f>
        <v>0</v>
      </c>
    </row>
    <row r="503" spans="1:30" ht="16.5" thickBot="1">
      <c r="A503" s="432" t="s">
        <v>314</v>
      </c>
      <c r="C503" s="549">
        <f>SUM(C499:C502)</f>
        <v>253258573.59881043</v>
      </c>
      <c r="E503" s="559">
        <f>[25]Energy!P67</f>
        <v>232100301.65418002</v>
      </c>
      <c r="G503" s="532"/>
      <c r="I503" s="533">
        <f>SUM(I495:I502)</f>
        <v>14718416</v>
      </c>
      <c r="K503" s="533">
        <f>SUM(K495:K502)</f>
        <v>13503296</v>
      </c>
      <c r="M503" s="534"/>
      <c r="O503" s="533">
        <f>SUM(O495:O502)</f>
        <v>13712056</v>
      </c>
      <c r="P503" s="417"/>
      <c r="Q503" s="416" t="s">
        <v>601</v>
      </c>
      <c r="R503" s="518">
        <f>O503/K503-1</f>
        <v>1.5459929190621224E-2</v>
      </c>
      <c r="AD503" s="400">
        <f>K503-[25]Blocking1!O503</f>
        <v>0</v>
      </c>
    </row>
    <row r="504" spans="1:30" ht="16.5" thickTop="1">
      <c r="C504" s="406"/>
      <c r="E504" s="406"/>
      <c r="P504" s="417"/>
      <c r="T504" s="535"/>
      <c r="AD504" s="400">
        <f>K504-[25]Blocking1!O504</f>
        <v>0</v>
      </c>
    </row>
    <row r="505" spans="1:30">
      <c r="A505" s="428" t="s">
        <v>652</v>
      </c>
      <c r="C505" s="406"/>
      <c r="E505" s="406"/>
      <c r="G505" s="547"/>
      <c r="H505" s="572"/>
      <c r="M505" s="558"/>
      <c r="N505" s="572"/>
      <c r="P505" s="497"/>
      <c r="Q505" s="437" t="s">
        <v>589</v>
      </c>
      <c r="R505" s="438">
        <f>O511</f>
        <v>3292584</v>
      </c>
      <c r="AD505" s="400">
        <f>K505-[25]Blocking1!O505</f>
        <v>0</v>
      </c>
    </row>
    <row r="506" spans="1:30">
      <c r="A506" s="432" t="s">
        <v>303</v>
      </c>
      <c r="C506" s="561">
        <f>C514+C522</f>
        <v>108.13329646017691</v>
      </c>
      <c r="E506" s="561">
        <f>E514+E522</f>
        <v>108</v>
      </c>
      <c r="G506" s="434">
        <f>[25]Blocking1!M506</f>
        <v>255</v>
      </c>
      <c r="H506" s="515"/>
      <c r="I506" s="417">
        <f>ROUND($G506*C506,0)</f>
        <v>27574</v>
      </c>
      <c r="K506" s="417">
        <f>ROUND($G506*E506,0)</f>
        <v>27540</v>
      </c>
      <c r="M506" s="516">
        <f>M462</f>
        <v>259</v>
      </c>
      <c r="N506" s="515"/>
      <c r="O506" s="417">
        <f>ROUND(M506*$E506,0)</f>
        <v>27972</v>
      </c>
      <c r="P506" s="497"/>
      <c r="Q506" s="471" t="s">
        <v>593</v>
      </c>
      <c r="R506" s="610">
        <f>[25]RateSpread2!M26*1000</f>
        <v>3292580</v>
      </c>
      <c r="T506" s="439">
        <f t="shared" ref="T506:T509" si="206">M506/G506-1</f>
        <v>1.5686274509803866E-2</v>
      </c>
      <c r="AD506" s="400">
        <f>K506-[25]Blocking1!O506</f>
        <v>0</v>
      </c>
    </row>
    <row r="507" spans="1:30">
      <c r="A507" s="432" t="s">
        <v>406</v>
      </c>
      <c r="C507" s="561">
        <f t="shared" ref="C507:E510" si="207">C515+C523</f>
        <v>222732.23886497872</v>
      </c>
      <c r="E507" s="561">
        <f t="shared" si="207"/>
        <v>235118</v>
      </c>
      <c r="G507" s="434">
        <f>[25]Blocking1!M507</f>
        <v>2.19</v>
      </c>
      <c r="H507" s="515"/>
      <c r="I507" s="417">
        <f>ROUND($G507*C507,0)</f>
        <v>487784</v>
      </c>
      <c r="K507" s="417">
        <f>ROUND($G507*E507,0)</f>
        <v>514908</v>
      </c>
      <c r="M507" s="516">
        <f>M463</f>
        <v>2.2200000000000002</v>
      </c>
      <c r="N507" s="515"/>
      <c r="O507" s="417">
        <f>ROUND(M507*$E507,0)</f>
        <v>521962</v>
      </c>
      <c r="P507" s="497"/>
      <c r="Q507" s="450" t="s">
        <v>159</v>
      </c>
      <c r="R507" s="611">
        <f>R506-R505</f>
        <v>-4</v>
      </c>
      <c r="T507" s="439">
        <f t="shared" si="206"/>
        <v>1.3698630136986356E-2</v>
      </c>
      <c r="AD507" s="400">
        <f>K507-[25]Blocking1!O507</f>
        <v>0</v>
      </c>
    </row>
    <row r="508" spans="1:30">
      <c r="A508" s="432" t="s">
        <v>407</v>
      </c>
      <c r="C508" s="561">
        <f t="shared" si="207"/>
        <v>22743800</v>
      </c>
      <c r="E508" s="561">
        <f t="shared" si="207"/>
        <v>23805248</v>
      </c>
      <c r="G508" s="526">
        <f>[25]Blocking1!M508</f>
        <v>8.4770000000000003</v>
      </c>
      <c r="H508" s="462" t="s">
        <v>305</v>
      </c>
      <c r="I508" s="417">
        <f>ROUND($G508*C508/100,0)</f>
        <v>1927992</v>
      </c>
      <c r="K508" s="417">
        <f>ROUND($G508*E508/100,0)</f>
        <v>2017971</v>
      </c>
      <c r="M508" s="526">
        <f>ROUND(G508*(1+R510),$R$8)</f>
        <v>8.6029</v>
      </c>
      <c r="N508" s="462" t="s">
        <v>305</v>
      </c>
      <c r="O508" s="417">
        <f>ROUND(M508*$E508/100,0)</f>
        <v>2047942</v>
      </c>
      <c r="Q508" s="463" t="s">
        <v>601</v>
      </c>
      <c r="R508" s="540">
        <f>R505/(K511)-1</f>
        <v>1.4675047242434847E-2</v>
      </c>
      <c r="T508" s="439">
        <f t="shared" si="206"/>
        <v>1.485195234163017E-2</v>
      </c>
      <c r="AD508" s="400">
        <f>K508-[25]Blocking1!O508</f>
        <v>0</v>
      </c>
    </row>
    <row r="509" spans="1:30">
      <c r="A509" s="432" t="s">
        <v>401</v>
      </c>
      <c r="C509" s="561">
        <f t="shared" si="207"/>
        <v>18365180</v>
      </c>
      <c r="E509" s="561">
        <f t="shared" si="207"/>
        <v>18785533.425473027</v>
      </c>
      <c r="G509" s="526">
        <f>[25]Blocking1!M509</f>
        <v>3.6440000000000001</v>
      </c>
      <c r="H509" s="462" t="s">
        <v>305</v>
      </c>
      <c r="I509" s="417">
        <f>ROUND($G509*C509/100,0)</f>
        <v>669227</v>
      </c>
      <c r="K509" s="417">
        <f>ROUND($G509*E509/100,0)</f>
        <v>684545</v>
      </c>
      <c r="M509" s="612">
        <f>ROUND((R506-SUM(O506:O508))/(E509)*100,$R$8)</f>
        <v>3.6981000000000002</v>
      </c>
      <c r="N509" s="462" t="s">
        <v>305</v>
      </c>
      <c r="O509" s="417">
        <f>ROUND(M509*$E509/100,0)</f>
        <v>694708</v>
      </c>
      <c r="Q509" s="471" t="s">
        <v>603</v>
      </c>
      <c r="R509" s="540">
        <f>R506/(K511)-1</f>
        <v>1.4673814563120002E-2</v>
      </c>
      <c r="T509" s="439">
        <f t="shared" si="206"/>
        <v>1.4846322722283256E-2</v>
      </c>
      <c r="AD509" s="400">
        <f>K509-[25]Blocking1!O509</f>
        <v>0</v>
      </c>
    </row>
    <row r="510" spans="1:30">
      <c r="A510" s="432" t="s">
        <v>313</v>
      </c>
      <c r="C510" s="505">
        <f t="shared" si="207"/>
        <v>209700</v>
      </c>
      <c r="E510" s="505">
        <f t="shared" si="207"/>
        <v>0</v>
      </c>
      <c r="I510" s="507">
        <f t="shared" ref="I510" si="208">I518+I526</f>
        <v>24548</v>
      </c>
      <c r="K510" s="507">
        <v>0</v>
      </c>
      <c r="M510" s="404"/>
      <c r="O510" s="507">
        <v>0</v>
      </c>
      <c r="P510" s="417"/>
      <c r="Q510" s="471" t="s">
        <v>625</v>
      </c>
      <c r="R510" s="540">
        <f>(R506-O506-O507)/(K511-K506-K507)-1</f>
        <v>1.4849125777608663E-2</v>
      </c>
      <c r="AD510" s="400">
        <f>K510-[25]Blocking1!O510</f>
        <v>0</v>
      </c>
    </row>
    <row r="511" spans="1:30" ht="16.5" thickBot="1">
      <c r="A511" s="432" t="s">
        <v>314</v>
      </c>
      <c r="C511" s="549">
        <f>SUM(C508:C510)</f>
        <v>41318680</v>
      </c>
      <c r="E511" s="549">
        <f>SUM(E508:E510)</f>
        <v>42590781.425473027</v>
      </c>
      <c r="G511" s="532"/>
      <c r="I511" s="533">
        <f>SUM(I506:I510)</f>
        <v>3137125</v>
      </c>
      <c r="K511" s="533">
        <f>SUM(K506:K510)</f>
        <v>3244964</v>
      </c>
      <c r="M511" s="532"/>
      <c r="O511" s="533">
        <f>SUM(O506:O510)</f>
        <v>3292584</v>
      </c>
      <c r="P511" s="417"/>
      <c r="Q511" s="488" t="s">
        <v>605</v>
      </c>
      <c r="R511" s="489">
        <f>O506/K506-1</f>
        <v>1.5686274509803866E-2</v>
      </c>
      <c r="AD511" s="400">
        <f>K511-[25]Blocking1!O511</f>
        <v>0</v>
      </c>
    </row>
    <row r="512" spans="1:30" ht="16.5" thickTop="1">
      <c r="C512" s="406"/>
      <c r="E512" s="406"/>
      <c r="P512" s="417"/>
      <c r="S512" s="455"/>
      <c r="AD512" s="400">
        <f>K512-[25]Blocking1!O512</f>
        <v>0</v>
      </c>
    </row>
    <row r="513" spans="1:30">
      <c r="A513" s="428" t="s">
        <v>405</v>
      </c>
      <c r="C513" s="406"/>
      <c r="E513" s="406"/>
      <c r="G513" s="547"/>
      <c r="H513" s="572"/>
      <c r="M513" s="558"/>
      <c r="N513" s="572"/>
      <c r="P513" s="497"/>
      <c r="S513" s="455"/>
      <c r="AD513" s="400">
        <f>K513-[25]Blocking1!O513</f>
        <v>0</v>
      </c>
    </row>
    <row r="514" spans="1:30">
      <c r="A514" s="432" t="s">
        <v>303</v>
      </c>
      <c r="C514" s="433">
        <f>'[25]9A'!G7</f>
        <v>24.000003687315601</v>
      </c>
      <c r="E514" s="550">
        <f>[25]Bill!P23</f>
        <v>24</v>
      </c>
      <c r="G514" s="434">
        <f>[25]Blocking1!M514</f>
        <v>255</v>
      </c>
      <c r="H514" s="515"/>
      <c r="I514" s="417">
        <f>ROUND($G514*C514,0)</f>
        <v>6120</v>
      </c>
      <c r="K514" s="417">
        <f>ROUND($G514*E514,0)</f>
        <v>6120</v>
      </c>
      <c r="M514" s="516">
        <f>M506</f>
        <v>259</v>
      </c>
      <c r="N514" s="515"/>
      <c r="O514" s="417">
        <f>ROUND(M514*$E514,0)</f>
        <v>6216</v>
      </c>
      <c r="P514" s="497"/>
      <c r="Q514" s="589"/>
      <c r="R514" s="497"/>
      <c r="S514" s="455"/>
      <c r="T514" s="439"/>
      <c r="AD514" s="400">
        <f>K514-[25]Blocking1!O514</f>
        <v>0</v>
      </c>
    </row>
    <row r="515" spans="1:30">
      <c r="A515" s="432" t="s">
        <v>406</v>
      </c>
      <c r="C515" s="433">
        <f>'[25]9A'!H7</f>
        <v>76393.996747072393</v>
      </c>
      <c r="E515" s="581">
        <f>ROUND(C515*$E$519/$C$519,0)</f>
        <v>74646</v>
      </c>
      <c r="G515" s="434">
        <f>[25]Blocking1!M515</f>
        <v>2.19</v>
      </c>
      <c r="H515" s="515"/>
      <c r="I515" s="417">
        <f>ROUND($G515*C515,0)</f>
        <v>167303</v>
      </c>
      <c r="K515" s="417">
        <f>ROUND($G515*E515,0)</f>
        <v>163475</v>
      </c>
      <c r="M515" s="516">
        <f t="shared" ref="M515:M517" si="209">M507</f>
        <v>2.2200000000000002</v>
      </c>
      <c r="N515" s="515"/>
      <c r="O515" s="417">
        <f>ROUND(M515*$E515,0)</f>
        <v>165714</v>
      </c>
      <c r="P515" s="497"/>
      <c r="Q515" s="590"/>
      <c r="R515" s="497"/>
      <c r="S515" s="455"/>
      <c r="T515" s="439"/>
      <c r="AD515" s="400">
        <f>K515-[25]Blocking1!O515</f>
        <v>0</v>
      </c>
    </row>
    <row r="516" spans="1:30">
      <c r="A516" s="432" t="s">
        <v>407</v>
      </c>
      <c r="C516" s="433">
        <f>'[25]9A'!J7</f>
        <v>10665600</v>
      </c>
      <c r="E516" s="581">
        <f>ROUND(C516*($E$519-$E$518)/($C$519-$C$518),0)</f>
        <v>10442855</v>
      </c>
      <c r="G516" s="526">
        <f>[25]Blocking1!M516</f>
        <v>8.4770000000000003</v>
      </c>
      <c r="H516" s="462" t="s">
        <v>305</v>
      </c>
      <c r="I516" s="417">
        <f>ROUND($G516*C516/100,0)</f>
        <v>904123</v>
      </c>
      <c r="K516" s="417">
        <f>ROUND($G516*E516/100,0)</f>
        <v>885241</v>
      </c>
      <c r="M516" s="526">
        <f t="shared" si="209"/>
        <v>8.6029</v>
      </c>
      <c r="N516" s="462" t="s">
        <v>305</v>
      </c>
      <c r="O516" s="417">
        <f>ROUND(M516*$E516/100,0)</f>
        <v>898388</v>
      </c>
      <c r="Q516" s="521"/>
      <c r="R516" s="568"/>
      <c r="S516" s="455"/>
      <c r="T516" s="439"/>
      <c r="AD516" s="400">
        <f>K516-[25]Blocking1!O516</f>
        <v>0</v>
      </c>
    </row>
    <row r="517" spans="1:30">
      <c r="A517" s="432" t="s">
        <v>401</v>
      </c>
      <c r="C517" s="433">
        <f>'[25]9A'!K7</f>
        <v>12045600</v>
      </c>
      <c r="E517" s="581">
        <f>E519-E516</f>
        <v>11794035.309603866</v>
      </c>
      <c r="G517" s="526">
        <f>[25]Blocking1!M517</f>
        <v>3.6440000000000001</v>
      </c>
      <c r="H517" s="462" t="s">
        <v>305</v>
      </c>
      <c r="I517" s="417">
        <f>ROUND($G517*C517/100,0)</f>
        <v>438942</v>
      </c>
      <c r="K517" s="417">
        <f>ROUND($G517*E517/100,0)</f>
        <v>429775</v>
      </c>
      <c r="M517" s="526">
        <f t="shared" si="209"/>
        <v>3.6981000000000002</v>
      </c>
      <c r="N517" s="462" t="s">
        <v>305</v>
      </c>
      <c r="O517" s="417">
        <f>ROUND(M517*$E517/100,0)</f>
        <v>436155</v>
      </c>
      <c r="Q517" s="521"/>
      <c r="R517" s="568"/>
      <c r="S517" s="455"/>
      <c r="T517" s="439"/>
      <c r="AD517" s="400">
        <f>K517-[25]Blocking1!O517</f>
        <v>0</v>
      </c>
    </row>
    <row r="518" spans="1:30">
      <c r="A518" s="432" t="s">
        <v>313</v>
      </c>
      <c r="C518" s="504">
        <f>'[25]Table 2'!J44</f>
        <v>46316</v>
      </c>
      <c r="E518" s="548">
        <v>0</v>
      </c>
      <c r="I518" s="507">
        <f>'[25]Table 3'!F44</f>
        <v>8228</v>
      </c>
      <c r="K518" s="507">
        <v>0</v>
      </c>
      <c r="M518" s="404"/>
      <c r="O518" s="507">
        <v>0</v>
      </c>
      <c r="P518" s="417"/>
      <c r="Q518" s="521"/>
      <c r="R518" s="568"/>
      <c r="T518" s="455"/>
      <c r="AD518" s="400">
        <f>K518-[25]Blocking1!O518</f>
        <v>0</v>
      </c>
    </row>
    <row r="519" spans="1:30" ht="16.5" thickBot="1">
      <c r="A519" s="432" t="s">
        <v>314</v>
      </c>
      <c r="C519" s="549">
        <f>SUM(C516:C518)</f>
        <v>22757516</v>
      </c>
      <c r="E519" s="559">
        <f>[25]Energy!P23</f>
        <v>22236890.309603866</v>
      </c>
      <c r="G519" s="532"/>
      <c r="I519" s="533">
        <f>SUM(I514:I518)</f>
        <v>1524716</v>
      </c>
      <c r="K519" s="533">
        <f>SUM(K514:K518)</f>
        <v>1484611</v>
      </c>
      <c r="M519" s="532"/>
      <c r="O519" s="533">
        <f>SUM(O514:O518)</f>
        <v>1506473</v>
      </c>
      <c r="P519" s="417"/>
      <c r="Q519" s="416" t="s">
        <v>601</v>
      </c>
      <c r="R519" s="518">
        <f>O519/K519-1</f>
        <v>1.4725742972401479E-2</v>
      </c>
      <c r="S519" s="502"/>
      <c r="T519" s="455"/>
      <c r="AD519" s="400">
        <f>K519-[25]Blocking1!O519</f>
        <v>0</v>
      </c>
    </row>
    <row r="520" spans="1:30" ht="16.5" thickTop="1">
      <c r="C520" s="406"/>
      <c r="E520" s="406"/>
      <c r="P520" s="497"/>
      <c r="S520" s="455"/>
      <c r="AD520" s="400">
        <f>K520-[25]Blocking1!O520</f>
        <v>0</v>
      </c>
    </row>
    <row r="521" spans="1:30">
      <c r="A521" s="428" t="s">
        <v>408</v>
      </c>
      <c r="C521" s="406"/>
      <c r="E521" s="406"/>
      <c r="G521" s="547"/>
      <c r="H521" s="572"/>
      <c r="M521" s="558"/>
      <c r="N521" s="572"/>
      <c r="P521" s="497"/>
      <c r="S521" s="455"/>
      <c r="AD521" s="400">
        <f>K521-[25]Blocking1!O521</f>
        <v>0</v>
      </c>
    </row>
    <row r="522" spans="1:30">
      <c r="A522" s="432" t="s">
        <v>303</v>
      </c>
      <c r="C522" s="433">
        <f>'[25]9A'!G8</f>
        <v>84.13329277286131</v>
      </c>
      <c r="E522" s="550">
        <f>[25]Bill!P39</f>
        <v>84</v>
      </c>
      <c r="G522" s="496">
        <f>[25]Blocking1!M522</f>
        <v>255</v>
      </c>
      <c r="H522" s="551"/>
      <c r="I522" s="417">
        <f>ROUND($G522*C522,0)</f>
        <v>21454</v>
      </c>
      <c r="K522" s="417">
        <f>ROUND($G522*E522,0)</f>
        <v>21420</v>
      </c>
      <c r="M522" s="552">
        <f>M506</f>
        <v>259</v>
      </c>
      <c r="N522" s="551"/>
      <c r="O522" s="417">
        <f>ROUND(M522*$E522,0)</f>
        <v>21756</v>
      </c>
      <c r="P522" s="497"/>
      <c r="Q522" s="407"/>
      <c r="R522" s="455"/>
      <c r="S522" s="455"/>
      <c r="T522" s="439">
        <f t="shared" ref="T522:T525" si="210">M522/G522-1</f>
        <v>1.5686274509803866E-2</v>
      </c>
      <c r="AD522" s="400">
        <f>K522-[25]Blocking1!O522</f>
        <v>0</v>
      </c>
    </row>
    <row r="523" spans="1:30">
      <c r="A523" s="432" t="s">
        <v>406</v>
      </c>
      <c r="C523" s="433">
        <f>'[25]9A'!H8</f>
        <v>146338.24211790631</v>
      </c>
      <c r="E523" s="581">
        <f>ROUND(C523*$E$527/$C$527,0)</f>
        <v>160472</v>
      </c>
      <c r="G523" s="496">
        <f>[25]Blocking1!M523</f>
        <v>2.19</v>
      </c>
      <c r="H523" s="551"/>
      <c r="I523" s="417">
        <f>ROUND($G523*C523,0)</f>
        <v>320481</v>
      </c>
      <c r="K523" s="417">
        <f>ROUND($G523*E523,0)</f>
        <v>351434</v>
      </c>
      <c r="M523" s="552">
        <f t="shared" ref="M523:M525" si="211">M507</f>
        <v>2.2200000000000002</v>
      </c>
      <c r="N523" s="551"/>
      <c r="O523" s="417">
        <f>ROUND(M523*$E523,0)</f>
        <v>356248</v>
      </c>
      <c r="P523" s="497"/>
      <c r="Q523" s="407"/>
      <c r="R523" s="455"/>
      <c r="S523" s="455"/>
      <c r="T523" s="439">
        <f t="shared" si="210"/>
        <v>1.3698630136986356E-2</v>
      </c>
      <c r="AD523" s="400">
        <f>K523-[25]Blocking1!O523</f>
        <v>0</v>
      </c>
    </row>
    <row r="524" spans="1:30">
      <c r="A524" s="432" t="s">
        <v>407</v>
      </c>
      <c r="C524" s="433">
        <f>'[25]9A'!J8</f>
        <v>12078200</v>
      </c>
      <c r="E524" s="581">
        <f>ROUND(C524*($E$527-$E$526)/($C$527-$C$526),0)</f>
        <v>13362393</v>
      </c>
      <c r="G524" s="576">
        <f>[25]Blocking1!M524</f>
        <v>8.4770000000000003</v>
      </c>
      <c r="H524" s="462" t="s">
        <v>305</v>
      </c>
      <c r="I524" s="417">
        <f>ROUND($G524*C524/100,0)</f>
        <v>1023869</v>
      </c>
      <c r="K524" s="417">
        <f>ROUND($G524*E524/100,0)</f>
        <v>1132730</v>
      </c>
      <c r="M524" s="577">
        <f t="shared" si="211"/>
        <v>8.6029</v>
      </c>
      <c r="N524" s="462" t="s">
        <v>305</v>
      </c>
      <c r="O524" s="417">
        <f>ROUND(M524*$E524/100,0)</f>
        <v>1149553</v>
      </c>
      <c r="Q524" s="407"/>
      <c r="R524" s="455"/>
      <c r="S524" s="455"/>
      <c r="T524" s="439">
        <f t="shared" si="210"/>
        <v>1.485195234163017E-2</v>
      </c>
      <c r="AD524" s="400">
        <f>K524-[25]Blocking1!O524</f>
        <v>0</v>
      </c>
    </row>
    <row r="525" spans="1:30">
      <c r="A525" s="432" t="s">
        <v>401</v>
      </c>
      <c r="C525" s="433">
        <f>'[25]9A'!K8</f>
        <v>6319580</v>
      </c>
      <c r="E525" s="581">
        <f>E527-E524</f>
        <v>6991498.1158691607</v>
      </c>
      <c r="G525" s="576">
        <f>[25]Blocking1!M525</f>
        <v>3.6440000000000001</v>
      </c>
      <c r="H525" s="462" t="s">
        <v>305</v>
      </c>
      <c r="I525" s="417">
        <f>ROUND($G525*C525/100,0)</f>
        <v>230285</v>
      </c>
      <c r="K525" s="417">
        <f>ROUND($G525*E525/100,0)</f>
        <v>254770</v>
      </c>
      <c r="M525" s="577">
        <f t="shared" si="211"/>
        <v>3.6981000000000002</v>
      </c>
      <c r="N525" s="462" t="s">
        <v>305</v>
      </c>
      <c r="O525" s="417">
        <f>ROUND(M525*$E525/100,0)</f>
        <v>258553</v>
      </c>
      <c r="Q525" s="521"/>
      <c r="R525" s="568"/>
      <c r="S525" s="535"/>
      <c r="T525" s="439">
        <f t="shared" si="210"/>
        <v>1.4846322722283256E-2</v>
      </c>
      <c r="AD525" s="400">
        <f>K525-[25]Blocking1!O525</f>
        <v>0</v>
      </c>
    </row>
    <row r="526" spans="1:30">
      <c r="A526" s="432" t="s">
        <v>313</v>
      </c>
      <c r="C526" s="504">
        <f>'[25]Table 2'!J74</f>
        <v>163384</v>
      </c>
      <c r="E526" s="548">
        <v>0</v>
      </c>
      <c r="I526" s="507">
        <f>'[25]Table 3'!F74</f>
        <v>16320</v>
      </c>
      <c r="J526" s="598"/>
      <c r="K526" s="507">
        <v>0</v>
      </c>
      <c r="L526" s="598"/>
      <c r="M526" s="599"/>
      <c r="N526" s="598"/>
      <c r="O526" s="507">
        <v>0</v>
      </c>
      <c r="P526" s="417"/>
      <c r="Q526" s="521"/>
      <c r="R526" s="568"/>
      <c r="S526" s="535"/>
      <c r="AD526" s="400">
        <f>K526-[25]Blocking1!O526</f>
        <v>0</v>
      </c>
    </row>
    <row r="527" spans="1:30" ht="16.5" thickBot="1">
      <c r="A527" s="432" t="s">
        <v>314</v>
      </c>
      <c r="C527" s="549">
        <f>SUM(C524:C526)</f>
        <v>18561164</v>
      </c>
      <c r="E527" s="559">
        <f>[25]Energy!P39</f>
        <v>20353891.115869161</v>
      </c>
      <c r="G527" s="532"/>
      <c r="I527" s="533">
        <f>SUM(I522:I526)</f>
        <v>1612409</v>
      </c>
      <c r="K527" s="533">
        <f>SUM(K522:K526)</f>
        <v>1760354</v>
      </c>
      <c r="M527" s="534"/>
      <c r="O527" s="533">
        <f>SUM(O522:O526)</f>
        <v>1786110</v>
      </c>
      <c r="P527" s="417"/>
      <c r="Q527" s="416" t="s">
        <v>601</v>
      </c>
      <c r="R527" s="518">
        <f>O527/K527-1</f>
        <v>1.4631148053175558E-2</v>
      </c>
      <c r="AD527" s="400">
        <f>K527-[25]Blocking1!O527</f>
        <v>0</v>
      </c>
    </row>
    <row r="528" spans="1:30" ht="16.5" thickTop="1">
      <c r="C528" s="406"/>
      <c r="E528" s="406"/>
      <c r="P528" s="417"/>
      <c r="AD528" s="400">
        <f>K528-[25]Blocking1!O528</f>
        <v>0</v>
      </c>
    </row>
    <row r="529" spans="1:30">
      <c r="A529" s="428" t="s">
        <v>409</v>
      </c>
      <c r="P529" s="417"/>
      <c r="T529" s="535"/>
      <c r="AD529" s="400">
        <f>K529-[25]Blocking1!O529</f>
        <v>0</v>
      </c>
    </row>
    <row r="530" spans="1:30">
      <c r="A530" s="432" t="s">
        <v>410</v>
      </c>
      <c r="C530" s="433">
        <f>'[25]10'!J15</f>
        <v>6.1478181818181898</v>
      </c>
      <c r="E530" s="550">
        <f>ROUND(C530/(C$530+C$531+C$546+C$547)*[25]Bill!$P$53/12,0)</f>
        <v>6</v>
      </c>
      <c r="G530" s="496">
        <f>[25]Blocking1!M530</f>
        <v>124</v>
      </c>
      <c r="H530" s="495"/>
      <c r="I530" s="417">
        <f>ROUND($G530*C530,0)</f>
        <v>762</v>
      </c>
      <c r="K530" s="417">
        <f>ROUND($G530*E530,0)</f>
        <v>744</v>
      </c>
      <c r="M530" s="496">
        <f>ROUND(G530*(1+$R$534),0)</f>
        <v>125</v>
      </c>
      <c r="N530" s="495"/>
      <c r="O530" s="417">
        <f>ROUND(M530*$E530,0)</f>
        <v>750</v>
      </c>
      <c r="P530" s="497"/>
      <c r="Q530" s="416" t="s">
        <v>653</v>
      </c>
      <c r="S530" s="535"/>
      <c r="T530" s="439">
        <f t="shared" ref="T530:T536" si="212">M530/G530-1</f>
        <v>8.0645161290322509E-3</v>
      </c>
      <c r="AD530" s="400">
        <f>K530-[25]Blocking1!O530</f>
        <v>0</v>
      </c>
    </row>
    <row r="531" spans="1:30">
      <c r="A531" s="432" t="s">
        <v>411</v>
      </c>
      <c r="C531" s="433">
        <f>'[25]10'!J16</f>
        <v>2705.9897058823508</v>
      </c>
      <c r="E531" s="550">
        <f>[25]Bill!$P$53/12-E530-E546-E547</f>
        <v>2778.3333333333335</v>
      </c>
      <c r="G531" s="496">
        <f>[25]Blocking1!M531</f>
        <v>38</v>
      </c>
      <c r="H531" s="495"/>
      <c r="I531" s="417">
        <f>ROUND($G531*C531,0)</f>
        <v>102828</v>
      </c>
      <c r="K531" s="417">
        <f>ROUND($G531*E531,0)</f>
        <v>105577</v>
      </c>
      <c r="M531" s="496">
        <f>ROUND(G531*(1+$R$534),0)</f>
        <v>38</v>
      </c>
      <c r="N531" s="495"/>
      <c r="O531" s="417">
        <f>ROUND(M531*$E531,0)</f>
        <v>105577</v>
      </c>
      <c r="P531" s="497"/>
      <c r="Q531" s="437" t="s">
        <v>589</v>
      </c>
      <c r="R531" s="438">
        <f>O543+O559</f>
        <v>14495607</v>
      </c>
      <c r="S531" s="535"/>
      <c r="T531" s="439">
        <f t="shared" si="212"/>
        <v>0</v>
      </c>
      <c r="AD531" s="400">
        <f>K531-[25]Blocking1!O531</f>
        <v>0</v>
      </c>
    </row>
    <row r="532" spans="1:30">
      <c r="A532" s="432" t="s">
        <v>412</v>
      </c>
      <c r="C532" s="433">
        <f>'[25]10'!L17</f>
        <v>12239.252637362708</v>
      </c>
      <c r="E532" s="581">
        <f>ROUND(C532*(E$530+E$531)/(C$530+C$531),0)</f>
        <v>12565</v>
      </c>
      <c r="G532" s="496">
        <f>[25]Blocking1!M532</f>
        <v>14</v>
      </c>
      <c r="H532" s="495"/>
      <c r="I532" s="417">
        <f>ROUND($G532*C532,0)</f>
        <v>171350</v>
      </c>
      <c r="K532" s="417">
        <f>ROUND($G532*E532,0)</f>
        <v>175910</v>
      </c>
      <c r="M532" s="496">
        <f>ROUND(G532*(1+$R$534),0)</f>
        <v>14</v>
      </c>
      <c r="N532" s="495"/>
      <c r="O532" s="417">
        <f>ROUND(M532*$E532,0)</f>
        <v>175910</v>
      </c>
      <c r="Q532" s="471" t="s">
        <v>593</v>
      </c>
      <c r="R532" s="445">
        <f>[25]RateSpread2!M30*1000</f>
        <v>14495611</v>
      </c>
      <c r="T532" s="439">
        <f t="shared" si="212"/>
        <v>0</v>
      </c>
      <c r="AD532" s="400">
        <f>K532-[25]Blocking1!O532</f>
        <v>0</v>
      </c>
    </row>
    <row r="533" spans="1:30">
      <c r="A533" s="432" t="s">
        <v>413</v>
      </c>
      <c r="C533" s="433">
        <f>'[25]10'!N17</f>
        <v>418002.11517055839</v>
      </c>
      <c r="E533" s="581">
        <f>ROUND(C533*$E$543/$C$543,0)</f>
        <v>323633</v>
      </c>
      <c r="G533" s="496">
        <f>[25]Blocking1!M533</f>
        <v>7.25</v>
      </c>
      <c r="H533" s="495"/>
      <c r="I533" s="417">
        <f>ROUND($G533*C533,0)</f>
        <v>3030515</v>
      </c>
      <c r="K533" s="417">
        <f>ROUND($G533*E533,0)</f>
        <v>2346339</v>
      </c>
      <c r="M533" s="496">
        <f>ROUND(G533*(1+R$536),2)</f>
        <v>7.33</v>
      </c>
      <c r="N533" s="495"/>
      <c r="O533" s="417">
        <f>ROUND(M533*$E533,0)</f>
        <v>2372230</v>
      </c>
      <c r="P533" s="497"/>
      <c r="Q533" s="450" t="s">
        <v>159</v>
      </c>
      <c r="R533" s="613">
        <f>R532-R531</f>
        <v>4</v>
      </c>
      <c r="T533" s="439">
        <f t="shared" si="212"/>
        <v>1.1034482758620623E-2</v>
      </c>
      <c r="AD533" s="400">
        <f>K533-[25]Blocking1!O533</f>
        <v>0</v>
      </c>
    </row>
    <row r="534" spans="1:30">
      <c r="A534" s="432" t="s">
        <v>346</v>
      </c>
      <c r="C534" s="433">
        <f>'[25]10'!O17</f>
        <v>13002.90956951718</v>
      </c>
      <c r="E534" s="581">
        <f>ROUND(C534*$E$543/$C$543,0)</f>
        <v>10067</v>
      </c>
      <c r="G534" s="496">
        <f>[25]Blocking1!M534</f>
        <v>-2.0299999999999998</v>
      </c>
      <c r="H534" s="495"/>
      <c r="I534" s="417">
        <f>ROUND($G534*C534,0)</f>
        <v>-26396</v>
      </c>
      <c r="K534" s="417">
        <f>ROUND($G534*E534,0)</f>
        <v>-20436</v>
      </c>
      <c r="M534" s="496">
        <f>ROUND(G534*(1+R$536),2)</f>
        <v>-2.0499999999999998</v>
      </c>
      <c r="N534" s="495"/>
      <c r="O534" s="417">
        <f>ROUND(M534*$E534,0)</f>
        <v>-20637</v>
      </c>
      <c r="P534" s="417"/>
      <c r="Q534" s="488" t="s">
        <v>603</v>
      </c>
      <c r="R534" s="544">
        <f>R532/(K543+K559)-1</f>
        <v>1.0283689920449257E-2</v>
      </c>
      <c r="T534" s="439">
        <f t="shared" si="212"/>
        <v>9.8522167487684609E-3</v>
      </c>
      <c r="AD534" s="400">
        <f>K534-[25]Blocking1!O534</f>
        <v>0</v>
      </c>
    </row>
    <row r="535" spans="1:30">
      <c r="A535" s="432" t="s">
        <v>414</v>
      </c>
      <c r="C535" s="433">
        <f>'[25]10'!T17+[25]TempRev!C416</f>
        <v>86203505</v>
      </c>
      <c r="E535" s="581">
        <f>ROUND(C535*$E$537/$C$537,0)</f>
        <v>71130178</v>
      </c>
      <c r="G535" s="526">
        <f>[25]Blocking1!M535</f>
        <v>7.2206999999999999</v>
      </c>
      <c r="H535" s="462" t="s">
        <v>305</v>
      </c>
      <c r="I535" s="417">
        <f>ROUND($G535*C535/100,0)</f>
        <v>6224496</v>
      </c>
      <c r="K535" s="417">
        <f>ROUND($G535*E535/100,0)</f>
        <v>5136097</v>
      </c>
      <c r="M535" s="526">
        <f>ROUND(G535*(1+R$536),$R$8)</f>
        <v>7.2971000000000004</v>
      </c>
      <c r="N535" s="462" t="s">
        <v>305</v>
      </c>
      <c r="O535" s="417">
        <f>ROUND(M535*$E535/100,0)</f>
        <v>5190440</v>
      </c>
      <c r="P535" s="497"/>
      <c r="Q535" s="463" t="s">
        <v>601</v>
      </c>
      <c r="R535" s="536">
        <f>R531/(K543+K559)-1</f>
        <v>1.0283411137115506E-2</v>
      </c>
      <c r="T535" s="439">
        <f t="shared" si="212"/>
        <v>1.0580691622695815E-2</v>
      </c>
      <c r="AD535" s="400">
        <f>K535-[25]Blocking1!O535</f>
        <v>0</v>
      </c>
    </row>
    <row r="536" spans="1:30">
      <c r="A536" s="432" t="s">
        <v>415</v>
      </c>
      <c r="C536" s="504">
        <f>'[25]10'!U17+[25]TempRev!C417</f>
        <v>62813919.982138403</v>
      </c>
      <c r="E536" s="548">
        <f>E537-E535</f>
        <v>51830436</v>
      </c>
      <c r="G536" s="526">
        <f>[25]Blocking1!M536</f>
        <v>5.3371000000000004</v>
      </c>
      <c r="H536" s="462" t="s">
        <v>305</v>
      </c>
      <c r="I536" s="506">
        <f>ROUND($G536*C536/100,0)</f>
        <v>3352442</v>
      </c>
      <c r="K536" s="506">
        <f>ROUND($G536*E536/100,0)</f>
        <v>2766242</v>
      </c>
      <c r="M536" s="526">
        <f>ROUND(G536*(1+R$536),$R$8)</f>
        <v>5.3936000000000002</v>
      </c>
      <c r="N536" s="462" t="s">
        <v>305</v>
      </c>
      <c r="O536" s="506">
        <f>ROUND(M536*$E536/100,0)</f>
        <v>2795526</v>
      </c>
      <c r="P536" s="497"/>
      <c r="Q536" s="471" t="s">
        <v>625</v>
      </c>
      <c r="R536" s="540">
        <f>(R532-O530-O531-O532-O539-O546-O547-O548-O555)/(K533+K534+K535+K536+K540+K549+K550+K551+K552+K556)-1</f>
        <v>1.0577030266121223E-2</v>
      </c>
      <c r="T536" s="439">
        <f t="shared" si="212"/>
        <v>1.058627344437979E-2</v>
      </c>
      <c r="AD536" s="400">
        <f>K536-[25]Blocking1!O536</f>
        <v>0</v>
      </c>
    </row>
    <row r="537" spans="1:30">
      <c r="A537" s="432" t="s">
        <v>416</v>
      </c>
      <c r="C537" s="614">
        <f>C536+C535</f>
        <v>149017424.9821384</v>
      </c>
      <c r="E537" s="615">
        <f>ROUND(E543*C537/(C537+C541),0)</f>
        <v>122960614</v>
      </c>
      <c r="G537" s="616"/>
      <c r="I537" s="506">
        <f>SUM(I530:I536)</f>
        <v>12855997</v>
      </c>
      <c r="K537" s="506">
        <f>SUM(K530:K536)</f>
        <v>10510473</v>
      </c>
      <c r="M537" s="616"/>
      <c r="O537" s="506">
        <f>SUM(O530:O536)</f>
        <v>10619796</v>
      </c>
      <c r="P537" s="497"/>
      <c r="Q537" s="488" t="s">
        <v>643</v>
      </c>
      <c r="R537" s="544">
        <f>(O543)/(K543)-1</f>
        <v>1.0368564639525513E-2</v>
      </c>
      <c r="AD537" s="400">
        <f>K537-[25]Blocking1!O537</f>
        <v>0</v>
      </c>
    </row>
    <row r="538" spans="1:30">
      <c r="A538" s="432" t="s">
        <v>417</v>
      </c>
      <c r="C538" s="406"/>
      <c r="E538" s="581"/>
      <c r="M538" s="404"/>
      <c r="P538" s="497"/>
      <c r="AD538" s="400">
        <f>K538-[25]Blocking1!O538</f>
        <v>0</v>
      </c>
    </row>
    <row r="539" spans="1:30">
      <c r="A539" s="432" t="s">
        <v>654</v>
      </c>
      <c r="C539" s="459">
        <f>'[25]10'!M17</f>
        <v>5733.7065384615134</v>
      </c>
      <c r="E539" s="617">
        <f>ROUND(C539*(E$530+E$531)/(C$530+C$531),0)</f>
        <v>5886</v>
      </c>
      <c r="G539" s="618">
        <f>[25]Blocking1!M539</f>
        <v>14</v>
      </c>
      <c r="H539" s="492"/>
      <c r="I539" s="497">
        <f>ROUND($G539*C539,0)</f>
        <v>80272</v>
      </c>
      <c r="K539" s="497">
        <f>ROUND($G539*E539,0)</f>
        <v>82404</v>
      </c>
      <c r="M539" s="618">
        <f>M532</f>
        <v>14</v>
      </c>
      <c r="N539" s="492"/>
      <c r="O539" s="497">
        <f>ROUND(M539*$E539,0)</f>
        <v>82404</v>
      </c>
      <c r="P539" s="497"/>
      <c r="T539" s="439">
        <f t="shared" ref="T539:T540" si="213">M539/G539-1</f>
        <v>0</v>
      </c>
      <c r="AD539" s="400">
        <f>K539-[25]Blocking1!O539</f>
        <v>0</v>
      </c>
    </row>
    <row r="540" spans="1:30">
      <c r="A540" s="432" t="s">
        <v>418</v>
      </c>
      <c r="C540" s="504">
        <f>'[25]10'!Q17+[25]TempRev!C420</f>
        <v>60804983.670483433</v>
      </c>
      <c r="E540" s="614">
        <f>E541</f>
        <v>50172778</v>
      </c>
      <c r="G540" s="547">
        <f>[25]Blocking1!M540</f>
        <v>4.9459999999999997</v>
      </c>
      <c r="H540" s="462" t="s">
        <v>305</v>
      </c>
      <c r="I540" s="619">
        <f>ROUND($G540*C540/100,0)</f>
        <v>3007414</v>
      </c>
      <c r="K540" s="619">
        <f>ROUND($G540*E540/100,0)</f>
        <v>2481546</v>
      </c>
      <c r="M540" s="526">
        <f>ROUND(G540*(1+R$536),$R$8)</f>
        <v>4.9983000000000004</v>
      </c>
      <c r="N540" s="462" t="s">
        <v>305</v>
      </c>
      <c r="O540" s="506">
        <f>ROUND(M540*$E540/100,0)</f>
        <v>2507786</v>
      </c>
      <c r="T540" s="439">
        <f t="shared" si="213"/>
        <v>1.0574201374848435E-2</v>
      </c>
      <c r="AD540" s="400">
        <f>K540-[25]Blocking1!O540</f>
        <v>0</v>
      </c>
    </row>
    <row r="541" spans="1:30">
      <c r="A541" s="432" t="s">
        <v>419</v>
      </c>
      <c r="C541" s="614">
        <f>C540</f>
        <v>60804983.670483433</v>
      </c>
      <c r="E541" s="614">
        <f>E543-E537</f>
        <v>50172778</v>
      </c>
      <c r="G541" s="616"/>
      <c r="I541" s="506">
        <f>I539+I540</f>
        <v>3087686</v>
      </c>
      <c r="K541" s="506">
        <f>K539+K540</f>
        <v>2563950</v>
      </c>
      <c r="M541" s="616"/>
      <c r="O541" s="506">
        <f>O539+O540</f>
        <v>2590190</v>
      </c>
      <c r="AD541" s="400">
        <f>K541-[25]Blocking1!O541</f>
        <v>0</v>
      </c>
    </row>
    <row r="542" spans="1:30">
      <c r="A542" s="432" t="s">
        <v>313</v>
      </c>
      <c r="C542" s="504">
        <f>'[25]Table 2'!J100-'Blocking GRC'!C558</f>
        <v>13795784</v>
      </c>
      <c r="E542" s="504">
        <v>0</v>
      </c>
      <c r="I542" s="507">
        <f>-I558+'[25]Table 3'!F100</f>
        <v>1439663</v>
      </c>
      <c r="K542" s="507">
        <v>0</v>
      </c>
      <c r="M542" s="404"/>
      <c r="O542" s="506">
        <v>0</v>
      </c>
      <c r="P542" s="417"/>
      <c r="S542" s="535"/>
      <c r="AD542" s="400">
        <f>K542-[25]Blocking1!O542</f>
        <v>0</v>
      </c>
    </row>
    <row r="543" spans="1:30" ht="16.5" thickBot="1">
      <c r="A543" s="432" t="s">
        <v>420</v>
      </c>
      <c r="C543" s="549">
        <f>C540+C537+C542</f>
        <v>223618192.65262184</v>
      </c>
      <c r="E543" s="559">
        <f>ROUND(C543/(C543+C559)*[25]Energy!P53,0)</f>
        <v>173133392</v>
      </c>
      <c r="G543" s="532"/>
      <c r="I543" s="533">
        <f>I541+I537+I542</f>
        <v>17383346</v>
      </c>
      <c r="K543" s="533">
        <f>K541+K537+K542</f>
        <v>13074423</v>
      </c>
      <c r="M543" s="532"/>
      <c r="O543" s="533">
        <f>O541+O537+O542</f>
        <v>13209986</v>
      </c>
      <c r="P543" s="417"/>
      <c r="Q543" s="416" t="s">
        <v>601</v>
      </c>
      <c r="R543" s="518">
        <f>O543/K543-1</f>
        <v>1.0368564639525513E-2</v>
      </c>
      <c r="AD543" s="400">
        <f>K543-[25]Blocking1!O543</f>
        <v>0</v>
      </c>
    </row>
    <row r="544" spans="1:30" ht="16.5" thickTop="1">
      <c r="C544" s="406"/>
      <c r="E544" s="406"/>
      <c r="P544" s="417"/>
      <c r="AD544" s="400">
        <f>K544-[25]Blocking1!O544</f>
        <v>0</v>
      </c>
    </row>
    <row r="545" spans="1:30">
      <c r="A545" s="428" t="s">
        <v>421</v>
      </c>
      <c r="C545" s="406"/>
      <c r="E545" s="406"/>
      <c r="P545" s="417"/>
      <c r="T545" s="535"/>
      <c r="AD545" s="400">
        <f>K545-[25]Blocking1!O545</f>
        <v>0</v>
      </c>
    </row>
    <row r="546" spans="1:30">
      <c r="A546" s="432" t="s">
        <v>410</v>
      </c>
      <c r="C546" s="433">
        <f>'[25]10'!J18</f>
        <v>5</v>
      </c>
      <c r="E546" s="550">
        <f>ROUND(C546/(C$530+C$531+C$546+C$547)*[25]Bill!$P$53/12,0)</f>
        <v>5</v>
      </c>
      <c r="G546" s="496">
        <f>[25]Blocking1!M546</f>
        <v>124</v>
      </c>
      <c r="H546" s="551"/>
      <c r="I546" s="417">
        <f>ROUND($G546*C546,0)</f>
        <v>620</v>
      </c>
      <c r="K546" s="417">
        <f>ROUND($G546*E546,0)</f>
        <v>620</v>
      </c>
      <c r="M546" s="552">
        <f>M530</f>
        <v>125</v>
      </c>
      <c r="N546" s="551"/>
      <c r="O546" s="417">
        <f>ROUND(M546*$E546,0)</f>
        <v>625</v>
      </c>
      <c r="P546" s="497"/>
      <c r="T546" s="439">
        <f t="shared" ref="T546:T552" si="214">M546/G546-1</f>
        <v>8.0645161290322509E-3</v>
      </c>
      <c r="AD546" s="400">
        <f>K546-[25]Blocking1!O546</f>
        <v>0</v>
      </c>
    </row>
    <row r="547" spans="1:30">
      <c r="A547" s="432" t="s">
        <v>411</v>
      </c>
      <c r="C547" s="433">
        <f>'[25]10'!J19</f>
        <v>248.904117647059</v>
      </c>
      <c r="E547" s="550">
        <f>ROUND(C547/(C$530+C$531+C$546+C$547)*[25]Bill!$P$53/12,0)</f>
        <v>256</v>
      </c>
      <c r="G547" s="496">
        <f>[25]Blocking1!M547</f>
        <v>38</v>
      </c>
      <c r="H547" s="551"/>
      <c r="I547" s="417">
        <f>ROUND($G547*C547,0)</f>
        <v>9458</v>
      </c>
      <c r="K547" s="417">
        <f>ROUND($G547*E547,0)</f>
        <v>9728</v>
      </c>
      <c r="M547" s="552">
        <f>M531</f>
        <v>38</v>
      </c>
      <c r="N547" s="551"/>
      <c r="O547" s="417">
        <f>ROUND(M547*$E547,0)</f>
        <v>9728</v>
      </c>
      <c r="P547" s="497"/>
      <c r="S547" s="440"/>
      <c r="T547" s="439">
        <f t="shared" si="214"/>
        <v>0</v>
      </c>
      <c r="AD547" s="400">
        <f>K547-[25]Blocking1!O547</f>
        <v>0</v>
      </c>
    </row>
    <row r="548" spans="1:30">
      <c r="A548" s="432" t="s">
        <v>422</v>
      </c>
      <c r="C548" s="433">
        <f>'[25]10'!L20</f>
        <v>1112.336208791213</v>
      </c>
      <c r="E548" s="617">
        <f>ROUND(C548*(E546+E547)/(C546+C547),0)</f>
        <v>1143</v>
      </c>
      <c r="G548" s="496">
        <f>[25]Blocking1!M548</f>
        <v>14</v>
      </c>
      <c r="H548" s="551"/>
      <c r="I548" s="417">
        <f>ROUND($G548*C548,0)</f>
        <v>15573</v>
      </c>
      <c r="K548" s="417">
        <f>ROUND($G548*E548,0)</f>
        <v>16002</v>
      </c>
      <c r="M548" s="552">
        <f>M532</f>
        <v>14</v>
      </c>
      <c r="N548" s="551"/>
      <c r="O548" s="417">
        <f>ROUND(M548*$E548,0)</f>
        <v>16002</v>
      </c>
      <c r="T548" s="439">
        <f t="shared" si="214"/>
        <v>0</v>
      </c>
      <c r="AD548" s="400">
        <f>K548-[25]Blocking1!O548</f>
        <v>0</v>
      </c>
    </row>
    <row r="549" spans="1:30">
      <c r="A549" s="432" t="s">
        <v>413</v>
      </c>
      <c r="C549" s="433">
        <f>'[25]10'!N20</f>
        <v>48487.952936442278</v>
      </c>
      <c r="E549" s="617">
        <f>ROUND(C549*$E$559/$C$559,0)</f>
        <v>37541</v>
      </c>
      <c r="G549" s="496">
        <f>[25]Blocking1!M549</f>
        <v>7.25</v>
      </c>
      <c r="H549" s="551"/>
      <c r="I549" s="417">
        <f>ROUND($G549*C549,0)</f>
        <v>351538</v>
      </c>
      <c r="K549" s="417">
        <f>ROUND($G549*E549,0)</f>
        <v>272172</v>
      </c>
      <c r="M549" s="552">
        <f>M533</f>
        <v>7.33</v>
      </c>
      <c r="N549" s="551"/>
      <c r="O549" s="417">
        <f>ROUND(M549*$E549,0)</f>
        <v>275176</v>
      </c>
      <c r="P549" s="497"/>
      <c r="T549" s="439">
        <f t="shared" si="214"/>
        <v>1.1034482758620623E-2</v>
      </c>
      <c r="AD549" s="400">
        <f>K549-[25]Blocking1!O549</f>
        <v>0</v>
      </c>
    </row>
    <row r="550" spans="1:30">
      <c r="A550" s="432" t="s">
        <v>423</v>
      </c>
      <c r="C550" s="433">
        <f>'[25]10'!O20</f>
        <v>1339.431588132637</v>
      </c>
      <c r="E550" s="617">
        <f>ROUND(C550*$E$559/$C$559,0)</f>
        <v>1037</v>
      </c>
      <c r="G550" s="496">
        <f>[25]Blocking1!M550</f>
        <v>-2.0299999999999998</v>
      </c>
      <c r="H550" s="551"/>
      <c r="I550" s="417">
        <f>ROUND($G550*C550,0)</f>
        <v>-2719</v>
      </c>
      <c r="K550" s="417">
        <f>ROUND($G550*E550,0)</f>
        <v>-2105</v>
      </c>
      <c r="M550" s="552">
        <f>M534</f>
        <v>-2.0499999999999998</v>
      </c>
      <c r="N550" s="551"/>
      <c r="O550" s="417">
        <f>ROUND(M550*$E550,0)</f>
        <v>-2126</v>
      </c>
      <c r="P550" s="417"/>
      <c r="R550" s="560"/>
      <c r="T550" s="439">
        <f t="shared" si="214"/>
        <v>9.8522167487684609E-3</v>
      </c>
      <c r="AD550" s="400">
        <f>K550-[25]Blocking1!O550</f>
        <v>0</v>
      </c>
    </row>
    <row r="551" spans="1:30">
      <c r="A551" s="432" t="s">
        <v>407</v>
      </c>
      <c r="C551" s="433">
        <f>'[25]10'!R20+[25]TempRev!C418</f>
        <v>2741707</v>
      </c>
      <c r="E551" s="617">
        <f>ROUND(C551*$E$553/$C$553,0)</f>
        <v>2262299</v>
      </c>
      <c r="G551" s="526">
        <f>[25]Blocking1!M551</f>
        <v>14.265499999999999</v>
      </c>
      <c r="H551" s="462" t="s">
        <v>305</v>
      </c>
      <c r="I551" s="417">
        <f>ROUND($G551*C551/100,0)</f>
        <v>391118</v>
      </c>
      <c r="K551" s="417">
        <f>ROUND($G551*E551/100,0)</f>
        <v>322728</v>
      </c>
      <c r="M551" s="526">
        <f>ROUND(G551*(1+R$536),$R$8)</f>
        <v>14.416399999999999</v>
      </c>
      <c r="N551" s="462" t="s">
        <v>305</v>
      </c>
      <c r="O551" s="417">
        <f>ROUND(M551*$E551/100,0)</f>
        <v>326142</v>
      </c>
      <c r="P551" s="497"/>
      <c r="S551" s="502"/>
      <c r="T551" s="439">
        <f t="shared" si="214"/>
        <v>1.0577967824471735E-2</v>
      </c>
      <c r="AD551" s="400">
        <f>K551-[25]Blocking1!O551</f>
        <v>0</v>
      </c>
    </row>
    <row r="552" spans="1:30">
      <c r="A552" s="432" t="s">
        <v>401</v>
      </c>
      <c r="C552" s="504">
        <f>'[25]10'!S20+[25]TempRev!C419</f>
        <v>10391193.195317743</v>
      </c>
      <c r="E552" s="614">
        <f>E553-E551</f>
        <v>8574215</v>
      </c>
      <c r="G552" s="547">
        <f>[25]Blocking1!M552</f>
        <v>4.1252000000000004</v>
      </c>
      <c r="H552" s="462" t="s">
        <v>305</v>
      </c>
      <c r="I552" s="619">
        <f>ROUND($G552*C552/100,0)</f>
        <v>428658</v>
      </c>
      <c r="K552" s="619">
        <f>ROUND($G552*E552/100,0)</f>
        <v>353704</v>
      </c>
      <c r="M552" s="597">
        <f>ROUND((R532-O543-SUM(O546:O551,O557))/E552*100,$R$8)</f>
        <v>4.1542000000000003</v>
      </c>
      <c r="N552" s="462" t="s">
        <v>305</v>
      </c>
      <c r="O552" s="506">
        <f>ROUND(M552*$E552/100,0)</f>
        <v>356190</v>
      </c>
      <c r="P552" s="497"/>
      <c r="T552" s="439">
        <f t="shared" si="214"/>
        <v>7.0299621836515946E-3</v>
      </c>
      <c r="AD552" s="400">
        <f>K552-[25]Blocking1!O552</f>
        <v>0</v>
      </c>
    </row>
    <row r="553" spans="1:30">
      <c r="A553" s="432" t="s">
        <v>416</v>
      </c>
      <c r="C553" s="614">
        <f>C552+C551</f>
        <v>13132900.195317743</v>
      </c>
      <c r="E553" s="614">
        <f>ROUND(E559*C553/(C553+C557),0)</f>
        <v>10836514</v>
      </c>
      <c r="G553" s="616"/>
      <c r="I553" s="506">
        <f>SUM(I546:I552)</f>
        <v>1194246</v>
      </c>
      <c r="K553" s="506">
        <f>SUM(K546:K552)</f>
        <v>972849</v>
      </c>
      <c r="M553" s="620"/>
      <c r="O553" s="506">
        <f>SUM(O546:O552)</f>
        <v>981737</v>
      </c>
      <c r="P553" s="497"/>
      <c r="AD553" s="400">
        <f>K553-[25]Blocking1!O553</f>
        <v>0</v>
      </c>
    </row>
    <row r="554" spans="1:30">
      <c r="A554" s="432" t="s">
        <v>417</v>
      </c>
      <c r="C554" s="406"/>
      <c r="E554" s="406"/>
      <c r="P554" s="497"/>
      <c r="Q554" s="589"/>
      <c r="R554" s="497"/>
      <c r="AD554" s="400">
        <f>K554-[25]Blocking1!O554</f>
        <v>0</v>
      </c>
    </row>
    <row r="555" spans="1:30">
      <c r="A555" s="432" t="s">
        <v>654</v>
      </c>
      <c r="C555" s="459">
        <f>'[25]10'!M20</f>
        <v>554.67543956043926</v>
      </c>
      <c r="E555" s="621">
        <f>ROUND(C555*(E546+E547)/(C546+C547),0)</f>
        <v>570</v>
      </c>
      <c r="G555" s="618">
        <f>[25]Blocking1!M555</f>
        <v>14</v>
      </c>
      <c r="H555" s="551"/>
      <c r="I555" s="497">
        <f>ROUND($G555*C555,0)</f>
        <v>7765</v>
      </c>
      <c r="K555" s="497">
        <f>ROUND($G555*E555,0)</f>
        <v>7980</v>
      </c>
      <c r="M555" s="551">
        <f>M539</f>
        <v>14</v>
      </c>
      <c r="N555" s="551"/>
      <c r="O555" s="497">
        <f>ROUND(M555*$E555,0)</f>
        <v>7980</v>
      </c>
      <c r="P555" s="497"/>
      <c r="Q555" s="521"/>
      <c r="R555" s="465"/>
      <c r="S555" s="570"/>
      <c r="T555" s="439">
        <f t="shared" ref="T555:T556" si="215">M555/G555-1</f>
        <v>0</v>
      </c>
      <c r="AD555" s="400">
        <f>K555-[25]Blocking1!O555</f>
        <v>0</v>
      </c>
    </row>
    <row r="556" spans="1:30">
      <c r="A556" s="432" t="s">
        <v>418</v>
      </c>
      <c r="C556" s="504">
        <f>'[25]10'!Q20+[25]TempRev!C421</f>
        <v>7174632.0726941908</v>
      </c>
      <c r="E556" s="614">
        <f>E557</f>
        <v>5920094</v>
      </c>
      <c r="G556" s="547">
        <f>[25]Blocking1!M556</f>
        <v>4.9459999999999997</v>
      </c>
      <c r="H556" s="462" t="s">
        <v>305</v>
      </c>
      <c r="I556" s="619">
        <f>ROUND($G556*C556/100,0)</f>
        <v>354857</v>
      </c>
      <c r="K556" s="619">
        <f>ROUND($G556*E556/100,0)</f>
        <v>292808</v>
      </c>
      <c r="M556" s="547">
        <f>M540</f>
        <v>4.9983000000000004</v>
      </c>
      <c r="N556" s="462" t="s">
        <v>305</v>
      </c>
      <c r="O556" s="506">
        <f>ROUND(M556*$E556/100,0)</f>
        <v>295904</v>
      </c>
      <c r="Q556" s="455"/>
      <c r="R556" s="497"/>
      <c r="S556" s="570"/>
      <c r="T556" s="439">
        <f t="shared" si="215"/>
        <v>1.0574201374848435E-2</v>
      </c>
      <c r="AD556" s="400">
        <f>K556-[25]Blocking1!O556</f>
        <v>0</v>
      </c>
    </row>
    <row r="557" spans="1:30">
      <c r="A557" s="432" t="s">
        <v>419</v>
      </c>
      <c r="C557" s="614">
        <f>C556</f>
        <v>7174632.0726941908</v>
      </c>
      <c r="E557" s="614">
        <f>E559-E553</f>
        <v>5920094</v>
      </c>
      <c r="G557" s="616"/>
      <c r="I557" s="506">
        <f>I555+I556</f>
        <v>362622</v>
      </c>
      <c r="K557" s="506">
        <f>K555+K556</f>
        <v>300788</v>
      </c>
      <c r="M557" s="620"/>
      <c r="O557" s="506">
        <f>O555+O556</f>
        <v>303884</v>
      </c>
      <c r="Q557" s="521"/>
      <c r="R557" s="465"/>
      <c r="S557" s="570"/>
      <c r="AD557" s="400">
        <f>K557-[25]Blocking1!O557</f>
        <v>0</v>
      </c>
    </row>
    <row r="558" spans="1:30">
      <c r="A558" s="432" t="s">
        <v>313</v>
      </c>
      <c r="C558" s="548">
        <f>ROUND((C553+C557)/(C553+C557+C537+C541)*'[25]Table 2'!J100,0)</f>
        <v>1335216</v>
      </c>
      <c r="E558" s="614">
        <v>0</v>
      </c>
      <c r="I558" s="507">
        <f>ROUND(C558/'[25]Table 2'!J100*'[25]Table 3'!F100,0)</f>
        <v>139337</v>
      </c>
      <c r="K558" s="507">
        <v>0</v>
      </c>
      <c r="O558" s="507">
        <v>0</v>
      </c>
      <c r="P558" s="417"/>
      <c r="S558" s="570"/>
      <c r="AD558" s="400">
        <f>K558-[25]Blocking1!O558</f>
        <v>0</v>
      </c>
    </row>
    <row r="559" spans="1:30" ht="16.5" thickBot="1">
      <c r="A559" s="432" t="s">
        <v>424</v>
      </c>
      <c r="C559" s="549">
        <f>C556+C553+C558</f>
        <v>21642748.268011935</v>
      </c>
      <c r="E559" s="559">
        <f>[25]Energy!P53-E543</f>
        <v>16756608</v>
      </c>
      <c r="G559" s="532"/>
      <c r="I559" s="533">
        <f>I557+I553+I558</f>
        <v>1696205</v>
      </c>
      <c r="K559" s="533">
        <f>K557+K553+K558</f>
        <v>1273637</v>
      </c>
      <c r="M559" s="534"/>
      <c r="O559" s="533">
        <f>O557+O553+O558</f>
        <v>1285621</v>
      </c>
      <c r="P559" s="417"/>
      <c r="Q559" s="416" t="s">
        <v>601</v>
      </c>
      <c r="R559" s="518">
        <f>O559/K559-1</f>
        <v>9.4092743850877625E-3</v>
      </c>
      <c r="S559" s="622"/>
      <c r="T559" s="570"/>
      <c r="AD559" s="400">
        <f>K559-[25]Blocking1!O559</f>
        <v>0</v>
      </c>
    </row>
    <row r="560" spans="1:30" ht="16.5" thickTop="1">
      <c r="C560" s="406" t="s">
        <v>66</v>
      </c>
      <c r="E560" s="406"/>
      <c r="P560" s="417"/>
      <c r="S560" s="622"/>
      <c r="T560" s="570"/>
      <c r="AD560" s="400">
        <f>K560-[25]Blocking1!O560</f>
        <v>0</v>
      </c>
    </row>
    <row r="561" spans="1:30">
      <c r="A561" s="428" t="s">
        <v>425</v>
      </c>
      <c r="B561" s="404"/>
      <c r="C561" s="557"/>
      <c r="D561" s="523"/>
      <c r="E561" s="557"/>
      <c r="F561" s="523"/>
      <c r="H561" s="523"/>
      <c r="I561" s="404"/>
      <c r="J561" s="523"/>
      <c r="K561" s="404"/>
      <c r="L561" s="523"/>
      <c r="M561" s="404"/>
      <c r="N561" s="523"/>
      <c r="O561" s="404"/>
      <c r="P561" s="417"/>
      <c r="Q561" s="622"/>
      <c r="R561" s="622"/>
      <c r="S561" s="623"/>
      <c r="T561" s="570"/>
      <c r="AD561" s="400">
        <f>K561-[25]Blocking1!O561</f>
        <v>0</v>
      </c>
    </row>
    <row r="562" spans="1:30">
      <c r="A562" s="480" t="s">
        <v>655</v>
      </c>
      <c r="B562" s="404"/>
      <c r="C562" s="500"/>
      <c r="D562" s="523"/>
      <c r="E562" s="500"/>
      <c r="F562" s="523"/>
      <c r="G562" s="563"/>
      <c r="H562" s="563"/>
      <c r="I562" s="624"/>
      <c r="J562" s="523"/>
      <c r="K562" s="624"/>
      <c r="L562" s="523"/>
      <c r="M562" s="563"/>
      <c r="N562" s="563"/>
      <c r="O562" s="624"/>
      <c r="P562" s="622"/>
      <c r="Q562" s="437" t="s">
        <v>589</v>
      </c>
      <c r="R562" s="438" t="e">
        <f>O611</f>
        <v>#VALUE!</v>
      </c>
      <c r="S562" s="623"/>
      <c r="T562" s="622"/>
      <c r="U562" s="622"/>
      <c r="AD562" s="400">
        <f>K562-[25]Blocking1!O562</f>
        <v>0</v>
      </c>
    </row>
    <row r="563" spans="1:30">
      <c r="A563" s="432" t="s">
        <v>427</v>
      </c>
      <c r="B563" s="404"/>
      <c r="C563" s="550" t="e">
        <f>SUMIF('[25]11'!$B$2:$B$33,42,'[25]11'!$L$2:$L$33)</f>
        <v>#VALUE!</v>
      </c>
      <c r="D563" s="523"/>
      <c r="E563" s="557" t="e">
        <f>ROUND(C563*$E$608/$C$608,0)</f>
        <v>#VALUE!</v>
      </c>
      <c r="F563" s="523"/>
      <c r="G563" s="434">
        <f>[25]Blocking1!M563</f>
        <v>11.8</v>
      </c>
      <c r="H563" s="563"/>
      <c r="I563" s="625" t="e">
        <f t="shared" ref="I563:I577" si="216">ROUND(C563*$G563,0)</f>
        <v>#VALUE!</v>
      </c>
      <c r="J563" s="523"/>
      <c r="K563" s="625" t="e">
        <f t="shared" ref="K563:K577" si="217">ROUND(E563*$G563,0)</f>
        <v>#VALUE!</v>
      </c>
      <c r="L563" s="523"/>
      <c r="M563" s="434" t="e">
        <f>ROUND(G563*(1+$R$566),2)</f>
        <v>#VALUE!</v>
      </c>
      <c r="N563" s="563"/>
      <c r="O563" s="625" t="e">
        <f t="shared" ref="O563:O577" si="218">ROUND(E563*M563,0)</f>
        <v>#VALUE!</v>
      </c>
      <c r="P563" s="622"/>
      <c r="Q563" s="444" t="s">
        <v>593</v>
      </c>
      <c r="R563" s="445">
        <f>[25]RateSpread2!M42*1000</f>
        <v>4979390</v>
      </c>
      <c r="S563" s="623"/>
      <c r="T563" s="439" t="e">
        <f t="shared" ref="T563:T589" si="219">M563/G563-1</f>
        <v>#VALUE!</v>
      </c>
      <c r="U563" s="622"/>
      <c r="AD563" s="400" t="e">
        <f>K563-[25]Blocking1!O563</f>
        <v>#VALUE!</v>
      </c>
    </row>
    <row r="564" spans="1:30" s="622" customFormat="1">
      <c r="A564" s="432" t="s">
        <v>428</v>
      </c>
      <c r="B564" s="404"/>
      <c r="C564" s="550" t="e">
        <f>SUMIF('[25]11'!$B$2:$B$33,43,'[25]11'!$L$2:$L$33)</f>
        <v>#VALUE!</v>
      </c>
      <c r="D564" s="523"/>
      <c r="E564" s="557" t="e">
        <f t="shared" ref="E564:E577" si="220">ROUND(C564*$E$608/$C$608,0)</f>
        <v>#VALUE!</v>
      </c>
      <c r="F564" s="523"/>
      <c r="G564" s="434">
        <f>[25]Blocking1!M564</f>
        <v>12.78</v>
      </c>
      <c r="H564" s="563"/>
      <c r="I564" s="625" t="e">
        <f t="shared" si="216"/>
        <v>#VALUE!</v>
      </c>
      <c r="J564" s="523"/>
      <c r="K564" s="625" t="e">
        <f t="shared" si="217"/>
        <v>#VALUE!</v>
      </c>
      <c r="L564" s="523"/>
      <c r="M564" s="434" t="e">
        <f t="shared" ref="M564:M577" si="221">ROUND(G564*(1+$R$566),2)</f>
        <v>#VALUE!</v>
      </c>
      <c r="N564" s="563"/>
      <c r="O564" s="625" t="e">
        <f t="shared" si="218"/>
        <v>#VALUE!</v>
      </c>
      <c r="Q564" s="450" t="s">
        <v>159</v>
      </c>
      <c r="R564" s="451" t="e">
        <f>R563-R562</f>
        <v>#VALUE!</v>
      </c>
      <c r="S564" s="623"/>
      <c r="T564" s="439" t="e">
        <f t="shared" si="219"/>
        <v>#VALUE!</v>
      </c>
      <c r="AD564" s="400" t="e">
        <f>K564-[25]Blocking1!O564</f>
        <v>#VALUE!</v>
      </c>
    </row>
    <row r="565" spans="1:30" s="622" customFormat="1">
      <c r="A565" s="432" t="s">
        <v>429</v>
      </c>
      <c r="B565" s="404"/>
      <c r="C565" s="550" t="e">
        <f>SUMIF('[25]11'!$B$2:$B$33,44,'[25]11'!$L$2:$L$33)</f>
        <v>#VALUE!</v>
      </c>
      <c r="D565" s="523"/>
      <c r="E565" s="557" t="e">
        <f t="shared" si="220"/>
        <v>#VALUE!</v>
      </c>
      <c r="F565" s="523"/>
      <c r="G565" s="434">
        <f>[25]Blocking1!M565</f>
        <v>11.5</v>
      </c>
      <c r="H565" s="563"/>
      <c r="I565" s="625" t="e">
        <f t="shared" si="216"/>
        <v>#VALUE!</v>
      </c>
      <c r="J565" s="523"/>
      <c r="K565" s="625" t="e">
        <f t="shared" si="217"/>
        <v>#VALUE!</v>
      </c>
      <c r="L565" s="523"/>
      <c r="M565" s="434" t="e">
        <f t="shared" si="221"/>
        <v>#VALUE!</v>
      </c>
      <c r="N565" s="563"/>
      <c r="O565" s="625" t="e">
        <f t="shared" si="218"/>
        <v>#VALUE!</v>
      </c>
      <c r="Q565" s="463" t="s">
        <v>601</v>
      </c>
      <c r="R565" s="536" t="e">
        <f>R562/K611-1</f>
        <v>#VALUE!</v>
      </c>
      <c r="S565" s="623"/>
      <c r="T565" s="439" t="e">
        <f t="shared" si="219"/>
        <v>#VALUE!</v>
      </c>
      <c r="AD565" s="400" t="e">
        <f>K565-[25]Blocking1!O565</f>
        <v>#VALUE!</v>
      </c>
    </row>
    <row r="566" spans="1:30" s="622" customFormat="1">
      <c r="A566" s="432" t="s">
        <v>430</v>
      </c>
      <c r="B566" s="404"/>
      <c r="C566" s="550" t="e">
        <f>SUMIF('[25]11'!$B$2:$B$33,51,'[25]11'!$L$2:$L$33)</f>
        <v>#VALUE!</v>
      </c>
      <c r="D566" s="523"/>
      <c r="E566" s="557" t="e">
        <f t="shared" si="220"/>
        <v>#VALUE!</v>
      </c>
      <c r="F566" s="523"/>
      <c r="G566" s="434">
        <f>[25]Blocking1!M566</f>
        <v>46.54</v>
      </c>
      <c r="H566" s="563"/>
      <c r="I566" s="625" t="e">
        <f t="shared" si="216"/>
        <v>#VALUE!</v>
      </c>
      <c r="J566" s="523"/>
      <c r="K566" s="625" t="e">
        <f t="shared" si="217"/>
        <v>#VALUE!</v>
      </c>
      <c r="L566" s="523"/>
      <c r="M566" s="434" t="e">
        <f t="shared" si="221"/>
        <v>#VALUE!</v>
      </c>
      <c r="N566" s="563"/>
      <c r="O566" s="625" t="e">
        <f t="shared" si="218"/>
        <v>#VALUE!</v>
      </c>
      <c r="Q566" s="488" t="s">
        <v>603</v>
      </c>
      <c r="R566" s="544" t="e">
        <f>R563/K611-1</f>
        <v>#VALUE!</v>
      </c>
      <c r="S566" s="623"/>
      <c r="T566" s="439" t="e">
        <f t="shared" si="219"/>
        <v>#VALUE!</v>
      </c>
      <c r="AD566" s="400" t="e">
        <f>K566-[25]Blocking1!O566</f>
        <v>#VALUE!</v>
      </c>
    </row>
    <row r="567" spans="1:30" s="622" customFormat="1">
      <c r="A567" s="432" t="s">
        <v>431</v>
      </c>
      <c r="B567" s="404"/>
      <c r="C567" s="550" t="e">
        <f>SUMIF('[25]11'!$B$2:$B$33,54,'[25]11'!$L$2:$L$33)</f>
        <v>#VALUE!</v>
      </c>
      <c r="D567" s="523"/>
      <c r="E567" s="557" t="e">
        <f t="shared" si="220"/>
        <v>#VALUE!</v>
      </c>
      <c r="F567" s="523"/>
      <c r="G567" s="434">
        <f>[25]Blocking1!M567</f>
        <v>38.049999999999997</v>
      </c>
      <c r="H567" s="563"/>
      <c r="I567" s="625" t="e">
        <f t="shared" si="216"/>
        <v>#VALUE!</v>
      </c>
      <c r="J567" s="523"/>
      <c r="K567" s="625" t="e">
        <f t="shared" si="217"/>
        <v>#VALUE!</v>
      </c>
      <c r="L567" s="523"/>
      <c r="M567" s="434" t="e">
        <f t="shared" si="221"/>
        <v>#VALUE!</v>
      </c>
      <c r="N567" s="563"/>
      <c r="O567" s="625" t="e">
        <f t="shared" si="218"/>
        <v>#VALUE!</v>
      </c>
      <c r="Q567" s="578" t="s">
        <v>643</v>
      </c>
      <c r="R567" s="546" t="e">
        <f>(O611)/(K611)-1</f>
        <v>#VALUE!</v>
      </c>
      <c r="S567" s="623"/>
      <c r="T567" s="439" t="e">
        <f t="shared" si="219"/>
        <v>#VALUE!</v>
      </c>
      <c r="AD567" s="400" t="e">
        <f>K567-[25]Blocking1!O567</f>
        <v>#VALUE!</v>
      </c>
    </row>
    <row r="568" spans="1:30" s="622" customFormat="1">
      <c r="A568" s="432" t="s">
        <v>432</v>
      </c>
      <c r="B568" s="404"/>
      <c r="C568" s="550" t="e">
        <f>SUMIF('[25]11'!$B$2:$B$33,45,'[25]11'!$L$2:$L$33)</f>
        <v>#VALUE!</v>
      </c>
      <c r="D568" s="523"/>
      <c r="E568" s="557" t="e">
        <f t="shared" si="220"/>
        <v>#VALUE!</v>
      </c>
      <c r="F568" s="523"/>
      <c r="G568" s="434">
        <f>[25]Blocking1!M568</f>
        <v>16.940000000000001</v>
      </c>
      <c r="H568" s="563"/>
      <c r="I568" s="625" t="e">
        <f t="shared" si="216"/>
        <v>#VALUE!</v>
      </c>
      <c r="J568" s="523"/>
      <c r="K568" s="625" t="e">
        <f t="shared" si="217"/>
        <v>#VALUE!</v>
      </c>
      <c r="L568" s="523"/>
      <c r="M568" s="434" t="e">
        <f t="shared" si="221"/>
        <v>#VALUE!</v>
      </c>
      <c r="N568" s="563"/>
      <c r="O568" s="625" t="e">
        <f t="shared" si="218"/>
        <v>#VALUE!</v>
      </c>
      <c r="Q568" s="623"/>
      <c r="R568" s="623"/>
      <c r="S568" s="623"/>
      <c r="T568" s="439" t="e">
        <f t="shared" si="219"/>
        <v>#VALUE!</v>
      </c>
      <c r="AD568" s="400" t="e">
        <f>K568-[25]Blocking1!O568</f>
        <v>#VALUE!</v>
      </c>
    </row>
    <row r="569" spans="1:30" s="622" customFormat="1">
      <c r="A569" s="432" t="s">
        <v>433</v>
      </c>
      <c r="B569" s="404"/>
      <c r="C569" s="550" t="e">
        <f>SUMIF('[25]11'!$B$2:$B$33,46,'[25]11'!$L$2:$L$33)</f>
        <v>#VALUE!</v>
      </c>
      <c r="D569" s="523"/>
      <c r="E569" s="557" t="e">
        <f t="shared" si="220"/>
        <v>#VALUE!</v>
      </c>
      <c r="F569" s="523"/>
      <c r="G569" s="434">
        <f>[25]Blocking1!M569</f>
        <v>15.25</v>
      </c>
      <c r="H569" s="563"/>
      <c r="I569" s="625" t="e">
        <f t="shared" si="216"/>
        <v>#VALUE!</v>
      </c>
      <c r="J569" s="523"/>
      <c r="K569" s="625" t="e">
        <f t="shared" si="217"/>
        <v>#VALUE!</v>
      </c>
      <c r="L569" s="523"/>
      <c r="M569" s="434" t="e">
        <f t="shared" si="221"/>
        <v>#VALUE!</v>
      </c>
      <c r="N569" s="563"/>
      <c r="O569" s="625" t="e">
        <f t="shared" si="218"/>
        <v>#VALUE!</v>
      </c>
      <c r="Q569" s="623"/>
      <c r="R569" s="623"/>
      <c r="S569" s="623"/>
      <c r="T569" s="439" t="e">
        <f t="shared" si="219"/>
        <v>#VALUE!</v>
      </c>
      <c r="AD569" s="400" t="e">
        <f>K569-[25]Blocking1!O569</f>
        <v>#VALUE!</v>
      </c>
    </row>
    <row r="570" spans="1:30" s="622" customFormat="1">
      <c r="A570" s="432" t="s">
        <v>434</v>
      </c>
      <c r="B570" s="404"/>
      <c r="C570" s="550" t="e">
        <f>SUMIF('[25]11'!$B$2:$B$33,52,'[25]11'!$L$2:$L$33)</f>
        <v>#VALUE!</v>
      </c>
      <c r="D570" s="523"/>
      <c r="E570" s="557" t="e">
        <f t="shared" si="220"/>
        <v>#VALUE!</v>
      </c>
      <c r="F570" s="523"/>
      <c r="G570" s="434">
        <f>[25]Blocking1!M570</f>
        <v>47.83</v>
      </c>
      <c r="H570" s="563"/>
      <c r="I570" s="625" t="e">
        <f t="shared" si="216"/>
        <v>#VALUE!</v>
      </c>
      <c r="J570" s="523"/>
      <c r="K570" s="625" t="e">
        <f t="shared" si="217"/>
        <v>#VALUE!</v>
      </c>
      <c r="L570" s="523"/>
      <c r="M570" s="434" t="e">
        <f t="shared" si="221"/>
        <v>#VALUE!</v>
      </c>
      <c r="N570" s="563"/>
      <c r="O570" s="625" t="e">
        <f t="shared" si="218"/>
        <v>#VALUE!</v>
      </c>
      <c r="Q570" s="623"/>
      <c r="R570" s="623"/>
      <c r="S570" s="623"/>
      <c r="T570" s="439" t="e">
        <f t="shared" si="219"/>
        <v>#VALUE!</v>
      </c>
      <c r="AD570" s="400" t="e">
        <f>K570-[25]Blocking1!O570</f>
        <v>#VALUE!</v>
      </c>
    </row>
    <row r="571" spans="1:30" s="622" customFormat="1">
      <c r="A571" s="432" t="s">
        <v>435</v>
      </c>
      <c r="B571" s="404"/>
      <c r="C571" s="550" t="e">
        <f>SUMIF('[25]11'!$B$2:$B$33,55,'[25]11'!$L$2:$L$33)</f>
        <v>#VALUE!</v>
      </c>
      <c r="D571" s="523"/>
      <c r="E571" s="557" t="e">
        <f t="shared" si="220"/>
        <v>#VALUE!</v>
      </c>
      <c r="F571" s="523"/>
      <c r="G571" s="434">
        <f>[25]Blocking1!M571</f>
        <v>39.340000000000003</v>
      </c>
      <c r="H571" s="563"/>
      <c r="I571" s="625" t="e">
        <f t="shared" si="216"/>
        <v>#VALUE!</v>
      </c>
      <c r="J571" s="523"/>
      <c r="K571" s="625" t="e">
        <f t="shared" si="217"/>
        <v>#VALUE!</v>
      </c>
      <c r="L571" s="523"/>
      <c r="M571" s="434" t="e">
        <f t="shared" si="221"/>
        <v>#VALUE!</v>
      </c>
      <c r="N571" s="563"/>
      <c r="O571" s="625" t="e">
        <f t="shared" si="218"/>
        <v>#VALUE!</v>
      </c>
      <c r="Q571" s="623"/>
      <c r="R571" s="623"/>
      <c r="S571" s="623"/>
      <c r="T571" s="439" t="e">
        <f t="shared" si="219"/>
        <v>#VALUE!</v>
      </c>
      <c r="AD571" s="400" t="e">
        <f>K571-[25]Blocking1!O571</f>
        <v>#VALUE!</v>
      </c>
    </row>
    <row r="572" spans="1:30" s="622" customFormat="1">
      <c r="A572" s="432" t="s">
        <v>436</v>
      </c>
      <c r="B572" s="404"/>
      <c r="C572" s="550" t="e">
        <f>SUMIF('[25]11'!$B$2:$B$33,47,'[25]11'!$L$2:$L$33)</f>
        <v>#VALUE!</v>
      </c>
      <c r="D572" s="523"/>
      <c r="E572" s="557" t="e">
        <f t="shared" si="220"/>
        <v>#VALUE!</v>
      </c>
      <c r="F572" s="523"/>
      <c r="G572" s="434">
        <f>[25]Blocking1!M572</f>
        <v>21.14</v>
      </c>
      <c r="H572" s="563"/>
      <c r="I572" s="625" t="e">
        <f t="shared" si="216"/>
        <v>#VALUE!</v>
      </c>
      <c r="J572" s="523"/>
      <c r="K572" s="625" t="e">
        <f t="shared" si="217"/>
        <v>#VALUE!</v>
      </c>
      <c r="L572" s="523"/>
      <c r="M572" s="434" t="e">
        <f t="shared" si="221"/>
        <v>#VALUE!</v>
      </c>
      <c r="N572" s="563"/>
      <c r="O572" s="625" t="e">
        <f t="shared" si="218"/>
        <v>#VALUE!</v>
      </c>
      <c r="Q572" s="623"/>
      <c r="R572" s="623"/>
      <c r="S572" s="623"/>
      <c r="T572" s="439" t="e">
        <f t="shared" si="219"/>
        <v>#VALUE!</v>
      </c>
      <c r="AD572" s="400" t="e">
        <f>K572-[25]Blocking1!O572</f>
        <v>#VALUE!</v>
      </c>
    </row>
    <row r="573" spans="1:30" s="622" customFormat="1">
      <c r="A573" s="432" t="s">
        <v>437</v>
      </c>
      <c r="B573" s="404"/>
      <c r="C573" s="550" t="e">
        <f>SUMIF('[25]11'!$B$2:$B$33,48,'[25]11'!$L$2:$L$33)</f>
        <v>#VALUE!</v>
      </c>
      <c r="D573" s="523"/>
      <c r="E573" s="557" t="e">
        <f t="shared" si="220"/>
        <v>#VALUE!</v>
      </c>
      <c r="F573" s="523"/>
      <c r="G573" s="434">
        <f>[25]Blocking1!M573</f>
        <v>19.03</v>
      </c>
      <c r="H573" s="563"/>
      <c r="I573" s="625" t="e">
        <f t="shared" si="216"/>
        <v>#VALUE!</v>
      </c>
      <c r="J573" s="523"/>
      <c r="K573" s="625" t="e">
        <f t="shared" si="217"/>
        <v>#VALUE!</v>
      </c>
      <c r="L573" s="523"/>
      <c r="M573" s="434" t="e">
        <f t="shared" si="221"/>
        <v>#VALUE!</v>
      </c>
      <c r="N573" s="563"/>
      <c r="O573" s="625" t="e">
        <f t="shared" si="218"/>
        <v>#VALUE!</v>
      </c>
      <c r="Q573" s="623"/>
      <c r="R573" s="623"/>
      <c r="S573" s="623"/>
      <c r="T573" s="439" t="e">
        <f t="shared" si="219"/>
        <v>#VALUE!</v>
      </c>
      <c r="AD573" s="400" t="e">
        <f>K573-[25]Blocking1!O573</f>
        <v>#VALUE!</v>
      </c>
    </row>
    <row r="574" spans="1:30" s="622" customFormat="1">
      <c r="A574" s="432" t="s">
        <v>438</v>
      </c>
      <c r="B574" s="404"/>
      <c r="C574" s="550" t="e">
        <f>SUMIF('[25]11'!$B$2:$B$33,53,'[25]11'!$L$2:$L$33)</f>
        <v>#VALUE!</v>
      </c>
      <c r="D574" s="523"/>
      <c r="E574" s="557" t="e">
        <f t="shared" si="220"/>
        <v>#VALUE!</v>
      </c>
      <c r="F574" s="523"/>
      <c r="G574" s="434">
        <f>[25]Blocking1!M574</f>
        <v>51.48</v>
      </c>
      <c r="H574" s="563"/>
      <c r="I574" s="625" t="e">
        <f t="shared" si="216"/>
        <v>#VALUE!</v>
      </c>
      <c r="J574" s="523"/>
      <c r="K574" s="625" t="e">
        <f t="shared" si="217"/>
        <v>#VALUE!</v>
      </c>
      <c r="L574" s="523"/>
      <c r="M574" s="434" t="e">
        <f t="shared" si="221"/>
        <v>#VALUE!</v>
      </c>
      <c r="N574" s="563"/>
      <c r="O574" s="625" t="e">
        <f t="shared" si="218"/>
        <v>#VALUE!</v>
      </c>
      <c r="Q574" s="623"/>
      <c r="R574" s="623"/>
      <c r="S574" s="626"/>
      <c r="T574" s="439" t="e">
        <f t="shared" si="219"/>
        <v>#VALUE!</v>
      </c>
      <c r="AD574" s="400" t="e">
        <f>K574-[25]Blocking1!O574</f>
        <v>#VALUE!</v>
      </c>
    </row>
    <row r="575" spans="1:30" s="622" customFormat="1">
      <c r="A575" s="432" t="s">
        <v>439</v>
      </c>
      <c r="B575" s="404"/>
      <c r="C575" s="550" t="e">
        <f>SUMIF('[25]11'!$B$2:$B$33,56,'[25]11'!$L$2:$L$33)</f>
        <v>#VALUE!</v>
      </c>
      <c r="D575" s="523"/>
      <c r="E575" s="557" t="e">
        <f t="shared" si="220"/>
        <v>#VALUE!</v>
      </c>
      <c r="F575" s="523"/>
      <c r="G575" s="434">
        <f>[25]Blocking1!M575</f>
        <v>43.01</v>
      </c>
      <c r="H575" s="563"/>
      <c r="I575" s="625" t="e">
        <f t="shared" si="216"/>
        <v>#VALUE!</v>
      </c>
      <c r="J575" s="523"/>
      <c r="K575" s="625" t="e">
        <f t="shared" si="217"/>
        <v>#VALUE!</v>
      </c>
      <c r="L575" s="523"/>
      <c r="M575" s="434" t="e">
        <f t="shared" si="221"/>
        <v>#VALUE!</v>
      </c>
      <c r="N575" s="563"/>
      <c r="O575" s="625" t="e">
        <f t="shared" si="218"/>
        <v>#VALUE!</v>
      </c>
      <c r="Q575" s="623"/>
      <c r="R575" s="623"/>
      <c r="S575" s="623"/>
      <c r="T575" s="439" t="e">
        <f t="shared" si="219"/>
        <v>#VALUE!</v>
      </c>
      <c r="AD575" s="400" t="e">
        <f>K575-[25]Blocking1!O575</f>
        <v>#VALUE!</v>
      </c>
    </row>
    <row r="576" spans="1:30" s="622" customFormat="1">
      <c r="A576" s="432" t="s">
        <v>440</v>
      </c>
      <c r="B576" s="404"/>
      <c r="C576" s="550" t="e">
        <f>SUMIF('[25]11'!$B$2:$B$33,49,'[25]11'!$L$2:$L$33)</f>
        <v>#VALUE!</v>
      </c>
      <c r="D576" s="523"/>
      <c r="E576" s="557" t="e">
        <f t="shared" si="220"/>
        <v>#VALUE!</v>
      </c>
      <c r="F576" s="523"/>
      <c r="G576" s="434">
        <f>[25]Blocking1!M576</f>
        <v>26.02</v>
      </c>
      <c r="H576" s="563"/>
      <c r="I576" s="625" t="e">
        <f t="shared" si="216"/>
        <v>#VALUE!</v>
      </c>
      <c r="J576" s="523"/>
      <c r="K576" s="625" t="e">
        <f t="shared" si="217"/>
        <v>#VALUE!</v>
      </c>
      <c r="L576" s="523"/>
      <c r="M576" s="434" t="e">
        <f t="shared" si="221"/>
        <v>#VALUE!</v>
      </c>
      <c r="N576" s="563"/>
      <c r="O576" s="625" t="e">
        <f t="shared" si="218"/>
        <v>#VALUE!</v>
      </c>
      <c r="Q576" s="626"/>
      <c r="R576" s="626"/>
      <c r="S576" s="623"/>
      <c r="T576" s="439" t="e">
        <f t="shared" si="219"/>
        <v>#VALUE!</v>
      </c>
      <c r="AD576" s="400" t="e">
        <f>K576-[25]Blocking1!O576</f>
        <v>#VALUE!</v>
      </c>
    </row>
    <row r="577" spans="1:30" s="622" customFormat="1">
      <c r="A577" s="432" t="s">
        <v>441</v>
      </c>
      <c r="B577" s="404"/>
      <c r="C577" s="550">
        <v>0</v>
      </c>
      <c r="D577" s="523"/>
      <c r="E577" s="557">
        <f t="shared" si="220"/>
        <v>0</v>
      </c>
      <c r="F577" s="523"/>
      <c r="G577" s="434">
        <f>[25]Blocking1!M577</f>
        <v>51.54</v>
      </c>
      <c r="H577" s="563"/>
      <c r="I577" s="625">
        <f t="shared" si="216"/>
        <v>0</v>
      </c>
      <c r="J577" s="523"/>
      <c r="K577" s="625">
        <f t="shared" si="217"/>
        <v>0</v>
      </c>
      <c r="L577" s="523"/>
      <c r="M577" s="434" t="e">
        <f t="shared" si="221"/>
        <v>#VALUE!</v>
      </c>
      <c r="N577" s="563"/>
      <c r="O577" s="625" t="e">
        <f t="shared" si="218"/>
        <v>#VALUE!</v>
      </c>
      <c r="P577" s="404"/>
      <c r="Q577" s="623"/>
      <c r="R577" s="623"/>
      <c r="S577" s="623"/>
      <c r="T577" s="439" t="e">
        <f t="shared" si="219"/>
        <v>#VALUE!</v>
      </c>
      <c r="U577" s="404"/>
      <c r="AD577" s="400">
        <f>K577-[25]Blocking1!O577</f>
        <v>0</v>
      </c>
    </row>
    <row r="578" spans="1:30" s="622" customFormat="1">
      <c r="A578" s="480" t="s">
        <v>656</v>
      </c>
      <c r="B578" s="404"/>
      <c r="C578" s="550"/>
      <c r="D578" s="523"/>
      <c r="E578" s="557"/>
      <c r="F578" s="523"/>
      <c r="G578" s="496"/>
      <c r="H578" s="618"/>
      <c r="I578" s="625"/>
      <c r="J578" s="523"/>
      <c r="K578" s="625"/>
      <c r="L578" s="523"/>
      <c r="M578" s="496"/>
      <c r="N578" s="618"/>
      <c r="O578" s="625"/>
      <c r="Q578" s="623"/>
      <c r="R578" s="623"/>
      <c r="S578" s="623"/>
      <c r="T578" s="439"/>
      <c r="AD578" s="400">
        <f>K578-[25]Blocking1!O578</f>
        <v>0</v>
      </c>
    </row>
    <row r="579" spans="1:30" s="404" customFormat="1">
      <c r="A579" s="432" t="s">
        <v>443</v>
      </c>
      <c r="C579" s="550" t="e">
        <f>SUMIF('[25]11'!$B$2:$B$33,59,'[25]11'!$L$2:$L$33)</f>
        <v>#VALUE!</v>
      </c>
      <c r="D579" s="523"/>
      <c r="E579" s="557" t="e">
        <f t="shared" ref="E579:E589" si="222">ROUND(C579*$E$608/$C$608,0)</f>
        <v>#VALUE!</v>
      </c>
      <c r="F579" s="523"/>
      <c r="G579" s="434">
        <f>[25]Blocking1!M579</f>
        <v>48.74</v>
      </c>
      <c r="H579" s="563"/>
      <c r="I579" s="625" t="e">
        <f t="shared" ref="I579:I589" si="223">ROUND(C579*$G579,0)</f>
        <v>#VALUE!</v>
      </c>
      <c r="J579" s="523"/>
      <c r="K579" s="625" t="e">
        <f t="shared" ref="K579:K589" si="224">ROUND(E579*$G579,0)</f>
        <v>#VALUE!</v>
      </c>
      <c r="L579" s="523"/>
      <c r="M579" s="434" t="e">
        <f t="shared" ref="M579:M589" si="225">ROUND(G579*(1+$R$566),2)</f>
        <v>#VALUE!</v>
      </c>
      <c r="N579" s="563"/>
      <c r="O579" s="625" t="e">
        <f t="shared" ref="O579:O589" si="226">ROUND(E579*M579,0)</f>
        <v>#VALUE!</v>
      </c>
      <c r="P579" s="622"/>
      <c r="Q579" s="623"/>
      <c r="R579" s="623"/>
      <c r="S579" s="626"/>
      <c r="T579" s="439" t="e">
        <f t="shared" si="219"/>
        <v>#VALUE!</v>
      </c>
      <c r="U579" s="622"/>
      <c r="AD579" s="400" t="e">
        <f>K579-[25]Blocking1!O579</f>
        <v>#VALUE!</v>
      </c>
    </row>
    <row r="580" spans="1:30" s="622" customFormat="1">
      <c r="A580" s="432" t="s">
        <v>444</v>
      </c>
      <c r="B580" s="404"/>
      <c r="C580" s="550" t="e">
        <f>SUMIF('[25]11'!$B$2:$B$33,63,'[25]11'!$L$2:$L$33)</f>
        <v>#VALUE!</v>
      </c>
      <c r="D580" s="523"/>
      <c r="E580" s="557" t="e">
        <f t="shared" si="222"/>
        <v>#VALUE!</v>
      </c>
      <c r="F580" s="523"/>
      <c r="G580" s="434">
        <f>[25]Blocking1!M580</f>
        <v>40.270000000000003</v>
      </c>
      <c r="H580" s="563"/>
      <c r="I580" s="625" t="e">
        <f t="shared" si="223"/>
        <v>#VALUE!</v>
      </c>
      <c r="J580" s="523"/>
      <c r="K580" s="625" t="e">
        <f t="shared" si="224"/>
        <v>#VALUE!</v>
      </c>
      <c r="L580" s="523"/>
      <c r="M580" s="434" t="e">
        <f t="shared" si="225"/>
        <v>#VALUE!</v>
      </c>
      <c r="N580" s="563"/>
      <c r="O580" s="625" t="e">
        <f t="shared" si="226"/>
        <v>#VALUE!</v>
      </c>
      <c r="Q580" s="623"/>
      <c r="R580" s="623"/>
      <c r="S580" s="623"/>
      <c r="T580" s="439" t="e">
        <f t="shared" si="219"/>
        <v>#VALUE!</v>
      </c>
      <c r="AD580" s="400" t="e">
        <f>K580-[25]Blocking1!O580</f>
        <v>#VALUE!</v>
      </c>
    </row>
    <row r="581" spans="1:30" s="622" customFormat="1">
      <c r="A581" s="432" t="s">
        <v>445</v>
      </c>
      <c r="B581" s="404"/>
      <c r="C581" s="550" t="e">
        <f>SUMIF('[25]11'!$B$2:$B$33,57,'[25]11'!$L$2:$L$33)</f>
        <v>#VALUE!</v>
      </c>
      <c r="D581" s="523"/>
      <c r="E581" s="557" t="e">
        <f t="shared" si="222"/>
        <v>#VALUE!</v>
      </c>
      <c r="F581" s="523"/>
      <c r="G581" s="434">
        <f>[25]Blocking1!M581</f>
        <v>20.13</v>
      </c>
      <c r="H581" s="563"/>
      <c r="I581" s="625" t="e">
        <f t="shared" si="223"/>
        <v>#VALUE!</v>
      </c>
      <c r="J581" s="523"/>
      <c r="K581" s="625" t="e">
        <f t="shared" si="224"/>
        <v>#VALUE!</v>
      </c>
      <c r="L581" s="523"/>
      <c r="M581" s="434" t="e">
        <f t="shared" si="225"/>
        <v>#VALUE!</v>
      </c>
      <c r="N581" s="563"/>
      <c r="O581" s="625" t="e">
        <f t="shared" si="226"/>
        <v>#VALUE!</v>
      </c>
      <c r="Q581" s="626"/>
      <c r="R581" s="626"/>
      <c r="S581" s="623"/>
      <c r="T581" s="439" t="e">
        <f t="shared" si="219"/>
        <v>#VALUE!</v>
      </c>
      <c r="AD581" s="400" t="e">
        <f>K581-[25]Blocking1!O581</f>
        <v>#VALUE!</v>
      </c>
    </row>
    <row r="582" spans="1:30" s="622" customFormat="1">
      <c r="A582" s="432" t="s">
        <v>446</v>
      </c>
      <c r="B582" s="404"/>
      <c r="C582" s="550" t="e">
        <f>SUMIF('[25]11'!$B$2:$B$33,60,'[25]11'!$L$2:$L$33)</f>
        <v>#VALUE!</v>
      </c>
      <c r="D582" s="523"/>
      <c r="E582" s="557" t="e">
        <f t="shared" si="222"/>
        <v>#VALUE!</v>
      </c>
      <c r="F582" s="523"/>
      <c r="G582" s="434">
        <f>[25]Blocking1!M582</f>
        <v>50.65</v>
      </c>
      <c r="H582" s="563"/>
      <c r="I582" s="625" t="e">
        <f t="shared" si="223"/>
        <v>#VALUE!</v>
      </c>
      <c r="J582" s="523"/>
      <c r="K582" s="625" t="e">
        <f t="shared" si="224"/>
        <v>#VALUE!</v>
      </c>
      <c r="L582" s="523"/>
      <c r="M582" s="434" t="e">
        <f t="shared" si="225"/>
        <v>#VALUE!</v>
      </c>
      <c r="N582" s="563"/>
      <c r="O582" s="625" t="e">
        <f t="shared" si="226"/>
        <v>#VALUE!</v>
      </c>
      <c r="P582" s="404"/>
      <c r="Q582" s="623"/>
      <c r="R582" s="623"/>
      <c r="S582" s="626"/>
      <c r="T582" s="439" t="e">
        <f t="shared" si="219"/>
        <v>#VALUE!</v>
      </c>
      <c r="U582" s="404"/>
      <c r="AD582" s="400" t="e">
        <f>K582-[25]Blocking1!O582</f>
        <v>#VALUE!</v>
      </c>
    </row>
    <row r="583" spans="1:30" s="622" customFormat="1">
      <c r="A583" s="432" t="s">
        <v>447</v>
      </c>
      <c r="B583" s="404"/>
      <c r="C583" s="550" t="e">
        <f>SUMIF('[25]11'!$B$2:$B$33,64,'[25]11'!$L$2:$L$33)</f>
        <v>#VALUE!</v>
      </c>
      <c r="D583" s="523"/>
      <c r="E583" s="557" t="e">
        <f t="shared" si="222"/>
        <v>#VALUE!</v>
      </c>
      <c r="F583" s="523"/>
      <c r="G583" s="434">
        <f>[25]Blocking1!M583</f>
        <v>42.17</v>
      </c>
      <c r="H583" s="563"/>
      <c r="I583" s="625" t="e">
        <f t="shared" si="223"/>
        <v>#VALUE!</v>
      </c>
      <c r="J583" s="523"/>
      <c r="K583" s="625" t="e">
        <f t="shared" si="224"/>
        <v>#VALUE!</v>
      </c>
      <c r="L583" s="523"/>
      <c r="M583" s="434" t="e">
        <f t="shared" si="225"/>
        <v>#VALUE!</v>
      </c>
      <c r="N583" s="563"/>
      <c r="O583" s="625" t="e">
        <f t="shared" si="226"/>
        <v>#VALUE!</v>
      </c>
      <c r="Q583" s="623"/>
      <c r="R583" s="623"/>
      <c r="S583" s="623"/>
      <c r="T583" s="439" t="e">
        <f t="shared" si="219"/>
        <v>#VALUE!</v>
      </c>
      <c r="AD583" s="400" t="e">
        <f>K583-[25]Blocking1!O583</f>
        <v>#VALUE!</v>
      </c>
    </row>
    <row r="584" spans="1:30" s="404" customFormat="1">
      <c r="A584" s="432" t="s">
        <v>448</v>
      </c>
      <c r="C584" s="550" t="e">
        <f>SUMIF('[25]11'!$B$2:$B$33,58,'[25]11'!$L$2:$L$33)</f>
        <v>#VALUE!</v>
      </c>
      <c r="D584" s="523"/>
      <c r="E584" s="557" t="e">
        <f t="shared" si="222"/>
        <v>#VALUE!</v>
      </c>
      <c r="F584" s="523"/>
      <c r="G584" s="434">
        <f>[25]Blocking1!M584</f>
        <v>22.13</v>
      </c>
      <c r="H584" s="563"/>
      <c r="I584" s="625" t="e">
        <f t="shared" si="223"/>
        <v>#VALUE!</v>
      </c>
      <c r="J584" s="523"/>
      <c r="K584" s="625" t="e">
        <f t="shared" si="224"/>
        <v>#VALUE!</v>
      </c>
      <c r="L584" s="523"/>
      <c r="M584" s="434" t="e">
        <f t="shared" si="225"/>
        <v>#VALUE!</v>
      </c>
      <c r="N584" s="563"/>
      <c r="O584" s="625" t="e">
        <f t="shared" si="226"/>
        <v>#VALUE!</v>
      </c>
      <c r="P584" s="622"/>
      <c r="Q584" s="626"/>
      <c r="R584" s="626"/>
      <c r="S584" s="623"/>
      <c r="T584" s="439" t="e">
        <f t="shared" si="219"/>
        <v>#VALUE!</v>
      </c>
      <c r="U584" s="622"/>
      <c r="AD584" s="400" t="e">
        <f>K584-[25]Blocking1!O584</f>
        <v>#VALUE!</v>
      </c>
    </row>
    <row r="585" spans="1:30" s="622" customFormat="1">
      <c r="A585" s="432" t="s">
        <v>449</v>
      </c>
      <c r="B585" s="404"/>
      <c r="C585" s="550" t="e">
        <f>SUMIF('[25]11'!$B$2:$B$33,61,'[25]11'!$L$2:$L$33)</f>
        <v>#VALUE!</v>
      </c>
      <c r="D585" s="523"/>
      <c r="E585" s="557" t="e">
        <f t="shared" si="222"/>
        <v>#VALUE!</v>
      </c>
      <c r="F585" s="523"/>
      <c r="G585" s="434">
        <f>[25]Blocking1!M585</f>
        <v>53.69</v>
      </c>
      <c r="H585" s="563"/>
      <c r="I585" s="625" t="e">
        <f t="shared" si="223"/>
        <v>#VALUE!</v>
      </c>
      <c r="J585" s="523"/>
      <c r="K585" s="625" t="e">
        <f t="shared" si="224"/>
        <v>#VALUE!</v>
      </c>
      <c r="L585" s="523"/>
      <c r="M585" s="434" t="e">
        <f t="shared" si="225"/>
        <v>#VALUE!</v>
      </c>
      <c r="N585" s="563"/>
      <c r="O585" s="625" t="e">
        <f t="shared" si="226"/>
        <v>#VALUE!</v>
      </c>
      <c r="P585" s="404"/>
      <c r="Q585" s="623"/>
      <c r="R585" s="623"/>
      <c r="S585" s="626"/>
      <c r="T585" s="439" t="e">
        <f t="shared" si="219"/>
        <v>#VALUE!</v>
      </c>
      <c r="U585" s="404"/>
      <c r="AD585" s="400" t="e">
        <f>K585-[25]Blocking1!O585</f>
        <v>#VALUE!</v>
      </c>
    </row>
    <row r="586" spans="1:30" s="622" customFormat="1">
      <c r="A586" s="432" t="s">
        <v>450</v>
      </c>
      <c r="B586" s="404"/>
      <c r="C586" s="550" t="e">
        <f>SUMIF('[25]11'!$B$2:$B$33,65,'[25]11'!$L$2:$L$33)</f>
        <v>#VALUE!</v>
      </c>
      <c r="D586" s="523"/>
      <c r="E586" s="557" t="e">
        <f t="shared" si="222"/>
        <v>#VALUE!</v>
      </c>
      <c r="F586" s="523"/>
      <c r="G586" s="434">
        <f>[25]Blocking1!M586</f>
        <v>45.2</v>
      </c>
      <c r="H586" s="563"/>
      <c r="I586" s="625" t="e">
        <f t="shared" si="223"/>
        <v>#VALUE!</v>
      </c>
      <c r="J586" s="523"/>
      <c r="K586" s="625" t="e">
        <f t="shared" si="224"/>
        <v>#VALUE!</v>
      </c>
      <c r="L586" s="523"/>
      <c r="M586" s="434" t="e">
        <f t="shared" si="225"/>
        <v>#VALUE!</v>
      </c>
      <c r="N586" s="563"/>
      <c r="O586" s="625" t="e">
        <f t="shared" si="226"/>
        <v>#VALUE!</v>
      </c>
      <c r="Q586" s="623"/>
      <c r="R586" s="623"/>
      <c r="S586" s="623"/>
      <c r="T586" s="439" t="e">
        <f t="shared" si="219"/>
        <v>#VALUE!</v>
      </c>
      <c r="AD586" s="400" t="e">
        <f>K586-[25]Blocking1!O586</f>
        <v>#VALUE!</v>
      </c>
    </row>
    <row r="587" spans="1:30" s="404" customFormat="1">
      <c r="A587" s="432" t="s">
        <v>451</v>
      </c>
      <c r="C587" s="550" t="e">
        <f>SUMIF('[25]11'!$B$2:$B$33,77,'[25]11'!$L$2:$L$33)</f>
        <v>#VALUE!</v>
      </c>
      <c r="D587" s="523"/>
      <c r="E587" s="557" t="e">
        <f t="shared" si="222"/>
        <v>#VALUE!</v>
      </c>
      <c r="F587" s="523"/>
      <c r="G587" s="563">
        <f>[25]Blocking1!M587</f>
        <v>25.78</v>
      </c>
      <c r="H587" s="563"/>
      <c r="I587" s="625" t="e">
        <f t="shared" si="223"/>
        <v>#VALUE!</v>
      </c>
      <c r="J587" s="523"/>
      <c r="K587" s="625" t="e">
        <f t="shared" si="224"/>
        <v>#VALUE!</v>
      </c>
      <c r="L587" s="523"/>
      <c r="M587" s="434" t="e">
        <f t="shared" si="225"/>
        <v>#VALUE!</v>
      </c>
      <c r="N587" s="563"/>
      <c r="O587" s="625" t="e">
        <f t="shared" si="226"/>
        <v>#VALUE!</v>
      </c>
      <c r="P587" s="622"/>
      <c r="Q587" s="626"/>
      <c r="R587" s="626"/>
      <c r="S587" s="623"/>
      <c r="T587" s="439" t="e">
        <f t="shared" si="219"/>
        <v>#VALUE!</v>
      </c>
      <c r="U587" s="622"/>
      <c r="AD587" s="400" t="e">
        <f>K587-[25]Blocking1!O587</f>
        <v>#VALUE!</v>
      </c>
    </row>
    <row r="588" spans="1:30" s="622" customFormat="1">
      <c r="A588" s="432" t="s">
        <v>452</v>
      </c>
      <c r="B588" s="404"/>
      <c r="C588" s="550" t="e">
        <f>SUMIF('[25]11'!$B$2:$B$33,62,'[25]11'!$L$2:$L$33)</f>
        <v>#VALUE!</v>
      </c>
      <c r="D588" s="523"/>
      <c r="E588" s="557" t="e">
        <f t="shared" si="222"/>
        <v>#VALUE!</v>
      </c>
      <c r="F588" s="523"/>
      <c r="G588" s="563">
        <f>[25]Blocking1!M588</f>
        <v>55.33</v>
      </c>
      <c r="H588" s="563"/>
      <c r="I588" s="625" t="e">
        <f t="shared" si="223"/>
        <v>#VALUE!</v>
      </c>
      <c r="J588" s="523"/>
      <c r="K588" s="625" t="e">
        <f t="shared" si="224"/>
        <v>#VALUE!</v>
      </c>
      <c r="L588" s="523"/>
      <c r="M588" s="434" t="e">
        <f t="shared" si="225"/>
        <v>#VALUE!</v>
      </c>
      <c r="N588" s="563"/>
      <c r="O588" s="625" t="e">
        <f t="shared" si="226"/>
        <v>#VALUE!</v>
      </c>
      <c r="P588" s="404"/>
      <c r="Q588" s="623"/>
      <c r="R588" s="623"/>
      <c r="S588" s="623"/>
      <c r="T588" s="439" t="e">
        <f t="shared" si="219"/>
        <v>#VALUE!</v>
      </c>
      <c r="U588" s="404"/>
      <c r="AD588" s="400" t="e">
        <f>K588-[25]Blocking1!O588</f>
        <v>#VALUE!</v>
      </c>
    </row>
    <row r="589" spans="1:30" s="622" customFormat="1">
      <c r="A589" s="432" t="s">
        <v>453</v>
      </c>
      <c r="B589" s="404"/>
      <c r="C589" s="550" t="e">
        <f>SUMIF('[25]11'!$B$2:$B$33,78,'[25]11'!$L$2:$L$33)</f>
        <v>#VALUE!</v>
      </c>
      <c r="D589" s="523"/>
      <c r="E589" s="557" t="e">
        <f t="shared" si="222"/>
        <v>#VALUE!</v>
      </c>
      <c r="F589" s="523"/>
      <c r="G589" s="563">
        <f>[25]Blocking1!M589</f>
        <v>46.86</v>
      </c>
      <c r="H589" s="563"/>
      <c r="I589" s="625" t="e">
        <f t="shared" si="223"/>
        <v>#VALUE!</v>
      </c>
      <c r="J589" s="523"/>
      <c r="K589" s="625" t="e">
        <f t="shared" si="224"/>
        <v>#VALUE!</v>
      </c>
      <c r="L589" s="523"/>
      <c r="M589" s="434" t="e">
        <f t="shared" si="225"/>
        <v>#VALUE!</v>
      </c>
      <c r="N589" s="563"/>
      <c r="O589" s="625" t="e">
        <f t="shared" si="226"/>
        <v>#VALUE!</v>
      </c>
      <c r="Q589" s="623"/>
      <c r="R589" s="623"/>
      <c r="S589" s="623"/>
      <c r="T589" s="439" t="e">
        <f t="shared" si="219"/>
        <v>#VALUE!</v>
      </c>
      <c r="AD589" s="400" t="e">
        <f>K589-[25]Blocking1!O589</f>
        <v>#VALUE!</v>
      </c>
    </row>
    <row r="590" spans="1:30" s="404" customFormat="1">
      <c r="A590" s="480" t="s">
        <v>657</v>
      </c>
      <c r="C590" s="517"/>
      <c r="D590" s="523"/>
      <c r="E590" s="500"/>
      <c r="F590" s="523"/>
      <c r="G590" s="563"/>
      <c r="H590" s="563"/>
      <c r="I590" s="624"/>
      <c r="J590" s="523"/>
      <c r="K590" s="624"/>
      <c r="L590" s="523"/>
      <c r="M590" s="563"/>
      <c r="N590" s="563"/>
      <c r="O590" s="624"/>
      <c r="P590" s="622"/>
      <c r="Q590" s="623"/>
      <c r="R590" s="623"/>
      <c r="S590" s="623"/>
      <c r="T590" s="622"/>
      <c r="U590" s="622"/>
      <c r="AD590" s="400">
        <f>K590-[25]Blocking1!O590</f>
        <v>0</v>
      </c>
    </row>
    <row r="591" spans="1:30" s="622" customFormat="1">
      <c r="A591" s="432" t="s">
        <v>454</v>
      </c>
      <c r="B591" s="404"/>
      <c r="C591" s="550" t="e">
        <f>SUMIF('[25]11'!$B$2:$B$33,66,'[25]11'!$L$2:$L$33)</f>
        <v>#VALUE!</v>
      </c>
      <c r="D591" s="523"/>
      <c r="E591" s="557" t="e">
        <f>ROUND(C591*$E$608/$C$608,0)</f>
        <v>#VALUE!</v>
      </c>
      <c r="F591" s="523"/>
      <c r="G591" s="434">
        <f>[25]Blocking1!M591</f>
        <v>11.09</v>
      </c>
      <c r="H591" s="563"/>
      <c r="I591" s="625" t="e">
        <f>ROUND(C591*$G591,0)</f>
        <v>#VALUE!</v>
      </c>
      <c r="J591" s="523"/>
      <c r="K591" s="625" t="e">
        <f>ROUND(E591*$G591,0)</f>
        <v>#VALUE!</v>
      </c>
      <c r="L591" s="523"/>
      <c r="M591" s="434" t="e">
        <f>ROUND(G591*(1+$R$566),2)</f>
        <v>#VALUE!</v>
      </c>
      <c r="N591" s="563"/>
      <c r="O591" s="625" t="e">
        <f>ROUND(E591*M591,0)</f>
        <v>#VALUE!</v>
      </c>
      <c r="Q591" s="623"/>
      <c r="R591" s="623"/>
      <c r="S591" s="623"/>
      <c r="T591" s="439" t="e">
        <f t="shared" ref="T591:T595" si="227">M591/G591-1</f>
        <v>#VALUE!</v>
      </c>
      <c r="AD591" s="400" t="e">
        <f>K591-[25]Blocking1!O591</f>
        <v>#VALUE!</v>
      </c>
    </row>
    <row r="592" spans="1:30" s="622" customFormat="1">
      <c r="A592" s="432" t="s">
        <v>370</v>
      </c>
      <c r="B592" s="404"/>
      <c r="C592" s="550" t="e">
        <f>SUMIF('[25]11'!$B$2:$B$33,67,'[25]11'!$L$2:$L$33)</f>
        <v>#VALUE!</v>
      </c>
      <c r="D592" s="523"/>
      <c r="E592" s="557" t="e">
        <f>ROUND(C592*$E$608/$C$608,0)</f>
        <v>#VALUE!</v>
      </c>
      <c r="F592" s="523"/>
      <c r="G592" s="434">
        <f>[25]Blocking1!M592</f>
        <v>13.83</v>
      </c>
      <c r="H592" s="563"/>
      <c r="I592" s="625" t="e">
        <f>ROUND(C592*$G592,0)</f>
        <v>#VALUE!</v>
      </c>
      <c r="J592" s="523"/>
      <c r="K592" s="625" t="e">
        <f>ROUND(E592*$G592,0)</f>
        <v>#VALUE!</v>
      </c>
      <c r="L592" s="523"/>
      <c r="M592" s="434" t="e">
        <f>ROUND(G592*(1+$R$566),2)</f>
        <v>#VALUE!</v>
      </c>
      <c r="N592" s="563"/>
      <c r="O592" s="625" t="e">
        <f>ROUND(E592*M592,0)</f>
        <v>#VALUE!</v>
      </c>
      <c r="Q592" s="623"/>
      <c r="R592" s="623"/>
      <c r="S592" s="623"/>
      <c r="T592" s="439" t="e">
        <f t="shared" si="227"/>
        <v>#VALUE!</v>
      </c>
      <c r="AD592" s="400" t="e">
        <f>K592-[25]Blocking1!O592</f>
        <v>#VALUE!</v>
      </c>
    </row>
    <row r="593" spans="1:30" s="622" customFormat="1">
      <c r="A593" s="432" t="s">
        <v>455</v>
      </c>
      <c r="B593" s="404"/>
      <c r="C593" s="550" t="e">
        <f>SUMIF('[25]11'!$B$2:$B$33,68,'[25]11'!$L$2:$L$33)</f>
        <v>#VALUE!</v>
      </c>
      <c r="D593" s="523"/>
      <c r="E593" s="557" t="e">
        <f>ROUND(C593*$E$608/$C$608,0)</f>
        <v>#VALUE!</v>
      </c>
      <c r="F593" s="523"/>
      <c r="G593" s="434">
        <f>[25]Blocking1!M593</f>
        <v>19.399999999999999</v>
      </c>
      <c r="H593" s="563"/>
      <c r="I593" s="625" t="e">
        <f>ROUND(C593*$G593,0)</f>
        <v>#VALUE!</v>
      </c>
      <c r="J593" s="523"/>
      <c r="K593" s="625" t="e">
        <f>ROUND(E593*$G593,0)</f>
        <v>#VALUE!</v>
      </c>
      <c r="L593" s="523"/>
      <c r="M593" s="434" t="e">
        <f>ROUND(G593*(1+$R$566),2)</f>
        <v>#VALUE!</v>
      </c>
      <c r="N593" s="563"/>
      <c r="O593" s="625" t="e">
        <f>ROUND(E593*M593,0)</f>
        <v>#VALUE!</v>
      </c>
      <c r="Q593" s="623"/>
      <c r="R593" s="623"/>
      <c r="S593" s="623"/>
      <c r="T593" s="439" t="e">
        <f t="shared" si="227"/>
        <v>#VALUE!</v>
      </c>
      <c r="AD593" s="400" t="e">
        <f>K593-[25]Blocking1!O593</f>
        <v>#VALUE!</v>
      </c>
    </row>
    <row r="594" spans="1:30" s="622" customFormat="1">
      <c r="A594" s="432" t="s">
        <v>456</v>
      </c>
      <c r="B594" s="404"/>
      <c r="C594" s="550">
        <v>0</v>
      </c>
      <c r="D594" s="523"/>
      <c r="E594" s="557">
        <f>ROUND(C594*$E$608/$C$608,0)</f>
        <v>0</v>
      </c>
      <c r="F594" s="523"/>
      <c r="G594" s="434">
        <f>[25]Blocking1!M594</f>
        <v>17.46</v>
      </c>
      <c r="H594" s="563"/>
      <c r="I594" s="625">
        <f>ROUND(C594*$G594,0)</f>
        <v>0</v>
      </c>
      <c r="J594" s="523"/>
      <c r="K594" s="625">
        <f>ROUND(E594*$G594,0)</f>
        <v>0</v>
      </c>
      <c r="L594" s="523"/>
      <c r="M594" s="434" t="e">
        <f>ROUND(G594*(1+$R$566),2)</f>
        <v>#VALUE!</v>
      </c>
      <c r="N594" s="563"/>
      <c r="O594" s="625" t="e">
        <f>ROUND(E594*M594,0)</f>
        <v>#VALUE!</v>
      </c>
      <c r="Q594" s="623"/>
      <c r="R594" s="623"/>
      <c r="S594" s="623"/>
      <c r="T594" s="439" t="e">
        <f t="shared" si="227"/>
        <v>#VALUE!</v>
      </c>
      <c r="AD594" s="400">
        <f>K594-[25]Blocking1!O594</f>
        <v>0</v>
      </c>
    </row>
    <row r="595" spans="1:30" s="622" customFormat="1">
      <c r="A595" s="432" t="s">
        <v>372</v>
      </c>
      <c r="B595" s="404"/>
      <c r="C595" s="550" t="e">
        <f>SUMIF('[25]11'!$B$2:$B$33,69,'[25]11'!$L$2:$L$33)</f>
        <v>#VALUE!</v>
      </c>
      <c r="D595" s="523"/>
      <c r="E595" s="557" t="e">
        <f>ROUND(C595*$E$608/$C$608,0)</f>
        <v>#VALUE!</v>
      </c>
      <c r="F595" s="523"/>
      <c r="G595" s="434">
        <f>[25]Blocking1!M595</f>
        <v>24.43</v>
      </c>
      <c r="H595" s="563"/>
      <c r="I595" s="625" t="e">
        <f>ROUND(C595*$G595,0)</f>
        <v>#VALUE!</v>
      </c>
      <c r="J595" s="523"/>
      <c r="K595" s="625" t="e">
        <f>ROUND(E595*$G595,0)</f>
        <v>#VALUE!</v>
      </c>
      <c r="L595" s="523"/>
      <c r="M595" s="434" t="e">
        <f>ROUND(G595*(1+$R$566),2)</f>
        <v>#VALUE!</v>
      </c>
      <c r="N595" s="563"/>
      <c r="O595" s="625" t="e">
        <f>ROUND(E595*M595,0)</f>
        <v>#VALUE!</v>
      </c>
      <c r="Q595" s="623"/>
      <c r="R595" s="623"/>
      <c r="S595" s="623"/>
      <c r="T595" s="439" t="e">
        <f t="shared" si="227"/>
        <v>#VALUE!</v>
      </c>
      <c r="AD595" s="400" t="e">
        <f>K595-[25]Blocking1!O595</f>
        <v>#VALUE!</v>
      </c>
    </row>
    <row r="596" spans="1:30" s="622" customFormat="1">
      <c r="A596" s="480" t="s">
        <v>658</v>
      </c>
      <c r="B596" s="404"/>
      <c r="C596" s="550"/>
      <c r="D596" s="523"/>
      <c r="E596" s="557"/>
      <c r="F596" s="523"/>
      <c r="G596" s="404"/>
      <c r="H596" s="523"/>
      <c r="I596" s="625"/>
      <c r="J596" s="523"/>
      <c r="K596" s="625"/>
      <c r="L596" s="523"/>
      <c r="M596" s="404"/>
      <c r="N596" s="523"/>
      <c r="O596" s="625"/>
      <c r="Q596" s="623"/>
      <c r="R596" s="623"/>
      <c r="S596" s="623"/>
      <c r="AD596" s="400">
        <f>K596-[25]Blocking1!O596</f>
        <v>0</v>
      </c>
    </row>
    <row r="597" spans="1:30" s="622" customFormat="1">
      <c r="A597" s="432" t="s">
        <v>457</v>
      </c>
      <c r="B597" s="404"/>
      <c r="C597" s="550" t="e">
        <f>SUMIF('[25]11'!$B$2:$B$33,70,'[25]11'!$L$2:$L$33)</f>
        <v>#VALUE!</v>
      </c>
      <c r="D597" s="523"/>
      <c r="E597" s="557" t="e">
        <f t="shared" ref="E597:E602" si="228">ROUND(C597*$E$608/$C$608,0)</f>
        <v>#VALUE!</v>
      </c>
      <c r="F597" s="523"/>
      <c r="G597" s="434">
        <f>[25]Blocking1!M597</f>
        <v>11.99</v>
      </c>
      <c r="H597" s="563"/>
      <c r="I597" s="625" t="e">
        <f t="shared" ref="I597:I602" si="229">ROUND(C597*$G597,0)</f>
        <v>#VALUE!</v>
      </c>
      <c r="J597" s="523"/>
      <c r="K597" s="625" t="e">
        <f t="shared" ref="K597:K602" si="230">ROUND(E597*$G597,0)</f>
        <v>#VALUE!</v>
      </c>
      <c r="L597" s="523"/>
      <c r="M597" s="434" t="e">
        <f t="shared" ref="M597:M602" si="231">ROUND(G597*(1+$R$566),2)</f>
        <v>#VALUE!</v>
      </c>
      <c r="N597" s="563"/>
      <c r="O597" s="625" t="e">
        <f t="shared" ref="O597:O602" si="232">ROUND(E597*M597,0)</f>
        <v>#VALUE!</v>
      </c>
      <c r="Q597" s="623"/>
      <c r="R597" s="623"/>
      <c r="S597" s="623"/>
      <c r="T597" s="439" t="e">
        <f t="shared" ref="T597:T602" si="233">M597/G597-1</f>
        <v>#VALUE!</v>
      </c>
      <c r="AD597" s="400" t="e">
        <f>K597-[25]Blocking1!O597</f>
        <v>#VALUE!</v>
      </c>
    </row>
    <row r="598" spans="1:30" s="622" customFormat="1">
      <c r="A598" s="432" t="s">
        <v>458</v>
      </c>
      <c r="B598" s="404"/>
      <c r="C598" s="550" t="e">
        <f>SUMIF('[25]11'!$B$2:$B$33,71,'[25]11'!$L$2:$L$33)</f>
        <v>#VALUE!</v>
      </c>
      <c r="D598" s="523"/>
      <c r="E598" s="557" t="e">
        <f t="shared" si="228"/>
        <v>#VALUE!</v>
      </c>
      <c r="F598" s="523"/>
      <c r="G598" s="434">
        <f>[25]Blocking1!M598</f>
        <v>4.24</v>
      </c>
      <c r="H598" s="563"/>
      <c r="I598" s="625" t="e">
        <f t="shared" si="229"/>
        <v>#VALUE!</v>
      </c>
      <c r="J598" s="523"/>
      <c r="K598" s="625" t="e">
        <f t="shared" si="230"/>
        <v>#VALUE!</v>
      </c>
      <c r="L598" s="523"/>
      <c r="M598" s="434" t="e">
        <f t="shared" si="231"/>
        <v>#VALUE!</v>
      </c>
      <c r="N598" s="563"/>
      <c r="O598" s="625" t="e">
        <f t="shared" si="232"/>
        <v>#VALUE!</v>
      </c>
      <c r="Q598" s="623"/>
      <c r="R598" s="623"/>
      <c r="S598" s="623"/>
      <c r="T598" s="439" t="e">
        <f t="shared" si="233"/>
        <v>#VALUE!</v>
      </c>
      <c r="AD598" s="400" t="e">
        <f>K598-[25]Blocking1!O598</f>
        <v>#VALUE!</v>
      </c>
    </row>
    <row r="599" spans="1:30" s="622" customFormat="1">
      <c r="A599" s="432" t="s">
        <v>459</v>
      </c>
      <c r="B599" s="404"/>
      <c r="C599" s="550" t="e">
        <f>SUMIF('[25]11'!$B$2:$B$33,72,'[25]11'!$L$2:$L$33)</f>
        <v>#VALUE!</v>
      </c>
      <c r="D599" s="523"/>
      <c r="E599" s="557" t="e">
        <f t="shared" si="228"/>
        <v>#VALUE!</v>
      </c>
      <c r="F599" s="523"/>
      <c r="G599" s="434">
        <f>[25]Blocking1!M599</f>
        <v>17.11</v>
      </c>
      <c r="H599" s="563"/>
      <c r="I599" s="625" t="e">
        <f t="shared" si="229"/>
        <v>#VALUE!</v>
      </c>
      <c r="J599" s="523"/>
      <c r="K599" s="625" t="e">
        <f t="shared" si="230"/>
        <v>#VALUE!</v>
      </c>
      <c r="L599" s="523"/>
      <c r="M599" s="434" t="e">
        <f t="shared" si="231"/>
        <v>#VALUE!</v>
      </c>
      <c r="N599" s="563"/>
      <c r="O599" s="625" t="e">
        <f t="shared" si="232"/>
        <v>#VALUE!</v>
      </c>
      <c r="Q599" s="623"/>
      <c r="R599" s="623"/>
      <c r="S599" s="623"/>
      <c r="T599" s="439" t="e">
        <f t="shared" si="233"/>
        <v>#VALUE!</v>
      </c>
      <c r="AD599" s="400" t="e">
        <f>K599-[25]Blocking1!O599</f>
        <v>#VALUE!</v>
      </c>
    </row>
    <row r="600" spans="1:30" s="622" customFormat="1">
      <c r="A600" s="432" t="s">
        <v>454</v>
      </c>
      <c r="B600" s="404"/>
      <c r="C600" s="550" t="e">
        <f>SUMIF('[25]11'!$B$2:$B$33,73,'[25]11'!$L$2:$L$33)</f>
        <v>#VALUE!</v>
      </c>
      <c r="D600" s="523"/>
      <c r="E600" s="557" t="e">
        <f t="shared" si="228"/>
        <v>#VALUE!</v>
      </c>
      <c r="F600" s="523"/>
      <c r="G600" s="434">
        <f>[25]Blocking1!M600</f>
        <v>20.43</v>
      </c>
      <c r="H600" s="563"/>
      <c r="I600" s="625" t="e">
        <f t="shared" si="229"/>
        <v>#VALUE!</v>
      </c>
      <c r="J600" s="523"/>
      <c r="K600" s="625" t="e">
        <f t="shared" si="230"/>
        <v>#VALUE!</v>
      </c>
      <c r="L600" s="523"/>
      <c r="M600" s="434" t="e">
        <f t="shared" si="231"/>
        <v>#VALUE!</v>
      </c>
      <c r="N600" s="563"/>
      <c r="O600" s="625" t="e">
        <f t="shared" si="232"/>
        <v>#VALUE!</v>
      </c>
      <c r="Q600" s="623"/>
      <c r="R600" s="623"/>
      <c r="S600" s="623"/>
      <c r="T600" s="439" t="e">
        <f t="shared" si="233"/>
        <v>#VALUE!</v>
      </c>
      <c r="AD600" s="400" t="e">
        <f>K600-[25]Blocking1!O600</f>
        <v>#VALUE!</v>
      </c>
    </row>
    <row r="601" spans="1:30" s="622" customFormat="1">
      <c r="A601" s="432" t="s">
        <v>460</v>
      </c>
      <c r="B601" s="404"/>
      <c r="C601" s="550" t="e">
        <f>SUMIF('[25]11'!$B$2:$B$33,74,'[25]11'!$L$2:$L$33)</f>
        <v>#VALUE!</v>
      </c>
      <c r="D601" s="523"/>
      <c r="E601" s="557" t="e">
        <f t="shared" si="228"/>
        <v>#VALUE!</v>
      </c>
      <c r="F601" s="523"/>
      <c r="G601" s="434">
        <f>[25]Blocking1!M601</f>
        <v>23.82</v>
      </c>
      <c r="H601" s="563"/>
      <c r="I601" s="625" t="e">
        <f t="shared" si="229"/>
        <v>#VALUE!</v>
      </c>
      <c r="J601" s="523"/>
      <c r="K601" s="625" t="e">
        <f t="shared" si="230"/>
        <v>#VALUE!</v>
      </c>
      <c r="L601" s="523"/>
      <c r="M601" s="434" t="e">
        <f t="shared" si="231"/>
        <v>#VALUE!</v>
      </c>
      <c r="N601" s="563"/>
      <c r="O601" s="625" t="e">
        <f t="shared" si="232"/>
        <v>#VALUE!</v>
      </c>
      <c r="Q601" s="623"/>
      <c r="R601" s="623"/>
      <c r="S601" s="623"/>
      <c r="T601" s="439" t="e">
        <f t="shared" si="233"/>
        <v>#VALUE!</v>
      </c>
      <c r="AD601" s="400" t="e">
        <f>K601-[25]Blocking1!O601</f>
        <v>#VALUE!</v>
      </c>
    </row>
    <row r="602" spans="1:30" s="622" customFormat="1">
      <c r="A602" s="432" t="s">
        <v>455</v>
      </c>
      <c r="B602" s="404"/>
      <c r="C602" s="550" t="e">
        <f>SUMIF('[25]11'!$B$2:$B$33,75,'[25]11'!$L$2:$L$33)</f>
        <v>#VALUE!</v>
      </c>
      <c r="D602" s="523"/>
      <c r="E602" s="557" t="e">
        <f t="shared" si="228"/>
        <v>#VALUE!</v>
      </c>
      <c r="F602" s="523"/>
      <c r="G602" s="434">
        <f>[25]Blocking1!M602</f>
        <v>31.47</v>
      </c>
      <c r="H602" s="563"/>
      <c r="I602" s="625" t="e">
        <f t="shared" si="229"/>
        <v>#VALUE!</v>
      </c>
      <c r="J602" s="523"/>
      <c r="K602" s="625" t="e">
        <f t="shared" si="230"/>
        <v>#VALUE!</v>
      </c>
      <c r="L602" s="523"/>
      <c r="M602" s="434" t="e">
        <f t="shared" si="231"/>
        <v>#VALUE!</v>
      </c>
      <c r="N602" s="563"/>
      <c r="O602" s="625" t="e">
        <f t="shared" si="232"/>
        <v>#VALUE!</v>
      </c>
      <c r="Q602" s="623"/>
      <c r="R602" s="623"/>
      <c r="S602" s="623"/>
      <c r="T602" s="439" t="e">
        <f t="shared" si="233"/>
        <v>#VALUE!</v>
      </c>
      <c r="AD602" s="400" t="e">
        <f>K602-[25]Blocking1!O602</f>
        <v>#VALUE!</v>
      </c>
    </row>
    <row r="603" spans="1:30" s="622" customFormat="1">
      <c r="A603" s="480" t="s">
        <v>659</v>
      </c>
      <c r="B603" s="404"/>
      <c r="C603" s="517"/>
      <c r="D603" s="523"/>
      <c r="E603" s="500"/>
      <c r="F603" s="523"/>
      <c r="G603" s="563"/>
      <c r="H603" s="563"/>
      <c r="I603" s="624"/>
      <c r="J603" s="523"/>
      <c r="K603" s="624"/>
      <c r="L603" s="523"/>
      <c r="M603" s="563"/>
      <c r="N603" s="563"/>
      <c r="O603" s="624"/>
      <c r="Q603" s="623"/>
      <c r="R603" s="623"/>
      <c r="S603" s="623"/>
      <c r="AD603" s="400">
        <f>K603-[25]Blocking1!O603</f>
        <v>0</v>
      </c>
    </row>
    <row r="604" spans="1:30" s="622" customFormat="1">
      <c r="A604" s="432" t="s">
        <v>461</v>
      </c>
      <c r="B604" s="404"/>
      <c r="C604" s="550" t="e">
        <f>SUMIF('[25]11'!$B$2:$B$33,76,'[25]11'!$L$2:$L$33)</f>
        <v>#VALUE!</v>
      </c>
      <c r="D604" s="523"/>
      <c r="E604" s="557" t="e">
        <f>ROUND(C604*$E$608/$C$608,0)</f>
        <v>#VALUE!</v>
      </c>
      <c r="F604" s="523"/>
      <c r="G604" s="434">
        <f>[25]Blocking1!M604</f>
        <v>27.85</v>
      </c>
      <c r="H604" s="563"/>
      <c r="I604" s="625" t="e">
        <f>ROUND(C604*$G604,0)</f>
        <v>#VALUE!</v>
      </c>
      <c r="J604" s="523"/>
      <c r="K604" s="625" t="e">
        <f>ROUND(E604*$G604,0)</f>
        <v>#VALUE!</v>
      </c>
      <c r="L604" s="523"/>
      <c r="M604" s="434" t="e">
        <f>ROUND(G604*(1+$R$566),2)</f>
        <v>#VALUE!</v>
      </c>
      <c r="N604" s="563"/>
      <c r="O604" s="625" t="e">
        <f>ROUND(E604*M604,0)</f>
        <v>#VALUE!</v>
      </c>
      <c r="Q604" s="623"/>
      <c r="R604" s="623"/>
      <c r="S604" s="623"/>
      <c r="T604" s="439" t="e">
        <f t="shared" ref="T604" si="234">M604/G604-1</f>
        <v>#VALUE!</v>
      </c>
      <c r="AD604" s="400" t="e">
        <f>K604-[25]Blocking1!O604</f>
        <v>#VALUE!</v>
      </c>
    </row>
    <row r="605" spans="1:30" s="622" customFormat="1">
      <c r="A605" s="480" t="s">
        <v>462</v>
      </c>
      <c r="B605" s="404"/>
      <c r="C605" s="550"/>
      <c r="D605" s="523"/>
      <c r="E605" s="557"/>
      <c r="F605" s="523"/>
      <c r="G605" s="434"/>
      <c r="H605" s="563"/>
      <c r="I605" s="625"/>
      <c r="J605" s="523"/>
      <c r="K605" s="625"/>
      <c r="L605" s="523"/>
      <c r="M605" s="434"/>
      <c r="N605" s="563"/>
      <c r="O605" s="625"/>
      <c r="Q605" s="623"/>
      <c r="R605" s="623"/>
      <c r="S605" s="623"/>
      <c r="AD605" s="400">
        <f>K605-[25]Blocking1!O605</f>
        <v>0</v>
      </c>
    </row>
    <row r="606" spans="1:30" s="622" customFormat="1">
      <c r="A606" s="432" t="s">
        <v>463</v>
      </c>
      <c r="B606" s="404"/>
      <c r="C606" s="550" t="e">
        <f>SUMIF('[25]11'!$B$2:$B$33,50,'[25]11'!$L$2:$L$33)</f>
        <v>#VALUE!</v>
      </c>
      <c r="D606" s="523"/>
      <c r="E606" s="557" t="e">
        <f>ROUND(C606*$E$608/$C$608,0)</f>
        <v>#VALUE!</v>
      </c>
      <c r="F606" s="523"/>
      <c r="G606" s="434">
        <f>[25]Blocking1!M606</f>
        <v>39.04</v>
      </c>
      <c r="H606" s="563"/>
      <c r="I606" s="625" t="e">
        <f>ROUND(C606*$G606,0)</f>
        <v>#VALUE!</v>
      </c>
      <c r="J606" s="523"/>
      <c r="K606" s="625" t="e">
        <f>ROUND(E606*$G606,0)</f>
        <v>#VALUE!</v>
      </c>
      <c r="L606" s="523"/>
      <c r="M606" s="434" t="e">
        <f>ROUND(G606*(1+$R$566),2)</f>
        <v>#VALUE!</v>
      </c>
      <c r="N606" s="563"/>
      <c r="O606" s="625" t="e">
        <f>ROUND(E606*M606,0)</f>
        <v>#VALUE!</v>
      </c>
      <c r="Q606" s="623"/>
      <c r="R606" s="623"/>
      <c r="S606" s="623"/>
      <c r="T606" s="439" t="e">
        <f t="shared" ref="T606" si="235">M606/G606-1</f>
        <v>#VALUE!</v>
      </c>
      <c r="AD606" s="400" t="e">
        <f>K606-[25]Blocking1!O606</f>
        <v>#VALUE!</v>
      </c>
    </row>
    <row r="607" spans="1:30" s="622" customFormat="1">
      <c r="A607" s="432" t="s">
        <v>464</v>
      </c>
      <c r="B607" s="404"/>
      <c r="C607" s="627" t="e">
        <f>SUM(C563:C606)</f>
        <v>#VALUE!</v>
      </c>
      <c r="D607" s="523"/>
      <c r="E607" s="627" t="e">
        <f>SUM(E563:E606)</f>
        <v>#VALUE!</v>
      </c>
      <c r="F607" s="523"/>
      <c r="G607" s="616"/>
      <c r="H607" s="523"/>
      <c r="I607" s="628" t="e">
        <f>SUM(I563:I606)</f>
        <v>#VALUE!</v>
      </c>
      <c r="J607" s="523"/>
      <c r="K607" s="628" t="e">
        <f>SUM(K563:K606)</f>
        <v>#VALUE!</v>
      </c>
      <c r="L607" s="523"/>
      <c r="M607" s="616"/>
      <c r="N607" s="523"/>
      <c r="O607" s="628" t="e">
        <f>SUM(O563:O606)</f>
        <v>#VALUE!</v>
      </c>
      <c r="P607" s="629"/>
      <c r="Q607" s="623"/>
      <c r="R607" s="623"/>
      <c r="S607" s="623"/>
      <c r="AD607" s="400" t="e">
        <f>K607-[25]Blocking1!O607</f>
        <v>#VALUE!</v>
      </c>
    </row>
    <row r="608" spans="1:30" s="622" customFormat="1" ht="16.5" thickBot="1">
      <c r="A608" s="432" t="s">
        <v>395</v>
      </c>
      <c r="B608" s="404"/>
      <c r="C608" s="630">
        <f>'[25]11'!M35</f>
        <v>16436738.855048295</v>
      </c>
      <c r="D608" s="523"/>
      <c r="E608" s="630">
        <f>[25]Energy!P57</f>
        <v>16496197.391013095</v>
      </c>
      <c r="F608" s="523"/>
      <c r="G608" s="532"/>
      <c r="H608" s="523"/>
      <c r="I608" s="532"/>
      <c r="J608" s="523"/>
      <c r="K608" s="532"/>
      <c r="L608" s="523"/>
      <c r="M608" s="532"/>
      <c r="N608" s="523"/>
      <c r="O608" s="532"/>
      <c r="Q608" s="623"/>
      <c r="R608" s="623"/>
      <c r="S608" s="623"/>
      <c r="AD608" s="400">
        <f>K608-[25]Blocking1!O608</f>
        <v>0</v>
      </c>
    </row>
    <row r="609" spans="1:30" s="622" customFormat="1" ht="16.5" thickTop="1">
      <c r="A609" s="432" t="s">
        <v>173</v>
      </c>
      <c r="B609" s="404"/>
      <c r="C609" s="631">
        <f>'[25]Table 2'!F118</f>
        <v>816.66666666666697</v>
      </c>
      <c r="D609" s="523"/>
      <c r="E609" s="631">
        <f>[25]Bill!P57/12</f>
        <v>809.41666666666663</v>
      </c>
      <c r="F609" s="523"/>
      <c r="G609" s="404"/>
      <c r="H609" s="523"/>
      <c r="I609" s="404"/>
      <c r="J609" s="523"/>
      <c r="K609" s="404"/>
      <c r="L609" s="523"/>
      <c r="M609" s="404"/>
      <c r="N609" s="523"/>
      <c r="O609" s="404"/>
      <c r="Q609" s="623"/>
      <c r="R609" s="623"/>
      <c r="S609" s="623"/>
      <c r="AD609" s="400">
        <f>K609-[25]Blocking1!O609</f>
        <v>0</v>
      </c>
    </row>
    <row r="610" spans="1:30" s="622" customFormat="1">
      <c r="A610" s="432" t="s">
        <v>190</v>
      </c>
      <c r="B610" s="404"/>
      <c r="C610" s="632">
        <f>'[25]Table 2'!J118</f>
        <v>-154687</v>
      </c>
      <c r="D610" s="523"/>
      <c r="E610" s="632">
        <v>0</v>
      </c>
      <c r="F610" s="523"/>
      <c r="G610" s="616"/>
      <c r="H610" s="523"/>
      <c r="I610" s="628">
        <f>'[25]Table 3'!F118</f>
        <v>-51241</v>
      </c>
      <c r="J610" s="523"/>
      <c r="K610" s="628">
        <v>0</v>
      </c>
      <c r="L610" s="523"/>
      <c r="M610" s="616"/>
      <c r="N610" s="523"/>
      <c r="O610" s="628">
        <v>0</v>
      </c>
      <c r="Q610" s="623"/>
      <c r="R610" s="623"/>
      <c r="S610" s="623"/>
      <c r="AD610" s="400">
        <f>K610-[25]Blocking1!O610</f>
        <v>0</v>
      </c>
    </row>
    <row r="611" spans="1:30" s="622" customFormat="1" ht="16.5" thickBot="1">
      <c r="A611" s="432" t="s">
        <v>172</v>
      </c>
      <c r="B611" s="404"/>
      <c r="C611" s="633">
        <f>C610+C608</f>
        <v>16282051.855048295</v>
      </c>
      <c r="D611" s="523"/>
      <c r="E611" s="633">
        <f>E610+E608</f>
        <v>16496197.391013095</v>
      </c>
      <c r="F611" s="523"/>
      <c r="G611" s="634"/>
      <c r="H611" s="635"/>
      <c r="I611" s="634" t="e">
        <f>I610+I607</f>
        <v>#VALUE!</v>
      </c>
      <c r="J611" s="523"/>
      <c r="K611" s="634" t="e">
        <f>K610+K607</f>
        <v>#VALUE!</v>
      </c>
      <c r="L611" s="523"/>
      <c r="M611" s="634"/>
      <c r="N611" s="635"/>
      <c r="O611" s="634" t="e">
        <f>O610+O607</f>
        <v>#VALUE!</v>
      </c>
      <c r="Q611" s="416" t="s">
        <v>601</v>
      </c>
      <c r="R611" s="518" t="e">
        <f>O611/K611-1</f>
        <v>#VALUE!</v>
      </c>
      <c r="S611" s="623"/>
      <c r="AD611" s="400" t="e">
        <f>K611-[25]Blocking1!O611</f>
        <v>#VALUE!</v>
      </c>
    </row>
    <row r="612" spans="1:30" s="622" customFormat="1" ht="16.5" thickTop="1">
      <c r="A612" s="404"/>
      <c r="B612" s="404"/>
      <c r="C612" s="557"/>
      <c r="D612" s="523"/>
      <c r="E612" s="557"/>
      <c r="F612" s="523"/>
      <c r="G612" s="404"/>
      <c r="H612" s="523"/>
      <c r="I612" s="404"/>
      <c r="J612" s="523"/>
      <c r="K612" s="404"/>
      <c r="L612" s="523"/>
      <c r="M612" s="404"/>
      <c r="N612" s="523"/>
      <c r="O612" s="404"/>
      <c r="Q612" s="623"/>
      <c r="R612" s="623"/>
      <c r="S612" s="623"/>
      <c r="AD612" s="400">
        <f>K612-[25]Blocking1!O612</f>
        <v>0</v>
      </c>
    </row>
    <row r="613" spans="1:30" s="622" customFormat="1">
      <c r="A613" s="428" t="s">
        <v>465</v>
      </c>
      <c r="B613" s="404"/>
      <c r="C613" s="557"/>
      <c r="D613" s="523"/>
      <c r="E613" s="557"/>
      <c r="F613" s="523"/>
      <c r="G613" s="404"/>
      <c r="H613" s="523"/>
      <c r="I613" s="404"/>
      <c r="J613" s="523"/>
      <c r="K613" s="404"/>
      <c r="L613" s="523"/>
      <c r="M613" s="404"/>
      <c r="N613" s="523"/>
      <c r="O613" s="404"/>
      <c r="Q613" s="623"/>
      <c r="R613" s="623"/>
      <c r="S613" s="623"/>
      <c r="AD613" s="400">
        <f>K613-[25]Blocking1!O613</f>
        <v>0</v>
      </c>
    </row>
    <row r="614" spans="1:30" s="622" customFormat="1">
      <c r="A614" s="636" t="s">
        <v>466</v>
      </c>
      <c r="B614" s="404"/>
      <c r="C614" s="557"/>
      <c r="D614" s="523"/>
      <c r="E614" s="557"/>
      <c r="F614" s="523"/>
      <c r="G614" s="404"/>
      <c r="H614" s="523"/>
      <c r="I614" s="625"/>
      <c r="J614" s="523"/>
      <c r="K614" s="625"/>
      <c r="L614" s="523"/>
      <c r="M614" s="404"/>
      <c r="N614" s="523"/>
      <c r="O614" s="625"/>
      <c r="S614" s="623"/>
      <c r="AD614" s="400">
        <f>K614-[25]Blocking1!O614</f>
        <v>0</v>
      </c>
    </row>
    <row r="615" spans="1:30" s="622" customFormat="1">
      <c r="A615" s="480" t="s">
        <v>467</v>
      </c>
      <c r="B615" s="404"/>
      <c r="C615" s="557"/>
      <c r="D615" s="523"/>
      <c r="E615" s="557"/>
      <c r="F615" s="523"/>
      <c r="G615" s="404"/>
      <c r="H615" s="523"/>
      <c r="I615" s="625"/>
      <c r="J615" s="523"/>
      <c r="K615" s="625"/>
      <c r="L615" s="523"/>
      <c r="M615" s="404"/>
      <c r="N615" s="523"/>
      <c r="O615" s="625"/>
      <c r="S615" s="623"/>
      <c r="AD615" s="400">
        <f>K615-[25]Blocking1!O615</f>
        <v>0</v>
      </c>
    </row>
    <row r="616" spans="1:30" s="622" customFormat="1">
      <c r="A616" s="432" t="s">
        <v>468</v>
      </c>
      <c r="B616" s="404"/>
      <c r="C616" s="433" t="e">
        <f>SUMIF('[25]12E'!$C$2:$C$72,26,'[25]12E'!$M$2:$M$72)</f>
        <v>#VALUE!</v>
      </c>
      <c r="D616" s="598"/>
      <c r="E616" s="561" t="e">
        <f>ROUND(C616*$E$627/$C$627,0)</f>
        <v>#VALUE!</v>
      </c>
      <c r="F616" s="598"/>
      <c r="G616" s="434">
        <f>[25]Blocking1!M616</f>
        <v>1.83</v>
      </c>
      <c r="H616" s="435"/>
      <c r="I616" s="625" t="e">
        <f>ROUND(C616*$G616,0)</f>
        <v>#VALUE!</v>
      </c>
      <c r="J616" s="625"/>
      <c r="K616" s="625" t="e">
        <f>ROUND(E616*$G616,0)</f>
        <v>#VALUE!</v>
      </c>
      <c r="L616" s="598"/>
      <c r="M616" s="434" t="e">
        <f>ROUND(G616*(1+$R$620),2)</f>
        <v>#VALUE!</v>
      </c>
      <c r="N616" s="563"/>
      <c r="O616" s="625" t="e">
        <f>ROUND(E616*M616,0)</f>
        <v>#VALUE!</v>
      </c>
      <c r="Q616" s="437" t="s">
        <v>589</v>
      </c>
      <c r="R616" s="438" t="e">
        <f>O694</f>
        <v>#VALUE!</v>
      </c>
      <c r="S616" s="623"/>
      <c r="T616" s="439" t="e">
        <f t="shared" ref="T616:T620" si="236">M616/G616-1</f>
        <v>#VALUE!</v>
      </c>
      <c r="AD616" s="400" t="e">
        <f>K616-[25]Blocking1!O616</f>
        <v>#VALUE!</v>
      </c>
    </row>
    <row r="617" spans="1:30" s="622" customFormat="1">
      <c r="A617" s="432" t="s">
        <v>469</v>
      </c>
      <c r="B617" s="404"/>
      <c r="C617" s="433" t="e">
        <f>SUMIF('[25]12E'!$C$2:$C$72,27,'[25]12E'!$M$2:$M$72)</f>
        <v>#VALUE!</v>
      </c>
      <c r="D617" s="523"/>
      <c r="E617" s="561" t="e">
        <f>ROUND(C617*$E$627/$C$627,0)</f>
        <v>#VALUE!</v>
      </c>
      <c r="F617" s="523"/>
      <c r="G617" s="434">
        <f>[25]Blocking1!M617</f>
        <v>2.5</v>
      </c>
      <c r="H617" s="563"/>
      <c r="I617" s="625" t="e">
        <f>ROUND(C617*$G617,0)</f>
        <v>#VALUE!</v>
      </c>
      <c r="J617" s="625"/>
      <c r="K617" s="625" t="e">
        <f>ROUND(E617*$G617,0)</f>
        <v>#VALUE!</v>
      </c>
      <c r="L617" s="523"/>
      <c r="M617" s="434" t="e">
        <f>ROUND(G617*(1+$R$620),2)</f>
        <v>#VALUE!</v>
      </c>
      <c r="N617" s="563"/>
      <c r="O617" s="625" t="e">
        <f>ROUND(E617*M617,0)</f>
        <v>#VALUE!</v>
      </c>
      <c r="Q617" s="444" t="s">
        <v>593</v>
      </c>
      <c r="R617" s="445">
        <f>[25]RateSpread2!M43*1000</f>
        <v>4144867</v>
      </c>
      <c r="S617" s="623"/>
      <c r="T617" s="439" t="e">
        <f t="shared" si="236"/>
        <v>#VALUE!</v>
      </c>
      <c r="AD617" s="400" t="e">
        <f>K617-[25]Blocking1!O617</f>
        <v>#VALUE!</v>
      </c>
    </row>
    <row r="618" spans="1:30" s="622" customFormat="1">
      <c r="A618" s="432" t="s">
        <v>470</v>
      </c>
      <c r="B618" s="404"/>
      <c r="C618" s="433" t="e">
        <f>SUMIF('[25]12E'!$C$2:$C$72,28,'[25]12E'!$M$2:$M$72)</f>
        <v>#VALUE!</v>
      </c>
      <c r="D618" s="523"/>
      <c r="E618" s="561" t="e">
        <f>ROUND(C618*$E$627/$C$627,0)</f>
        <v>#VALUE!</v>
      </c>
      <c r="F618" s="523"/>
      <c r="G618" s="434">
        <f>[25]Blocking1!M618</f>
        <v>3.66</v>
      </c>
      <c r="H618" s="563"/>
      <c r="I618" s="625" t="e">
        <f>ROUND(C618*$G618,0)</f>
        <v>#VALUE!</v>
      </c>
      <c r="J618" s="625"/>
      <c r="K618" s="625" t="e">
        <f>ROUND(E618*$G618,0)</f>
        <v>#VALUE!</v>
      </c>
      <c r="L618" s="523"/>
      <c r="M618" s="434" t="e">
        <f>ROUND(G618*(1+$R$620),2)</f>
        <v>#VALUE!</v>
      </c>
      <c r="N618" s="563"/>
      <c r="O618" s="625" t="e">
        <f>ROUND(E618*M618,0)</f>
        <v>#VALUE!</v>
      </c>
      <c r="Q618" s="450" t="s">
        <v>159</v>
      </c>
      <c r="R618" s="451" t="e">
        <f>R617-R616</f>
        <v>#VALUE!</v>
      </c>
      <c r="S618" s="623"/>
      <c r="T618" s="439" t="e">
        <f t="shared" si="236"/>
        <v>#VALUE!</v>
      </c>
      <c r="AD618" s="400" t="e">
        <f>K618-[25]Blocking1!O618</f>
        <v>#VALUE!</v>
      </c>
    </row>
    <row r="619" spans="1:30" s="622" customFormat="1">
      <c r="A619" s="432" t="s">
        <v>471</v>
      </c>
      <c r="B619" s="404"/>
      <c r="C619" s="433" t="e">
        <f>SUMIF('[25]12E'!$C$2:$C$72,29,'[25]12E'!$M$2:$M$72)</f>
        <v>#VALUE!</v>
      </c>
      <c r="D619" s="523"/>
      <c r="E619" s="561" t="e">
        <f>ROUND(C619*$E$627/$C$627,0)</f>
        <v>#VALUE!</v>
      </c>
      <c r="F619" s="523"/>
      <c r="G619" s="434">
        <f>[25]Blocking1!M619</f>
        <v>6.52</v>
      </c>
      <c r="H619" s="563"/>
      <c r="I619" s="625" t="e">
        <f>ROUND(C619*$G619,0)</f>
        <v>#VALUE!</v>
      </c>
      <c r="J619" s="625"/>
      <c r="K619" s="625" t="e">
        <f>ROUND(E619*$G619,0)</f>
        <v>#VALUE!</v>
      </c>
      <c r="L619" s="523"/>
      <c r="M619" s="434" t="e">
        <f>ROUND(G619*(1+$R$620),2)</f>
        <v>#VALUE!</v>
      </c>
      <c r="N619" s="563"/>
      <c r="O619" s="625" t="e">
        <f>ROUND(E619*M619,0)</f>
        <v>#VALUE!</v>
      </c>
      <c r="Q619" s="463" t="s">
        <v>601</v>
      </c>
      <c r="R619" s="536" t="e">
        <f>R616/K694-1</f>
        <v>#VALUE!</v>
      </c>
      <c r="S619" s="623"/>
      <c r="T619" s="439" t="e">
        <f t="shared" si="236"/>
        <v>#VALUE!</v>
      </c>
      <c r="AD619" s="400" t="e">
        <f>K619-[25]Blocking1!O619</f>
        <v>#VALUE!</v>
      </c>
    </row>
    <row r="620" spans="1:30" s="622" customFormat="1">
      <c r="A620" s="432" t="s">
        <v>472</v>
      </c>
      <c r="B620" s="404"/>
      <c r="C620" s="433" t="e">
        <f>SUMIF('[25]12E'!$C$2:$C$72,30,'[25]12E'!$M$2:$M$72)</f>
        <v>#VALUE!</v>
      </c>
      <c r="D620" s="523"/>
      <c r="E620" s="561" t="e">
        <f>ROUND(C620*$E$627/$C$627,0)</f>
        <v>#VALUE!</v>
      </c>
      <c r="F620" s="523"/>
      <c r="G620" s="434">
        <f>[25]Blocking1!M620</f>
        <v>10.02</v>
      </c>
      <c r="H620" s="563"/>
      <c r="I620" s="625" t="e">
        <f>ROUND(C620*$G620,0)</f>
        <v>#VALUE!</v>
      </c>
      <c r="J620" s="625"/>
      <c r="K620" s="625" t="e">
        <f>ROUND(E620*$G620,0)</f>
        <v>#VALUE!</v>
      </c>
      <c r="L620" s="523"/>
      <c r="M620" s="434" t="e">
        <f>ROUND(G620*(1+$R$620),2)</f>
        <v>#VALUE!</v>
      </c>
      <c r="N620" s="563"/>
      <c r="O620" s="625" t="e">
        <f>ROUND(E620*M620,0)</f>
        <v>#VALUE!</v>
      </c>
      <c r="Q620" s="488" t="s">
        <v>603</v>
      </c>
      <c r="R620" s="544" t="e">
        <f>R617/K694-1</f>
        <v>#VALUE!</v>
      </c>
      <c r="S620" s="623"/>
      <c r="T620" s="439" t="e">
        <f t="shared" si="236"/>
        <v>#VALUE!</v>
      </c>
      <c r="AD620" s="400" t="e">
        <f>K620-[25]Blocking1!O620</f>
        <v>#VALUE!</v>
      </c>
    </row>
    <row r="621" spans="1:30" s="622" customFormat="1">
      <c r="A621" s="480" t="s">
        <v>442</v>
      </c>
      <c r="B621" s="404"/>
      <c r="C621" s="433"/>
      <c r="D621" s="523"/>
      <c r="E621" s="561"/>
      <c r="F621" s="523"/>
      <c r="G621" s="496"/>
      <c r="H621" s="618"/>
      <c r="I621" s="625"/>
      <c r="J621" s="523"/>
      <c r="K621" s="625"/>
      <c r="L621" s="523"/>
      <c r="M621" s="496"/>
      <c r="N621" s="618"/>
      <c r="O621" s="625"/>
      <c r="Q621" s="578" t="s">
        <v>643</v>
      </c>
      <c r="R621" s="637" t="e">
        <f>(O694)/(K694)-1</f>
        <v>#VALUE!</v>
      </c>
      <c r="S621" s="623"/>
      <c r="AD621" s="400">
        <f>K621-[25]Blocking1!O621</f>
        <v>0</v>
      </c>
    </row>
    <row r="622" spans="1:30" s="622" customFormat="1">
      <c r="A622" s="432" t="s">
        <v>473</v>
      </c>
      <c r="B622" s="404"/>
      <c r="C622" s="433" t="e">
        <f>SUMIF('[25]12E'!$C$2:$C$72,34,'[25]12E'!$M$2:$M$72)</f>
        <v>#VALUE!</v>
      </c>
      <c r="D622" s="523"/>
      <c r="E622" s="561" t="e">
        <f>ROUND(C622*$E$627/$C$627,0)</f>
        <v>#VALUE!</v>
      </c>
      <c r="F622" s="523"/>
      <c r="G622" s="434">
        <f>[25]Blocking1!M622</f>
        <v>2.5499999999999998</v>
      </c>
      <c r="H622" s="563"/>
      <c r="I622" s="625" t="e">
        <f>ROUND(C622*$G622,0)</f>
        <v>#VALUE!</v>
      </c>
      <c r="J622" s="625"/>
      <c r="K622" s="625" t="e">
        <f>ROUND(E622*$G622,0)</f>
        <v>#VALUE!</v>
      </c>
      <c r="L622" s="523"/>
      <c r="M622" s="434" t="e">
        <f>ROUND(G622*(1+$R$620),2)</f>
        <v>#VALUE!</v>
      </c>
      <c r="N622" s="563"/>
      <c r="O622" s="625" t="e">
        <f>ROUND(E622*M622,0)</f>
        <v>#VALUE!</v>
      </c>
      <c r="Q622" s="623"/>
      <c r="R622" s="623"/>
      <c r="S622" s="623"/>
      <c r="T622" s="439" t="e">
        <f t="shared" ref="T622:T626" si="237">M622/G622-1</f>
        <v>#VALUE!</v>
      </c>
      <c r="AD622" s="400" t="e">
        <f>K622-[25]Blocking1!O622</f>
        <v>#VALUE!</v>
      </c>
    </row>
    <row r="623" spans="1:30" s="622" customFormat="1">
      <c r="A623" s="432" t="s">
        <v>474</v>
      </c>
      <c r="B623" s="404"/>
      <c r="C623" s="433" t="e">
        <f>SUMIF('[25]12E'!$C$2:$C$72,36,'[25]12E'!$M$2:$M$72)</f>
        <v>#VALUE!</v>
      </c>
      <c r="D623" s="523"/>
      <c r="E623" s="561" t="e">
        <f>ROUND(C623*$E$627/$C$627,0)</f>
        <v>#VALUE!</v>
      </c>
      <c r="F623" s="523"/>
      <c r="G623" s="434">
        <f>[25]Blocking1!M623</f>
        <v>4.46</v>
      </c>
      <c r="H623" s="563"/>
      <c r="I623" s="625" t="e">
        <f>ROUND(C623*$G623,0)</f>
        <v>#VALUE!</v>
      </c>
      <c r="J623" s="625"/>
      <c r="K623" s="625" t="e">
        <f>ROUND(E623*$G623,0)</f>
        <v>#VALUE!</v>
      </c>
      <c r="L623" s="523"/>
      <c r="M623" s="434" t="e">
        <f>ROUND(G623*(1+$R$620),2)</f>
        <v>#VALUE!</v>
      </c>
      <c r="N623" s="563"/>
      <c r="O623" s="625" t="e">
        <f>ROUND(E623*M623,0)</f>
        <v>#VALUE!</v>
      </c>
      <c r="Q623" s="623"/>
      <c r="R623" s="623"/>
      <c r="S623" s="623"/>
      <c r="T623" s="439" t="e">
        <f t="shared" si="237"/>
        <v>#VALUE!</v>
      </c>
      <c r="AD623" s="400" t="e">
        <f>K623-[25]Blocking1!O623</f>
        <v>#VALUE!</v>
      </c>
    </row>
    <row r="624" spans="1:30" s="622" customFormat="1">
      <c r="A624" s="432" t="s">
        <v>475</v>
      </c>
      <c r="B624" s="404"/>
      <c r="C624" s="433" t="e">
        <f>SUMIF('[25]12E'!$C$2:$C$72,37,'[25]12E'!$M$2:$M$72)</f>
        <v>#VALUE!</v>
      </c>
      <c r="D624" s="523"/>
      <c r="E624" s="561" t="e">
        <f>ROUND(C624*$E$627/$C$627,0)</f>
        <v>#VALUE!</v>
      </c>
      <c r="F624" s="523"/>
      <c r="G624" s="434">
        <f>[25]Blocking1!M624</f>
        <v>6.17</v>
      </c>
      <c r="H624" s="563"/>
      <c r="I624" s="625" t="e">
        <f>ROUND(C624*$G624,0)</f>
        <v>#VALUE!</v>
      </c>
      <c r="J624" s="625"/>
      <c r="K624" s="625" t="e">
        <f>ROUND(E624*$G624,0)</f>
        <v>#VALUE!</v>
      </c>
      <c r="L624" s="523"/>
      <c r="M624" s="434" t="e">
        <f>ROUND(G624*(1+$R$620),2)</f>
        <v>#VALUE!</v>
      </c>
      <c r="N624" s="563"/>
      <c r="O624" s="625" t="e">
        <f>ROUND(E624*M624,0)</f>
        <v>#VALUE!</v>
      </c>
      <c r="Q624" s="623"/>
      <c r="R624" s="623"/>
      <c r="S624" s="623"/>
      <c r="T624" s="439" t="e">
        <f t="shared" si="237"/>
        <v>#VALUE!</v>
      </c>
      <c r="AD624" s="400" t="e">
        <f>K624-[25]Blocking1!O624</f>
        <v>#VALUE!</v>
      </c>
    </row>
    <row r="625" spans="1:30" s="622" customFormat="1">
      <c r="A625" s="432" t="s">
        <v>476</v>
      </c>
      <c r="B625" s="404"/>
      <c r="C625" s="433" t="e">
        <f>SUMIF('[25]12E'!$C$2:$C$72,38,'[25]12E'!$M$2:$M$72)</f>
        <v>#VALUE!</v>
      </c>
      <c r="D625" s="523"/>
      <c r="E625" s="561" t="e">
        <f>ROUND(C625*$E$627/$C$627,0)</f>
        <v>#VALUE!</v>
      </c>
      <c r="F625" s="523"/>
      <c r="G625" s="563">
        <f>[25]Blocking1!M625</f>
        <v>9.77</v>
      </c>
      <c r="H625" s="563"/>
      <c r="I625" s="625" t="e">
        <f>ROUND(C625*$G625,0)</f>
        <v>#VALUE!</v>
      </c>
      <c r="J625" s="625"/>
      <c r="K625" s="625" t="e">
        <f>ROUND(E625*$G625,0)</f>
        <v>#VALUE!</v>
      </c>
      <c r="L625" s="523"/>
      <c r="M625" s="563" t="e">
        <f>ROUND(G625*(1+$R$620),2)</f>
        <v>#VALUE!</v>
      </c>
      <c r="N625" s="563"/>
      <c r="O625" s="625" t="e">
        <f>ROUND(E625*M625,0)</f>
        <v>#VALUE!</v>
      </c>
      <c r="Q625" s="638" t="s">
        <v>660</v>
      </c>
      <c r="R625" s="638"/>
      <c r="S625" s="623"/>
      <c r="T625" s="439" t="e">
        <f t="shared" si="237"/>
        <v>#VALUE!</v>
      </c>
      <c r="AD625" s="400" t="e">
        <f>K625-[25]Blocking1!O625</f>
        <v>#VALUE!</v>
      </c>
    </row>
    <row r="626" spans="1:30" s="622" customFormat="1">
      <c r="A626" s="480" t="s">
        <v>477</v>
      </c>
      <c r="B626" s="404"/>
      <c r="C626" s="433">
        <f>'[25]12E'!N75</f>
        <v>10313587.2584714</v>
      </c>
      <c r="D626" s="523"/>
      <c r="E626" s="561">
        <f>ROUND(C626*$E$627/$C$627,0)</f>
        <v>10059553</v>
      </c>
      <c r="F626" s="523"/>
      <c r="G626" s="639">
        <f>[25]Blocking1!M626</f>
        <v>6.5278999999999998</v>
      </c>
      <c r="H626" s="462" t="s">
        <v>305</v>
      </c>
      <c r="I626" s="625">
        <f>ROUND(C626*$G626/100,0)</f>
        <v>673261</v>
      </c>
      <c r="J626" s="625"/>
      <c r="K626" s="625">
        <f>ROUND(E626*$G626/100,0)</f>
        <v>656678</v>
      </c>
      <c r="L626" s="523"/>
      <c r="M626" s="639" t="e">
        <f>ROUND(G626*(1+$R$620),4)</f>
        <v>#VALUE!</v>
      </c>
      <c r="N626" s="462" t="s">
        <v>305</v>
      </c>
      <c r="O626" s="625" t="e">
        <f>ROUND(E626*M626/100,0)</f>
        <v>#VALUE!</v>
      </c>
      <c r="Q626" s="640">
        <v>3940</v>
      </c>
      <c r="R626" s="640">
        <v>4167</v>
      </c>
      <c r="S626" s="623"/>
      <c r="T626" s="439" t="e">
        <f t="shared" si="237"/>
        <v>#VALUE!</v>
      </c>
      <c r="AD626" s="400">
        <f>K626-[25]Blocking1!O626</f>
        <v>0</v>
      </c>
    </row>
    <row r="627" spans="1:30" s="622" customFormat="1">
      <c r="A627" s="480" t="s">
        <v>478</v>
      </c>
      <c r="B627" s="404"/>
      <c r="C627" s="627">
        <f>'[25]12E'!N74</f>
        <v>50907472.282911919</v>
      </c>
      <c r="D627" s="523"/>
      <c r="E627" s="627">
        <f>E629</f>
        <v>49653569.797972836</v>
      </c>
      <c r="F627" s="523"/>
      <c r="G627" s="616"/>
      <c r="H627" s="523"/>
      <c r="I627" s="628" t="e">
        <f>SUM(I616:I626)</f>
        <v>#VALUE!</v>
      </c>
      <c r="J627" s="523"/>
      <c r="K627" s="628" t="e">
        <f>SUM(K616:K626)</f>
        <v>#VALUE!</v>
      </c>
      <c r="L627" s="523"/>
      <c r="M627" s="616"/>
      <c r="N627" s="523"/>
      <c r="O627" s="628" t="e">
        <f>SUM(O616:O626)</f>
        <v>#VALUE!</v>
      </c>
      <c r="Q627" s="518">
        <f>R626/Q626-1</f>
        <v>5.7614213197969555E-2</v>
      </c>
      <c r="R627" s="625">
        <f>Q627*K626</f>
        <v>37833.986294416252</v>
      </c>
      <c r="S627" s="623"/>
      <c r="AD627" s="400" t="e">
        <f>K627-[25]Blocking1!O627</f>
        <v>#VALUE!</v>
      </c>
    </row>
    <row r="628" spans="1:30" s="622" customFormat="1">
      <c r="A628" s="480" t="s">
        <v>190</v>
      </c>
      <c r="B628" s="404"/>
      <c r="C628" s="459">
        <f>'[25]Table 2'!J119</f>
        <v>-479191</v>
      </c>
      <c r="D628" s="523"/>
      <c r="E628" s="500"/>
      <c r="F628" s="523"/>
      <c r="G628" s="639"/>
      <c r="H628" s="641"/>
      <c r="I628" s="624">
        <f>'[25]Table 3'!F119</f>
        <v>-34370</v>
      </c>
      <c r="J628" s="523"/>
      <c r="K628" s="624"/>
      <c r="L628" s="523"/>
      <c r="M628" s="639"/>
      <c r="N628" s="563"/>
      <c r="O628" s="624"/>
      <c r="Q628" s="623"/>
      <c r="R628" s="623"/>
      <c r="S628" s="623"/>
      <c r="AD628" s="400">
        <f>K628-[25]Blocking1!O628</f>
        <v>0</v>
      </c>
    </row>
    <row r="629" spans="1:30" s="622" customFormat="1">
      <c r="A629" s="480" t="s">
        <v>172</v>
      </c>
      <c r="B629" s="404"/>
      <c r="C629" s="443">
        <f>SUM(C627:C628)</f>
        <v>50428281.282911919</v>
      </c>
      <c r="D629" s="523"/>
      <c r="E629" s="517">
        <f>[25]Energy!P58</f>
        <v>49653569.797972836</v>
      </c>
      <c r="F629" s="523"/>
      <c r="G629" s="639"/>
      <c r="H629" s="641"/>
      <c r="I629" s="624" t="e">
        <f>SUM(I627:I628)</f>
        <v>#VALUE!</v>
      </c>
      <c r="J629" s="523"/>
      <c r="K629" s="624" t="e">
        <f>SUM(K627:K628)</f>
        <v>#VALUE!</v>
      </c>
      <c r="L629" s="523"/>
      <c r="M629" s="639"/>
      <c r="N629" s="563"/>
      <c r="O629" s="624" t="e">
        <f>SUM(O627:O628)</f>
        <v>#VALUE!</v>
      </c>
      <c r="Q629" s="416" t="s">
        <v>601</v>
      </c>
      <c r="R629" s="518" t="e">
        <f>O629/K629-1</f>
        <v>#VALUE!</v>
      </c>
      <c r="S629" s="623"/>
      <c r="AD629" s="400" t="e">
        <f>K629-[25]Blocking1!O629</f>
        <v>#VALUE!</v>
      </c>
    </row>
    <row r="630" spans="1:30" s="622" customFormat="1">
      <c r="A630" s="480" t="s">
        <v>29</v>
      </c>
      <c r="B630" s="404"/>
      <c r="C630" s="642">
        <f>'[25]Table 2'!F119</f>
        <v>529.66666666666697</v>
      </c>
      <c r="D630" s="523"/>
      <c r="E630" s="642">
        <f>ROUND([25]Bill!P58/12,0)</f>
        <v>519</v>
      </c>
      <c r="F630" s="523"/>
      <c r="G630" s="616"/>
      <c r="H630" s="523"/>
      <c r="I630" s="628"/>
      <c r="J630" s="523"/>
      <c r="K630" s="628"/>
      <c r="L630" s="523"/>
      <c r="M630" s="616"/>
      <c r="N630" s="523"/>
      <c r="O630" s="628"/>
      <c r="Q630" s="623"/>
      <c r="R630" s="623"/>
      <c r="S630" s="623"/>
      <c r="AD630" s="400">
        <f>K630-[25]Blocking1!O630</f>
        <v>0</v>
      </c>
    </row>
    <row r="631" spans="1:30" s="622" customFormat="1">
      <c r="A631" s="643" t="s">
        <v>479</v>
      </c>
      <c r="B631" s="404"/>
      <c r="C631" s="557"/>
      <c r="D631" s="523"/>
      <c r="E631" s="557"/>
      <c r="F631" s="523"/>
      <c r="G631" s="404"/>
      <c r="H631" s="523"/>
      <c r="I631" s="404"/>
      <c r="J631" s="523"/>
      <c r="K631" s="404"/>
      <c r="L631" s="523"/>
      <c r="M631" s="404"/>
      <c r="N631" s="523"/>
      <c r="O631" s="404"/>
      <c r="Q631" s="623"/>
      <c r="R631" s="623"/>
      <c r="S631" s="623"/>
      <c r="AD631" s="400">
        <f>K631-[25]Blocking1!O631</f>
        <v>0</v>
      </c>
    </row>
    <row r="632" spans="1:30" s="622" customFormat="1">
      <c r="A632" s="480" t="s">
        <v>480</v>
      </c>
      <c r="B632" s="404"/>
      <c r="C632" s="557"/>
      <c r="D632" s="523"/>
      <c r="E632" s="557"/>
      <c r="F632" s="523"/>
      <c r="G632" s="404"/>
      <c r="H632" s="523"/>
      <c r="I632" s="625"/>
      <c r="J632" s="523"/>
      <c r="K632" s="625"/>
      <c r="L632" s="523"/>
      <c r="M632" s="404"/>
      <c r="N632" s="523"/>
      <c r="O632" s="625"/>
      <c r="Q632" s="623"/>
      <c r="R632" s="623"/>
      <c r="S632" s="623"/>
      <c r="AD632" s="400">
        <f>K632-[25]Blocking1!O632</f>
        <v>0</v>
      </c>
    </row>
    <row r="633" spans="1:30" s="622" customFormat="1">
      <c r="A633" s="432" t="s">
        <v>481</v>
      </c>
      <c r="B633" s="404"/>
      <c r="C633" s="550" t="e">
        <f>SUMIF('[25]12P'!$B$2:$B$23,1,'[25]12P'!$L$2:$L$23)</f>
        <v>#VALUE!</v>
      </c>
      <c r="D633" s="523"/>
      <c r="E633" s="557" t="e">
        <f>ROUND(C633*$E$662/$C$662,0)</f>
        <v>#VALUE!</v>
      </c>
      <c r="F633" s="523"/>
      <c r="G633" s="434">
        <f>[25]Blocking1!M633</f>
        <v>8.9600000000000009</v>
      </c>
      <c r="H633" s="563"/>
      <c r="I633" s="625" t="e">
        <f>ROUND(C633*$G633,0)</f>
        <v>#VALUE!</v>
      </c>
      <c r="J633" s="523"/>
      <c r="K633" s="625" t="e">
        <f>ROUND(E633*$G633,0)</f>
        <v>#VALUE!</v>
      </c>
      <c r="L633" s="523"/>
      <c r="M633" s="434" t="e">
        <f>ROUND(G633*(1+$R$620),2)</f>
        <v>#VALUE!</v>
      </c>
      <c r="N633" s="563"/>
      <c r="O633" s="625" t="e">
        <f>ROUND(E633*M633,0)</f>
        <v>#VALUE!</v>
      </c>
      <c r="Q633" s="623"/>
      <c r="R633" s="623"/>
      <c r="S633" s="623"/>
      <c r="T633" s="439" t="e">
        <f t="shared" ref="T633:T634" si="238">M633/G633-1</f>
        <v>#VALUE!</v>
      </c>
      <c r="AD633" s="400" t="e">
        <f>K633-[25]Blocking1!O633</f>
        <v>#VALUE!</v>
      </c>
    </row>
    <row r="634" spans="1:30" s="622" customFormat="1">
      <c r="A634" s="432" t="s">
        <v>454</v>
      </c>
      <c r="B634" s="404"/>
      <c r="C634" s="550" t="e">
        <f>SUMIF('[25]12P'!$B$2:$B$23,3,'[25]12P'!$L$2:$L$23)</f>
        <v>#VALUE!</v>
      </c>
      <c r="D634" s="523"/>
      <c r="E634" s="557" t="e">
        <f>ROUND(C634*$E$662/$C$662,0)</f>
        <v>#VALUE!</v>
      </c>
      <c r="F634" s="523"/>
      <c r="G634" s="434">
        <f>[25]Blocking1!M634</f>
        <v>12.19</v>
      </c>
      <c r="H634" s="563"/>
      <c r="I634" s="625" t="e">
        <f>ROUND(C634*$G634,0)</f>
        <v>#VALUE!</v>
      </c>
      <c r="J634" s="523"/>
      <c r="K634" s="625" t="e">
        <f>ROUND(E634*$G634,0)</f>
        <v>#VALUE!</v>
      </c>
      <c r="L634" s="523"/>
      <c r="M634" s="434" t="e">
        <f>ROUND(G634*(1+$R$620),2)</f>
        <v>#VALUE!</v>
      </c>
      <c r="N634" s="563"/>
      <c r="O634" s="625" t="e">
        <f>ROUND(E634*M634,0)</f>
        <v>#VALUE!</v>
      </c>
      <c r="Q634" s="623"/>
      <c r="R634" s="623"/>
      <c r="S634" s="623"/>
      <c r="T634" s="439" t="e">
        <f t="shared" si="238"/>
        <v>#VALUE!</v>
      </c>
      <c r="AD634" s="400" t="e">
        <f>K634-[25]Blocking1!O634</f>
        <v>#VALUE!</v>
      </c>
    </row>
    <row r="635" spans="1:30" s="622" customFormat="1">
      <c r="A635" s="480" t="s">
        <v>482</v>
      </c>
      <c r="B635" s="404"/>
      <c r="C635" s="550"/>
      <c r="D635" s="523"/>
      <c r="E635" s="557"/>
      <c r="F635" s="523"/>
      <c r="G635" s="434"/>
      <c r="H635" s="563"/>
      <c r="I635" s="404"/>
      <c r="J635" s="523"/>
      <c r="K635" s="404"/>
      <c r="L635" s="523"/>
      <c r="M635" s="434"/>
      <c r="N635" s="563"/>
      <c r="O635" s="404"/>
      <c r="P635" s="563"/>
      <c r="Q635" s="623"/>
      <c r="R635" s="623"/>
      <c r="S635" s="623"/>
      <c r="AD635" s="400">
        <f>K635-[25]Blocking1!O635</f>
        <v>0</v>
      </c>
    </row>
    <row r="636" spans="1:30" s="622" customFormat="1">
      <c r="A636" s="432" t="s">
        <v>454</v>
      </c>
      <c r="B636" s="404"/>
      <c r="C636" s="550" t="e">
        <f>SUMIF('[25]12P'!$B$2:$B$23,9,'[25]12P'!$L$2:$L$23)</f>
        <v>#VALUE!</v>
      </c>
      <c r="D636" s="523"/>
      <c r="E636" s="557" t="e">
        <f>ROUND(C636*$E$662/$C$662,0)</f>
        <v>#VALUE!</v>
      </c>
      <c r="F636" s="523"/>
      <c r="G636" s="434">
        <f>[25]Blocking1!M636</f>
        <v>4.6399999999999997</v>
      </c>
      <c r="H636" s="563"/>
      <c r="I636" s="625" t="e">
        <f>ROUND(C636*$G636,0)</f>
        <v>#VALUE!</v>
      </c>
      <c r="J636" s="523"/>
      <c r="K636" s="625" t="e">
        <f>ROUND(E636*$G636,0)</f>
        <v>#VALUE!</v>
      </c>
      <c r="L636" s="523"/>
      <c r="M636" s="434" t="e">
        <f>ROUND(G636*(1+$R$620),2)</f>
        <v>#VALUE!</v>
      </c>
      <c r="N636" s="563"/>
      <c r="O636" s="625" t="e">
        <f>ROUND(E636*M636,0)</f>
        <v>#VALUE!</v>
      </c>
      <c r="Q636" s="623"/>
      <c r="R636" s="623"/>
      <c r="S636" s="623"/>
      <c r="T636" s="439" t="e">
        <f t="shared" ref="T636:T639" si="239">M636/G636-1</f>
        <v>#VALUE!</v>
      </c>
      <c r="AD636" s="400" t="e">
        <f>K636-[25]Blocking1!O636</f>
        <v>#VALUE!</v>
      </c>
    </row>
    <row r="637" spans="1:30" s="622" customFormat="1">
      <c r="A637" s="432" t="s">
        <v>370</v>
      </c>
      <c r="B637" s="404"/>
      <c r="C637" s="550" t="e">
        <f>SUMIF('[25]12P'!$B$2:$B$23,11,'[25]12P'!$L$2:$L$23)</f>
        <v>#VALUE!</v>
      </c>
      <c r="D637" s="523"/>
      <c r="E637" s="500" t="e">
        <f>ROUND(C637*$E$662/$C$662,0)</f>
        <v>#VALUE!</v>
      </c>
      <c r="F637" s="523"/>
      <c r="G637" s="434">
        <f>[25]Blocking1!M637</f>
        <v>7</v>
      </c>
      <c r="H637" s="523"/>
      <c r="I637" s="625" t="e">
        <f>ROUND(C637*$G637,0)</f>
        <v>#VALUE!</v>
      </c>
      <c r="J637" s="641"/>
      <c r="K637" s="625" t="e">
        <f>ROUND(E637*$G637,0)</f>
        <v>#VALUE!</v>
      </c>
      <c r="L637" s="523"/>
      <c r="M637" s="618" t="e">
        <f>ROUND(G637*(1+$R$620),2)</f>
        <v>#VALUE!</v>
      </c>
      <c r="N637" s="523"/>
      <c r="O637" s="625" t="e">
        <f>ROUND(E637*M637,0)</f>
        <v>#VALUE!</v>
      </c>
      <c r="Q637" s="624"/>
      <c r="R637" s="623"/>
      <c r="S637" s="623"/>
      <c r="T637" s="439" t="e">
        <f t="shared" si="239"/>
        <v>#VALUE!</v>
      </c>
      <c r="AD637" s="400" t="e">
        <f>K637-[25]Blocking1!O637</f>
        <v>#VALUE!</v>
      </c>
    </row>
    <row r="638" spans="1:30" s="622" customFormat="1">
      <c r="A638" s="432" t="s">
        <v>372</v>
      </c>
      <c r="B638" s="404"/>
      <c r="C638" s="550" t="e">
        <f>SUMIF('[25]12P'!$B$2:$B$23,15,'[25]12P'!$L$2:$L$23)</f>
        <v>#VALUE!</v>
      </c>
      <c r="D638" s="523"/>
      <c r="E638" s="557" t="e">
        <f>ROUND(C638*$E$662/$C$662,0)</f>
        <v>#VALUE!</v>
      </c>
      <c r="F638" s="523"/>
      <c r="G638" s="434">
        <f>[25]Blocking1!M638</f>
        <v>13.33</v>
      </c>
      <c r="H638" s="563"/>
      <c r="I638" s="625" t="e">
        <f>ROUND(C638*$G638,0)</f>
        <v>#VALUE!</v>
      </c>
      <c r="J638" s="523"/>
      <c r="K638" s="625" t="e">
        <f>ROUND(E638*$G638,0)</f>
        <v>#VALUE!</v>
      </c>
      <c r="L638" s="523"/>
      <c r="M638" s="434" t="e">
        <f>ROUND(G638*(1+$R$620),2)</f>
        <v>#VALUE!</v>
      </c>
      <c r="N638" s="563"/>
      <c r="O638" s="625" t="e">
        <f>ROUND(E638*M638,0)</f>
        <v>#VALUE!</v>
      </c>
      <c r="Q638" s="623"/>
      <c r="R638" s="623"/>
      <c r="S638" s="623"/>
      <c r="T638" s="439" t="e">
        <f t="shared" si="239"/>
        <v>#VALUE!</v>
      </c>
      <c r="AD638" s="400" t="e">
        <f>K638-[25]Blocking1!O638</f>
        <v>#VALUE!</v>
      </c>
    </row>
    <row r="639" spans="1:30" s="622" customFormat="1">
      <c r="A639" s="432" t="s">
        <v>483</v>
      </c>
      <c r="B639" s="404"/>
      <c r="C639" s="550" t="e">
        <f>SUMIF('[25]12P'!$B$2:$B$23,19,'[25]12P'!$L$2:$L$23)</f>
        <v>#VALUE!</v>
      </c>
      <c r="D639" s="523"/>
      <c r="E639" s="557" t="e">
        <f>ROUND(C639*$E$662/$C$662,0)</f>
        <v>#VALUE!</v>
      </c>
      <c r="F639" s="523"/>
      <c r="G639" s="434">
        <f>[25]Blocking1!M639</f>
        <v>28.38</v>
      </c>
      <c r="H639" s="563"/>
      <c r="I639" s="625" t="e">
        <f>ROUND(C639*$G639,0)</f>
        <v>#VALUE!</v>
      </c>
      <c r="J639" s="523"/>
      <c r="K639" s="625" t="e">
        <f>ROUND(E639*$G639,0)</f>
        <v>#VALUE!</v>
      </c>
      <c r="L639" s="523"/>
      <c r="M639" s="434" t="e">
        <f>ROUND(G639*(1+$R$620),2)</f>
        <v>#VALUE!</v>
      </c>
      <c r="N639" s="563"/>
      <c r="O639" s="625" t="e">
        <f>ROUND(E639*M639,0)</f>
        <v>#VALUE!</v>
      </c>
      <c r="Q639" s="623"/>
      <c r="R639" s="623"/>
      <c r="S639" s="623"/>
      <c r="T639" s="439" t="e">
        <f t="shared" si="239"/>
        <v>#VALUE!</v>
      </c>
      <c r="AD639" s="400" t="e">
        <f>K639-[25]Blocking1!O639</f>
        <v>#VALUE!</v>
      </c>
    </row>
    <row r="640" spans="1:30" s="622" customFormat="1">
      <c r="A640" s="480" t="s">
        <v>484</v>
      </c>
      <c r="B640" s="404"/>
      <c r="C640" s="550"/>
      <c r="D640" s="523"/>
      <c r="E640" s="557"/>
      <c r="F640" s="523"/>
      <c r="G640" s="434"/>
      <c r="H640" s="563"/>
      <c r="I640" s="625"/>
      <c r="J640" s="523"/>
      <c r="K640" s="625"/>
      <c r="L640" s="523"/>
      <c r="M640" s="434"/>
      <c r="N640" s="563"/>
      <c r="O640" s="625"/>
      <c r="Q640" s="623"/>
      <c r="R640" s="623"/>
      <c r="S640" s="623"/>
      <c r="AD640" s="400">
        <f>K640-[25]Blocking1!O640</f>
        <v>0</v>
      </c>
    </row>
    <row r="641" spans="1:30" s="622" customFormat="1">
      <c r="A641" s="432" t="s">
        <v>468</v>
      </c>
      <c r="B641" s="404"/>
      <c r="C641" s="550" t="e">
        <f>SUMIF('[25]12P'!$B$2:$B$23,22,'[25]12P'!$L$2:$L$23)</f>
        <v>#VALUE!</v>
      </c>
      <c r="D641" s="523"/>
      <c r="E641" s="557" t="e">
        <f t="shared" ref="E641:E650" si="240">ROUND(C641*$E$662/$C$662,0)</f>
        <v>#VALUE!</v>
      </c>
      <c r="F641" s="523"/>
      <c r="G641" s="434">
        <f>[25]Blocking1!M641</f>
        <v>4.08</v>
      </c>
      <c r="H641" s="563"/>
      <c r="I641" s="625" t="e">
        <f t="shared" ref="I641:I650" si="241">ROUND(C641*$G641,0)</f>
        <v>#VALUE!</v>
      </c>
      <c r="J641" s="523"/>
      <c r="K641" s="625" t="e">
        <f t="shared" ref="K641:K650" si="242">ROUND(E641*$G641,0)</f>
        <v>#VALUE!</v>
      </c>
      <c r="L641" s="523"/>
      <c r="M641" s="434" t="e">
        <f t="shared" ref="M641:M650" si="243">ROUND(G641*(1+$R$620),2)</f>
        <v>#VALUE!</v>
      </c>
      <c r="N641" s="563"/>
      <c r="O641" s="625" t="e">
        <f t="shared" ref="O641:O650" si="244">ROUND(E641*M641,0)</f>
        <v>#VALUE!</v>
      </c>
      <c r="Q641" s="623"/>
      <c r="R641" s="623"/>
      <c r="S641" s="623"/>
      <c r="T641" s="439" t="e">
        <f t="shared" ref="T641:T650" si="245">M641/G641-1</f>
        <v>#VALUE!</v>
      </c>
      <c r="AD641" s="400" t="e">
        <f>K641-[25]Blocking1!O641</f>
        <v>#VALUE!</v>
      </c>
    </row>
    <row r="642" spans="1:30" s="622" customFormat="1">
      <c r="A642" s="432" t="s">
        <v>469</v>
      </c>
      <c r="B642" s="404"/>
      <c r="C642" s="550" t="e">
        <f>SUMIF('[25]12P'!$B$2:$B$23,25,'[25]12P'!$L$2:$L$23)</f>
        <v>#VALUE!</v>
      </c>
      <c r="D642" s="523"/>
      <c r="E642" s="557" t="e">
        <f t="shared" si="240"/>
        <v>#VALUE!</v>
      </c>
      <c r="F642" s="523"/>
      <c r="G642" s="434">
        <f>[25]Blocking1!M642</f>
        <v>5.37</v>
      </c>
      <c r="H642" s="563"/>
      <c r="I642" s="625" t="e">
        <f t="shared" si="241"/>
        <v>#VALUE!</v>
      </c>
      <c r="J642" s="523"/>
      <c r="K642" s="625" t="e">
        <f t="shared" si="242"/>
        <v>#VALUE!</v>
      </c>
      <c r="L642" s="523"/>
      <c r="M642" s="434" t="e">
        <f t="shared" si="243"/>
        <v>#VALUE!</v>
      </c>
      <c r="N642" s="563"/>
      <c r="O642" s="625" t="e">
        <f t="shared" si="244"/>
        <v>#VALUE!</v>
      </c>
      <c r="Q642" s="623"/>
      <c r="R642" s="623"/>
      <c r="S642" s="623"/>
      <c r="T642" s="439" t="e">
        <f t="shared" si="245"/>
        <v>#VALUE!</v>
      </c>
      <c r="AD642" s="400" t="e">
        <f>K642-[25]Blocking1!O642</f>
        <v>#VALUE!</v>
      </c>
    </row>
    <row r="643" spans="1:30" s="622" customFormat="1">
      <c r="A643" s="432" t="s">
        <v>485</v>
      </c>
      <c r="B643" s="404"/>
      <c r="C643" s="550" t="e">
        <f>SUMIF('[25]12P'!$B$2:$B$23,65,'[25]12P'!$L$2:$L$23)</f>
        <v>#VALUE!</v>
      </c>
      <c r="D643" s="523"/>
      <c r="E643" s="557" t="e">
        <f t="shared" si="240"/>
        <v>#VALUE!</v>
      </c>
      <c r="F643" s="523"/>
      <c r="G643" s="434">
        <f>[25]Blocking1!M643</f>
        <v>6.96</v>
      </c>
      <c r="H643" s="563"/>
      <c r="I643" s="625" t="e">
        <f t="shared" si="241"/>
        <v>#VALUE!</v>
      </c>
      <c r="J643" s="523"/>
      <c r="K643" s="625" t="e">
        <f t="shared" si="242"/>
        <v>#VALUE!</v>
      </c>
      <c r="L643" s="523"/>
      <c r="M643" s="434" t="e">
        <f t="shared" si="243"/>
        <v>#VALUE!</v>
      </c>
      <c r="N643" s="563"/>
      <c r="O643" s="625" t="e">
        <f t="shared" si="244"/>
        <v>#VALUE!</v>
      </c>
      <c r="Q643" s="623"/>
      <c r="R643" s="623"/>
      <c r="S643" s="623"/>
      <c r="T643" s="439" t="e">
        <f t="shared" si="245"/>
        <v>#VALUE!</v>
      </c>
      <c r="AD643" s="400" t="e">
        <f>K643-[25]Blocking1!O643</f>
        <v>#VALUE!</v>
      </c>
    </row>
    <row r="644" spans="1:30" s="622" customFormat="1">
      <c r="A644" s="432" t="s">
        <v>470</v>
      </c>
      <c r="B644" s="404"/>
      <c r="C644" s="550" t="e">
        <f>SUMIF('[25]12P'!$B$2:$B$23,27,'[25]12P'!$L$2:$L$23)</f>
        <v>#VALUE!</v>
      </c>
      <c r="D644" s="523"/>
      <c r="E644" s="557" t="e">
        <f t="shared" si="240"/>
        <v>#VALUE!</v>
      </c>
      <c r="F644" s="523"/>
      <c r="G644" s="434">
        <f>[25]Blocking1!M644</f>
        <v>6.52</v>
      </c>
      <c r="H644" s="563"/>
      <c r="I644" s="625" t="e">
        <f t="shared" si="241"/>
        <v>#VALUE!</v>
      </c>
      <c r="J644" s="523"/>
      <c r="K644" s="625" t="e">
        <f t="shared" si="242"/>
        <v>#VALUE!</v>
      </c>
      <c r="L644" s="523"/>
      <c r="M644" s="434" t="e">
        <f t="shared" si="243"/>
        <v>#VALUE!</v>
      </c>
      <c r="N644" s="563"/>
      <c r="O644" s="625" t="e">
        <f t="shared" si="244"/>
        <v>#VALUE!</v>
      </c>
      <c r="Q644" s="623"/>
      <c r="R644" s="623"/>
      <c r="S644" s="623"/>
      <c r="T644" s="439" t="e">
        <f t="shared" si="245"/>
        <v>#VALUE!</v>
      </c>
      <c r="AD644" s="400" t="e">
        <f>K644-[25]Blocking1!O644</f>
        <v>#VALUE!</v>
      </c>
    </row>
    <row r="645" spans="1:30" s="622" customFormat="1">
      <c r="A645" s="432" t="s">
        <v>486</v>
      </c>
      <c r="B645" s="404"/>
      <c r="C645" s="550" t="e">
        <f>SUMIF('[25]12P'!$B$2:$B$23,66,'[25]12P'!$L$2:$L$23)</f>
        <v>#VALUE!</v>
      </c>
      <c r="D645" s="523"/>
      <c r="E645" s="557" t="e">
        <f t="shared" si="240"/>
        <v>#VALUE!</v>
      </c>
      <c r="F645" s="523"/>
      <c r="G645" s="434">
        <f>[25]Blocking1!M645</f>
        <v>8.27</v>
      </c>
      <c r="H645" s="563"/>
      <c r="I645" s="625" t="e">
        <f t="shared" si="241"/>
        <v>#VALUE!</v>
      </c>
      <c r="J645" s="523"/>
      <c r="K645" s="625" t="e">
        <f t="shared" si="242"/>
        <v>#VALUE!</v>
      </c>
      <c r="L645" s="523"/>
      <c r="M645" s="434" t="e">
        <f t="shared" si="243"/>
        <v>#VALUE!</v>
      </c>
      <c r="N645" s="563"/>
      <c r="O645" s="625" t="e">
        <f t="shared" si="244"/>
        <v>#VALUE!</v>
      </c>
      <c r="Q645" s="623"/>
      <c r="R645" s="623"/>
      <c r="S645" s="623"/>
      <c r="T645" s="439" t="e">
        <f t="shared" si="245"/>
        <v>#VALUE!</v>
      </c>
      <c r="AD645" s="400" t="e">
        <f>K645-[25]Blocking1!O645</f>
        <v>#VALUE!</v>
      </c>
    </row>
    <row r="646" spans="1:30" s="622" customFormat="1">
      <c r="A646" s="432" t="s">
        <v>487</v>
      </c>
      <c r="B646" s="404"/>
      <c r="C646" s="550" t="e">
        <f>SUMIF('[25]12P'!$B$2:$B$23,29,'[25]12P'!$L$2:$L$23)</f>
        <v>#VALUE!</v>
      </c>
      <c r="D646" s="523"/>
      <c r="E646" s="557" t="e">
        <f t="shared" si="240"/>
        <v>#VALUE!</v>
      </c>
      <c r="F646" s="523"/>
      <c r="G646" s="434">
        <f>[25]Blocking1!M646</f>
        <v>8.26</v>
      </c>
      <c r="H646" s="563"/>
      <c r="I646" s="625" t="e">
        <f t="shared" si="241"/>
        <v>#VALUE!</v>
      </c>
      <c r="J646" s="523"/>
      <c r="K646" s="625" t="e">
        <f t="shared" si="242"/>
        <v>#VALUE!</v>
      </c>
      <c r="L646" s="523"/>
      <c r="M646" s="434" t="e">
        <f t="shared" si="243"/>
        <v>#VALUE!</v>
      </c>
      <c r="N646" s="563"/>
      <c r="O646" s="625" t="e">
        <f t="shared" si="244"/>
        <v>#VALUE!</v>
      </c>
      <c r="Q646" s="623"/>
      <c r="R646" s="623"/>
      <c r="S646" s="623"/>
      <c r="T646" s="439" t="e">
        <f t="shared" si="245"/>
        <v>#VALUE!</v>
      </c>
      <c r="AD646" s="400" t="e">
        <f>K646-[25]Blocking1!O646</f>
        <v>#VALUE!</v>
      </c>
    </row>
    <row r="647" spans="1:30" s="622" customFormat="1">
      <c r="A647" s="432" t="s">
        <v>471</v>
      </c>
      <c r="B647" s="404"/>
      <c r="C647" s="550" t="e">
        <f>SUMIF('[25]12P'!$B$2:$B$23,31,'[25]12P'!$L$2:$L$23)</f>
        <v>#VALUE!</v>
      </c>
      <c r="D647" s="523"/>
      <c r="E647" s="557" t="e">
        <f t="shared" si="240"/>
        <v>#VALUE!</v>
      </c>
      <c r="F647" s="523"/>
      <c r="G647" s="434">
        <f>[25]Blocking1!M647</f>
        <v>9.59</v>
      </c>
      <c r="H647" s="563"/>
      <c r="I647" s="625" t="e">
        <f t="shared" si="241"/>
        <v>#VALUE!</v>
      </c>
      <c r="J647" s="523"/>
      <c r="K647" s="625" t="e">
        <f t="shared" si="242"/>
        <v>#VALUE!</v>
      </c>
      <c r="L647" s="523"/>
      <c r="M647" s="434" t="e">
        <f t="shared" si="243"/>
        <v>#VALUE!</v>
      </c>
      <c r="N647" s="563"/>
      <c r="O647" s="625" t="e">
        <f t="shared" si="244"/>
        <v>#VALUE!</v>
      </c>
      <c r="Q647" s="623"/>
      <c r="R647" s="623"/>
      <c r="S647" s="623"/>
      <c r="T647" s="439" t="e">
        <f t="shared" si="245"/>
        <v>#VALUE!</v>
      </c>
      <c r="AD647" s="400" t="e">
        <f>K647-[25]Blocking1!O647</f>
        <v>#VALUE!</v>
      </c>
    </row>
    <row r="648" spans="1:30" s="622" customFormat="1">
      <c r="A648" s="432" t="s">
        <v>488</v>
      </c>
      <c r="B648" s="404"/>
      <c r="C648" s="550" t="e">
        <f>SUMIF('[25]12P'!$B$2:$B$23,67,'[25]12P'!$L$2:$L$23)</f>
        <v>#VALUE!</v>
      </c>
      <c r="D648" s="523"/>
      <c r="E648" s="557" t="e">
        <f t="shared" si="240"/>
        <v>#VALUE!</v>
      </c>
      <c r="F648" s="523"/>
      <c r="G648" s="434">
        <f>[25]Blocking1!M648</f>
        <v>11.93</v>
      </c>
      <c r="H648" s="563"/>
      <c r="I648" s="625" t="e">
        <f t="shared" si="241"/>
        <v>#VALUE!</v>
      </c>
      <c r="J648" s="523"/>
      <c r="K648" s="625" t="e">
        <f t="shared" si="242"/>
        <v>#VALUE!</v>
      </c>
      <c r="L648" s="523"/>
      <c r="M648" s="434" t="e">
        <f t="shared" si="243"/>
        <v>#VALUE!</v>
      </c>
      <c r="N648" s="563"/>
      <c r="O648" s="625" t="e">
        <f t="shared" si="244"/>
        <v>#VALUE!</v>
      </c>
      <c r="Q648" s="623"/>
      <c r="R648" s="623"/>
      <c r="S648" s="623"/>
      <c r="T648" s="439" t="e">
        <f t="shared" si="245"/>
        <v>#VALUE!</v>
      </c>
      <c r="AD648" s="400" t="e">
        <f>K648-[25]Blocking1!O648</f>
        <v>#VALUE!</v>
      </c>
    </row>
    <row r="649" spans="1:30" s="622" customFormat="1">
      <c r="A649" s="432" t="s">
        <v>472</v>
      </c>
      <c r="B649" s="404"/>
      <c r="C649" s="550" t="e">
        <f>SUMIF('[25]12P'!$B$2:$B$23,33,'[25]12P'!$L$2:$L$23)</f>
        <v>#VALUE!</v>
      </c>
      <c r="D649" s="523"/>
      <c r="E649" s="557" t="e">
        <f t="shared" si="240"/>
        <v>#VALUE!</v>
      </c>
      <c r="F649" s="523"/>
      <c r="G649" s="434">
        <f>[25]Blocking1!M649</f>
        <v>14</v>
      </c>
      <c r="H649" s="563"/>
      <c r="I649" s="625" t="e">
        <f t="shared" si="241"/>
        <v>#VALUE!</v>
      </c>
      <c r="J649" s="523"/>
      <c r="K649" s="625" t="e">
        <f t="shared" si="242"/>
        <v>#VALUE!</v>
      </c>
      <c r="L649" s="523"/>
      <c r="M649" s="434" t="e">
        <f t="shared" si="243"/>
        <v>#VALUE!</v>
      </c>
      <c r="N649" s="563"/>
      <c r="O649" s="625" t="e">
        <f t="shared" si="244"/>
        <v>#VALUE!</v>
      </c>
      <c r="Q649" s="623"/>
      <c r="R649" s="623"/>
      <c r="S649" s="623"/>
      <c r="T649" s="439" t="e">
        <f t="shared" si="245"/>
        <v>#VALUE!</v>
      </c>
      <c r="AD649" s="400" t="e">
        <f>K649-[25]Blocking1!O649</f>
        <v>#VALUE!</v>
      </c>
    </row>
    <row r="650" spans="1:30" s="622" customFormat="1">
      <c r="A650" s="432" t="s">
        <v>489</v>
      </c>
      <c r="B650" s="404"/>
      <c r="C650" s="550" t="e">
        <f>SUMIF('[25]12P'!$B$2:$B$23,68,'[25]12P'!$L$2:$L$23)</f>
        <v>#VALUE!</v>
      </c>
      <c r="D650" s="523"/>
      <c r="E650" s="557" t="e">
        <f t="shared" si="240"/>
        <v>#VALUE!</v>
      </c>
      <c r="F650" s="523"/>
      <c r="G650" s="434">
        <f>[25]Blocking1!M650</f>
        <v>15.56</v>
      </c>
      <c r="H650" s="563"/>
      <c r="I650" s="625" t="e">
        <f t="shared" si="241"/>
        <v>#VALUE!</v>
      </c>
      <c r="J650" s="523"/>
      <c r="K650" s="625" t="e">
        <f t="shared" si="242"/>
        <v>#VALUE!</v>
      </c>
      <c r="L650" s="523"/>
      <c r="M650" s="434" t="e">
        <f t="shared" si="243"/>
        <v>#VALUE!</v>
      </c>
      <c r="N650" s="563"/>
      <c r="O650" s="625" t="e">
        <f t="shared" si="244"/>
        <v>#VALUE!</v>
      </c>
      <c r="Q650" s="623"/>
      <c r="R650" s="623"/>
      <c r="S650" s="623"/>
      <c r="T650" s="439" t="e">
        <f t="shared" si="245"/>
        <v>#VALUE!</v>
      </c>
      <c r="AD650" s="400" t="e">
        <f>K650-[25]Blocking1!O650</f>
        <v>#VALUE!</v>
      </c>
    </row>
    <row r="651" spans="1:30" s="622" customFormat="1">
      <c r="A651" s="480" t="s">
        <v>442</v>
      </c>
      <c r="B651" s="404"/>
      <c r="C651" s="550"/>
      <c r="D651" s="523"/>
      <c r="E651" s="557"/>
      <c r="F651" s="523"/>
      <c r="G651" s="434"/>
      <c r="H651" s="563"/>
      <c r="I651" s="404"/>
      <c r="J651" s="523"/>
      <c r="K651" s="404"/>
      <c r="L651" s="523"/>
      <c r="M651" s="434"/>
      <c r="N651" s="563"/>
      <c r="O651" s="404"/>
      <c r="Q651" s="623"/>
      <c r="R651" s="623"/>
      <c r="S651" s="623"/>
      <c r="AD651" s="400">
        <f>K651-[25]Blocking1!O651</f>
        <v>0</v>
      </c>
    </row>
    <row r="652" spans="1:30" s="622" customFormat="1">
      <c r="A652" s="432" t="s">
        <v>490</v>
      </c>
      <c r="B652" s="404"/>
      <c r="C652" s="550" t="e">
        <f>SUMIF('[25]12P'!$B$2:$B$23,69,'[25]12P'!$L$2:$L$23)</f>
        <v>#VALUE!</v>
      </c>
      <c r="D652" s="523"/>
      <c r="E652" s="557" t="e">
        <f t="shared" ref="E652:E658" si="246">ROUND(C652*$E$662/$C$662,0)</f>
        <v>#VALUE!</v>
      </c>
      <c r="F652" s="523"/>
      <c r="G652" s="434">
        <f>[25]Blocking1!M652</f>
        <v>9.19</v>
      </c>
      <c r="H652" s="563"/>
      <c r="I652" s="625" t="e">
        <f t="shared" ref="I652:I658" si="247">ROUND(C652*$G652,0)</f>
        <v>#VALUE!</v>
      </c>
      <c r="J652" s="523"/>
      <c r="K652" s="625" t="e">
        <f t="shared" ref="K652:K658" si="248">ROUND(E652*$G652,0)</f>
        <v>#VALUE!</v>
      </c>
      <c r="L652" s="523"/>
      <c r="M652" s="434" t="e">
        <f t="shared" ref="M652:M658" si="249">ROUND(G652*(1+$R$620),2)</f>
        <v>#VALUE!</v>
      </c>
      <c r="N652" s="563"/>
      <c r="O652" s="625" t="e">
        <f t="shared" ref="O652:O658" si="250">ROUND(E652*M652,0)</f>
        <v>#VALUE!</v>
      </c>
      <c r="Q652" s="623"/>
      <c r="R652" s="623"/>
      <c r="S652" s="623"/>
      <c r="T652" s="439" t="e">
        <f t="shared" ref="T652:T658" si="251">M652/G652-1</f>
        <v>#VALUE!</v>
      </c>
      <c r="AD652" s="400" t="e">
        <f>K652-[25]Blocking1!O652</f>
        <v>#VALUE!</v>
      </c>
    </row>
    <row r="653" spans="1:30" s="622" customFormat="1">
      <c r="A653" s="432" t="s">
        <v>474</v>
      </c>
      <c r="B653" s="404"/>
      <c r="C653" s="550" t="e">
        <f>SUMIF('[25]12P'!$B$2:$B$23,37,'[25]12P'!$L$2:$L$23)</f>
        <v>#VALUE!</v>
      </c>
      <c r="D653" s="523"/>
      <c r="E653" s="557" t="e">
        <f t="shared" si="246"/>
        <v>#VALUE!</v>
      </c>
      <c r="F653" s="523"/>
      <c r="G653" s="434">
        <f>[25]Blocking1!M653</f>
        <v>13.57</v>
      </c>
      <c r="H653" s="563"/>
      <c r="I653" s="625" t="e">
        <f t="shared" si="247"/>
        <v>#VALUE!</v>
      </c>
      <c r="J653" s="523"/>
      <c r="K653" s="625" t="e">
        <f t="shared" si="248"/>
        <v>#VALUE!</v>
      </c>
      <c r="L653" s="523"/>
      <c r="M653" s="434" t="e">
        <f t="shared" si="249"/>
        <v>#VALUE!</v>
      </c>
      <c r="N653" s="563"/>
      <c r="O653" s="625" t="e">
        <f t="shared" si="250"/>
        <v>#VALUE!</v>
      </c>
      <c r="Q653" s="623"/>
      <c r="R653" s="623"/>
      <c r="S653" s="623"/>
      <c r="T653" s="439" t="e">
        <f t="shared" si="251"/>
        <v>#VALUE!</v>
      </c>
      <c r="AD653" s="400" t="e">
        <f>K653-[25]Blocking1!O653</f>
        <v>#VALUE!</v>
      </c>
    </row>
    <row r="654" spans="1:30" s="622" customFormat="1">
      <c r="A654" s="432" t="s">
        <v>491</v>
      </c>
      <c r="B654" s="404"/>
      <c r="C654" s="550" t="e">
        <f>SUMIF('[25]12P'!$B$2:$B$23,70,'[25]12P'!$L$2:$L$23)</f>
        <v>#VALUE!</v>
      </c>
      <c r="D654" s="523"/>
      <c r="E654" s="557" t="e">
        <f t="shared" si="246"/>
        <v>#VALUE!</v>
      </c>
      <c r="F654" s="523"/>
      <c r="G654" s="434">
        <f>[25]Blocking1!M654</f>
        <v>11.09</v>
      </c>
      <c r="H654" s="563"/>
      <c r="I654" s="625" t="e">
        <f t="shared" si="247"/>
        <v>#VALUE!</v>
      </c>
      <c r="J654" s="523"/>
      <c r="K654" s="625" t="e">
        <f t="shared" si="248"/>
        <v>#VALUE!</v>
      </c>
      <c r="L654" s="523"/>
      <c r="M654" s="434" t="e">
        <f t="shared" si="249"/>
        <v>#VALUE!</v>
      </c>
      <c r="N654" s="563"/>
      <c r="O654" s="625" t="e">
        <f t="shared" si="250"/>
        <v>#VALUE!</v>
      </c>
      <c r="Q654" s="623"/>
      <c r="R654" s="623"/>
      <c r="S654" s="623"/>
      <c r="T654" s="439" t="e">
        <f t="shared" si="251"/>
        <v>#VALUE!</v>
      </c>
      <c r="AD654" s="400" t="e">
        <f>K654-[25]Blocking1!O654</f>
        <v>#VALUE!</v>
      </c>
    </row>
    <row r="655" spans="1:30" s="622" customFormat="1">
      <c r="A655" s="432" t="s">
        <v>475</v>
      </c>
      <c r="B655" s="404"/>
      <c r="C655" s="550" t="e">
        <f>SUMIF('[25]12P'!$B$2:$B$23,39,'[25]12P'!$L$2:$L$23)</f>
        <v>#VALUE!</v>
      </c>
      <c r="D655" s="523"/>
      <c r="E655" s="557" t="e">
        <f t="shared" si="246"/>
        <v>#VALUE!</v>
      </c>
      <c r="F655" s="523"/>
      <c r="G655" s="434">
        <f>[25]Blocking1!M655</f>
        <v>13.71</v>
      </c>
      <c r="H655" s="563"/>
      <c r="I655" s="625" t="e">
        <f t="shared" si="247"/>
        <v>#VALUE!</v>
      </c>
      <c r="J655" s="523"/>
      <c r="K655" s="625" t="e">
        <f t="shared" si="248"/>
        <v>#VALUE!</v>
      </c>
      <c r="L655" s="523"/>
      <c r="M655" s="434" t="e">
        <f t="shared" si="249"/>
        <v>#VALUE!</v>
      </c>
      <c r="N655" s="563"/>
      <c r="O655" s="625" t="e">
        <f t="shared" si="250"/>
        <v>#VALUE!</v>
      </c>
      <c r="Q655" s="623"/>
      <c r="R655" s="623"/>
      <c r="S655" s="623"/>
      <c r="T655" s="439" t="e">
        <f t="shared" si="251"/>
        <v>#VALUE!</v>
      </c>
      <c r="AD655" s="400" t="e">
        <f>K655-[25]Blocking1!O655</f>
        <v>#VALUE!</v>
      </c>
    </row>
    <row r="656" spans="1:30" s="622" customFormat="1">
      <c r="A656" s="432" t="s">
        <v>492</v>
      </c>
      <c r="B656" s="404"/>
      <c r="C656" s="550" t="e">
        <f>SUMIF('[25]12P'!$B$2:$B$23,71,'[25]12P'!$L$2:$L$23)</f>
        <v>#VALUE!</v>
      </c>
      <c r="D656" s="523"/>
      <c r="E656" s="557" t="e">
        <f t="shared" si="246"/>
        <v>#VALUE!</v>
      </c>
      <c r="F656" s="523"/>
      <c r="G656" s="434">
        <f>[25]Blocking1!M656</f>
        <v>14.13</v>
      </c>
      <c r="H656" s="563"/>
      <c r="I656" s="625" t="e">
        <f t="shared" si="247"/>
        <v>#VALUE!</v>
      </c>
      <c r="J656" s="523"/>
      <c r="K656" s="625" t="e">
        <f t="shared" si="248"/>
        <v>#VALUE!</v>
      </c>
      <c r="L656" s="523"/>
      <c r="M656" s="434" t="e">
        <f t="shared" si="249"/>
        <v>#VALUE!</v>
      </c>
      <c r="N656" s="563"/>
      <c r="O656" s="625" t="e">
        <f t="shared" si="250"/>
        <v>#VALUE!</v>
      </c>
      <c r="Q656" s="623"/>
      <c r="R656" s="623"/>
      <c r="S656" s="623"/>
      <c r="T656" s="439" t="e">
        <f t="shared" si="251"/>
        <v>#VALUE!</v>
      </c>
      <c r="AD656" s="400" t="e">
        <f>K656-[25]Blocking1!O656</f>
        <v>#VALUE!</v>
      </c>
    </row>
    <row r="657" spans="1:30" s="622" customFormat="1">
      <c r="A657" s="432" t="s">
        <v>476</v>
      </c>
      <c r="B657" s="404"/>
      <c r="C657" s="550" t="e">
        <f>SUMIF('[25]12P'!$B$2:$B$23,41,'[25]12P'!$L$2:$L$23)</f>
        <v>#VALUE!</v>
      </c>
      <c r="D657" s="523"/>
      <c r="E657" s="557" t="e">
        <f t="shared" si="246"/>
        <v>#VALUE!</v>
      </c>
      <c r="F657" s="523"/>
      <c r="G657" s="434">
        <f>[25]Blocking1!M657</f>
        <v>14.58</v>
      </c>
      <c r="H657" s="563"/>
      <c r="I657" s="625" t="e">
        <f t="shared" si="247"/>
        <v>#VALUE!</v>
      </c>
      <c r="J657" s="523"/>
      <c r="K657" s="625" t="e">
        <f t="shared" si="248"/>
        <v>#VALUE!</v>
      </c>
      <c r="L657" s="523"/>
      <c r="M657" s="434" t="e">
        <f t="shared" si="249"/>
        <v>#VALUE!</v>
      </c>
      <c r="N657" s="563"/>
      <c r="O657" s="625" t="e">
        <f t="shared" si="250"/>
        <v>#VALUE!</v>
      </c>
      <c r="Q657" s="623"/>
      <c r="R657" s="623"/>
      <c r="S657" s="623"/>
      <c r="T657" s="439" t="e">
        <f t="shared" si="251"/>
        <v>#VALUE!</v>
      </c>
      <c r="AD657" s="400" t="e">
        <f>K657-[25]Blocking1!O657</f>
        <v>#VALUE!</v>
      </c>
    </row>
    <row r="658" spans="1:30" s="622" customFormat="1">
      <c r="A658" s="432" t="s">
        <v>493</v>
      </c>
      <c r="B658" s="404"/>
      <c r="C658" s="550" t="e">
        <f>SUMIF('[25]12P'!$B$2:$B$23,72,'[25]12P'!$L$2:$L$23)</f>
        <v>#VALUE!</v>
      </c>
      <c r="D658" s="523"/>
      <c r="E658" s="500" t="e">
        <f t="shared" si="246"/>
        <v>#VALUE!</v>
      </c>
      <c r="F658" s="523"/>
      <c r="G658" s="563">
        <f>[25]Blocking1!M658</f>
        <v>15.79</v>
      </c>
      <c r="H658" s="563"/>
      <c r="I658" s="625" t="e">
        <f t="shared" si="247"/>
        <v>#VALUE!</v>
      </c>
      <c r="J658" s="523"/>
      <c r="K658" s="625" t="e">
        <f t="shared" si="248"/>
        <v>#VALUE!</v>
      </c>
      <c r="L658" s="523"/>
      <c r="M658" s="563" t="e">
        <f t="shared" si="249"/>
        <v>#VALUE!</v>
      </c>
      <c r="N658" s="563"/>
      <c r="O658" s="624" t="e">
        <f t="shared" si="250"/>
        <v>#VALUE!</v>
      </c>
      <c r="Q658" s="623"/>
      <c r="R658" s="623"/>
      <c r="S658" s="623"/>
      <c r="T658" s="439" t="e">
        <f t="shared" si="251"/>
        <v>#VALUE!</v>
      </c>
      <c r="AD658" s="400" t="e">
        <f>K658-[25]Blocking1!O658</f>
        <v>#VALUE!</v>
      </c>
    </row>
    <row r="659" spans="1:30" s="622" customFormat="1">
      <c r="A659" s="480" t="s">
        <v>494</v>
      </c>
      <c r="B659" s="404"/>
      <c r="C659" s="550"/>
      <c r="D659" s="523"/>
      <c r="E659" s="557"/>
      <c r="F659" s="523"/>
      <c r="G659" s="434"/>
      <c r="H659" s="563"/>
      <c r="I659" s="625"/>
      <c r="J659" s="523"/>
      <c r="K659" s="625"/>
      <c r="L659" s="523"/>
      <c r="M659" s="434"/>
      <c r="N659" s="563"/>
      <c r="O659" s="625"/>
      <c r="Q659" s="623"/>
      <c r="R659" s="623"/>
      <c r="S659" s="623"/>
      <c r="AD659" s="400">
        <f>K659-[25]Blocking1!O659</f>
        <v>0</v>
      </c>
    </row>
    <row r="660" spans="1:30" s="622" customFormat="1">
      <c r="A660" s="432" t="s">
        <v>495</v>
      </c>
      <c r="B660" s="404"/>
      <c r="C660" s="550" t="e">
        <f>SUMIF('[25]12P'!$B$2:$B$23,51,'[25]12P'!$L$2:$L$23)</f>
        <v>#VALUE!</v>
      </c>
      <c r="D660" s="523"/>
      <c r="E660" s="557" t="e">
        <f>ROUND(C660*$E$662/$C$662,0)</f>
        <v>#VALUE!</v>
      </c>
      <c r="F660" s="523"/>
      <c r="G660" s="434">
        <f>[25]Blocking1!M660</f>
        <v>3.75</v>
      </c>
      <c r="H660" s="563"/>
      <c r="I660" s="625" t="e">
        <f>ROUND(C660*$G660,0)</f>
        <v>#VALUE!</v>
      </c>
      <c r="J660" s="523"/>
      <c r="K660" s="625" t="e">
        <f>ROUND(E660*$G660,0)</f>
        <v>#VALUE!</v>
      </c>
      <c r="L660" s="523"/>
      <c r="M660" s="434" t="e">
        <f>ROUND(G660*(1+$R$620),2)</f>
        <v>#VALUE!</v>
      </c>
      <c r="N660" s="563"/>
      <c r="O660" s="625" t="e">
        <f>ROUND(E660*M660,0)</f>
        <v>#VALUE!</v>
      </c>
      <c r="Q660" s="623"/>
      <c r="R660" s="623"/>
      <c r="S660" s="623"/>
      <c r="T660" s="439" t="e">
        <f t="shared" ref="T660:T661" si="252">M660/G660-1</f>
        <v>#VALUE!</v>
      </c>
      <c r="AD660" s="400" t="e">
        <f>K660-[25]Blocking1!O660</f>
        <v>#VALUE!</v>
      </c>
    </row>
    <row r="661" spans="1:30" s="622" customFormat="1">
      <c r="A661" s="432" t="s">
        <v>496</v>
      </c>
      <c r="B661" s="404"/>
      <c r="C661" s="550" t="e">
        <f>SUMIF('[25]12P'!$B$2:$B$23,47,'[25]12P'!$L$2:$L$23)</f>
        <v>#VALUE!</v>
      </c>
      <c r="D661" s="523"/>
      <c r="E661" s="557" t="e">
        <f>ROUND(C661*$E$662/$C$662,0)</f>
        <v>#VALUE!</v>
      </c>
      <c r="F661" s="523"/>
      <c r="G661" s="434">
        <f>[25]Blocking1!M661</f>
        <v>13.92</v>
      </c>
      <c r="H661" s="563"/>
      <c r="I661" s="625" t="e">
        <f>ROUND(C661*$G661,0)</f>
        <v>#VALUE!</v>
      </c>
      <c r="J661" s="523"/>
      <c r="K661" s="625" t="e">
        <f>ROUND(E661*$G661,0)</f>
        <v>#VALUE!</v>
      </c>
      <c r="L661" s="523"/>
      <c r="M661" s="434" t="e">
        <f>ROUND(G661*(1+$R$620),2)</f>
        <v>#VALUE!</v>
      </c>
      <c r="N661" s="563"/>
      <c r="O661" s="625" t="e">
        <f>ROUND(E661*M661,0)</f>
        <v>#VALUE!</v>
      </c>
      <c r="Q661" s="623"/>
      <c r="R661" s="623"/>
      <c r="S661" s="623"/>
      <c r="T661" s="439" t="e">
        <f t="shared" si="252"/>
        <v>#VALUE!</v>
      </c>
      <c r="AD661" s="400" t="e">
        <f>K661-[25]Blocking1!O661</f>
        <v>#VALUE!</v>
      </c>
    </row>
    <row r="662" spans="1:30" s="622" customFormat="1">
      <c r="A662" s="480" t="s">
        <v>478</v>
      </c>
      <c r="B662" s="404"/>
      <c r="C662" s="642">
        <f>'[25]12P'!M25</f>
        <v>5281294.2784323357</v>
      </c>
      <c r="D662" s="523"/>
      <c r="E662" s="627">
        <f>E664</f>
        <v>5219064.5578195509</v>
      </c>
      <c r="F662" s="523"/>
      <c r="G662" s="616"/>
      <c r="H662" s="523"/>
      <c r="I662" s="628" t="e">
        <f>SUM(I633:I661)</f>
        <v>#VALUE!</v>
      </c>
      <c r="J662" s="523"/>
      <c r="K662" s="628" t="e">
        <f>SUM(K633:K661)</f>
        <v>#VALUE!</v>
      </c>
      <c r="L662" s="523"/>
      <c r="M662" s="616"/>
      <c r="N662" s="523"/>
      <c r="O662" s="628" t="e">
        <f>SUM(O633:O661)</f>
        <v>#VALUE!</v>
      </c>
      <c r="Q662" s="623"/>
      <c r="R662" s="623"/>
      <c r="S662" s="623"/>
      <c r="AD662" s="400" t="e">
        <f>K662-[25]Blocking1!O662</f>
        <v>#VALUE!</v>
      </c>
    </row>
    <row r="663" spans="1:30" s="622" customFormat="1">
      <c r="A663" s="480" t="s">
        <v>190</v>
      </c>
      <c r="B663" s="404"/>
      <c r="C663" s="459">
        <f>'[25]Table 2'!J121</f>
        <v>-49724</v>
      </c>
      <c r="D663" s="523"/>
      <c r="E663" s="500"/>
      <c r="F663" s="523"/>
      <c r="G663" s="434"/>
      <c r="H663" s="641"/>
      <c r="I663" s="624">
        <f>'[25]Table 3'!F121</f>
        <v>-6893</v>
      </c>
      <c r="J663" s="523"/>
      <c r="K663" s="624"/>
      <c r="L663" s="523"/>
      <c r="M663" s="639"/>
      <c r="N663" s="563"/>
      <c r="O663" s="624"/>
      <c r="Q663" s="623"/>
      <c r="R663" s="623"/>
      <c r="S663" s="623"/>
      <c r="AD663" s="400">
        <f>K663-[25]Blocking1!O663</f>
        <v>0</v>
      </c>
    </row>
    <row r="664" spans="1:30" s="622" customFormat="1">
      <c r="A664" s="480" t="s">
        <v>172</v>
      </c>
      <c r="B664" s="404"/>
      <c r="C664" s="443">
        <f>SUM(C662:C663)</f>
        <v>5231570.2784323357</v>
      </c>
      <c r="D664" s="523"/>
      <c r="E664" s="517">
        <f>[25]Energy!P60</f>
        <v>5219064.5578195509</v>
      </c>
      <c r="F664" s="523"/>
      <c r="G664" s="434"/>
      <c r="H664" s="641"/>
      <c r="I664" s="624" t="e">
        <f>SUM(I662:I663)</f>
        <v>#VALUE!</v>
      </c>
      <c r="J664" s="523"/>
      <c r="K664" s="624" t="e">
        <f>SUM(K662:K663)</f>
        <v>#VALUE!</v>
      </c>
      <c r="L664" s="523"/>
      <c r="M664" s="639"/>
      <c r="N664" s="563"/>
      <c r="O664" s="624" t="e">
        <f>SUM(O662:O663)</f>
        <v>#VALUE!</v>
      </c>
      <c r="Q664" s="416" t="s">
        <v>601</v>
      </c>
      <c r="R664" s="518" t="e">
        <f>O664/K664-1</f>
        <v>#VALUE!</v>
      </c>
      <c r="S664" s="623"/>
      <c r="AD664" s="400" t="e">
        <f>K664-[25]Blocking1!O664</f>
        <v>#VALUE!</v>
      </c>
    </row>
    <row r="665" spans="1:30" s="622" customFormat="1">
      <c r="A665" s="480" t="s">
        <v>29</v>
      </c>
      <c r="B665" s="404"/>
      <c r="C665" s="642">
        <f>'[25]Table 2'!F121</f>
        <v>221.916666666667</v>
      </c>
      <c r="D665" s="523"/>
      <c r="E665" s="642">
        <f>ROUND([25]Bill!P60/12,0)</f>
        <v>221</v>
      </c>
      <c r="F665" s="523"/>
      <c r="G665" s="616"/>
      <c r="H665" s="523"/>
      <c r="I665" s="628"/>
      <c r="J665" s="523"/>
      <c r="K665" s="628"/>
      <c r="L665" s="523"/>
      <c r="M665" s="616"/>
      <c r="N665" s="523"/>
      <c r="O665" s="628"/>
      <c r="Q665" s="623"/>
      <c r="R665" s="623"/>
      <c r="S665" s="623"/>
      <c r="AD665" s="400">
        <f>K665-[25]Blocking1!O665</f>
        <v>0</v>
      </c>
    </row>
    <row r="666" spans="1:30" s="622" customFormat="1">
      <c r="A666" s="643" t="s">
        <v>497</v>
      </c>
      <c r="B666" s="404"/>
      <c r="C666" s="557"/>
      <c r="D666" s="523"/>
      <c r="E666" s="557"/>
      <c r="F666" s="523"/>
      <c r="G666" s="434"/>
      <c r="H666" s="563"/>
      <c r="I666" s="404"/>
      <c r="J666" s="523"/>
      <c r="K666" s="404"/>
      <c r="L666" s="523"/>
      <c r="M666" s="434"/>
      <c r="N666" s="563"/>
      <c r="O666" s="404"/>
      <c r="Q666" s="623"/>
      <c r="R666" s="623"/>
      <c r="S666" s="623"/>
      <c r="AD666" s="400">
        <f>K666-[25]Blocking1!O666</f>
        <v>0</v>
      </c>
    </row>
    <row r="667" spans="1:30" s="622" customFormat="1">
      <c r="A667" s="480" t="s">
        <v>480</v>
      </c>
      <c r="B667" s="404"/>
      <c r="C667" s="557"/>
      <c r="D667" s="523"/>
      <c r="E667" s="557"/>
      <c r="F667" s="523"/>
      <c r="G667" s="434"/>
      <c r="H667" s="563"/>
      <c r="I667" s="625"/>
      <c r="J667" s="523"/>
      <c r="K667" s="625"/>
      <c r="L667" s="523"/>
      <c r="M667" s="434"/>
      <c r="N667" s="563"/>
      <c r="O667" s="625"/>
      <c r="Q667" s="623"/>
      <c r="R667" s="623"/>
      <c r="S667" s="623"/>
      <c r="AD667" s="400">
        <f>K667-[25]Blocking1!O667</f>
        <v>0</v>
      </c>
    </row>
    <row r="668" spans="1:30" s="622" customFormat="1">
      <c r="A668" s="432" t="s">
        <v>460</v>
      </c>
      <c r="B668" s="404"/>
      <c r="C668" s="550" t="e">
        <f>SUMIF('[25]12F'!$B$2:$B$14,5,'[25]12F'!$L$2:$L$14)</f>
        <v>#VALUE!</v>
      </c>
      <c r="D668" s="523"/>
      <c r="E668" s="557" t="e">
        <f>ROUND(C668*$E$686/$C$686,0)</f>
        <v>#VALUE!</v>
      </c>
      <c r="F668" s="523"/>
      <c r="G668" s="434">
        <f>[25]Blocking1!M668</f>
        <v>17.73</v>
      </c>
      <c r="H668" s="563"/>
      <c r="I668" s="625" t="e">
        <f>ROUND(C668*$G668,0)</f>
        <v>#VALUE!</v>
      </c>
      <c r="J668" s="523"/>
      <c r="K668" s="625" t="e">
        <f>ROUND(E668*$G668,0)</f>
        <v>#VALUE!</v>
      </c>
      <c r="L668" s="523"/>
      <c r="M668" s="434" t="e">
        <f>ROUND(G668*(1+$R$620),2)</f>
        <v>#VALUE!</v>
      </c>
      <c r="N668" s="563"/>
      <c r="O668" s="625" t="e">
        <f>ROUND(E668*M668,0)</f>
        <v>#VALUE!</v>
      </c>
      <c r="Q668" s="623"/>
      <c r="R668" s="623"/>
      <c r="S668" s="623"/>
      <c r="T668" s="439" t="e">
        <f t="shared" ref="T668:T669" si="253">M668/G668-1</f>
        <v>#VALUE!</v>
      </c>
      <c r="AD668" s="400" t="e">
        <f>K668-[25]Blocking1!O668</f>
        <v>#VALUE!</v>
      </c>
    </row>
    <row r="669" spans="1:30" s="622" customFormat="1">
      <c r="A669" s="432" t="s">
        <v>455</v>
      </c>
      <c r="B669" s="404"/>
      <c r="C669" s="550" t="e">
        <f>SUMIF('[25]12F'!$B$2:$B$14,7,'[25]12F'!$L$2:$L$14)</f>
        <v>#VALUE!</v>
      </c>
      <c r="D669" s="523"/>
      <c r="E669" s="557" t="e">
        <f>ROUND(C669*$E$686/$C$686,0)</f>
        <v>#VALUE!</v>
      </c>
      <c r="F669" s="523"/>
      <c r="G669" s="434">
        <f>[25]Blocking1!M669</f>
        <v>23.4</v>
      </c>
      <c r="H669" s="563"/>
      <c r="I669" s="625" t="e">
        <f>ROUND(C669*$G669,0)</f>
        <v>#VALUE!</v>
      </c>
      <c r="J669" s="523"/>
      <c r="K669" s="625" t="e">
        <f>ROUND(E669*$G669,0)</f>
        <v>#VALUE!</v>
      </c>
      <c r="L669" s="523"/>
      <c r="M669" s="434" t="e">
        <f>ROUND(G669*(1+$R$620),2)</f>
        <v>#VALUE!</v>
      </c>
      <c r="N669" s="563"/>
      <c r="O669" s="625" t="e">
        <f>ROUND(E669*M669,0)</f>
        <v>#VALUE!</v>
      </c>
      <c r="Q669" s="623"/>
      <c r="R669" s="623"/>
      <c r="S669" s="623"/>
      <c r="T669" s="439" t="e">
        <f t="shared" si="253"/>
        <v>#VALUE!</v>
      </c>
      <c r="AD669" s="400" t="e">
        <f>K669-[25]Blocking1!O669</f>
        <v>#VALUE!</v>
      </c>
    </row>
    <row r="670" spans="1:30" s="622" customFormat="1">
      <c r="A670" s="480" t="s">
        <v>482</v>
      </c>
      <c r="B670" s="404"/>
      <c r="C670" s="550"/>
      <c r="D670" s="523"/>
      <c r="E670" s="557"/>
      <c r="F670" s="523"/>
      <c r="G670" s="404"/>
      <c r="H670" s="523"/>
      <c r="I670" s="404"/>
      <c r="J670" s="523"/>
      <c r="K670" s="404"/>
      <c r="L670" s="523"/>
      <c r="M670" s="404"/>
      <c r="N670" s="523"/>
      <c r="O670" s="404"/>
      <c r="Q670" s="623"/>
      <c r="R670" s="623"/>
      <c r="S670" s="623"/>
      <c r="AD670" s="400">
        <f>K670-[25]Blocking1!O670</f>
        <v>0</v>
      </c>
    </row>
    <row r="671" spans="1:30" s="622" customFormat="1">
      <c r="A671" s="432" t="s">
        <v>370</v>
      </c>
      <c r="B671" s="404"/>
      <c r="C671" s="550" t="e">
        <f>SUMIF('[25]12F'!$B$2:$B$14,11,'[25]12F'!$L$2:$L$14)</f>
        <v>#VALUE!</v>
      </c>
      <c r="D671" s="523"/>
      <c r="E671" s="557" t="e">
        <f>ROUND(C671*$E$686/$C$686,0)</f>
        <v>#VALUE!</v>
      </c>
      <c r="F671" s="523"/>
      <c r="G671" s="434">
        <f>[25]Blocking1!M671</f>
        <v>8.0299999999999994</v>
      </c>
      <c r="H671" s="563"/>
      <c r="I671" s="625" t="e">
        <f>ROUND(C671*$G671,0)</f>
        <v>#VALUE!</v>
      </c>
      <c r="J671" s="523"/>
      <c r="K671" s="625" t="e">
        <f>ROUND(E671*$G671,0)</f>
        <v>#VALUE!</v>
      </c>
      <c r="L671" s="523"/>
      <c r="M671" s="434" t="e">
        <f>ROUND(G671*(1+$R$620),2)</f>
        <v>#VALUE!</v>
      </c>
      <c r="N671" s="563"/>
      <c r="O671" s="625" t="e">
        <f>ROUND(E671*M671,0)</f>
        <v>#VALUE!</v>
      </c>
      <c r="Q671" s="623"/>
      <c r="R671" s="623"/>
      <c r="S671" s="623"/>
      <c r="T671" s="439" t="e">
        <f t="shared" ref="T671:T673" si="254">M671/G671-1</f>
        <v>#VALUE!</v>
      </c>
      <c r="AD671" s="400" t="e">
        <f>K671-[25]Blocking1!O671</f>
        <v>#VALUE!</v>
      </c>
    </row>
    <row r="672" spans="1:30" s="622" customFormat="1">
      <c r="A672" s="432" t="s">
        <v>372</v>
      </c>
      <c r="B672" s="404"/>
      <c r="C672" s="550" t="e">
        <f>SUMIF('[25]12F'!$B$2:$B$14,15,'[25]12F'!$L$2:$L$14)</f>
        <v>#VALUE!</v>
      </c>
      <c r="D672" s="523"/>
      <c r="E672" s="557" t="e">
        <f>ROUND(C672*$E$686/$C$686,0)</f>
        <v>#VALUE!</v>
      </c>
      <c r="F672" s="523"/>
      <c r="G672" s="434">
        <f>[25]Blocking1!M672</f>
        <v>15.3</v>
      </c>
      <c r="H672" s="563"/>
      <c r="I672" s="625" t="e">
        <f>ROUND(C672*$G672,0)</f>
        <v>#VALUE!</v>
      </c>
      <c r="J672" s="523"/>
      <c r="K672" s="625" t="e">
        <f>ROUND(E672*$G672,0)</f>
        <v>#VALUE!</v>
      </c>
      <c r="L672" s="523"/>
      <c r="M672" s="434" t="e">
        <f>ROUND(G672*(1+$R$620),2)</f>
        <v>#VALUE!</v>
      </c>
      <c r="N672" s="563"/>
      <c r="O672" s="625" t="e">
        <f>ROUND(E672*M672,0)</f>
        <v>#VALUE!</v>
      </c>
      <c r="Q672" s="623"/>
      <c r="R672" s="623"/>
      <c r="S672" s="623"/>
      <c r="T672" s="439" t="e">
        <f t="shared" si="254"/>
        <v>#VALUE!</v>
      </c>
      <c r="AD672" s="400" t="e">
        <f>K672-[25]Blocking1!O672</f>
        <v>#VALUE!</v>
      </c>
    </row>
    <row r="673" spans="1:30" s="622" customFormat="1">
      <c r="A673" s="432" t="s">
        <v>483</v>
      </c>
      <c r="B673" s="404"/>
      <c r="C673" s="517" t="e">
        <f>SUMIF('[25]12F'!$B$2:$B$14,19,'[25]12F'!$L$2:$L$14)</f>
        <v>#VALUE!</v>
      </c>
      <c r="D673" s="523"/>
      <c r="E673" s="557" t="e">
        <f>ROUND(C673*$E$686/$C$686,0)</f>
        <v>#VALUE!</v>
      </c>
      <c r="F673" s="523"/>
      <c r="G673" s="563">
        <f>[25]Blocking1!M673</f>
        <v>32.479999999999997</v>
      </c>
      <c r="H673" s="563"/>
      <c r="I673" s="625" t="e">
        <f>ROUND(C673*$G673,0)</f>
        <v>#VALUE!</v>
      </c>
      <c r="J673" s="523"/>
      <c r="K673" s="625" t="e">
        <f>ROUND(E673*$G673,0)</f>
        <v>#VALUE!</v>
      </c>
      <c r="L673" s="523"/>
      <c r="M673" s="563" t="e">
        <f>ROUND(G673*(1+$R$620),2)</f>
        <v>#VALUE!</v>
      </c>
      <c r="N673" s="563"/>
      <c r="O673" s="624" t="e">
        <f>ROUND(E673*M673,0)</f>
        <v>#VALUE!</v>
      </c>
      <c r="Q673" s="623"/>
      <c r="R673" s="623"/>
      <c r="S673" s="623"/>
      <c r="T673" s="439" t="e">
        <f t="shared" si="254"/>
        <v>#VALUE!</v>
      </c>
      <c r="AD673" s="400" t="e">
        <f>K673-[25]Blocking1!O673</f>
        <v>#VALUE!</v>
      </c>
    </row>
    <row r="674" spans="1:30" s="622" customFormat="1" ht="14.25" customHeight="1">
      <c r="A674" s="480" t="s">
        <v>426</v>
      </c>
      <c r="B674" s="404"/>
      <c r="C674" s="550"/>
      <c r="D674" s="523"/>
      <c r="E674" s="557"/>
      <c r="F674" s="523"/>
      <c r="G674" s="496"/>
      <c r="H674" s="618"/>
      <c r="I674" s="625"/>
      <c r="J674" s="523"/>
      <c r="K674" s="625"/>
      <c r="L674" s="523"/>
      <c r="M674" s="496"/>
      <c r="N674" s="618"/>
      <c r="O674" s="625"/>
      <c r="Q674" s="623"/>
      <c r="R674" s="623"/>
      <c r="S674" s="623"/>
      <c r="AD674" s="400">
        <f>K674-[25]Blocking1!O674</f>
        <v>0</v>
      </c>
    </row>
    <row r="675" spans="1:30" s="622" customFormat="1">
      <c r="A675" s="432" t="s">
        <v>468</v>
      </c>
      <c r="B675" s="404"/>
      <c r="C675" s="550" t="e">
        <f>SUMIF('[25]12F'!$B$2:$B$14,21,'[25]12F'!$L$2:$L$14)</f>
        <v>#VALUE!</v>
      </c>
      <c r="D675" s="523"/>
      <c r="E675" s="557" t="e">
        <f t="shared" ref="E675:E680" si="255">ROUND(C675*$E$686/$C$686,0)</f>
        <v>#VALUE!</v>
      </c>
      <c r="F675" s="523"/>
      <c r="G675" s="434">
        <f>[25]Blocking1!M675</f>
        <v>4.68</v>
      </c>
      <c r="H675" s="563"/>
      <c r="I675" s="625" t="e">
        <f t="shared" ref="I675:I680" si="256">ROUND(C675*$G675,0)</f>
        <v>#VALUE!</v>
      </c>
      <c r="J675" s="523"/>
      <c r="K675" s="625" t="e">
        <f t="shared" ref="K675:K680" si="257">ROUND(E675*$G675,0)</f>
        <v>#VALUE!</v>
      </c>
      <c r="L675" s="523"/>
      <c r="M675" s="434" t="e">
        <f t="shared" ref="M675:M680" si="258">ROUND(G675*(1+$R$620),2)</f>
        <v>#VALUE!</v>
      </c>
      <c r="N675" s="563"/>
      <c r="O675" s="625" t="e">
        <f t="shared" ref="O675:O680" si="259">ROUND(E675*M675,0)</f>
        <v>#VALUE!</v>
      </c>
      <c r="Q675" s="623"/>
      <c r="R675" s="623"/>
      <c r="S675" s="623"/>
      <c r="T675" s="439" t="e">
        <f t="shared" ref="T675:T680" si="260">M675/G675-1</f>
        <v>#VALUE!</v>
      </c>
      <c r="AD675" s="400" t="e">
        <f>K675-[25]Blocking1!O675</f>
        <v>#VALUE!</v>
      </c>
    </row>
    <row r="676" spans="1:30" s="622" customFormat="1">
      <c r="A676" s="432" t="s">
        <v>469</v>
      </c>
      <c r="B676" s="404"/>
      <c r="C676" s="550" t="e">
        <f>SUMIF('[25]12F'!$B$2:$B$14,23,'[25]12F'!$L$2:$L$14)</f>
        <v>#VALUE!</v>
      </c>
      <c r="D676" s="523"/>
      <c r="E676" s="557" t="e">
        <f t="shared" si="255"/>
        <v>#VALUE!</v>
      </c>
      <c r="F676" s="523"/>
      <c r="G676" s="434">
        <f>[25]Blocking1!M676</f>
        <v>6.16</v>
      </c>
      <c r="H676" s="563"/>
      <c r="I676" s="625" t="e">
        <f t="shared" si="256"/>
        <v>#VALUE!</v>
      </c>
      <c r="J676" s="523"/>
      <c r="K676" s="625" t="e">
        <f t="shared" si="257"/>
        <v>#VALUE!</v>
      </c>
      <c r="L676" s="523"/>
      <c r="M676" s="434" t="e">
        <f t="shared" si="258"/>
        <v>#VALUE!</v>
      </c>
      <c r="N676" s="563"/>
      <c r="O676" s="625" t="e">
        <f t="shared" si="259"/>
        <v>#VALUE!</v>
      </c>
      <c r="Q676" s="623"/>
      <c r="R676" s="623"/>
      <c r="S676" s="623"/>
      <c r="T676" s="439" t="e">
        <f t="shared" si="260"/>
        <v>#VALUE!</v>
      </c>
      <c r="AD676" s="400" t="e">
        <f>K676-[25]Blocking1!O676</f>
        <v>#VALUE!</v>
      </c>
    </row>
    <row r="677" spans="1:30" s="622" customFormat="1">
      <c r="A677" s="432" t="s">
        <v>470</v>
      </c>
      <c r="B677" s="404"/>
      <c r="C677" s="550" t="e">
        <f>SUMIF('[25]12F'!$B$2:$B$14,25,'[25]12F'!$L$2:$L$14)</f>
        <v>#VALUE!</v>
      </c>
      <c r="D677" s="523"/>
      <c r="E677" s="557" t="e">
        <f t="shared" si="255"/>
        <v>#VALUE!</v>
      </c>
      <c r="F677" s="523"/>
      <c r="G677" s="434">
        <f>[25]Blocking1!M677</f>
        <v>7.47</v>
      </c>
      <c r="H677" s="563"/>
      <c r="I677" s="625" t="e">
        <f t="shared" si="256"/>
        <v>#VALUE!</v>
      </c>
      <c r="J677" s="523"/>
      <c r="K677" s="625" t="e">
        <f t="shared" si="257"/>
        <v>#VALUE!</v>
      </c>
      <c r="L677" s="523"/>
      <c r="M677" s="434" t="e">
        <f t="shared" si="258"/>
        <v>#VALUE!</v>
      </c>
      <c r="N677" s="563"/>
      <c r="O677" s="625" t="e">
        <f t="shared" si="259"/>
        <v>#VALUE!</v>
      </c>
      <c r="Q677" s="623"/>
      <c r="R677" s="623"/>
      <c r="S677" s="623"/>
      <c r="T677" s="439" t="e">
        <f t="shared" si="260"/>
        <v>#VALUE!</v>
      </c>
      <c r="AD677" s="400" t="e">
        <f>K677-[25]Blocking1!O677</f>
        <v>#VALUE!</v>
      </c>
    </row>
    <row r="678" spans="1:30" s="622" customFormat="1">
      <c r="A678" s="432" t="s">
        <v>380</v>
      </c>
      <c r="B678" s="404"/>
      <c r="C678" s="550" t="e">
        <f>SUMIF('[25]12F'!$B$2:$B$14,45,'[25]12F'!$L$2:$L$14)</f>
        <v>#VALUE!</v>
      </c>
      <c r="D678" s="523"/>
      <c r="E678" s="557" t="e">
        <f t="shared" si="255"/>
        <v>#VALUE!</v>
      </c>
      <c r="F678" s="523"/>
      <c r="G678" s="434">
        <f>[25]Blocking1!M678</f>
        <v>9.44</v>
      </c>
      <c r="H678" s="563"/>
      <c r="I678" s="625" t="e">
        <f t="shared" si="256"/>
        <v>#VALUE!</v>
      </c>
      <c r="J678" s="523"/>
      <c r="K678" s="625" t="e">
        <f t="shared" si="257"/>
        <v>#VALUE!</v>
      </c>
      <c r="L678" s="523"/>
      <c r="M678" s="434" t="e">
        <f t="shared" si="258"/>
        <v>#VALUE!</v>
      </c>
      <c r="N678" s="563"/>
      <c r="O678" s="625" t="e">
        <f t="shared" si="259"/>
        <v>#VALUE!</v>
      </c>
      <c r="Q678" s="623"/>
      <c r="R678" s="623"/>
      <c r="S678" s="623"/>
      <c r="T678" s="439" t="e">
        <f t="shared" si="260"/>
        <v>#VALUE!</v>
      </c>
      <c r="AD678" s="400" t="e">
        <f>K678-[25]Blocking1!O678</f>
        <v>#VALUE!</v>
      </c>
    </row>
    <row r="679" spans="1:30" s="622" customFormat="1">
      <c r="A679" s="432" t="s">
        <v>471</v>
      </c>
      <c r="B679" s="404"/>
      <c r="C679" s="550" t="e">
        <f>SUMIF('[25]12F'!$B$2:$B$14,27,'[25]12F'!$L$2:$L$14)</f>
        <v>#VALUE!</v>
      </c>
      <c r="D679" s="523"/>
      <c r="E679" s="557" t="e">
        <f t="shared" si="255"/>
        <v>#VALUE!</v>
      </c>
      <c r="F679" s="523"/>
      <c r="G679" s="434">
        <f>[25]Blocking1!M679</f>
        <v>10.99</v>
      </c>
      <c r="H679" s="563"/>
      <c r="I679" s="625" t="e">
        <f t="shared" si="256"/>
        <v>#VALUE!</v>
      </c>
      <c r="J679" s="523"/>
      <c r="K679" s="625" t="e">
        <f t="shared" si="257"/>
        <v>#VALUE!</v>
      </c>
      <c r="L679" s="523"/>
      <c r="M679" s="434" t="e">
        <f t="shared" si="258"/>
        <v>#VALUE!</v>
      </c>
      <c r="N679" s="563"/>
      <c r="O679" s="625" t="e">
        <f t="shared" si="259"/>
        <v>#VALUE!</v>
      </c>
      <c r="Q679" s="623"/>
      <c r="R679" s="623"/>
      <c r="S679" s="623"/>
      <c r="T679" s="439" t="e">
        <f t="shared" si="260"/>
        <v>#VALUE!</v>
      </c>
      <c r="AD679" s="400" t="e">
        <f>K679-[25]Blocking1!O679</f>
        <v>#VALUE!</v>
      </c>
    </row>
    <row r="680" spans="1:30" s="622" customFormat="1">
      <c r="A680" s="432" t="s">
        <v>472</v>
      </c>
      <c r="B680" s="404"/>
      <c r="C680" s="550" t="e">
        <f>SUMIF('[25]12F'!$B$2:$B$14,29,'[25]12F'!$L$2:$L$14)</f>
        <v>#VALUE!</v>
      </c>
      <c r="D680" s="523"/>
      <c r="E680" s="557" t="e">
        <f t="shared" si="255"/>
        <v>#VALUE!</v>
      </c>
      <c r="F680" s="523"/>
      <c r="G680" s="434">
        <f>[25]Blocking1!M680</f>
        <v>16.02</v>
      </c>
      <c r="H680" s="563"/>
      <c r="I680" s="625" t="e">
        <f t="shared" si="256"/>
        <v>#VALUE!</v>
      </c>
      <c r="J680" s="523"/>
      <c r="K680" s="625" t="e">
        <f t="shared" si="257"/>
        <v>#VALUE!</v>
      </c>
      <c r="L680" s="523"/>
      <c r="M680" s="434" t="e">
        <f t="shared" si="258"/>
        <v>#VALUE!</v>
      </c>
      <c r="N680" s="563"/>
      <c r="O680" s="625" t="e">
        <f t="shared" si="259"/>
        <v>#VALUE!</v>
      </c>
      <c r="Q680" s="623"/>
      <c r="R680" s="623"/>
      <c r="S680" s="623"/>
      <c r="T680" s="439" t="e">
        <f t="shared" si="260"/>
        <v>#VALUE!</v>
      </c>
      <c r="AD680" s="400" t="e">
        <f>K680-[25]Blocking1!O680</f>
        <v>#VALUE!</v>
      </c>
    </row>
    <row r="681" spans="1:30" s="622" customFormat="1">
      <c r="A681" s="480" t="s">
        <v>442</v>
      </c>
      <c r="B681" s="404"/>
      <c r="C681" s="550"/>
      <c r="D681" s="523"/>
      <c r="E681" s="557"/>
      <c r="F681" s="523"/>
      <c r="G681" s="404"/>
      <c r="H681" s="523"/>
      <c r="I681" s="404"/>
      <c r="J681" s="523"/>
      <c r="K681" s="404"/>
      <c r="L681" s="523"/>
      <c r="M681" s="404"/>
      <c r="N681" s="523"/>
      <c r="O681" s="404"/>
      <c r="Q681" s="623"/>
      <c r="R681" s="623"/>
      <c r="S681" s="623"/>
      <c r="AD681" s="400">
        <f>K681-[25]Blocking1!O681</f>
        <v>0</v>
      </c>
    </row>
    <row r="682" spans="1:30" s="622" customFormat="1">
      <c r="A682" s="432" t="s">
        <v>474</v>
      </c>
      <c r="B682" s="404"/>
      <c r="C682" s="550" t="e">
        <f>SUMIF('[25]12F'!$B$2:$B$14,31,'[25]12F'!$L$2:$L$14)</f>
        <v>#VALUE!</v>
      </c>
      <c r="D682" s="523"/>
      <c r="E682" s="557" t="e">
        <f>ROUND(C682*$E$686/$C$686,0)</f>
        <v>#VALUE!</v>
      </c>
      <c r="F682" s="523"/>
      <c r="G682" s="434">
        <f>[25]Blocking1!M682</f>
        <v>15.58</v>
      </c>
      <c r="H682" s="563"/>
      <c r="I682" s="625" t="e">
        <f>ROUND(C682*$G682,0)</f>
        <v>#VALUE!</v>
      </c>
      <c r="J682" s="523"/>
      <c r="K682" s="625" t="e">
        <f>ROUND(E682*$G682,0)</f>
        <v>#VALUE!</v>
      </c>
      <c r="L682" s="523"/>
      <c r="M682" s="434" t="e">
        <f>ROUND(G682*(1+$R$620),2)</f>
        <v>#VALUE!</v>
      </c>
      <c r="N682" s="563"/>
      <c r="O682" s="625" t="e">
        <f>ROUND(E682*M682,0)</f>
        <v>#VALUE!</v>
      </c>
      <c r="Q682" s="623"/>
      <c r="R682" s="623"/>
      <c r="S682" s="623"/>
      <c r="T682" s="439" t="e">
        <f t="shared" ref="T682:T685" si="261">M682/G682-1</f>
        <v>#VALUE!</v>
      </c>
      <c r="AD682" s="400" t="e">
        <f>K682-[25]Blocking1!O682</f>
        <v>#VALUE!</v>
      </c>
    </row>
    <row r="683" spans="1:30" s="622" customFormat="1">
      <c r="A683" s="432" t="s">
        <v>475</v>
      </c>
      <c r="B683" s="404"/>
      <c r="C683" s="550" t="e">
        <f>SUMIF('[25]12F'!$B$2:$B$14,33,'[25]12F'!$L$2:$L$14)</f>
        <v>#VALUE!</v>
      </c>
      <c r="D683" s="523"/>
      <c r="E683" s="557" t="e">
        <f>ROUND(C683*$E$686/$C$686,0)</f>
        <v>#VALUE!</v>
      </c>
      <c r="F683" s="523"/>
      <c r="G683" s="434">
        <f>[25]Blocking1!M683</f>
        <v>15.73</v>
      </c>
      <c r="H683" s="563"/>
      <c r="I683" s="625" t="e">
        <f>ROUND(C683*$G683,0)</f>
        <v>#VALUE!</v>
      </c>
      <c r="J683" s="523"/>
      <c r="K683" s="625" t="e">
        <f>ROUND(E683*$G683,0)</f>
        <v>#VALUE!</v>
      </c>
      <c r="L683" s="523"/>
      <c r="M683" s="434" t="e">
        <f>ROUND(G683*(1+$R$620),2)</f>
        <v>#VALUE!</v>
      </c>
      <c r="N683" s="563"/>
      <c r="O683" s="625" t="e">
        <f>ROUND(E683*M683,0)</f>
        <v>#VALUE!</v>
      </c>
      <c r="Q683" s="623"/>
      <c r="R683" s="623"/>
      <c r="S683" s="623"/>
      <c r="T683" s="439" t="e">
        <f t="shared" si="261"/>
        <v>#VALUE!</v>
      </c>
      <c r="AD683" s="400" t="e">
        <f>K683-[25]Blocking1!O683</f>
        <v>#VALUE!</v>
      </c>
    </row>
    <row r="684" spans="1:30" s="622" customFormat="1">
      <c r="A684" s="432" t="s">
        <v>476</v>
      </c>
      <c r="B684" s="404"/>
      <c r="C684" s="550" t="e">
        <f>SUMIF('[25]12F'!$B$2:$B$14,35,'[25]12F'!$L$2:$L$14)</f>
        <v>#VALUE!</v>
      </c>
      <c r="D684" s="523"/>
      <c r="E684" s="557" t="e">
        <f>ROUND(C684*$E$686/$C$686,0)</f>
        <v>#VALUE!</v>
      </c>
      <c r="F684" s="523"/>
      <c r="G684" s="434">
        <f>[25]Blocking1!M684</f>
        <v>16.72</v>
      </c>
      <c r="H684" s="563"/>
      <c r="I684" s="625" t="e">
        <f>ROUND(C684*$G684,0)</f>
        <v>#VALUE!</v>
      </c>
      <c r="J684" s="523"/>
      <c r="K684" s="625" t="e">
        <f>ROUND(E684*$G684,0)</f>
        <v>#VALUE!</v>
      </c>
      <c r="L684" s="523"/>
      <c r="M684" s="434" t="e">
        <f>ROUND(G684*(1+$R$620),2)</f>
        <v>#VALUE!</v>
      </c>
      <c r="N684" s="563"/>
      <c r="O684" s="625" t="e">
        <f>ROUND(E684*M684,0)</f>
        <v>#VALUE!</v>
      </c>
      <c r="Q684" s="623"/>
      <c r="R684" s="623"/>
      <c r="S684" s="623"/>
      <c r="T684" s="439" t="e">
        <f t="shared" si="261"/>
        <v>#VALUE!</v>
      </c>
      <c r="AD684" s="400" t="e">
        <f>K684-[25]Blocking1!O684</f>
        <v>#VALUE!</v>
      </c>
    </row>
    <row r="685" spans="1:30" s="622" customFormat="1">
      <c r="A685" s="432" t="s">
        <v>498</v>
      </c>
      <c r="B685" s="404"/>
      <c r="C685" s="550" t="e">
        <f>SUMIF('[25]12F'!$B$2:$B$14,37,'[25]12F'!$L$2:$L$14)</f>
        <v>#VALUE!</v>
      </c>
      <c r="D685" s="523"/>
      <c r="E685" s="557" t="e">
        <f>ROUND(C685*$E$686/$C$686,0)</f>
        <v>#VALUE!</v>
      </c>
      <c r="F685" s="523"/>
      <c r="G685" s="434">
        <f>[25]Blocking1!M685</f>
        <v>33.049999999999997</v>
      </c>
      <c r="H685" s="563"/>
      <c r="I685" s="625" t="e">
        <f>ROUND(C685*$G685,0)</f>
        <v>#VALUE!</v>
      </c>
      <c r="J685" s="523"/>
      <c r="K685" s="625" t="e">
        <f>ROUND(E685*$G685,0)</f>
        <v>#VALUE!</v>
      </c>
      <c r="L685" s="523"/>
      <c r="M685" s="434" t="e">
        <f>ROUND(G685*(1+$R$620),2)</f>
        <v>#VALUE!</v>
      </c>
      <c r="N685" s="563"/>
      <c r="O685" s="625" t="e">
        <f>ROUND(E685*M685,0)</f>
        <v>#VALUE!</v>
      </c>
      <c r="Q685" s="623"/>
      <c r="R685" s="623"/>
      <c r="S685" s="623"/>
      <c r="T685" s="439" t="e">
        <f t="shared" si="261"/>
        <v>#VALUE!</v>
      </c>
      <c r="AD685" s="400" t="e">
        <f>K685-[25]Blocking1!O685</f>
        <v>#VALUE!</v>
      </c>
    </row>
    <row r="686" spans="1:30" s="622" customFormat="1">
      <c r="A686" s="480" t="s">
        <v>478</v>
      </c>
      <c r="B686" s="404"/>
      <c r="C686" s="642">
        <f>'[25]12F'!M16</f>
        <v>1641492.9922078296</v>
      </c>
      <c r="D686" s="523"/>
      <c r="E686" s="627">
        <f>E688</f>
        <v>1644139.7735008644</v>
      </c>
      <c r="F686" s="523"/>
      <c r="G686" s="616"/>
      <c r="H686" s="523"/>
      <c r="I686" s="628" t="e">
        <f>SUM(I668:I685)</f>
        <v>#VALUE!</v>
      </c>
      <c r="J686" s="523"/>
      <c r="K686" s="628" t="e">
        <f>SUM(K668:K685)</f>
        <v>#VALUE!</v>
      </c>
      <c r="L686" s="523"/>
      <c r="M686" s="616"/>
      <c r="N686" s="523"/>
      <c r="O686" s="628" t="e">
        <f>SUM(O668:O685)</f>
        <v>#VALUE!</v>
      </c>
      <c r="Q686" s="623"/>
      <c r="R686" s="623"/>
      <c r="S686" s="623"/>
      <c r="AD686" s="400" t="e">
        <f>K686-[25]Blocking1!O686</f>
        <v>#VALUE!</v>
      </c>
    </row>
    <row r="687" spans="1:30" s="622" customFormat="1">
      <c r="A687" s="480" t="s">
        <v>190</v>
      </c>
      <c r="B687" s="404"/>
      <c r="C687" s="459">
        <f>'[25]Table 2'!J120</f>
        <v>-15430</v>
      </c>
      <c r="D687" s="523"/>
      <c r="E687" s="500"/>
      <c r="F687" s="523"/>
      <c r="G687" s="563"/>
      <c r="H687" s="641"/>
      <c r="I687" s="624">
        <f>'[25]Table 3'!F120</f>
        <v>-2370</v>
      </c>
      <c r="J687" s="523"/>
      <c r="K687" s="624"/>
      <c r="L687" s="523"/>
      <c r="M687" s="639"/>
      <c r="N687" s="563"/>
      <c r="O687" s="624"/>
      <c r="Q687" s="623"/>
      <c r="R687" s="623"/>
      <c r="S687" s="623"/>
      <c r="AD687" s="400">
        <f>K687-[25]Blocking1!O687</f>
        <v>0</v>
      </c>
    </row>
    <row r="688" spans="1:30" s="622" customFormat="1">
      <c r="A688" s="480" t="s">
        <v>172</v>
      </c>
      <c r="B688" s="404"/>
      <c r="C688" s="443">
        <f>SUM(C686:C687)</f>
        <v>1626062.9922078296</v>
      </c>
      <c r="D688" s="523"/>
      <c r="E688" s="517">
        <f>[25]Energy!P59</f>
        <v>1644139.7735008644</v>
      </c>
      <c r="F688" s="523"/>
      <c r="G688" s="563"/>
      <c r="H688" s="641"/>
      <c r="I688" s="624" t="e">
        <f>SUM(I686:I687)</f>
        <v>#VALUE!</v>
      </c>
      <c r="J688" s="523"/>
      <c r="K688" s="624" t="e">
        <f>SUM(K686:K687)</f>
        <v>#VALUE!</v>
      </c>
      <c r="L688" s="523"/>
      <c r="M688" s="639"/>
      <c r="N688" s="563"/>
      <c r="O688" s="624" t="e">
        <f>SUM(O686:O687)</f>
        <v>#VALUE!</v>
      </c>
      <c r="Q688" s="416" t="s">
        <v>601</v>
      </c>
      <c r="R688" s="518" t="e">
        <f>O688/K688-1</f>
        <v>#VALUE!</v>
      </c>
      <c r="S688" s="623"/>
      <c r="AD688" s="400" t="e">
        <f>K688-[25]Blocking1!O688</f>
        <v>#VALUE!</v>
      </c>
    </row>
    <row r="689" spans="1:30" s="622" customFormat="1">
      <c r="A689" s="480" t="s">
        <v>29</v>
      </c>
      <c r="B689" s="404"/>
      <c r="C689" s="642">
        <f>'[25]Table 2'!F120</f>
        <v>99.5</v>
      </c>
      <c r="D689" s="523"/>
      <c r="E689" s="642">
        <f>ROUND([25]Bill!P59/12,0)</f>
        <v>99</v>
      </c>
      <c r="F689" s="523"/>
      <c r="G689" s="616"/>
      <c r="H689" s="523"/>
      <c r="I689" s="628"/>
      <c r="J689" s="523"/>
      <c r="K689" s="628"/>
      <c r="L689" s="523"/>
      <c r="M689" s="616"/>
      <c r="N689" s="523"/>
      <c r="O689" s="628"/>
      <c r="P689" s="629"/>
      <c r="Q689" s="623"/>
      <c r="R689" s="623"/>
      <c r="S689" s="623"/>
      <c r="AD689" s="400">
        <f>K689-[25]Blocking1!O689</f>
        <v>0</v>
      </c>
    </row>
    <row r="690" spans="1:30" s="622" customFormat="1">
      <c r="A690" s="432"/>
      <c r="B690" s="404"/>
      <c r="C690" s="500"/>
      <c r="D690" s="523"/>
      <c r="E690" s="500"/>
      <c r="F690" s="523"/>
      <c r="G690" s="563"/>
      <c r="H690" s="563"/>
      <c r="I690" s="624"/>
      <c r="J690" s="523"/>
      <c r="K690" s="624"/>
      <c r="L690" s="523"/>
      <c r="M690" s="563"/>
      <c r="N690" s="563"/>
      <c r="O690" s="624"/>
      <c r="P690" s="629"/>
      <c r="Q690" s="623"/>
      <c r="R690" s="623"/>
      <c r="S690" s="623"/>
      <c r="AD690" s="400">
        <f>K690-[25]Blocking1!O690</f>
        <v>0</v>
      </c>
    </row>
    <row r="691" spans="1:30" s="622" customFormat="1">
      <c r="A691" s="432" t="s">
        <v>499</v>
      </c>
      <c r="B691" s="404"/>
      <c r="C691" s="644">
        <f>C627+C662+C686</f>
        <v>57830259.553552084</v>
      </c>
      <c r="D691" s="523"/>
      <c r="E691" s="644">
        <f>E694</f>
        <v>56516774.129293256</v>
      </c>
      <c r="F691" s="523"/>
      <c r="G691" s="616"/>
      <c r="H691" s="523"/>
      <c r="I691" s="628" t="e">
        <f>I627+I662+I686</f>
        <v>#VALUE!</v>
      </c>
      <c r="J691" s="523"/>
      <c r="K691" s="628" t="e">
        <f>K627+K662+K686</f>
        <v>#VALUE!</v>
      </c>
      <c r="L691" s="523"/>
      <c r="M691" s="616"/>
      <c r="N691" s="523"/>
      <c r="O691" s="628" t="e">
        <f>O627+O662+O686</f>
        <v>#VALUE!</v>
      </c>
      <c r="Q691" s="623"/>
      <c r="R691" s="623"/>
      <c r="S691" s="623"/>
      <c r="AD691" s="400" t="e">
        <f>K691-[25]Blocking1!O691</f>
        <v>#VALUE!</v>
      </c>
    </row>
    <row r="692" spans="1:30" s="622" customFormat="1">
      <c r="A692" s="432" t="s">
        <v>173</v>
      </c>
      <c r="B692" s="404"/>
      <c r="C692" s="591">
        <f>C630+C665+C689</f>
        <v>851.08333333333394</v>
      </c>
      <c r="D692" s="523"/>
      <c r="E692" s="591">
        <f>E630+E665+E689</f>
        <v>839</v>
      </c>
      <c r="F692" s="523"/>
      <c r="G692" s="404"/>
      <c r="H692" s="523"/>
      <c r="I692" s="404"/>
      <c r="J692" s="523"/>
      <c r="K692" s="404"/>
      <c r="L692" s="523"/>
      <c r="M692" s="404"/>
      <c r="N692" s="523"/>
      <c r="O692" s="404"/>
      <c r="Q692" s="623"/>
      <c r="R692" s="623"/>
      <c r="S692" s="623"/>
      <c r="AD692" s="400">
        <f>K692-[25]Blocking1!O692</f>
        <v>0</v>
      </c>
    </row>
    <row r="693" spans="1:30" s="622" customFormat="1">
      <c r="A693" s="432" t="s">
        <v>190</v>
      </c>
      <c r="B693" s="404"/>
      <c r="C693" s="644">
        <f>C628+C663+C687</f>
        <v>-544345</v>
      </c>
      <c r="D693" s="523"/>
      <c r="E693" s="644"/>
      <c r="F693" s="523"/>
      <c r="G693" s="616"/>
      <c r="H693" s="523"/>
      <c r="I693" s="628">
        <f>I628+I663+I687</f>
        <v>-43633</v>
      </c>
      <c r="J693" s="523"/>
      <c r="K693" s="628">
        <v>0</v>
      </c>
      <c r="L693" s="523"/>
      <c r="M693" s="616"/>
      <c r="N693" s="523"/>
      <c r="O693" s="628">
        <v>0</v>
      </c>
      <c r="Q693" s="623"/>
      <c r="R693" s="623"/>
      <c r="S693" s="623"/>
      <c r="AD693" s="400">
        <f>K693-[25]Blocking1!O693</f>
        <v>0</v>
      </c>
    </row>
    <row r="694" spans="1:30" s="622" customFormat="1" ht="16.5" thickBot="1">
      <c r="A694" s="432" t="s">
        <v>172</v>
      </c>
      <c r="B694" s="404"/>
      <c r="C694" s="633">
        <f>C693+C691</f>
        <v>57285914.553552084</v>
      </c>
      <c r="D694" s="523"/>
      <c r="E694" s="633">
        <f>E629+E664+E688</f>
        <v>56516774.129293256</v>
      </c>
      <c r="F694" s="523"/>
      <c r="G694" s="634"/>
      <c r="H694" s="635"/>
      <c r="I694" s="634" t="e">
        <f>I693+I691</f>
        <v>#VALUE!</v>
      </c>
      <c r="J694" s="523"/>
      <c r="K694" s="634" t="e">
        <f>K693+K691</f>
        <v>#VALUE!</v>
      </c>
      <c r="L694" s="523"/>
      <c r="M694" s="634"/>
      <c r="N694" s="635"/>
      <c r="O694" s="634" t="e">
        <f>O693+O691</f>
        <v>#VALUE!</v>
      </c>
      <c r="P694" s="625"/>
      <c r="Q694" s="416" t="s">
        <v>601</v>
      </c>
      <c r="R694" s="518" t="e">
        <f>O694/K694-1</f>
        <v>#VALUE!</v>
      </c>
      <c r="S694" s="623"/>
      <c r="AD694" s="400" t="e">
        <f>K694-[25]Blocking1!O694</f>
        <v>#VALUE!</v>
      </c>
    </row>
    <row r="695" spans="1:30" s="622" customFormat="1" ht="16.5" thickTop="1">
      <c r="A695" s="432"/>
      <c r="B695" s="404"/>
      <c r="C695" s="645"/>
      <c r="D695" s="523"/>
      <c r="E695" s="645"/>
      <c r="F695" s="523"/>
      <c r="G695" s="523"/>
      <c r="H695" s="523"/>
      <c r="I695" s="624"/>
      <c r="J695" s="523"/>
      <c r="K695" s="624"/>
      <c r="L695" s="523"/>
      <c r="M695" s="523"/>
      <c r="N695" s="523"/>
      <c r="O695" s="624"/>
      <c r="P695" s="625"/>
      <c r="Q695" s="623"/>
      <c r="R695" s="623"/>
      <c r="S695" s="623"/>
      <c r="AD695" s="400">
        <f>K695-[25]Blocking1!O695</f>
        <v>0</v>
      </c>
    </row>
    <row r="696" spans="1:30" s="622" customFormat="1">
      <c r="A696" s="643" t="s">
        <v>661</v>
      </c>
      <c r="B696" s="404"/>
      <c r="C696" s="557"/>
      <c r="D696" s="523"/>
      <c r="E696" s="557"/>
      <c r="F696" s="523"/>
      <c r="G696" s="404"/>
      <c r="H696" s="523"/>
      <c r="I696" s="404"/>
      <c r="J696" s="523"/>
      <c r="K696" s="404"/>
      <c r="L696" s="523"/>
      <c r="M696" s="404"/>
      <c r="N696" s="523"/>
      <c r="O696" s="404"/>
      <c r="P696" s="625"/>
      <c r="Q696" s="623"/>
      <c r="R696" s="623"/>
      <c r="S696" s="623"/>
      <c r="AD696" s="400">
        <f>K696-[25]Blocking1!O696</f>
        <v>0</v>
      </c>
    </row>
    <row r="697" spans="1:30" s="622" customFormat="1">
      <c r="A697" s="432" t="s">
        <v>500</v>
      </c>
      <c r="B697" s="404"/>
      <c r="C697" s="557">
        <f>C706+C715+C724</f>
        <v>20927.416870428282</v>
      </c>
      <c r="D697" s="523"/>
      <c r="E697" s="557">
        <f>E706+E715+E724</f>
        <v>20286</v>
      </c>
      <c r="F697" s="523"/>
      <c r="G697" s="434">
        <f>[25]Blocking1!M697</f>
        <v>11</v>
      </c>
      <c r="H697" s="563"/>
      <c r="I697" s="625">
        <f>ROUND(C697*$G697,0)</f>
        <v>230202</v>
      </c>
      <c r="J697" s="523"/>
      <c r="K697" s="625">
        <f>ROUND(E697*$G697,0)</f>
        <v>223146</v>
      </c>
      <c r="L697" s="523"/>
      <c r="M697" s="434">
        <f>MROUND(G697*(1+$R$701),0.5)</f>
        <v>11</v>
      </c>
      <c r="N697" s="563"/>
      <c r="O697" s="625">
        <f>ROUND(E697*M697,0)</f>
        <v>223146</v>
      </c>
      <c r="Q697" s="437" t="s">
        <v>589</v>
      </c>
      <c r="R697" s="438">
        <f>O703</f>
        <v>1234602</v>
      </c>
      <c r="S697" s="623"/>
      <c r="T697" s="439">
        <f t="shared" ref="T697:T701" si="262">M697/G697-1</f>
        <v>0</v>
      </c>
      <c r="AD697" s="400">
        <f>K697-[25]Blocking1!O697</f>
        <v>0</v>
      </c>
    </row>
    <row r="698" spans="1:30" s="622" customFormat="1">
      <c r="A698" s="432" t="s">
        <v>501</v>
      </c>
      <c r="B698" s="404"/>
      <c r="C698" s="557">
        <f t="shared" ref="C698:E702" si="263">C707+C716+C725</f>
        <v>484.23592310743373</v>
      </c>
      <c r="D698" s="523"/>
      <c r="E698" s="557">
        <f t="shared" si="263"/>
        <v>497</v>
      </c>
      <c r="F698" s="523"/>
      <c r="G698" s="434">
        <f>[25]Blocking1!M698</f>
        <v>72.5</v>
      </c>
      <c r="H698" s="563"/>
      <c r="I698" s="625">
        <f>ROUND(C698*$G698,0)</f>
        <v>35107</v>
      </c>
      <c r="J698" s="523"/>
      <c r="K698" s="625">
        <f>ROUND(E698*$G698,0)</f>
        <v>36033</v>
      </c>
      <c r="L698" s="523"/>
      <c r="M698" s="434">
        <f>MROUND(G698*(1+$R$701),0.5)</f>
        <v>72.5</v>
      </c>
      <c r="N698" s="563"/>
      <c r="O698" s="625">
        <f>ROUND(E698*M698,0)</f>
        <v>36033</v>
      </c>
      <c r="Q698" s="444" t="s">
        <v>593</v>
      </c>
      <c r="R698" s="445">
        <f>([25]RateSpread2!M45)*1000</f>
        <v>1234602</v>
      </c>
      <c r="S698" s="623"/>
      <c r="T698" s="439">
        <f t="shared" si="262"/>
        <v>0</v>
      </c>
      <c r="AD698" s="400">
        <f>K698-[25]Blocking1!O698</f>
        <v>0</v>
      </c>
    </row>
    <row r="699" spans="1:30" s="622" customFormat="1">
      <c r="A699" s="432" t="s">
        <v>502</v>
      </c>
      <c r="B699" s="404"/>
      <c r="C699" s="646">
        <f t="shared" si="263"/>
        <v>0</v>
      </c>
      <c r="D699" s="523"/>
      <c r="E699" s="646">
        <f t="shared" si="263"/>
        <v>0</v>
      </c>
      <c r="F699" s="523"/>
      <c r="G699" s="434">
        <f>[25]Blocking1!M699</f>
        <v>127.5</v>
      </c>
      <c r="H699" s="563"/>
      <c r="I699" s="625">
        <f>ROUND(C699*$G699,0)</f>
        <v>0</v>
      </c>
      <c r="J699" s="523"/>
      <c r="K699" s="625">
        <f>ROUND(E699*$G699,0)</f>
        <v>0</v>
      </c>
      <c r="L699" s="523"/>
      <c r="M699" s="434">
        <f>M697*5+M698</f>
        <v>127.5</v>
      </c>
      <c r="N699" s="563"/>
      <c r="O699" s="625">
        <f>ROUND(E699*M699,0)</f>
        <v>0</v>
      </c>
      <c r="Q699" s="450" t="s">
        <v>159</v>
      </c>
      <c r="R699" s="451">
        <f>R698-R697</f>
        <v>0</v>
      </c>
      <c r="S699" s="623"/>
      <c r="T699" s="439">
        <f t="shared" si="262"/>
        <v>0</v>
      </c>
      <c r="AD699" s="400">
        <f>K699-[25]Blocking1!O699</f>
        <v>0</v>
      </c>
    </row>
    <row r="700" spans="1:30" s="622" customFormat="1">
      <c r="A700" s="432" t="s">
        <v>503</v>
      </c>
      <c r="B700" s="404"/>
      <c r="C700" s="557">
        <f t="shared" si="263"/>
        <v>6022.3612903225821</v>
      </c>
      <c r="D700" s="523"/>
      <c r="E700" s="557">
        <f t="shared" si="263"/>
        <v>6182</v>
      </c>
      <c r="F700" s="523"/>
      <c r="G700" s="434">
        <f>[25]Blocking1!M700</f>
        <v>6.2</v>
      </c>
      <c r="H700" s="563"/>
      <c r="I700" s="625">
        <f>ROUND(C700*$G700,0)</f>
        <v>37339</v>
      </c>
      <c r="J700" s="523"/>
      <c r="K700" s="625">
        <f>ROUND(E700*$G700,0)</f>
        <v>38328</v>
      </c>
      <c r="L700" s="523"/>
      <c r="M700" s="434">
        <f>MROUND(G700*(1+$R$701),0.2)</f>
        <v>6.2</v>
      </c>
      <c r="N700" s="563"/>
      <c r="O700" s="625">
        <f>ROUND(E700*M700,0)</f>
        <v>38328</v>
      </c>
      <c r="Q700" s="463" t="s">
        <v>601</v>
      </c>
      <c r="R700" s="536">
        <f>R697/(K703)-1</f>
        <v>0</v>
      </c>
      <c r="S700" s="623"/>
      <c r="T700" s="439">
        <f t="shared" si="262"/>
        <v>0</v>
      </c>
      <c r="AD700" s="400">
        <f>K700-[25]Blocking1!O700</f>
        <v>0</v>
      </c>
    </row>
    <row r="701" spans="1:30" s="622" customFormat="1">
      <c r="A701" s="432" t="s">
        <v>504</v>
      </c>
      <c r="B701" s="404"/>
      <c r="C701" s="557">
        <f t="shared" si="263"/>
        <v>18082976</v>
      </c>
      <c r="D701" s="523"/>
      <c r="E701" s="557">
        <f t="shared" si="263"/>
        <v>17536444.611929484</v>
      </c>
      <c r="F701" s="523"/>
      <c r="G701" s="603">
        <f>[25]Blocking1!M701</f>
        <v>5.3437000000000001</v>
      </c>
      <c r="H701" s="641" t="s">
        <v>305</v>
      </c>
      <c r="I701" s="625">
        <f>ROUND(C701*$G701/100,0)</f>
        <v>966300</v>
      </c>
      <c r="J701" s="523"/>
      <c r="K701" s="625">
        <f>ROUND(E701*$G701/100,0)</f>
        <v>937095</v>
      </c>
      <c r="L701" s="523"/>
      <c r="M701" s="594">
        <f>ROUND((R698-SUM(O697:O700))/E701*100,$R$8)</f>
        <v>5.3437000000000001</v>
      </c>
      <c r="N701" s="641" t="s">
        <v>305</v>
      </c>
      <c r="O701" s="625">
        <f>ROUND(E701*M701/100,0)</f>
        <v>937095</v>
      </c>
      <c r="Q701" s="488" t="s">
        <v>603</v>
      </c>
      <c r="R701" s="544">
        <f>R698/(K703)-1</f>
        <v>0</v>
      </c>
      <c r="S701" s="623"/>
      <c r="T701" s="439">
        <f t="shared" si="262"/>
        <v>0</v>
      </c>
      <c r="AD701" s="400">
        <f>K701-[25]Blocking1!O701</f>
        <v>0</v>
      </c>
    </row>
    <row r="702" spans="1:30" s="622" customFormat="1">
      <c r="A702" s="432" t="s">
        <v>505</v>
      </c>
      <c r="B702" s="404"/>
      <c r="C702" s="627">
        <f t="shared" si="263"/>
        <v>28295</v>
      </c>
      <c r="D702" s="523"/>
      <c r="E702" s="627">
        <f t="shared" si="263"/>
        <v>0</v>
      </c>
      <c r="F702" s="523"/>
      <c r="G702" s="404"/>
      <c r="H702" s="523"/>
      <c r="I702" s="628">
        <f t="shared" ref="I702" si="264">I711+I720+I729</f>
        <v>6494</v>
      </c>
      <c r="J702" s="523"/>
      <c r="K702" s="628">
        <v>0</v>
      </c>
      <c r="L702" s="523"/>
      <c r="M702" s="404"/>
      <c r="N702" s="523"/>
      <c r="O702" s="628">
        <v>0</v>
      </c>
      <c r="Q702" s="578" t="s">
        <v>643</v>
      </c>
      <c r="R702" s="546">
        <f>(O703)/(K703)-1</f>
        <v>0</v>
      </c>
      <c r="S702" s="623"/>
      <c r="AD702" s="400">
        <f>K702-[25]Blocking1!O702</f>
        <v>0</v>
      </c>
    </row>
    <row r="703" spans="1:30" s="622" customFormat="1" ht="16.5" thickBot="1">
      <c r="A703" s="404" t="s">
        <v>172</v>
      </c>
      <c r="B703" s="404"/>
      <c r="C703" s="647">
        <f>C701+C702</f>
        <v>18111271</v>
      </c>
      <c r="D703" s="523"/>
      <c r="E703" s="647">
        <f>E701+E702</f>
        <v>17536444.611929484</v>
      </c>
      <c r="F703" s="523"/>
      <c r="G703" s="532"/>
      <c r="H703" s="523"/>
      <c r="I703" s="648">
        <f>SUM(I697:I702)</f>
        <v>1275442</v>
      </c>
      <c r="J703" s="523"/>
      <c r="K703" s="648">
        <f>SUM(K697:K702)</f>
        <v>1234602</v>
      </c>
      <c r="L703" s="523"/>
      <c r="M703" s="532"/>
      <c r="N703" s="523"/>
      <c r="O703" s="648">
        <f>SUM(O697:O702)</f>
        <v>1234602</v>
      </c>
      <c r="Q703" s="649"/>
      <c r="R703" s="623"/>
      <c r="S703" s="623"/>
      <c r="AD703" s="400">
        <f>K703-[25]Blocking1!O703</f>
        <v>0</v>
      </c>
    </row>
    <row r="704" spans="1:30" s="622" customFormat="1" ht="16.5" thickTop="1">
      <c r="A704" s="432"/>
      <c r="B704" s="404"/>
      <c r="C704" s="645"/>
      <c r="D704" s="523"/>
      <c r="E704" s="645"/>
      <c r="F704" s="523"/>
      <c r="G704" s="523"/>
      <c r="H704" s="523"/>
      <c r="I704" s="624"/>
      <c r="J704" s="523"/>
      <c r="K704" s="624"/>
      <c r="L704" s="523"/>
      <c r="M704" s="523"/>
      <c r="N704" s="523"/>
      <c r="O704" s="624"/>
      <c r="P704" s="625"/>
      <c r="Q704" s="623"/>
      <c r="R704" s="623"/>
      <c r="S704" s="623"/>
      <c r="AD704" s="400">
        <f>K704-[25]Blocking1!O704</f>
        <v>0</v>
      </c>
    </row>
    <row r="705" spans="1:30" s="622" customFormat="1">
      <c r="A705" s="643" t="s">
        <v>662</v>
      </c>
      <c r="B705" s="404"/>
      <c r="C705" s="557"/>
      <c r="D705" s="523"/>
      <c r="E705" s="557"/>
      <c r="F705" s="523"/>
      <c r="G705" s="404"/>
      <c r="H705" s="523"/>
      <c r="I705" s="404"/>
      <c r="J705" s="523"/>
      <c r="K705" s="404"/>
      <c r="L705" s="523"/>
      <c r="M705" s="404"/>
      <c r="N705" s="523"/>
      <c r="O705" s="404"/>
      <c r="P705" s="625"/>
      <c r="Q705" s="623"/>
      <c r="R705" s="623"/>
      <c r="S705" s="623"/>
      <c r="AD705" s="400">
        <f>K705-[25]Blocking1!O705</f>
        <v>0</v>
      </c>
    </row>
    <row r="706" spans="1:30" s="622" customFormat="1">
      <c r="A706" s="432" t="s">
        <v>500</v>
      </c>
      <c r="B706" s="404"/>
      <c r="C706" s="550">
        <f>'[25]15M'!J2</f>
        <v>19668.647338079201</v>
      </c>
      <c r="D706" s="523"/>
      <c r="E706" s="557">
        <f>ROUND(C706*E710/C710,0)</f>
        <v>19108</v>
      </c>
      <c r="F706" s="523"/>
      <c r="G706" s="434">
        <f>[25]Blocking1!M706</f>
        <v>11</v>
      </c>
      <c r="H706" s="563"/>
      <c r="I706" s="625">
        <f>ROUND(C706*$G706,0)</f>
        <v>216355</v>
      </c>
      <c r="J706" s="523"/>
      <c r="K706" s="625">
        <f>ROUND(E706*$G706,0)</f>
        <v>210188</v>
      </c>
      <c r="L706" s="523"/>
      <c r="M706" s="434">
        <f>M697</f>
        <v>11</v>
      </c>
      <c r="N706" s="563"/>
      <c r="O706" s="625">
        <f>ROUND(E706*M706,0)</f>
        <v>210188</v>
      </c>
      <c r="Q706" s="589"/>
      <c r="R706" s="497"/>
      <c r="S706" s="623"/>
      <c r="T706" s="439">
        <f t="shared" ref="T706:T710" si="265">M706/G706-1</f>
        <v>0</v>
      </c>
      <c r="AD706" s="400">
        <f>K706-[25]Blocking1!O706</f>
        <v>0</v>
      </c>
    </row>
    <row r="707" spans="1:30" s="622" customFormat="1">
      <c r="A707" s="432" t="s">
        <v>501</v>
      </c>
      <c r="B707" s="404"/>
      <c r="C707" s="550">
        <f>'[25]15M'!G2</f>
        <v>422.30716249832801</v>
      </c>
      <c r="D707" s="523"/>
      <c r="E707" s="557">
        <f>ROUND(C707*E709/C709,0)</f>
        <v>433</v>
      </c>
      <c r="F707" s="523"/>
      <c r="G707" s="434">
        <f>[25]Blocking1!M707</f>
        <v>72.5</v>
      </c>
      <c r="H707" s="563"/>
      <c r="I707" s="625">
        <f>ROUND(C707*$G707,0)</f>
        <v>30617</v>
      </c>
      <c r="J707" s="523"/>
      <c r="K707" s="625">
        <f>ROUND(E707*$G707,0)</f>
        <v>31393</v>
      </c>
      <c r="L707" s="523"/>
      <c r="M707" s="434">
        <f t="shared" ref="M707:M710" si="266">M698</f>
        <v>72.5</v>
      </c>
      <c r="N707" s="563"/>
      <c r="O707" s="625">
        <f>ROUND(E707*M707,0)</f>
        <v>31393</v>
      </c>
      <c r="Q707" s="589"/>
      <c r="R707" s="497"/>
      <c r="S707" s="623"/>
      <c r="T707" s="439">
        <f t="shared" si="265"/>
        <v>0</v>
      </c>
      <c r="AD707" s="400">
        <f>K707-[25]Blocking1!O707</f>
        <v>0</v>
      </c>
    </row>
    <row r="708" spans="1:30" s="622" customFormat="1">
      <c r="A708" s="432" t="s">
        <v>502</v>
      </c>
      <c r="B708" s="404"/>
      <c r="C708" s="650">
        <f>'[25]15M'!H2</f>
        <v>0</v>
      </c>
      <c r="D708" s="523"/>
      <c r="E708" s="557">
        <f>ROUND(C708*E709/C709,0)</f>
        <v>0</v>
      </c>
      <c r="F708" s="523"/>
      <c r="G708" s="434">
        <f>[25]Blocking1!M708</f>
        <v>127.5</v>
      </c>
      <c r="H708" s="563"/>
      <c r="I708" s="625">
        <f>ROUND(C708*$G708,0)</f>
        <v>0</v>
      </c>
      <c r="J708" s="523"/>
      <c r="K708" s="625">
        <f>ROUND(E708*$G708,0)</f>
        <v>0</v>
      </c>
      <c r="L708" s="523"/>
      <c r="M708" s="434">
        <f t="shared" si="266"/>
        <v>127.5</v>
      </c>
      <c r="N708" s="563"/>
      <c r="O708" s="625">
        <f>ROUND(E708*M708,0)</f>
        <v>0</v>
      </c>
      <c r="Q708" s="590"/>
      <c r="R708" s="497"/>
      <c r="S708" s="623"/>
      <c r="T708" s="439">
        <f t="shared" si="265"/>
        <v>0</v>
      </c>
      <c r="AD708" s="400">
        <f>K708-[25]Blocking1!O708</f>
        <v>0</v>
      </c>
    </row>
    <row r="709" spans="1:30" s="622" customFormat="1">
      <c r="A709" s="432" t="s">
        <v>503</v>
      </c>
      <c r="B709" s="404"/>
      <c r="C709" s="550">
        <f>'[25]15M'!I2</f>
        <v>5248.2274193548401</v>
      </c>
      <c r="D709" s="523"/>
      <c r="E709" s="550">
        <f>[25]Bill!P26</f>
        <v>5378</v>
      </c>
      <c r="F709" s="523"/>
      <c r="G709" s="434">
        <f>[25]Blocking1!M709</f>
        <v>6.2</v>
      </c>
      <c r="H709" s="563"/>
      <c r="I709" s="625">
        <f>ROUND(C709*$G709,0)</f>
        <v>32539</v>
      </c>
      <c r="J709" s="523"/>
      <c r="K709" s="625">
        <f>ROUND(E709*$G709,0)</f>
        <v>33344</v>
      </c>
      <c r="L709" s="523"/>
      <c r="M709" s="434">
        <f t="shared" si="266"/>
        <v>6.2</v>
      </c>
      <c r="N709" s="563"/>
      <c r="O709" s="625">
        <f>ROUND(E709*M709,0)</f>
        <v>33344</v>
      </c>
      <c r="Q709" s="521"/>
      <c r="R709" s="568"/>
      <c r="S709" s="623"/>
      <c r="T709" s="439">
        <f t="shared" si="265"/>
        <v>0</v>
      </c>
      <c r="AD709" s="400">
        <f>K709-[25]Blocking1!O709</f>
        <v>0</v>
      </c>
    </row>
    <row r="710" spans="1:30" s="622" customFormat="1">
      <c r="A710" s="432" t="s">
        <v>504</v>
      </c>
      <c r="B710" s="404"/>
      <c r="C710" s="550">
        <f>'[25]15M'!K2</f>
        <v>17308989</v>
      </c>
      <c r="D710" s="523"/>
      <c r="E710" s="550">
        <f>[25]Energy!P26</f>
        <v>16815898.231112525</v>
      </c>
      <c r="F710" s="523"/>
      <c r="G710" s="603">
        <f>[25]Blocking1!M710</f>
        <v>5.3437000000000001</v>
      </c>
      <c r="H710" s="641" t="s">
        <v>305</v>
      </c>
      <c r="I710" s="625">
        <f>ROUND(C710*$G710/100,0)</f>
        <v>924940</v>
      </c>
      <c r="J710" s="523"/>
      <c r="K710" s="625">
        <f>ROUND(E710*$G710/100,0)</f>
        <v>898591</v>
      </c>
      <c r="L710" s="523"/>
      <c r="M710" s="593">
        <f t="shared" si="266"/>
        <v>5.3437000000000001</v>
      </c>
      <c r="N710" s="641" t="s">
        <v>305</v>
      </c>
      <c r="O710" s="625">
        <f>ROUND(E710*M710/100,0)</f>
        <v>898591</v>
      </c>
      <c r="Q710" s="521"/>
      <c r="R710" s="568"/>
      <c r="S710" s="623"/>
      <c r="T710" s="439">
        <f t="shared" si="265"/>
        <v>0</v>
      </c>
      <c r="AD710" s="400">
        <f>K710-[25]Blocking1!O710</f>
        <v>0</v>
      </c>
    </row>
    <row r="711" spans="1:30" s="622" customFormat="1">
      <c r="A711" s="432" t="s">
        <v>505</v>
      </c>
      <c r="B711" s="404"/>
      <c r="C711" s="642">
        <f>'[25]Table 2'!J47</f>
        <v>35299</v>
      </c>
      <c r="D711" s="523"/>
      <c r="E711" s="642">
        <v>0</v>
      </c>
      <c r="F711" s="523"/>
      <c r="G711" s="404"/>
      <c r="H711" s="523"/>
      <c r="I711" s="628">
        <f>'[25]Table 3'!F47</f>
        <v>7086</v>
      </c>
      <c r="J711" s="523"/>
      <c r="K711" s="628">
        <v>0</v>
      </c>
      <c r="L711" s="523"/>
      <c r="M711" s="404"/>
      <c r="N711" s="523"/>
      <c r="O711" s="628">
        <v>0</v>
      </c>
      <c r="Q711" s="523"/>
      <c r="R711" s="568"/>
      <c r="S711" s="623"/>
      <c r="AD711" s="400">
        <f>K711-[25]Blocking1!O711</f>
        <v>0</v>
      </c>
    </row>
    <row r="712" spans="1:30" s="622" customFormat="1" ht="16.5" thickBot="1">
      <c r="A712" s="404" t="s">
        <v>172</v>
      </c>
      <c r="B712" s="404"/>
      <c r="C712" s="647">
        <f>C710+C711</f>
        <v>17344288</v>
      </c>
      <c r="D712" s="523"/>
      <c r="E712" s="647">
        <f>E710+E711</f>
        <v>16815898.231112525</v>
      </c>
      <c r="F712" s="523"/>
      <c r="G712" s="532"/>
      <c r="H712" s="523"/>
      <c r="I712" s="648">
        <f>SUM(I706:I711)</f>
        <v>1211537</v>
      </c>
      <c r="J712" s="523"/>
      <c r="K712" s="648">
        <f>SUM(K706:K711)</f>
        <v>1173516</v>
      </c>
      <c r="L712" s="523"/>
      <c r="M712" s="532"/>
      <c r="N712" s="523"/>
      <c r="O712" s="648">
        <f>SUM(O706:O711)</f>
        <v>1173516</v>
      </c>
      <c r="Q712" s="416" t="s">
        <v>601</v>
      </c>
      <c r="R712" s="518">
        <f>O712/K712-1</f>
        <v>0</v>
      </c>
      <c r="S712" s="623"/>
      <c r="AD712" s="400">
        <f>K712-[25]Blocking1!O712</f>
        <v>0</v>
      </c>
    </row>
    <row r="713" spans="1:30" s="622" customFormat="1" ht="16.5" thickTop="1">
      <c r="A713" s="432"/>
      <c r="B713" s="404"/>
      <c r="C713" s="645"/>
      <c r="D713" s="523"/>
      <c r="E713" s="645"/>
      <c r="F713" s="523"/>
      <c r="G713" s="523"/>
      <c r="H713" s="523"/>
      <c r="I713" s="624"/>
      <c r="J713" s="523"/>
      <c r="K713" s="624"/>
      <c r="L713" s="523"/>
      <c r="M713" s="523"/>
      <c r="N713" s="523"/>
      <c r="O713" s="624"/>
      <c r="P713" s="625"/>
      <c r="Q713" s="623"/>
      <c r="R713" s="623"/>
      <c r="S713" s="623"/>
      <c r="AD713" s="400">
        <f>K713-[25]Blocking1!O713</f>
        <v>0</v>
      </c>
    </row>
    <row r="714" spans="1:30" s="622" customFormat="1">
      <c r="A714" s="643" t="s">
        <v>663</v>
      </c>
      <c r="B714" s="404"/>
      <c r="C714" s="557"/>
      <c r="D714" s="523"/>
      <c r="E714" s="557"/>
      <c r="F714" s="523"/>
      <c r="G714" s="404"/>
      <c r="H714" s="523"/>
      <c r="I714" s="404"/>
      <c r="J714" s="523"/>
      <c r="K714" s="404"/>
      <c r="L714" s="523"/>
      <c r="M714" s="404"/>
      <c r="N714" s="523"/>
      <c r="O714" s="404"/>
      <c r="P714" s="625"/>
      <c r="Q714" s="623"/>
      <c r="R714" s="623"/>
      <c r="S714" s="623"/>
      <c r="AD714" s="400">
        <f>K714-[25]Blocking1!O714</f>
        <v>0</v>
      </c>
    </row>
    <row r="715" spans="1:30" s="622" customFormat="1">
      <c r="A715" s="432" t="s">
        <v>500</v>
      </c>
      <c r="B715" s="404"/>
      <c r="C715" s="550">
        <f>'[25]15M'!J3</f>
        <v>145</v>
      </c>
      <c r="D715" s="523"/>
      <c r="E715" s="557">
        <f>ROUND(C715*E719/C719,0)</f>
        <v>142</v>
      </c>
      <c r="F715" s="523"/>
      <c r="G715" s="434">
        <f>[25]Blocking1!M715</f>
        <v>11</v>
      </c>
      <c r="H715" s="563"/>
      <c r="I715" s="625">
        <f>ROUND(C715*$G715,0)</f>
        <v>1595</v>
      </c>
      <c r="J715" s="523"/>
      <c r="K715" s="625">
        <f>ROUND(E715*$G715,0)</f>
        <v>1562</v>
      </c>
      <c r="L715" s="523"/>
      <c r="M715" s="434">
        <f>M697</f>
        <v>11</v>
      </c>
      <c r="N715" s="563"/>
      <c r="O715" s="625">
        <f>ROUND(E715*M715,0)</f>
        <v>1562</v>
      </c>
      <c r="Q715" s="589"/>
      <c r="R715" s="497"/>
      <c r="S715" s="623"/>
      <c r="T715" s="439">
        <f t="shared" ref="T715:T719" si="267">M715/G715-1</f>
        <v>0</v>
      </c>
      <c r="AD715" s="400">
        <f>K715-[25]Blocking1!O715</f>
        <v>0</v>
      </c>
    </row>
    <row r="716" spans="1:30" s="622" customFormat="1">
      <c r="A716" s="432" t="s">
        <v>501</v>
      </c>
      <c r="B716" s="404"/>
      <c r="C716" s="550">
        <f>'[25]15M'!G3</f>
        <v>7</v>
      </c>
      <c r="D716" s="523"/>
      <c r="E716" s="557">
        <f>ROUND(C716*E718/C718,0)</f>
        <v>7</v>
      </c>
      <c r="F716" s="523"/>
      <c r="G716" s="434">
        <f>[25]Blocking1!M716</f>
        <v>72.5</v>
      </c>
      <c r="H716" s="563"/>
      <c r="I716" s="625">
        <f>ROUND(C716*$G716,0)</f>
        <v>508</v>
      </c>
      <c r="J716" s="523"/>
      <c r="K716" s="625">
        <f>ROUND(E716*$G716,0)</f>
        <v>508</v>
      </c>
      <c r="L716" s="523"/>
      <c r="M716" s="434">
        <f t="shared" ref="M716:M719" si="268">M698</f>
        <v>72.5</v>
      </c>
      <c r="N716" s="563"/>
      <c r="O716" s="625">
        <f>ROUND(E716*M716,0)</f>
        <v>508</v>
      </c>
      <c r="Q716" s="589"/>
      <c r="R716" s="497"/>
      <c r="S716" s="623"/>
      <c r="T716" s="439">
        <f t="shared" si="267"/>
        <v>0</v>
      </c>
      <c r="AD716" s="400">
        <f>K716-[25]Blocking1!O716</f>
        <v>0</v>
      </c>
    </row>
    <row r="717" spans="1:30" s="622" customFormat="1">
      <c r="A717" s="432" t="s">
        <v>502</v>
      </c>
      <c r="B717" s="404"/>
      <c r="C717" s="650">
        <f>'[25]15M'!H3</f>
        <v>0</v>
      </c>
      <c r="D717" s="523"/>
      <c r="E717" s="557">
        <f>ROUND(C717*E718/C718,0)</f>
        <v>0</v>
      </c>
      <c r="F717" s="523"/>
      <c r="G717" s="434">
        <f>[25]Blocking1!M717</f>
        <v>127.5</v>
      </c>
      <c r="H717" s="563"/>
      <c r="I717" s="625">
        <f>ROUND(C717*$G717,0)</f>
        <v>0</v>
      </c>
      <c r="J717" s="523"/>
      <c r="K717" s="625">
        <f>ROUND(E717*$G717,0)</f>
        <v>0</v>
      </c>
      <c r="L717" s="523"/>
      <c r="M717" s="434">
        <f t="shared" si="268"/>
        <v>127.5</v>
      </c>
      <c r="N717" s="563"/>
      <c r="O717" s="625">
        <f>ROUND(E717*M717,0)</f>
        <v>0</v>
      </c>
      <c r="Q717" s="590"/>
      <c r="R717" s="497"/>
      <c r="S717" s="623"/>
      <c r="T717" s="439">
        <f t="shared" si="267"/>
        <v>0</v>
      </c>
      <c r="AD717" s="400">
        <f>K717-[25]Blocking1!O717</f>
        <v>0</v>
      </c>
    </row>
    <row r="718" spans="1:30" s="622" customFormat="1">
      <c r="A718" s="432" t="s">
        <v>503</v>
      </c>
      <c r="B718" s="404"/>
      <c r="C718" s="550">
        <f>'[25]15M'!I3</f>
        <v>84</v>
      </c>
      <c r="D718" s="523"/>
      <c r="E718" s="550">
        <f>[25]Bill!P41</f>
        <v>84</v>
      </c>
      <c r="F718" s="523"/>
      <c r="G718" s="434">
        <f>[25]Blocking1!M718</f>
        <v>6.2</v>
      </c>
      <c r="H718" s="563"/>
      <c r="I718" s="625">
        <f>ROUND(C718*$G718,0)</f>
        <v>521</v>
      </c>
      <c r="J718" s="523"/>
      <c r="K718" s="625">
        <f>ROUND(E718*$G718,0)</f>
        <v>521</v>
      </c>
      <c r="L718" s="523"/>
      <c r="M718" s="434">
        <f t="shared" si="268"/>
        <v>6.2</v>
      </c>
      <c r="N718" s="563"/>
      <c r="O718" s="625">
        <f>ROUND(E718*M718,0)</f>
        <v>521</v>
      </c>
      <c r="Q718" s="521"/>
      <c r="R718" s="568"/>
      <c r="S718" s="623"/>
      <c r="T718" s="439">
        <f t="shared" si="267"/>
        <v>0</v>
      </c>
      <c r="AD718" s="400">
        <f>K718-[25]Blocking1!O718</f>
        <v>0</v>
      </c>
    </row>
    <row r="719" spans="1:30" s="622" customFormat="1">
      <c r="A719" s="432" t="s">
        <v>504</v>
      </c>
      <c r="B719" s="404"/>
      <c r="C719" s="550">
        <f>'[25]15M'!K3</f>
        <v>15477</v>
      </c>
      <c r="D719" s="523"/>
      <c r="E719" s="550">
        <f>[25]Energy!P41</f>
        <v>15170.951498279279</v>
      </c>
      <c r="F719" s="523"/>
      <c r="G719" s="603">
        <f>[25]Blocking1!M719</f>
        <v>5.3437000000000001</v>
      </c>
      <c r="H719" s="641" t="s">
        <v>305</v>
      </c>
      <c r="I719" s="625">
        <f>ROUND(C719*$G719/100,0)</f>
        <v>827</v>
      </c>
      <c r="J719" s="523"/>
      <c r="K719" s="625">
        <f>ROUND(E719*$G719/100,0)</f>
        <v>811</v>
      </c>
      <c r="L719" s="523"/>
      <c r="M719" s="593">
        <f t="shared" si="268"/>
        <v>5.3437000000000001</v>
      </c>
      <c r="N719" s="641" t="s">
        <v>305</v>
      </c>
      <c r="O719" s="625">
        <f>ROUND(E719*M719/100,0)</f>
        <v>811</v>
      </c>
      <c r="Q719" s="521"/>
      <c r="R719" s="568"/>
      <c r="S719" s="623"/>
      <c r="T719" s="439">
        <f t="shared" si="267"/>
        <v>0</v>
      </c>
      <c r="AD719" s="400">
        <f>K719-[25]Blocking1!O719</f>
        <v>0</v>
      </c>
    </row>
    <row r="720" spans="1:30" s="622" customFormat="1">
      <c r="A720" s="432" t="s">
        <v>505</v>
      </c>
      <c r="B720" s="404"/>
      <c r="C720" s="642">
        <f>'[25]Table 2'!J76</f>
        <v>137</v>
      </c>
      <c r="D720" s="523"/>
      <c r="E720" s="642">
        <v>0</v>
      </c>
      <c r="F720" s="523"/>
      <c r="G720" s="404"/>
      <c r="H720" s="523"/>
      <c r="I720" s="628">
        <f>'[25]Table 3'!F76</f>
        <v>38</v>
      </c>
      <c r="J720" s="523"/>
      <c r="K720" s="628">
        <v>0</v>
      </c>
      <c r="L720" s="523"/>
      <c r="M720" s="404"/>
      <c r="N720" s="523"/>
      <c r="O720" s="628">
        <v>0</v>
      </c>
      <c r="Q720" s="523"/>
      <c r="R720" s="568"/>
      <c r="S720" s="623"/>
      <c r="AD720" s="400">
        <f>K720-[25]Blocking1!O720</f>
        <v>0</v>
      </c>
    </row>
    <row r="721" spans="1:30" s="622" customFormat="1" ht="16.5" thickBot="1">
      <c r="A721" s="404" t="s">
        <v>172</v>
      </c>
      <c r="B721" s="404"/>
      <c r="C721" s="647">
        <f>C719+C720</f>
        <v>15614</v>
      </c>
      <c r="D721" s="523"/>
      <c r="E721" s="647">
        <f>E719+E720</f>
        <v>15170.951498279279</v>
      </c>
      <c r="F721" s="523"/>
      <c r="G721" s="532"/>
      <c r="H721" s="523"/>
      <c r="I721" s="648">
        <f>SUM(I715:I720)</f>
        <v>3489</v>
      </c>
      <c r="J721" s="523"/>
      <c r="K721" s="648">
        <f>SUM(K715:K720)</f>
        <v>3402</v>
      </c>
      <c r="L721" s="523"/>
      <c r="M721" s="532"/>
      <c r="N721" s="523"/>
      <c r="O721" s="648">
        <f>SUM(O715:O720)</f>
        <v>3402</v>
      </c>
      <c r="Q721" s="416" t="s">
        <v>601</v>
      </c>
      <c r="R721" s="518">
        <f>O721/K721-1</f>
        <v>0</v>
      </c>
      <c r="S721" s="623"/>
      <c r="AD721" s="400">
        <f>K721-[25]Blocking1!O721</f>
        <v>0</v>
      </c>
    </row>
    <row r="722" spans="1:30" s="622" customFormat="1" ht="16.5" thickTop="1">
      <c r="A722" s="432"/>
      <c r="B722" s="404"/>
      <c r="C722" s="645"/>
      <c r="D722" s="523"/>
      <c r="E722" s="645"/>
      <c r="F722" s="523"/>
      <c r="G722" s="523"/>
      <c r="H722" s="523"/>
      <c r="I722" s="624"/>
      <c r="J722" s="523"/>
      <c r="K722" s="624"/>
      <c r="L722" s="523"/>
      <c r="M722" s="523"/>
      <c r="N722" s="523"/>
      <c r="O722" s="624"/>
      <c r="P722" s="625"/>
      <c r="Q722" s="651"/>
      <c r="R722" s="651"/>
      <c r="S722" s="623"/>
      <c r="AD722" s="400">
        <f>K722-[25]Blocking1!O722</f>
        <v>0</v>
      </c>
    </row>
    <row r="723" spans="1:30" s="622" customFormat="1">
      <c r="A723" s="643" t="s">
        <v>664</v>
      </c>
      <c r="B723" s="404"/>
      <c r="C723" s="557"/>
      <c r="D723" s="523"/>
      <c r="E723" s="557"/>
      <c r="F723" s="523"/>
      <c r="G723" s="404"/>
      <c r="H723" s="523"/>
      <c r="I723" s="404"/>
      <c r="J723" s="523"/>
      <c r="K723" s="404"/>
      <c r="L723" s="523"/>
      <c r="M723" s="404"/>
      <c r="N723" s="523"/>
      <c r="O723" s="404"/>
      <c r="P723" s="625"/>
      <c r="Q723" s="651"/>
      <c r="R723" s="651"/>
      <c r="S723" s="623"/>
      <c r="AD723" s="400">
        <f>K723-[25]Blocking1!O723</f>
        <v>0</v>
      </c>
    </row>
    <row r="724" spans="1:30" s="622" customFormat="1">
      <c r="A724" s="432" t="s">
        <v>500</v>
      </c>
      <c r="B724" s="404"/>
      <c r="C724" s="550">
        <f>'[25]15M'!J4</f>
        <v>1113.76953234908</v>
      </c>
      <c r="D724" s="523"/>
      <c r="E724" s="557">
        <f>ROUND(C724*E728/C728,0)</f>
        <v>1036</v>
      </c>
      <c r="F724" s="523"/>
      <c r="G724" s="434">
        <f>[25]Blocking1!M724</f>
        <v>11</v>
      </c>
      <c r="H724" s="563"/>
      <c r="I724" s="625">
        <f>ROUND(C724*$G724,0)</f>
        <v>12251</v>
      </c>
      <c r="J724" s="523"/>
      <c r="K724" s="625">
        <f>ROUND(E724*$G724,0)</f>
        <v>11396</v>
      </c>
      <c r="L724" s="523"/>
      <c r="M724" s="434">
        <f>M697</f>
        <v>11</v>
      </c>
      <c r="N724" s="563"/>
      <c r="O724" s="625">
        <f>ROUND(E724*M724,0)</f>
        <v>11396</v>
      </c>
      <c r="Q724" s="589"/>
      <c r="R724" s="497"/>
      <c r="S724" s="623"/>
      <c r="T724" s="439">
        <f t="shared" ref="T724:T728" si="269">M724/G724-1</f>
        <v>0</v>
      </c>
      <c r="AD724" s="400">
        <f>K724-[25]Blocking1!O724</f>
        <v>0</v>
      </c>
    </row>
    <row r="725" spans="1:30" s="622" customFormat="1">
      <c r="A725" s="432" t="s">
        <v>501</v>
      </c>
      <c r="B725" s="404"/>
      <c r="C725" s="550">
        <f>'[25]15M'!G4</f>
        <v>54.928760609105701</v>
      </c>
      <c r="D725" s="523"/>
      <c r="E725" s="557">
        <f>ROUND(C725*E727/C727,0)</f>
        <v>57</v>
      </c>
      <c r="F725" s="523"/>
      <c r="G725" s="434">
        <f>[25]Blocking1!M725</f>
        <v>72.5</v>
      </c>
      <c r="H725" s="563"/>
      <c r="I725" s="625">
        <f>ROUND(C725*$G725,0)</f>
        <v>3982</v>
      </c>
      <c r="J725" s="523"/>
      <c r="K725" s="625">
        <f>ROUND(E725*$G725,0)</f>
        <v>4133</v>
      </c>
      <c r="L725" s="523"/>
      <c r="M725" s="434">
        <f t="shared" ref="M725:M728" si="270">M698</f>
        <v>72.5</v>
      </c>
      <c r="N725" s="563"/>
      <c r="O725" s="625">
        <f>ROUND(E725*M725,0)</f>
        <v>4133</v>
      </c>
      <c r="Q725" s="589"/>
      <c r="R725" s="497"/>
      <c r="S725" s="623"/>
      <c r="T725" s="439">
        <f t="shared" si="269"/>
        <v>0</v>
      </c>
      <c r="AD725" s="400">
        <f>K725-[25]Blocking1!O725</f>
        <v>0</v>
      </c>
    </row>
    <row r="726" spans="1:30" s="622" customFormat="1">
      <c r="A726" s="432" t="s">
        <v>502</v>
      </c>
      <c r="B726" s="404"/>
      <c r="C726" s="650">
        <f>'[25]15M'!H4</f>
        <v>0</v>
      </c>
      <c r="D726" s="523"/>
      <c r="E726" s="557">
        <f>ROUND(C726*E727/C727,0)</f>
        <v>0</v>
      </c>
      <c r="F726" s="523"/>
      <c r="G726" s="434">
        <f>[25]Blocking1!M726</f>
        <v>127.5</v>
      </c>
      <c r="H726" s="563"/>
      <c r="I726" s="625">
        <f>ROUND(C726*$G726,0)</f>
        <v>0</v>
      </c>
      <c r="J726" s="523"/>
      <c r="K726" s="625">
        <f>ROUND(E726*$G726,0)</f>
        <v>0</v>
      </c>
      <c r="L726" s="523"/>
      <c r="M726" s="434">
        <f t="shared" si="270"/>
        <v>127.5</v>
      </c>
      <c r="N726" s="563"/>
      <c r="O726" s="625">
        <f>ROUND(E726*M726,0)</f>
        <v>0</v>
      </c>
      <c r="Q726" s="590"/>
      <c r="R726" s="497"/>
      <c r="S726" s="623"/>
      <c r="T726" s="439">
        <f t="shared" si="269"/>
        <v>0</v>
      </c>
      <c r="AD726" s="400">
        <f>K726-[25]Blocking1!O726</f>
        <v>0</v>
      </c>
    </row>
    <row r="727" spans="1:30" s="622" customFormat="1">
      <c r="A727" s="432" t="s">
        <v>503</v>
      </c>
      <c r="B727" s="404"/>
      <c r="C727" s="550">
        <f>'[25]15M'!I4</f>
        <v>690.13387096774204</v>
      </c>
      <c r="D727" s="523"/>
      <c r="E727" s="550">
        <f>[25]Bill!P63</f>
        <v>720</v>
      </c>
      <c r="F727" s="523"/>
      <c r="G727" s="434">
        <f>[25]Blocking1!M727</f>
        <v>6.2</v>
      </c>
      <c r="H727" s="563"/>
      <c r="I727" s="625">
        <f>ROUND(C727*$G727,0)</f>
        <v>4279</v>
      </c>
      <c r="J727" s="523"/>
      <c r="K727" s="625">
        <f>ROUND(E727*$G727,0)</f>
        <v>4464</v>
      </c>
      <c r="L727" s="523"/>
      <c r="M727" s="434">
        <f t="shared" si="270"/>
        <v>6.2</v>
      </c>
      <c r="N727" s="563"/>
      <c r="O727" s="625">
        <f>ROUND(E727*M727,0)</f>
        <v>4464</v>
      </c>
      <c r="Q727" s="521"/>
      <c r="R727" s="568"/>
      <c r="S727" s="623"/>
      <c r="T727" s="439">
        <f t="shared" si="269"/>
        <v>0</v>
      </c>
      <c r="AD727" s="400">
        <f>K727-[25]Blocking1!O727</f>
        <v>0</v>
      </c>
    </row>
    <row r="728" spans="1:30" s="622" customFormat="1">
      <c r="A728" s="432" t="s">
        <v>504</v>
      </c>
      <c r="B728" s="404"/>
      <c r="C728" s="550">
        <f>'[25]15M'!K4</f>
        <v>758510</v>
      </c>
      <c r="D728" s="523"/>
      <c r="E728" s="550">
        <f>[25]Energy!P63</f>
        <v>705375.42931868089</v>
      </c>
      <c r="F728" s="523"/>
      <c r="G728" s="603">
        <f>[25]Blocking1!M728</f>
        <v>5.3437000000000001</v>
      </c>
      <c r="H728" s="641" t="s">
        <v>305</v>
      </c>
      <c r="I728" s="625">
        <f>ROUND(C728*$G728/100,0)</f>
        <v>40532</v>
      </c>
      <c r="J728" s="523"/>
      <c r="K728" s="625">
        <f>ROUND(E728*$G728/100,0)</f>
        <v>37693</v>
      </c>
      <c r="L728" s="523"/>
      <c r="M728" s="593">
        <f t="shared" si="270"/>
        <v>5.3437000000000001</v>
      </c>
      <c r="N728" s="641" t="s">
        <v>305</v>
      </c>
      <c r="O728" s="625">
        <f>ROUND(E728*M728/100,0)</f>
        <v>37693</v>
      </c>
      <c r="Q728" s="521"/>
      <c r="R728" s="568"/>
      <c r="S728" s="623"/>
      <c r="T728" s="439">
        <f t="shared" si="269"/>
        <v>0</v>
      </c>
      <c r="AD728" s="400">
        <f>K728-[25]Blocking1!O728</f>
        <v>0</v>
      </c>
    </row>
    <row r="729" spans="1:30" s="622" customFormat="1">
      <c r="A729" s="432" t="s">
        <v>505</v>
      </c>
      <c r="B729" s="404"/>
      <c r="C729" s="642">
        <f>'[25]Table 2'!J124</f>
        <v>-7141</v>
      </c>
      <c r="D729" s="523"/>
      <c r="E729" s="642">
        <v>0</v>
      </c>
      <c r="F729" s="523"/>
      <c r="G729" s="404"/>
      <c r="H729" s="523"/>
      <c r="I729" s="628">
        <f>'[25]Table 3'!F124</f>
        <v>-630</v>
      </c>
      <c r="J729" s="523"/>
      <c r="K729" s="628">
        <v>0</v>
      </c>
      <c r="L729" s="523"/>
      <c r="M729" s="404"/>
      <c r="N729" s="523"/>
      <c r="O729" s="628">
        <v>0</v>
      </c>
      <c r="Q729" s="523"/>
      <c r="R729" s="568"/>
      <c r="S729" s="623"/>
      <c r="AD729" s="400">
        <f>K729-[25]Blocking1!O729</f>
        <v>0</v>
      </c>
    </row>
    <row r="730" spans="1:30" s="622" customFormat="1" ht="16.5" thickBot="1">
      <c r="A730" s="404" t="s">
        <v>172</v>
      </c>
      <c r="B730" s="404"/>
      <c r="C730" s="647">
        <f>C728+C729</f>
        <v>751369</v>
      </c>
      <c r="D730" s="523"/>
      <c r="E730" s="647">
        <f>E728+E729</f>
        <v>705375.42931868089</v>
      </c>
      <c r="F730" s="523"/>
      <c r="G730" s="532"/>
      <c r="H730" s="523"/>
      <c r="I730" s="648">
        <f>SUM(I724:I729)</f>
        <v>60414</v>
      </c>
      <c r="J730" s="523"/>
      <c r="K730" s="648">
        <f>SUM(K724:K729)</f>
        <v>57686</v>
      </c>
      <c r="L730" s="523"/>
      <c r="M730" s="532"/>
      <c r="N730" s="523"/>
      <c r="O730" s="648">
        <f>SUM(O724:O729)</f>
        <v>57686</v>
      </c>
      <c r="Q730" s="416" t="s">
        <v>601</v>
      </c>
      <c r="R730" s="518">
        <f>O730/K730-1</f>
        <v>0</v>
      </c>
      <c r="S730" s="623"/>
      <c r="AD730" s="400">
        <f>K730-[25]Blocking1!O730</f>
        <v>0</v>
      </c>
    </row>
    <row r="731" spans="1:30" s="622" customFormat="1" ht="16.5" thickTop="1">
      <c r="A731" s="404"/>
      <c r="B731" s="404"/>
      <c r="C731" s="557"/>
      <c r="D731" s="523"/>
      <c r="E731" s="557"/>
      <c r="F731" s="523"/>
      <c r="G731" s="404"/>
      <c r="H731" s="523"/>
      <c r="I731" s="404"/>
      <c r="J731" s="523"/>
      <c r="K731" s="404"/>
      <c r="L731" s="523"/>
      <c r="M731" s="404"/>
      <c r="N731" s="523"/>
      <c r="O731" s="404"/>
      <c r="Q731" s="623"/>
      <c r="R731" s="623"/>
      <c r="S731" s="623"/>
      <c r="AD731" s="400">
        <f>K731-[25]Blocking1!O731</f>
        <v>0</v>
      </c>
    </row>
    <row r="732" spans="1:30" s="622" customFormat="1">
      <c r="A732" s="643" t="s">
        <v>665</v>
      </c>
      <c r="B732" s="404"/>
      <c r="C732" s="557"/>
      <c r="D732" s="523"/>
      <c r="E732" s="557"/>
      <c r="F732" s="523"/>
      <c r="G732" s="523"/>
      <c r="H732" s="523"/>
      <c r="I732" s="624"/>
      <c r="J732" s="523"/>
      <c r="K732" s="624"/>
      <c r="L732" s="523"/>
      <c r="M732" s="523"/>
      <c r="N732" s="523"/>
      <c r="O732" s="624"/>
      <c r="Q732" s="437" t="s">
        <v>589</v>
      </c>
      <c r="R732" s="438">
        <f>O736</f>
        <v>682028</v>
      </c>
      <c r="S732" s="623"/>
      <c r="AD732" s="400">
        <f>K732-[25]Blocking1!O732</f>
        <v>0</v>
      </c>
    </row>
    <row r="733" spans="1:30" s="622" customFormat="1">
      <c r="A733" s="432" t="s">
        <v>506</v>
      </c>
      <c r="B733" s="404"/>
      <c r="C733" s="557">
        <f>C739+C745+C751</f>
        <v>29607.495495666979</v>
      </c>
      <c r="D733" s="523"/>
      <c r="E733" s="557">
        <f>E739+E745+E751</f>
        <v>29596</v>
      </c>
      <c r="F733" s="523"/>
      <c r="G733" s="434">
        <f>[25]Blocking1!M733</f>
        <v>5.5</v>
      </c>
      <c r="H733" s="563"/>
      <c r="I733" s="625">
        <f>ROUND(C733*$G733,0)</f>
        <v>162841</v>
      </c>
      <c r="J733" s="523"/>
      <c r="K733" s="625">
        <f>ROUND(E733*$G733,0)</f>
        <v>162778</v>
      </c>
      <c r="L733" s="523"/>
      <c r="M733" s="434">
        <f>MROUND(G733*(1+$R$736),0.5)</f>
        <v>5.5</v>
      </c>
      <c r="N733" s="563"/>
      <c r="O733" s="625">
        <f>ROUND(E733*M733,0)</f>
        <v>162778</v>
      </c>
      <c r="P733" s="625"/>
      <c r="Q733" s="444" t="s">
        <v>593</v>
      </c>
      <c r="R733" s="445">
        <f>([25]RateSpread2!M44)*1000</f>
        <v>682028</v>
      </c>
      <c r="S733" s="623"/>
      <c r="T733" s="439">
        <f t="shared" ref="T733:T734" si="271">M733/G733-1</f>
        <v>0</v>
      </c>
      <c r="AD733" s="400">
        <f>K733-[25]Blocking1!O733</f>
        <v>0</v>
      </c>
    </row>
    <row r="734" spans="1:30" s="622" customFormat="1">
      <c r="A734" s="432" t="s">
        <v>504</v>
      </c>
      <c r="B734" s="404"/>
      <c r="C734" s="557">
        <f t="shared" ref="C734:E735" si="272">C740+C746+C752</f>
        <v>6289438.1033178996</v>
      </c>
      <c r="D734" s="523"/>
      <c r="E734" s="557">
        <f t="shared" si="272"/>
        <v>6177947.158763391</v>
      </c>
      <c r="F734" s="523"/>
      <c r="G734" s="605">
        <f>[25]Blocking1!M734</f>
        <v>8.4048999999999996</v>
      </c>
      <c r="H734" s="641" t="s">
        <v>305</v>
      </c>
      <c r="I734" s="625">
        <f>ROUND(C734*$G734/100,0)</f>
        <v>528621</v>
      </c>
      <c r="J734" s="523"/>
      <c r="K734" s="625">
        <f>ROUND(E734*$G734/100,0)</f>
        <v>519250</v>
      </c>
      <c r="L734" s="523"/>
      <c r="M734" s="593">
        <f>ROUND((R733-O733)/E734*100,$R$8)</f>
        <v>8.4048999999999996</v>
      </c>
      <c r="N734" s="641" t="s">
        <v>305</v>
      </c>
      <c r="O734" s="625">
        <f>ROUND(E734*M734/100,0)</f>
        <v>519250</v>
      </c>
      <c r="Q734" s="450" t="s">
        <v>159</v>
      </c>
      <c r="R734" s="451">
        <f>R733-R732</f>
        <v>0</v>
      </c>
      <c r="T734" s="439">
        <f t="shared" si="271"/>
        <v>0</v>
      </c>
      <c r="AD734" s="400">
        <f>K734-[25]Blocking1!O734</f>
        <v>0</v>
      </c>
    </row>
    <row r="735" spans="1:30" s="622" customFormat="1">
      <c r="A735" s="432" t="s">
        <v>505</v>
      </c>
      <c r="B735" s="404"/>
      <c r="C735" s="652">
        <f t="shared" si="272"/>
        <v>-34137</v>
      </c>
      <c r="D735" s="523"/>
      <c r="E735" s="652">
        <f t="shared" si="272"/>
        <v>0</v>
      </c>
      <c r="F735" s="523"/>
      <c r="G735" s="404"/>
      <c r="H735" s="523"/>
      <c r="I735" s="628">
        <f t="shared" ref="I735" si="273">I741+I747+I753</f>
        <v>-3126</v>
      </c>
      <c r="J735" s="523"/>
      <c r="K735" s="628">
        <v>0</v>
      </c>
      <c r="L735" s="523"/>
      <c r="M735" s="404"/>
      <c r="N735" s="523"/>
      <c r="O735" s="628">
        <v>0</v>
      </c>
      <c r="Q735" s="463" t="s">
        <v>601</v>
      </c>
      <c r="R735" s="536">
        <f>R732/K736-1</f>
        <v>0</v>
      </c>
      <c r="AD735" s="400">
        <f>K735-[25]Blocking1!O735</f>
        <v>0</v>
      </c>
    </row>
    <row r="736" spans="1:30" s="622" customFormat="1" ht="16.5" thickBot="1">
      <c r="A736" s="404" t="s">
        <v>172</v>
      </c>
      <c r="B736" s="404"/>
      <c r="C736" s="647">
        <f>C734+C735</f>
        <v>6255301.1033178996</v>
      </c>
      <c r="D736" s="523"/>
      <c r="E736" s="647">
        <f>E734+E735</f>
        <v>6177947.158763391</v>
      </c>
      <c r="F736" s="523"/>
      <c r="G736" s="532"/>
      <c r="H736" s="523"/>
      <c r="I736" s="648">
        <f>SUM(I733:I735)</f>
        <v>688336</v>
      </c>
      <c r="J736" s="523"/>
      <c r="K736" s="648">
        <f>SUM(K733:K735)</f>
        <v>682028</v>
      </c>
      <c r="L736" s="523"/>
      <c r="M736" s="532"/>
      <c r="N736" s="523"/>
      <c r="O736" s="648">
        <f>SUM(O733:O735)</f>
        <v>682028</v>
      </c>
      <c r="Q736" s="488" t="s">
        <v>603</v>
      </c>
      <c r="R736" s="544">
        <f>R733/K736-1</f>
        <v>0</v>
      </c>
      <c r="S736" s="400"/>
      <c r="AD736" s="400">
        <f>K736-[25]Blocking1!O736</f>
        <v>0</v>
      </c>
    </row>
    <row r="737" spans="1:30" s="622" customFormat="1" ht="16.5" thickTop="1">
      <c r="A737" s="404"/>
      <c r="B737" s="404"/>
      <c r="C737" s="557"/>
      <c r="D737" s="523"/>
      <c r="E737" s="557"/>
      <c r="F737" s="523"/>
      <c r="G737" s="404"/>
      <c r="H737" s="523"/>
      <c r="I737" s="404"/>
      <c r="J737" s="523"/>
      <c r="K737" s="404"/>
      <c r="L737" s="523"/>
      <c r="M737" s="404"/>
      <c r="N737" s="523"/>
      <c r="O737" s="404"/>
      <c r="Q737" s="623"/>
      <c r="R737" s="623"/>
      <c r="S737" s="623"/>
      <c r="AD737" s="400">
        <f>K737-[25]Blocking1!O737</f>
        <v>0</v>
      </c>
    </row>
    <row r="738" spans="1:30" s="622" customFormat="1">
      <c r="A738" s="643" t="s">
        <v>666</v>
      </c>
      <c r="B738" s="404"/>
      <c r="C738" s="557"/>
      <c r="D738" s="523"/>
      <c r="E738" s="557"/>
      <c r="F738" s="523"/>
      <c r="G738" s="523"/>
      <c r="H738" s="523"/>
      <c r="I738" s="624"/>
      <c r="J738" s="523"/>
      <c r="K738" s="624"/>
      <c r="L738" s="523"/>
      <c r="M738" s="523"/>
      <c r="N738" s="523"/>
      <c r="O738" s="624"/>
      <c r="Q738" s="589"/>
      <c r="R738" s="497"/>
      <c r="S738" s="623"/>
      <c r="AD738" s="400">
        <f>K738-[25]Blocking1!O738</f>
        <v>0</v>
      </c>
    </row>
    <row r="739" spans="1:30" s="622" customFormat="1">
      <c r="A739" s="432" t="s">
        <v>506</v>
      </c>
      <c r="B739" s="404"/>
      <c r="C739" s="550">
        <f>'[25]15T'!G13</f>
        <v>9742.8159103601665</v>
      </c>
      <c r="D739" s="523"/>
      <c r="E739" s="550">
        <f>[25]Bill!P24+[25]Bill!P25</f>
        <v>10053</v>
      </c>
      <c r="F739" s="523"/>
      <c r="G739" s="434">
        <f>[25]Blocking1!M739</f>
        <v>5.5</v>
      </c>
      <c r="H739" s="563"/>
      <c r="I739" s="625">
        <f>ROUND(C739*$G739,0)</f>
        <v>53585</v>
      </c>
      <c r="J739" s="523"/>
      <c r="K739" s="625">
        <f>ROUND(E739*$G739,0)</f>
        <v>55292</v>
      </c>
      <c r="L739" s="523"/>
      <c r="M739" s="434">
        <f>M733</f>
        <v>5.5</v>
      </c>
      <c r="N739" s="563"/>
      <c r="O739" s="625">
        <f>ROUND(E739*M739,0)</f>
        <v>55292</v>
      </c>
      <c r="P739" s="625"/>
      <c r="Q739" s="589"/>
      <c r="R739" s="497"/>
      <c r="S739" s="623"/>
      <c r="T739" s="439">
        <f t="shared" ref="T739:T740" si="274">M739/G739-1</f>
        <v>0</v>
      </c>
      <c r="AD739" s="400">
        <f>K739-[25]Blocking1!O739</f>
        <v>0</v>
      </c>
    </row>
    <row r="740" spans="1:30" s="622" customFormat="1">
      <c r="A740" s="432" t="s">
        <v>504</v>
      </c>
      <c r="B740" s="404"/>
      <c r="C740" s="550">
        <f>'[25]15T'!H13</f>
        <v>2157973.5322858691</v>
      </c>
      <c r="D740" s="523"/>
      <c r="E740" s="550">
        <f>[25]Energy!P24+[25]Energy!P25</f>
        <v>2145122.8320141132</v>
      </c>
      <c r="F740" s="523"/>
      <c r="G740" s="605">
        <f>[25]Blocking1!M740</f>
        <v>8.4048999999999996</v>
      </c>
      <c r="H740" s="641" t="s">
        <v>305</v>
      </c>
      <c r="I740" s="625">
        <f>ROUND(C740*$G740/100,0)</f>
        <v>181376</v>
      </c>
      <c r="J740" s="523"/>
      <c r="K740" s="625">
        <f>ROUND(E740*$G740/100,0)</f>
        <v>180295</v>
      </c>
      <c r="L740" s="523"/>
      <c r="M740" s="593">
        <f>M734</f>
        <v>8.4048999999999996</v>
      </c>
      <c r="N740" s="641" t="s">
        <v>305</v>
      </c>
      <c r="O740" s="625">
        <f>ROUND(E740*M740/100,0)</f>
        <v>180295</v>
      </c>
      <c r="Q740" s="590"/>
      <c r="R740" s="497"/>
      <c r="T740" s="439">
        <f t="shared" si="274"/>
        <v>0</v>
      </c>
      <c r="AD740" s="400">
        <f>K740-[25]Blocking1!O740</f>
        <v>0</v>
      </c>
    </row>
    <row r="741" spans="1:30" s="622" customFormat="1">
      <c r="A741" s="432" t="s">
        <v>505</v>
      </c>
      <c r="B741" s="404"/>
      <c r="C741" s="653">
        <f>'[25]Table 2'!J45+'[25]Table 2'!J46</f>
        <v>4401</v>
      </c>
      <c r="D741" s="523"/>
      <c r="E741" s="642">
        <v>0</v>
      </c>
      <c r="F741" s="523"/>
      <c r="G741" s="404"/>
      <c r="H741" s="523"/>
      <c r="I741" s="628">
        <f>'[25]Table 3'!F45+'[25]Table 3'!F46</f>
        <v>1316</v>
      </c>
      <c r="J741" s="523"/>
      <c r="K741" s="628">
        <v>0</v>
      </c>
      <c r="L741" s="523"/>
      <c r="M741" s="404"/>
      <c r="N741" s="523"/>
      <c r="O741" s="628">
        <v>0</v>
      </c>
      <c r="Q741" s="521"/>
      <c r="R741" s="568"/>
      <c r="AD741" s="400">
        <f>K741-[25]Blocking1!O741</f>
        <v>0</v>
      </c>
    </row>
    <row r="742" spans="1:30" s="622" customFormat="1" ht="16.5" thickBot="1">
      <c r="A742" s="404" t="s">
        <v>172</v>
      </c>
      <c r="B742" s="404"/>
      <c r="C742" s="647">
        <f>C740+C741</f>
        <v>2162374.5322858691</v>
      </c>
      <c r="D742" s="523"/>
      <c r="E742" s="647">
        <f>E740+E741</f>
        <v>2145122.8320141132</v>
      </c>
      <c r="F742" s="523"/>
      <c r="G742" s="532"/>
      <c r="H742" s="523"/>
      <c r="I742" s="648">
        <f>SUM(I739:I741)</f>
        <v>236277</v>
      </c>
      <c r="J742" s="523"/>
      <c r="K742" s="648">
        <f>SUM(K739:K741)</f>
        <v>235587</v>
      </c>
      <c r="L742" s="523"/>
      <c r="M742" s="532"/>
      <c r="N742" s="523"/>
      <c r="O742" s="648">
        <f>SUM(O739:O741)</f>
        <v>235587</v>
      </c>
      <c r="Q742" s="416" t="s">
        <v>601</v>
      </c>
      <c r="R742" s="518">
        <f>O742/K742-1</f>
        <v>0</v>
      </c>
      <c r="S742" s="400"/>
      <c r="AD742" s="400">
        <f>K742-[25]Blocking1!O742</f>
        <v>0</v>
      </c>
    </row>
    <row r="743" spans="1:30" s="622" customFormat="1" ht="16.5" thickTop="1">
      <c r="A743" s="404"/>
      <c r="B743" s="404"/>
      <c r="C743" s="557"/>
      <c r="D743" s="523"/>
      <c r="E743" s="557"/>
      <c r="F743" s="523"/>
      <c r="G743" s="404"/>
      <c r="H743" s="523"/>
      <c r="I743" s="404"/>
      <c r="J743" s="523"/>
      <c r="K743" s="404"/>
      <c r="L743" s="523"/>
      <c r="M743" s="404"/>
      <c r="N743" s="523"/>
      <c r="O743" s="404"/>
      <c r="Q743" s="651"/>
      <c r="R743" s="651"/>
      <c r="S743" s="623"/>
      <c r="AD743" s="400">
        <f>K743-[25]Blocking1!O743</f>
        <v>0</v>
      </c>
    </row>
    <row r="744" spans="1:30" s="622" customFormat="1">
      <c r="A744" s="643" t="s">
        <v>667</v>
      </c>
      <c r="B744" s="404"/>
      <c r="C744" s="557"/>
      <c r="D744" s="523"/>
      <c r="E744" s="557"/>
      <c r="F744" s="523"/>
      <c r="G744" s="523"/>
      <c r="H744" s="523"/>
      <c r="I744" s="624"/>
      <c r="J744" s="523"/>
      <c r="K744" s="624"/>
      <c r="L744" s="523"/>
      <c r="M744" s="523"/>
      <c r="N744" s="523"/>
      <c r="O744" s="624"/>
      <c r="Q744" s="589"/>
      <c r="R744" s="497"/>
      <c r="S744" s="623"/>
      <c r="AD744" s="400">
        <f>K744-[25]Blocking1!O744</f>
        <v>0</v>
      </c>
    </row>
    <row r="745" spans="1:30" s="622" customFormat="1">
      <c r="A745" s="432" t="s">
        <v>506</v>
      </c>
      <c r="B745" s="404"/>
      <c r="C745" s="550">
        <f>'[25]15T'!G14</f>
        <v>131.96309090909099</v>
      </c>
      <c r="D745" s="523"/>
      <c r="E745" s="550">
        <f>[25]Bill!P40</f>
        <v>128</v>
      </c>
      <c r="F745" s="523"/>
      <c r="G745" s="434">
        <f>[25]Blocking1!M745</f>
        <v>5.5</v>
      </c>
      <c r="H745" s="563"/>
      <c r="I745" s="625">
        <f>ROUND(C745*$G745,0)</f>
        <v>726</v>
      </c>
      <c r="J745" s="523"/>
      <c r="K745" s="625">
        <f>ROUND(E745*$G745,0)</f>
        <v>704</v>
      </c>
      <c r="L745" s="523"/>
      <c r="M745" s="434">
        <f>M733</f>
        <v>5.5</v>
      </c>
      <c r="N745" s="563"/>
      <c r="O745" s="625">
        <f>ROUND(E745*M745,0)</f>
        <v>704</v>
      </c>
      <c r="P745" s="625"/>
      <c r="Q745" s="589"/>
      <c r="R745" s="497"/>
      <c r="S745" s="623"/>
      <c r="T745" s="439">
        <f t="shared" ref="T745:T746" si="275">M745/G745-1</f>
        <v>0</v>
      </c>
      <c r="AD745" s="400">
        <f>K745-[25]Blocking1!O745</f>
        <v>0</v>
      </c>
    </row>
    <row r="746" spans="1:30" s="622" customFormat="1">
      <c r="A746" s="432" t="s">
        <v>504</v>
      </c>
      <c r="B746" s="404"/>
      <c r="C746" s="550">
        <f>'[25]15T'!H14</f>
        <v>19659</v>
      </c>
      <c r="D746" s="523"/>
      <c r="E746" s="550">
        <f>[25]Energy!P40</f>
        <v>21171.276374305129</v>
      </c>
      <c r="F746" s="523"/>
      <c r="G746" s="605">
        <f>[25]Blocking1!M746</f>
        <v>8.4048999999999996</v>
      </c>
      <c r="H746" s="641" t="s">
        <v>305</v>
      </c>
      <c r="I746" s="625">
        <f>ROUND(C746*$G746/100,0)</f>
        <v>1652</v>
      </c>
      <c r="J746" s="523"/>
      <c r="K746" s="625">
        <f>ROUND(E746*$G746/100,0)</f>
        <v>1779</v>
      </c>
      <c r="L746" s="523"/>
      <c r="M746" s="593">
        <f>M734</f>
        <v>8.4048999999999996</v>
      </c>
      <c r="N746" s="641" t="s">
        <v>305</v>
      </c>
      <c r="O746" s="625">
        <f>ROUND(E746*M746/100,0)</f>
        <v>1779</v>
      </c>
      <c r="Q746" s="590"/>
      <c r="R746" s="497"/>
      <c r="T746" s="439">
        <f t="shared" si="275"/>
        <v>0</v>
      </c>
      <c r="AD746" s="400">
        <f>K746-[25]Blocking1!O746</f>
        <v>0</v>
      </c>
    </row>
    <row r="747" spans="1:30" s="622" customFormat="1">
      <c r="A747" s="432" t="s">
        <v>505</v>
      </c>
      <c r="B747" s="404"/>
      <c r="C747" s="653">
        <f>'[25]Table 2'!J75</f>
        <v>175</v>
      </c>
      <c r="D747" s="523"/>
      <c r="E747" s="642">
        <v>0</v>
      </c>
      <c r="F747" s="523"/>
      <c r="G747" s="404"/>
      <c r="H747" s="523"/>
      <c r="I747" s="628">
        <f>'[25]Table 3'!F75</f>
        <v>25</v>
      </c>
      <c r="J747" s="523"/>
      <c r="K747" s="628">
        <v>0</v>
      </c>
      <c r="L747" s="523"/>
      <c r="M747" s="404"/>
      <c r="N747" s="523"/>
      <c r="O747" s="628">
        <v>0</v>
      </c>
      <c r="Q747" s="521"/>
      <c r="R747" s="568"/>
      <c r="AD747" s="400">
        <f>K747-[25]Blocking1!O747</f>
        <v>0</v>
      </c>
    </row>
    <row r="748" spans="1:30" s="622" customFormat="1" ht="16.5" thickBot="1">
      <c r="A748" s="404" t="s">
        <v>172</v>
      </c>
      <c r="B748" s="404"/>
      <c r="C748" s="647">
        <f>C746+C747</f>
        <v>19834</v>
      </c>
      <c r="D748" s="523"/>
      <c r="E748" s="647">
        <f>E746+E747</f>
        <v>21171.276374305129</v>
      </c>
      <c r="F748" s="523"/>
      <c r="G748" s="532"/>
      <c r="H748" s="523"/>
      <c r="I748" s="648">
        <f>SUM(I745:I747)</f>
        <v>2403</v>
      </c>
      <c r="J748" s="523"/>
      <c r="K748" s="648">
        <f>SUM(K745:K747)</f>
        <v>2483</v>
      </c>
      <c r="L748" s="523"/>
      <c r="M748" s="532"/>
      <c r="N748" s="523"/>
      <c r="O748" s="648">
        <f>SUM(O745:O747)</f>
        <v>2483</v>
      </c>
      <c r="Q748" s="416" t="s">
        <v>601</v>
      </c>
      <c r="R748" s="518">
        <f>O748/K748-1</f>
        <v>0</v>
      </c>
      <c r="S748" s="400"/>
      <c r="AD748" s="400">
        <f>K748-[25]Blocking1!O748</f>
        <v>0</v>
      </c>
    </row>
    <row r="749" spans="1:30" s="622" customFormat="1" ht="16.5" thickTop="1">
      <c r="A749" s="404"/>
      <c r="B749" s="404"/>
      <c r="C749" s="557"/>
      <c r="D749" s="523"/>
      <c r="E749" s="557"/>
      <c r="F749" s="523"/>
      <c r="G749" s="404"/>
      <c r="H749" s="523"/>
      <c r="I749" s="404"/>
      <c r="J749" s="523"/>
      <c r="K749" s="404"/>
      <c r="L749" s="523"/>
      <c r="M749" s="404"/>
      <c r="N749" s="523"/>
      <c r="O749" s="404"/>
      <c r="Q749" s="651"/>
      <c r="R749" s="651"/>
      <c r="S749" s="623"/>
      <c r="AD749" s="400">
        <f>K749-[25]Blocking1!O749</f>
        <v>0</v>
      </c>
    </row>
    <row r="750" spans="1:30" s="622" customFormat="1">
      <c r="A750" s="643" t="s">
        <v>668</v>
      </c>
      <c r="B750" s="404"/>
      <c r="C750" s="557"/>
      <c r="D750" s="523"/>
      <c r="E750" s="557"/>
      <c r="F750" s="523"/>
      <c r="G750" s="523"/>
      <c r="H750" s="523"/>
      <c r="I750" s="624"/>
      <c r="J750" s="523"/>
      <c r="K750" s="624"/>
      <c r="L750" s="523"/>
      <c r="M750" s="523"/>
      <c r="N750" s="523"/>
      <c r="O750" s="624"/>
      <c r="Q750" s="589"/>
      <c r="R750" s="497"/>
      <c r="S750" s="623"/>
      <c r="AD750" s="400">
        <f>K750-[25]Blocking1!O750</f>
        <v>0</v>
      </c>
    </row>
    <row r="751" spans="1:30" s="622" customFormat="1">
      <c r="A751" s="432" t="s">
        <v>506</v>
      </c>
      <c r="B751" s="404"/>
      <c r="C751" s="550">
        <f>'[25]15T'!G15</f>
        <v>19732.716494397722</v>
      </c>
      <c r="D751" s="523"/>
      <c r="E751" s="550">
        <f>[25]Bill!P61+[25]Bill!P62</f>
        <v>19415</v>
      </c>
      <c r="F751" s="523"/>
      <c r="G751" s="434">
        <f>[25]Blocking1!M751</f>
        <v>5.5</v>
      </c>
      <c r="H751" s="563"/>
      <c r="I751" s="625">
        <f>ROUND(C751*$G751,0)</f>
        <v>108530</v>
      </c>
      <c r="J751" s="523"/>
      <c r="K751" s="625">
        <f>ROUND(E751*$G751,0)</f>
        <v>106783</v>
      </c>
      <c r="L751" s="523"/>
      <c r="M751" s="434">
        <f>M733</f>
        <v>5.5</v>
      </c>
      <c r="N751" s="563"/>
      <c r="O751" s="625">
        <f>ROUND(E751*M751,0)</f>
        <v>106783</v>
      </c>
      <c r="P751" s="625"/>
      <c r="Q751" s="589"/>
      <c r="R751" s="497"/>
      <c r="S751" s="623"/>
      <c r="T751" s="439">
        <f t="shared" ref="T751:T752" si="276">M751/G751-1</f>
        <v>0</v>
      </c>
      <c r="AD751" s="400">
        <f>K751-[25]Blocking1!O751</f>
        <v>0</v>
      </c>
    </row>
    <row r="752" spans="1:30" s="622" customFormat="1">
      <c r="A752" s="432" t="s">
        <v>504</v>
      </c>
      <c r="B752" s="404"/>
      <c r="C752" s="550">
        <f>'[25]15T'!H15</f>
        <v>4111805.57103203</v>
      </c>
      <c r="D752" s="523"/>
      <c r="E752" s="550">
        <f>[25]Energy!P61+[25]Energy!P62</f>
        <v>4011653.0503749726</v>
      </c>
      <c r="F752" s="523"/>
      <c r="G752" s="605">
        <f>[25]Blocking1!M752</f>
        <v>8.4048999999999996</v>
      </c>
      <c r="H752" s="641" t="s">
        <v>305</v>
      </c>
      <c r="I752" s="625">
        <f>ROUND(C752*$G752/100,0)</f>
        <v>345593</v>
      </c>
      <c r="J752" s="523"/>
      <c r="K752" s="625">
        <f>ROUND(E752*$G752/100,0)</f>
        <v>337175</v>
      </c>
      <c r="L752" s="523"/>
      <c r="M752" s="593">
        <f>M734</f>
        <v>8.4048999999999996</v>
      </c>
      <c r="N752" s="641" t="s">
        <v>305</v>
      </c>
      <c r="O752" s="625">
        <f>ROUND(E752*M752/100,0)</f>
        <v>337175</v>
      </c>
      <c r="Q752" s="590"/>
      <c r="R752" s="497"/>
      <c r="T752" s="439">
        <f t="shared" si="276"/>
        <v>0</v>
      </c>
      <c r="AD752" s="400">
        <f>K752-[25]Blocking1!O752</f>
        <v>0</v>
      </c>
    </row>
    <row r="753" spans="1:30" s="622" customFormat="1">
      <c r="A753" s="432" t="s">
        <v>505</v>
      </c>
      <c r="B753" s="404"/>
      <c r="C753" s="653">
        <f>'[25]Table 2'!J122+'[25]Table 2'!J123</f>
        <v>-38713</v>
      </c>
      <c r="D753" s="523"/>
      <c r="E753" s="642">
        <v>0</v>
      </c>
      <c r="F753" s="523"/>
      <c r="G753" s="404"/>
      <c r="H753" s="523"/>
      <c r="I753" s="628">
        <f>'[25]Table 3'!F122+'[25]Table 3'!F123</f>
        <v>-4467</v>
      </c>
      <c r="J753" s="523"/>
      <c r="K753" s="628">
        <v>0</v>
      </c>
      <c r="L753" s="523"/>
      <c r="M753" s="404"/>
      <c r="N753" s="523"/>
      <c r="O753" s="628">
        <v>0</v>
      </c>
      <c r="Q753" s="521"/>
      <c r="R753" s="568"/>
      <c r="AD753" s="400">
        <f>K753-[25]Blocking1!O753</f>
        <v>0</v>
      </c>
    </row>
    <row r="754" spans="1:30" s="622" customFormat="1" ht="16.5" thickBot="1">
      <c r="A754" s="404" t="s">
        <v>172</v>
      </c>
      <c r="B754" s="404"/>
      <c r="C754" s="647">
        <f>C752+C753</f>
        <v>4073092.57103203</v>
      </c>
      <c r="D754" s="523"/>
      <c r="E754" s="647">
        <f>E752+E753</f>
        <v>4011653.0503749726</v>
      </c>
      <c r="F754" s="523"/>
      <c r="G754" s="532"/>
      <c r="H754" s="523"/>
      <c r="I754" s="648">
        <f>SUM(I751:I753)</f>
        <v>449656</v>
      </c>
      <c r="J754" s="523"/>
      <c r="K754" s="648">
        <f>SUM(K751:K753)</f>
        <v>443958</v>
      </c>
      <c r="L754" s="523"/>
      <c r="M754" s="532"/>
      <c r="N754" s="523"/>
      <c r="O754" s="648">
        <f>SUM(O751:O753)</f>
        <v>443958</v>
      </c>
      <c r="Q754" s="416" t="s">
        <v>601</v>
      </c>
      <c r="R754" s="518">
        <f>O754/K754-1</f>
        <v>0</v>
      </c>
      <c r="S754" s="400"/>
      <c r="AD754" s="400">
        <f>K754-[25]Blocking1!O754</f>
        <v>0</v>
      </c>
    </row>
    <row r="755" spans="1:30" s="622" customFormat="1" ht="16.5" thickTop="1">
      <c r="A755" s="432"/>
      <c r="B755" s="404"/>
      <c r="C755" s="557"/>
      <c r="D755" s="523"/>
      <c r="E755" s="557"/>
      <c r="F755" s="523"/>
      <c r="G755" s="654"/>
      <c r="H755" s="655"/>
      <c r="I755" s="624"/>
      <c r="J755" s="523"/>
      <c r="K755" s="624"/>
      <c r="L755" s="523"/>
      <c r="M755" s="654"/>
      <c r="N755" s="655"/>
      <c r="O755" s="624"/>
      <c r="P755" s="629"/>
      <c r="S755" s="400"/>
      <c r="AD755" s="400">
        <f>K755-[25]Blocking1!O755</f>
        <v>0</v>
      </c>
    </row>
    <row r="756" spans="1:30" s="622" customFormat="1">
      <c r="A756" s="428" t="s">
        <v>507</v>
      </c>
      <c r="B756" s="405"/>
      <c r="C756" s="406"/>
      <c r="D756" s="407"/>
      <c r="E756" s="406"/>
      <c r="F756" s="407"/>
      <c r="G756" s="404"/>
      <c r="H756" s="407"/>
      <c r="I756" s="405"/>
      <c r="J756" s="407"/>
      <c r="K756" s="405"/>
      <c r="L756" s="407"/>
      <c r="M756" s="405"/>
      <c r="N756" s="407"/>
      <c r="O756" s="405"/>
      <c r="Q756" s="405"/>
      <c r="R756" s="400"/>
      <c r="S756" s="535"/>
      <c r="AD756" s="400">
        <f>K756-[25]Blocking1!O756</f>
        <v>0</v>
      </c>
    </row>
    <row r="757" spans="1:30" s="622" customFormat="1">
      <c r="A757" s="656" t="s">
        <v>508</v>
      </c>
      <c r="B757" s="405"/>
      <c r="C757" s="433"/>
      <c r="D757" s="407"/>
      <c r="E757" s="433"/>
      <c r="F757" s="407"/>
      <c r="G757" s="404"/>
      <c r="H757" s="407"/>
      <c r="I757" s="405"/>
      <c r="J757" s="407"/>
      <c r="K757" s="405"/>
      <c r="L757" s="407"/>
      <c r="M757" s="405"/>
      <c r="N757" s="407"/>
      <c r="O757" s="405"/>
      <c r="P757" s="417"/>
      <c r="Q757" s="516"/>
      <c r="R757" s="560"/>
      <c r="S757" s="535"/>
      <c r="T757" s="400"/>
      <c r="U757" s="400"/>
      <c r="AD757" s="400">
        <f>K757-[25]Blocking1!O757</f>
        <v>0</v>
      </c>
    </row>
    <row r="758" spans="1:30" s="622" customFormat="1">
      <c r="A758" s="432" t="s">
        <v>303</v>
      </c>
      <c r="B758" s="405"/>
      <c r="C758" s="433">
        <f>'[25]21'!H7</f>
        <v>35.999947163947198</v>
      </c>
      <c r="D758" s="407"/>
      <c r="E758" s="517">
        <f>ROUND([25]Bill!$P$42*(C758/SUM($C$758,$C$765)),0)</f>
        <v>36</v>
      </c>
      <c r="F758" s="407"/>
      <c r="G758" s="434">
        <f>[25]Blocking1!M758</f>
        <v>125</v>
      </c>
      <c r="H758" s="435"/>
      <c r="I758" s="417">
        <f>ROUND($G758*C758,0)</f>
        <v>4500</v>
      </c>
      <c r="J758" s="407"/>
      <c r="K758" s="417">
        <f>ROUND($G758*E758,0)</f>
        <v>4500</v>
      </c>
      <c r="L758" s="407"/>
      <c r="M758" s="434">
        <f>ROUND(G758*(1+$R$762),0)</f>
        <v>127</v>
      </c>
      <c r="N758" s="435"/>
      <c r="O758" s="417">
        <f>ROUND(M758*$E758,0)</f>
        <v>4572</v>
      </c>
      <c r="P758" s="405"/>
      <c r="Q758" s="437" t="s">
        <v>589</v>
      </c>
      <c r="R758" s="438">
        <f>O771</f>
        <v>475926</v>
      </c>
      <c r="S758" s="535"/>
      <c r="T758" s="439">
        <f t="shared" ref="T758:T761" si="277">M758/G758-1</f>
        <v>1.6000000000000014E-2</v>
      </c>
      <c r="U758" s="400"/>
      <c r="AD758" s="400">
        <f>K758-[25]Blocking1!O758</f>
        <v>0</v>
      </c>
    </row>
    <row r="759" spans="1:30">
      <c r="A759" s="432" t="s">
        <v>509</v>
      </c>
      <c r="C759" s="433">
        <f>'[25]21'!I7</f>
        <v>9426.0034639865989</v>
      </c>
      <c r="E759" s="617">
        <f>ROUND(C759*$E$763/$C$763,0)</f>
        <v>10893</v>
      </c>
      <c r="G759" s="434">
        <f>[25]Blocking1!M759</f>
        <v>4.24</v>
      </c>
      <c r="H759" s="435"/>
      <c r="I759" s="417">
        <f>ROUND($G759*C759,0)</f>
        <v>39966</v>
      </c>
      <c r="K759" s="417">
        <f>ROUND($G759*E759,0)</f>
        <v>46186</v>
      </c>
      <c r="M759" s="434">
        <f>ROUND(G759*(1+$R$763),2)</f>
        <v>4.3</v>
      </c>
      <c r="N759" s="435"/>
      <c r="O759" s="417">
        <f>ROUND(M759*$E759,0)</f>
        <v>46840</v>
      </c>
      <c r="P759" s="417"/>
      <c r="Q759" s="444" t="s">
        <v>593</v>
      </c>
      <c r="R759" s="445">
        <f>[25]RateSpread2!M31*1000</f>
        <v>475926</v>
      </c>
      <c r="S759" s="535"/>
      <c r="T759" s="439">
        <f t="shared" si="277"/>
        <v>1.4150943396226356E-2</v>
      </c>
      <c r="AD759" s="400">
        <f>K759-[25]Blocking1!O759</f>
        <v>0</v>
      </c>
    </row>
    <row r="760" spans="1:30">
      <c r="A760" s="432" t="s">
        <v>510</v>
      </c>
      <c r="C760" s="433">
        <f>'[25]21'!K7</f>
        <v>366742</v>
      </c>
      <c r="E760" s="617">
        <f>ROUND(C760*($E$763-$E$762)/($C$763-$C$762),0)</f>
        <v>423833</v>
      </c>
      <c r="G760" s="657">
        <f>[25]Blocking1!M760</f>
        <v>6.7458999999999998</v>
      </c>
      <c r="H760" s="462" t="s">
        <v>305</v>
      </c>
      <c r="I760" s="417">
        <f>ROUND($G760*C760/100,0)</f>
        <v>24740</v>
      </c>
      <c r="K760" s="417">
        <f>ROUND($G760*E760/100,0)</f>
        <v>28591</v>
      </c>
      <c r="M760" s="657">
        <f>ROUND(G760*(1+$R$763),$R$8)</f>
        <v>6.8446999999999996</v>
      </c>
      <c r="N760" s="462" t="s">
        <v>305</v>
      </c>
      <c r="O760" s="417">
        <f>ROUND(M760*$E760/100,0)</f>
        <v>29010</v>
      </c>
      <c r="P760" s="417"/>
      <c r="Q760" s="450" t="s">
        <v>159</v>
      </c>
      <c r="R760" s="451">
        <f>R759-R758</f>
        <v>0</v>
      </c>
      <c r="S760" s="502"/>
      <c r="T760" s="439">
        <f t="shared" si="277"/>
        <v>1.4645933085281504E-2</v>
      </c>
      <c r="AD760" s="400">
        <f>K760-[25]Blocking1!O760</f>
        <v>0</v>
      </c>
    </row>
    <row r="761" spans="1:30">
      <c r="A761" s="432" t="s">
        <v>415</v>
      </c>
      <c r="C761" s="433">
        <f>'[25]21'!L7</f>
        <v>0</v>
      </c>
      <c r="E761" s="617">
        <f>E763-E760</f>
        <v>0</v>
      </c>
      <c r="G761" s="657">
        <f>[25]Blocking1!M761</f>
        <v>5.6642000000000001</v>
      </c>
      <c r="H761" s="462" t="s">
        <v>305</v>
      </c>
      <c r="I761" s="417">
        <f>ROUND($G761*C761/100,0)</f>
        <v>0</v>
      </c>
      <c r="K761" s="417">
        <f>ROUND($G761*E761/100,0)</f>
        <v>0</v>
      </c>
      <c r="M761" s="657">
        <f>ROUND(G761*(1+$R$763),$R$8)</f>
        <v>5.7472000000000003</v>
      </c>
      <c r="N761" s="462" t="s">
        <v>305</v>
      </c>
      <c r="O761" s="417">
        <f>ROUND(M761*$E761/100,0)</f>
        <v>0</v>
      </c>
      <c r="P761" s="417"/>
      <c r="Q761" s="463" t="s">
        <v>601</v>
      </c>
      <c r="R761" s="536">
        <f>R758/K771-1</f>
        <v>1.4674560754557753E-2</v>
      </c>
      <c r="S761" s="440"/>
      <c r="T761" s="439">
        <f t="shared" si="277"/>
        <v>1.4653437378623568E-2</v>
      </c>
      <c r="AD761" s="400">
        <f>K761-[25]Blocking1!O761</f>
        <v>0</v>
      </c>
    </row>
    <row r="762" spans="1:30">
      <c r="A762" s="432" t="s">
        <v>313</v>
      </c>
      <c r="C762" s="504">
        <v>0</v>
      </c>
      <c r="E762" s="504">
        <v>0</v>
      </c>
      <c r="G762" s="657"/>
      <c r="H762" s="658"/>
      <c r="I762" s="506">
        <v>0</v>
      </c>
      <c r="K762" s="506"/>
      <c r="M762" s="657"/>
      <c r="N762" s="658"/>
      <c r="O762" s="506">
        <v>0</v>
      </c>
      <c r="P762" s="417"/>
      <c r="Q762" s="471" t="s">
        <v>603</v>
      </c>
      <c r="R762" s="540">
        <f>R759/K771-1</f>
        <v>1.4674560754557753E-2</v>
      </c>
      <c r="T762" s="535"/>
      <c r="AD762" s="400">
        <f>K762-[25]Blocking1!O762</f>
        <v>0</v>
      </c>
    </row>
    <row r="763" spans="1:30">
      <c r="A763" s="432" t="s">
        <v>511</v>
      </c>
      <c r="C763" s="581">
        <f>C761+C760+C762</f>
        <v>366742</v>
      </c>
      <c r="E763" s="581">
        <f>ROUND(E771*C763/(C771-C769),0)</f>
        <v>423833</v>
      </c>
      <c r="G763" s="547"/>
      <c r="H763" s="572"/>
      <c r="I763" s="417">
        <f>SUM(I758:I762)</f>
        <v>69206</v>
      </c>
      <c r="K763" s="417">
        <f>SUM(K758:K762)</f>
        <v>79277</v>
      </c>
      <c r="M763" s="547"/>
      <c r="N763" s="572"/>
      <c r="O763" s="417">
        <f>SUM(O758:O762)</f>
        <v>80422</v>
      </c>
      <c r="P763" s="497"/>
      <c r="Q763" s="471" t="s">
        <v>625</v>
      </c>
      <c r="R763" s="540">
        <f>(R759-O758-O765)/(K771-K758-K765)-1</f>
        <v>1.465302257861123E-2</v>
      </c>
      <c r="T763" s="535"/>
      <c r="AD763" s="400">
        <f>K763-[25]Blocking1!O763</f>
        <v>0</v>
      </c>
    </row>
    <row r="764" spans="1:30">
      <c r="A764" s="656" t="s">
        <v>512</v>
      </c>
      <c r="C764" s="433"/>
      <c r="E764" s="617"/>
      <c r="G764" s="547"/>
      <c r="H764" s="572"/>
      <c r="M764" s="547"/>
      <c r="N764" s="572"/>
      <c r="P764" s="417"/>
      <c r="Q764" s="488" t="s">
        <v>643</v>
      </c>
      <c r="R764" s="544">
        <f>(O771)/(K771)-1</f>
        <v>1.4674560754557753E-2</v>
      </c>
      <c r="T764" s="502"/>
      <c r="AD764" s="400">
        <f>K764-[25]Blocking1!O764</f>
        <v>0</v>
      </c>
    </row>
    <row r="765" spans="1:30">
      <c r="A765" s="432" t="s">
        <v>303</v>
      </c>
      <c r="C765" s="433">
        <f>'[25]21'!H8</f>
        <v>23.999992229992198</v>
      </c>
      <c r="E765" s="517">
        <f>-E758+[25]Bill!P42</f>
        <v>24</v>
      </c>
      <c r="G765" s="434">
        <f>[25]Blocking1!M765</f>
        <v>125</v>
      </c>
      <c r="H765" s="435"/>
      <c r="I765" s="417">
        <f>ROUND($G765*C765,0)</f>
        <v>3000</v>
      </c>
      <c r="K765" s="417">
        <f>ROUND($G765*E765,0)</f>
        <v>3000</v>
      </c>
      <c r="M765" s="434">
        <f>M758</f>
        <v>127</v>
      </c>
      <c r="N765" s="435"/>
      <c r="O765" s="417">
        <f>ROUND(M765*$E765,0)</f>
        <v>3048</v>
      </c>
      <c r="P765" s="624"/>
      <c r="T765" s="439">
        <f t="shared" ref="T765:T768" si="278">M765/G765-1</f>
        <v>1.6000000000000014E-2</v>
      </c>
      <c r="AD765" s="400">
        <f>K765-[25]Blocking1!O765</f>
        <v>0</v>
      </c>
    </row>
    <row r="766" spans="1:30">
      <c r="A766" s="432" t="s">
        <v>509</v>
      </c>
      <c r="C766" s="433">
        <f>'[25]21'!I8</f>
        <v>41396.999745393594</v>
      </c>
      <c r="E766" s="617">
        <f>ROUND(C766*$E$770/$C$770,0)</f>
        <v>47371</v>
      </c>
      <c r="G766" s="434">
        <f>[25]Blocking1!M766</f>
        <v>4.24</v>
      </c>
      <c r="H766" s="435"/>
      <c r="I766" s="417">
        <f>ROUND($G766*C766,0)</f>
        <v>175523</v>
      </c>
      <c r="K766" s="417">
        <f>ROUND($G766*E766,0)</f>
        <v>200853</v>
      </c>
      <c r="M766" s="434">
        <f>M759</f>
        <v>4.3</v>
      </c>
      <c r="N766" s="435"/>
      <c r="O766" s="417">
        <f>ROUND(M766*$E766,0)</f>
        <v>203695</v>
      </c>
      <c r="P766" s="497"/>
      <c r="T766" s="439">
        <f t="shared" si="278"/>
        <v>1.4150943396226356E-2</v>
      </c>
      <c r="AD766" s="400">
        <f>K766-[25]Blocking1!O766</f>
        <v>0</v>
      </c>
    </row>
    <row r="767" spans="1:30">
      <c r="A767" s="432" t="s">
        <v>510</v>
      </c>
      <c r="C767" s="433">
        <f>'[25]21'!M8</f>
        <v>2302472</v>
      </c>
      <c r="E767" s="617">
        <f>ROUND(C767*($E$770-$E$769)/($C$770-$C$769),0)</f>
        <v>2660898</v>
      </c>
      <c r="G767" s="657">
        <f>[25]Blocking1!M767</f>
        <v>5.3072999999999997</v>
      </c>
      <c r="H767" s="462" t="s">
        <v>305</v>
      </c>
      <c r="I767" s="417">
        <f>ROUND($G767*C767/100,0)</f>
        <v>122199</v>
      </c>
      <c r="K767" s="417">
        <f>ROUND($G767*E767/100,0)</f>
        <v>141222</v>
      </c>
      <c r="M767" s="657">
        <f>ROUND(G767*(1+$R$763),$R$8)</f>
        <v>5.3851000000000004</v>
      </c>
      <c r="N767" s="462" t="s">
        <v>305</v>
      </c>
      <c r="O767" s="417">
        <f>ROUND(M767*$E767/100,0)</f>
        <v>143292</v>
      </c>
      <c r="P767" s="497"/>
      <c r="S767" s="659"/>
      <c r="T767" s="439">
        <f t="shared" si="278"/>
        <v>1.4659054509826186E-2</v>
      </c>
      <c r="AD767" s="400">
        <f>K767-[25]Blocking1!O767</f>
        <v>0</v>
      </c>
    </row>
    <row r="768" spans="1:30">
      <c r="A768" s="432" t="s">
        <v>415</v>
      </c>
      <c r="C768" s="433">
        <f>'[25]21'!N8</f>
        <v>834121</v>
      </c>
      <c r="E768" s="617">
        <f>E770-E767</f>
        <v>963969.33770158794</v>
      </c>
      <c r="G768" s="657">
        <f>[25]Blocking1!M768</f>
        <v>4.6360999999999999</v>
      </c>
      <c r="H768" s="462" t="s">
        <v>305</v>
      </c>
      <c r="I768" s="417">
        <f>ROUND($G768*C768/100,0)</f>
        <v>38671</v>
      </c>
      <c r="K768" s="417">
        <f>ROUND($G768*E768/100,0)</f>
        <v>44691</v>
      </c>
      <c r="M768" s="657">
        <f>ROUND((R759-SUM(O763,O765:O767))/E768*100,$R$8)</f>
        <v>4.7168999999999999</v>
      </c>
      <c r="N768" s="462" t="s">
        <v>305</v>
      </c>
      <c r="O768" s="417">
        <f>ROUND(M768*$E768/100,0)</f>
        <v>45469</v>
      </c>
      <c r="S768" s="659"/>
      <c r="T768" s="439">
        <f t="shared" si="278"/>
        <v>1.7428442009447487E-2</v>
      </c>
      <c r="AD768" s="400">
        <f>K768-[25]Blocking1!O768</f>
        <v>0</v>
      </c>
    </row>
    <row r="769" spans="1:30">
      <c r="A769" s="432" t="s">
        <v>313</v>
      </c>
      <c r="C769" s="504">
        <f>'[25]Table 2'!J77</f>
        <v>31112</v>
      </c>
      <c r="E769" s="504">
        <v>0</v>
      </c>
      <c r="G769" s="657"/>
      <c r="H769" s="660"/>
      <c r="I769" s="507">
        <f>'[25]Table 3'!F77</f>
        <v>4182</v>
      </c>
      <c r="K769" s="507">
        <v>0</v>
      </c>
      <c r="M769" s="657"/>
      <c r="N769" s="660"/>
      <c r="O769" s="507">
        <v>0</v>
      </c>
      <c r="S769" s="457"/>
      <c r="AD769" s="400">
        <f>K769-[25]Blocking1!O769</f>
        <v>0</v>
      </c>
    </row>
    <row r="770" spans="1:30">
      <c r="A770" s="432" t="s">
        <v>511</v>
      </c>
      <c r="C770" s="581">
        <f>C768+C767+C769</f>
        <v>3167705</v>
      </c>
      <c r="E770" s="581">
        <f>E771-E763</f>
        <v>3624867.3377015879</v>
      </c>
      <c r="G770" s="547"/>
      <c r="H770" s="572"/>
      <c r="I770" s="417">
        <f>SUM(I765:I769)</f>
        <v>343575</v>
      </c>
      <c r="K770" s="417">
        <f>SUM(K765:K769)</f>
        <v>389766</v>
      </c>
      <c r="M770" s="547"/>
      <c r="N770" s="572"/>
      <c r="O770" s="417">
        <f>SUM(O765:O769)</f>
        <v>395504</v>
      </c>
      <c r="P770" s="417"/>
      <c r="S770" s="659"/>
      <c r="AD770" s="400">
        <f>K770-[25]Blocking1!O770</f>
        <v>0</v>
      </c>
    </row>
    <row r="771" spans="1:30" ht="16.5" thickBot="1">
      <c r="A771" s="432" t="s">
        <v>314</v>
      </c>
      <c r="C771" s="595">
        <f>C770+C763</f>
        <v>3534447</v>
      </c>
      <c r="E771" s="559">
        <f>[25]Energy!P42</f>
        <v>4048700.3377015879</v>
      </c>
      <c r="G771" s="532"/>
      <c r="I771" s="648">
        <f>I770+I763</f>
        <v>412781</v>
      </c>
      <c r="K771" s="648">
        <f>K770+K763</f>
        <v>469043</v>
      </c>
      <c r="M771" s="532"/>
      <c r="O771" s="648">
        <f>O770+O763</f>
        <v>475926</v>
      </c>
      <c r="P771" s="417"/>
      <c r="Q771" s="416" t="s">
        <v>601</v>
      </c>
      <c r="R771" s="518">
        <f>O771/K771-1</f>
        <v>1.4674560754557753E-2</v>
      </c>
      <c r="S771" s="659"/>
      <c r="T771" s="659"/>
      <c r="AD771" s="400">
        <f>K771-[25]Blocking1!O771</f>
        <v>0</v>
      </c>
    </row>
    <row r="772" spans="1:30" ht="16.5" thickTop="1">
      <c r="C772" s="406"/>
      <c r="E772" s="406"/>
      <c r="P772" s="417"/>
      <c r="Q772" s="416"/>
      <c r="R772" s="439"/>
      <c r="S772" s="535"/>
      <c r="T772" s="659"/>
      <c r="AD772" s="400">
        <f>K772-[25]Blocking1!O772</f>
        <v>0</v>
      </c>
    </row>
    <row r="773" spans="1:30">
      <c r="A773" s="428" t="s">
        <v>669</v>
      </c>
      <c r="C773" s="406"/>
      <c r="E773" s="661"/>
      <c r="P773" s="417"/>
      <c r="T773" s="659"/>
      <c r="AD773" s="400">
        <f>K773-[25]Blocking1!O773</f>
        <v>0</v>
      </c>
    </row>
    <row r="774" spans="1:30">
      <c r="A774" s="432" t="s">
        <v>303</v>
      </c>
      <c r="C774" s="406">
        <f t="shared" ref="C774:C784" si="279">C787+C800+C813</f>
        <v>967220.60582103161</v>
      </c>
      <c r="E774" s="406">
        <f t="shared" ref="E774:E784" si="280">E787+E800+E813</f>
        <v>992017.98512850888</v>
      </c>
      <c r="G774" s="434">
        <f>[25]Blocking1!M774</f>
        <v>10</v>
      </c>
      <c r="H774" s="435"/>
      <c r="I774" s="417">
        <f>ROUND($G774*C774,0)</f>
        <v>9672206</v>
      </c>
      <c r="K774" s="417">
        <f>ROUND($G774*E774,0)</f>
        <v>9920180</v>
      </c>
      <c r="M774" s="456">
        <v>10</v>
      </c>
      <c r="N774" s="435"/>
      <c r="O774" s="417">
        <f>ROUND(M774*$E774,0)</f>
        <v>9920180</v>
      </c>
      <c r="P774" s="417"/>
      <c r="Q774" s="437" t="s">
        <v>589</v>
      </c>
      <c r="R774" s="438">
        <f>O784</f>
        <v>139102851</v>
      </c>
      <c r="S774" s="440"/>
      <c r="T774" s="439">
        <f t="shared" ref="T774" si="281">M774/G774-1</f>
        <v>0</v>
      </c>
      <c r="AD774" s="400">
        <f>K774-[25]Blocking1!O774</f>
        <v>0</v>
      </c>
    </row>
    <row r="775" spans="1:30">
      <c r="A775" s="432" t="s">
        <v>344</v>
      </c>
      <c r="C775" s="406">
        <f t="shared" si="279"/>
        <v>378276.25014969736</v>
      </c>
      <c r="E775" s="406">
        <f t="shared" si="280"/>
        <v>387746</v>
      </c>
      <c r="G775" s="434">
        <f>[25]Blocking1!M775</f>
        <v>8.65</v>
      </c>
      <c r="H775" s="435"/>
      <c r="I775" s="417">
        <f>ROUND($G775*C775,0)</f>
        <v>3272090</v>
      </c>
      <c r="K775" s="417">
        <f>ROUND($G775*E775,0)</f>
        <v>3354003</v>
      </c>
      <c r="M775" s="449">
        <f>MROUND(G775*(1+$R$779),0.05)</f>
        <v>8.65</v>
      </c>
      <c r="N775" s="435"/>
      <c r="O775" s="417">
        <f>ROUND(M775*$E775,0)</f>
        <v>3354003</v>
      </c>
      <c r="P775" s="417"/>
      <c r="Q775" s="444" t="s">
        <v>593</v>
      </c>
      <c r="R775" s="445">
        <f>[25]RateSpread2!M32*1000</f>
        <v>139095915</v>
      </c>
      <c r="S775" s="440"/>
      <c r="T775" s="439"/>
      <c r="AD775" s="400">
        <f>K775-[25]Blocking1!O775</f>
        <v>0</v>
      </c>
    </row>
    <row r="776" spans="1:30">
      <c r="A776" s="432" t="s">
        <v>345</v>
      </c>
      <c r="C776" s="406">
        <f t="shared" si="279"/>
        <v>338714.94026915211</v>
      </c>
      <c r="E776" s="406">
        <f t="shared" si="280"/>
        <v>347761</v>
      </c>
      <c r="G776" s="434">
        <f>[25]Blocking1!M776</f>
        <v>8.7000000000000011</v>
      </c>
      <c r="H776" s="435"/>
      <c r="I776" s="417">
        <f>ROUND($G776*C776,0)</f>
        <v>2946820</v>
      </c>
      <c r="K776" s="417">
        <f>ROUND($G776*E776,0)</f>
        <v>3025521</v>
      </c>
      <c r="M776" s="449">
        <f>MROUND(G776*(1+$R$779),0.05)</f>
        <v>8.7000000000000011</v>
      </c>
      <c r="N776" s="435"/>
      <c r="O776" s="417">
        <f>ROUND(M776*$E776,0)</f>
        <v>3025521</v>
      </c>
      <c r="P776" s="417"/>
      <c r="Q776" s="450" t="s">
        <v>159</v>
      </c>
      <c r="R776" s="451">
        <f>R775-R774</f>
        <v>-6936</v>
      </c>
      <c r="T776" s="439">
        <f t="shared" ref="T776:T783" si="282">M775/G775-1</f>
        <v>0</v>
      </c>
      <c r="AD776" s="400">
        <f>K776-[25]Blocking1!O776</f>
        <v>0</v>
      </c>
    </row>
    <row r="777" spans="1:30">
      <c r="A777" s="432" t="s">
        <v>346</v>
      </c>
      <c r="C777" s="406">
        <f t="shared" si="279"/>
        <v>6693.5196217494104</v>
      </c>
      <c r="E777" s="406">
        <f t="shared" si="280"/>
        <v>7029</v>
      </c>
      <c r="G777" s="434">
        <f>[25]Blocking1!M777</f>
        <v>-0.48</v>
      </c>
      <c r="H777" s="435"/>
      <c r="I777" s="417">
        <f>ROUND($G777*C777,0)</f>
        <v>-3213</v>
      </c>
      <c r="K777" s="417">
        <f>ROUND($G777*E777,0)</f>
        <v>-3374</v>
      </c>
      <c r="M777" s="449">
        <f>ROUND(G777*(1+$R$779),2)</f>
        <v>-0.48</v>
      </c>
      <c r="N777" s="435"/>
      <c r="O777" s="417">
        <f>ROUND(M777*$E777,0)</f>
        <v>-3374</v>
      </c>
      <c r="P777" s="497"/>
      <c r="Q777" s="463" t="s">
        <v>601</v>
      </c>
      <c r="R777" s="536">
        <f>R774/(K784)-1</f>
        <v>3.3354794878337479E-4</v>
      </c>
      <c r="T777" s="439">
        <f t="shared" si="282"/>
        <v>0</v>
      </c>
      <c r="AD777" s="400">
        <f>K777-[25]Blocking1!O777</f>
        <v>0</v>
      </c>
    </row>
    <row r="778" spans="1:30">
      <c r="A778" s="432" t="s">
        <v>347</v>
      </c>
      <c r="C778" s="406">
        <f t="shared" si="279"/>
        <v>282719049.38744038</v>
      </c>
      <c r="E778" s="406">
        <f t="shared" si="280"/>
        <v>295977608</v>
      </c>
      <c r="G778" s="475">
        <f>[25]Blocking1!M778</f>
        <v>11.73</v>
      </c>
      <c r="H778" s="462" t="s">
        <v>305</v>
      </c>
      <c r="I778" s="417">
        <f>ROUND($G778*C778/100,0)</f>
        <v>33162944</v>
      </c>
      <c r="K778" s="417">
        <f>ROUND($G778*E778/100,0)</f>
        <v>34718173</v>
      </c>
      <c r="M778" s="475">
        <f>ROUND(G778*(1+$R$779),$R$8)</f>
        <v>11.733599999999999</v>
      </c>
      <c r="N778" s="462" t="s">
        <v>305</v>
      </c>
      <c r="O778" s="417">
        <f>ROUND(M778*$E778/100,0)</f>
        <v>34728829</v>
      </c>
      <c r="P778" s="497"/>
      <c r="Q778" s="471" t="s">
        <v>603</v>
      </c>
      <c r="R778" s="540">
        <f>R775/(K784)-1</f>
        <v>2.8366893164810669E-4</v>
      </c>
      <c r="T778" s="439">
        <f t="shared" si="282"/>
        <v>0</v>
      </c>
      <c r="AD778" s="400">
        <f>K778-[25]Blocking1!O778</f>
        <v>0</v>
      </c>
    </row>
    <row r="779" spans="1:30">
      <c r="A779" s="432" t="s">
        <v>348</v>
      </c>
      <c r="C779" s="406">
        <f t="shared" si="279"/>
        <v>297447323.3138063</v>
      </c>
      <c r="E779" s="406">
        <f t="shared" si="280"/>
        <v>309000007.78318173</v>
      </c>
      <c r="G779" s="475">
        <f>[25]Blocking1!M779</f>
        <v>6.5762999999999998</v>
      </c>
      <c r="H779" s="462" t="s">
        <v>305</v>
      </c>
      <c r="I779" s="417">
        <f>ROUND($G779*C779/100,0)</f>
        <v>19561028</v>
      </c>
      <c r="K779" s="417">
        <f>ROUND($G779*E779/100,0)</f>
        <v>20320768</v>
      </c>
      <c r="M779" s="475">
        <f>ROUND(G779*(1+$R$779),$R$8)</f>
        <v>6.5782999999999996</v>
      </c>
      <c r="N779" s="462" t="s">
        <v>305</v>
      </c>
      <c r="O779" s="417">
        <f>ROUND(M779*$E779/100,0)</f>
        <v>20326948</v>
      </c>
      <c r="P779" s="497"/>
      <c r="Q779" s="471" t="s">
        <v>625</v>
      </c>
      <c r="R779" s="540">
        <f>(R775-O774-O782)/(K784-K774-K782)-1</f>
        <v>3.0546022582389476E-4</v>
      </c>
      <c r="S779" s="502"/>
      <c r="T779" s="439">
        <f t="shared" si="282"/>
        <v>3.0690537084399061E-4</v>
      </c>
      <c r="AD779" s="400">
        <f>K779-[25]Blocking1!O779</f>
        <v>0</v>
      </c>
    </row>
    <row r="780" spans="1:30">
      <c r="A780" s="432" t="s">
        <v>349</v>
      </c>
      <c r="C780" s="406">
        <f t="shared" si="279"/>
        <v>409917070.90526915</v>
      </c>
      <c r="E780" s="406">
        <f t="shared" si="280"/>
        <v>424820226</v>
      </c>
      <c r="G780" s="475">
        <f>[25]Blocking1!M780</f>
        <v>10.7967</v>
      </c>
      <c r="H780" s="462" t="s">
        <v>305</v>
      </c>
      <c r="I780" s="417">
        <f>ROUND($G780*C780/100,0)</f>
        <v>44257516</v>
      </c>
      <c r="K780" s="417">
        <f>ROUND($G780*E780/100,0)</f>
        <v>45866565</v>
      </c>
      <c r="M780" s="475">
        <f>ROUND(G780*(1+$R$779),$R$8)</f>
        <v>10.8</v>
      </c>
      <c r="N780" s="462" t="s">
        <v>305</v>
      </c>
      <c r="O780" s="417">
        <f>ROUND(M780*$E780/100,0)</f>
        <v>45880584</v>
      </c>
      <c r="P780" s="497"/>
      <c r="Q780" s="488" t="s">
        <v>605</v>
      </c>
      <c r="R780" s="544">
        <f>M774/G774-1</f>
        <v>0</v>
      </c>
      <c r="T780" s="439">
        <f t="shared" si="282"/>
        <v>3.0412237884513971E-4</v>
      </c>
      <c r="AD780" s="400">
        <f>K780-[25]Blocking1!O780</f>
        <v>0</v>
      </c>
    </row>
    <row r="781" spans="1:30">
      <c r="A781" s="432" t="s">
        <v>350</v>
      </c>
      <c r="C781" s="406">
        <f t="shared" si="279"/>
        <v>350800493.37421006</v>
      </c>
      <c r="E781" s="406">
        <f t="shared" si="280"/>
        <v>361090368.97025329</v>
      </c>
      <c r="G781" s="475">
        <f>[25]Blocking1!M781</f>
        <v>6.0523999999999996</v>
      </c>
      <c r="H781" s="462" t="s">
        <v>305</v>
      </c>
      <c r="I781" s="417">
        <f>ROUND($G781*C781/100,0)</f>
        <v>21231849</v>
      </c>
      <c r="K781" s="417">
        <f>ROUND($G781*E781/100,0)</f>
        <v>21854633</v>
      </c>
      <c r="M781" s="476">
        <f>ROUND((R775-SUM(O774:O780,O782))/(E781)*100,$R$8)+R781</f>
        <v>6.0567000000000002</v>
      </c>
      <c r="N781" s="462" t="s">
        <v>305</v>
      </c>
      <c r="O781" s="417">
        <f>ROUND(M781*$E781/100,0)</f>
        <v>21870160</v>
      </c>
      <c r="Q781" s="662" t="s">
        <v>670</v>
      </c>
      <c r="R781" s="663">
        <v>1.9E-3</v>
      </c>
      <c r="T781" s="439">
        <f t="shared" si="282"/>
        <v>3.0564894828977174E-4</v>
      </c>
      <c r="AD781" s="400">
        <f>K781-[25]Blocking1!O781</f>
        <v>0</v>
      </c>
    </row>
    <row r="782" spans="1:30">
      <c r="A782" s="432" t="s">
        <v>351</v>
      </c>
      <c r="C782" s="406">
        <f t="shared" si="279"/>
        <v>0</v>
      </c>
      <c r="E782" s="406">
        <f t="shared" si="280"/>
        <v>0</v>
      </c>
      <c r="G782" s="434">
        <f>[25]Blocking1!M782</f>
        <v>120</v>
      </c>
      <c r="H782" s="515"/>
      <c r="I782" s="417">
        <f>ROUND($G782*C782,0)</f>
        <v>0</v>
      </c>
      <c r="K782" s="417">
        <f>ROUND($G782*E782,0)</f>
        <v>0</v>
      </c>
      <c r="M782" s="434">
        <f>M774*12</f>
        <v>120</v>
      </c>
      <c r="N782" s="515"/>
      <c r="O782" s="417">
        <f>ROUND(M782*$E782,0)</f>
        <v>0</v>
      </c>
      <c r="Q782" s="662" t="s">
        <v>671</v>
      </c>
      <c r="R782" s="663">
        <v>1.8E-3</v>
      </c>
      <c r="T782" s="439">
        <f t="shared" si="282"/>
        <v>7.1046196550139662E-4</v>
      </c>
      <c r="AD782" s="400">
        <f>K782-[25]Blocking1!O782</f>
        <v>0</v>
      </c>
    </row>
    <row r="783" spans="1:30">
      <c r="A783" s="432" t="s">
        <v>313</v>
      </c>
      <c r="C783" s="548">
        <f t="shared" si="279"/>
        <v>2853459</v>
      </c>
      <c r="E783" s="548">
        <f t="shared" si="280"/>
        <v>0</v>
      </c>
      <c r="I783" s="506">
        <f>I796+I809+I822</f>
        <v>755833</v>
      </c>
      <c r="K783" s="506">
        <f>K796+K809+K822</f>
        <v>0</v>
      </c>
      <c r="M783" s="404"/>
      <c r="O783" s="506">
        <f>O796+O809+O822</f>
        <v>0</v>
      </c>
      <c r="P783" s="417"/>
      <c r="Q783" s="463" t="s">
        <v>564</v>
      </c>
      <c r="R783" s="664">
        <f>'[25]Table A2'!O50</f>
        <v>19199.810999999918</v>
      </c>
      <c r="T783" s="439">
        <f t="shared" si="282"/>
        <v>0</v>
      </c>
      <c r="AD783" s="400">
        <f>K783-[25]Blocking1!O783</f>
        <v>0</v>
      </c>
    </row>
    <row r="784" spans="1:30" ht="16.5" thickBot="1">
      <c r="A784" s="432" t="s">
        <v>314</v>
      </c>
      <c r="C784" s="549">
        <f t="shared" si="279"/>
        <v>1343737395.980726</v>
      </c>
      <c r="E784" s="549">
        <f t="shared" si="280"/>
        <v>1390888210.7534347</v>
      </c>
      <c r="G784" s="532"/>
      <c r="I784" s="533">
        <f>SUM(I774:I783)</f>
        <v>134857073</v>
      </c>
      <c r="K784" s="533">
        <f>SUM(K774:K783)</f>
        <v>139056469</v>
      </c>
      <c r="M784" s="532"/>
      <c r="O784" s="533">
        <f>SUM(O774:O783)</f>
        <v>139102851</v>
      </c>
      <c r="P784" s="417"/>
      <c r="Q784" s="471" t="s">
        <v>593</v>
      </c>
      <c r="R784" s="665">
        <f>[25]RateSpread2!O50</f>
        <v>19200.164999999997</v>
      </c>
      <c r="AD784" s="400">
        <f>K784-[25]Blocking1!O784</f>
        <v>0</v>
      </c>
    </row>
    <row r="785" spans="1:30" ht="16.5" thickTop="1">
      <c r="C785" s="406"/>
      <c r="E785" s="406"/>
      <c r="P785" s="417"/>
      <c r="AD785" s="400">
        <f>K785-[25]Blocking1!O785</f>
        <v>0</v>
      </c>
    </row>
    <row r="786" spans="1:30">
      <c r="A786" s="428" t="s">
        <v>672</v>
      </c>
      <c r="C786" s="406"/>
      <c r="E786" s="406"/>
      <c r="P786" s="417"/>
      <c r="AD786" s="400">
        <f>K786-[25]Blocking1!O786</f>
        <v>0</v>
      </c>
    </row>
    <row r="787" spans="1:30">
      <c r="A787" s="432" t="s">
        <v>303</v>
      </c>
      <c r="C787" s="433">
        <f>'[25]23'!G20</f>
        <v>784735.03526547644</v>
      </c>
      <c r="E787" s="517">
        <f>[25]Bill!P27</f>
        <v>806483</v>
      </c>
      <c r="G787" s="496">
        <f>[25]Blocking1!M787</f>
        <v>10</v>
      </c>
      <c r="H787" s="551"/>
      <c r="I787" s="417">
        <f>ROUND($G787*C787,0)</f>
        <v>7847350</v>
      </c>
      <c r="K787" s="417">
        <f>ROUND($G787*E787,0)</f>
        <v>8064830</v>
      </c>
      <c r="M787" s="552">
        <f t="shared" ref="M787:M795" si="283">M774</f>
        <v>10</v>
      </c>
      <c r="N787" s="551"/>
      <c r="O787" s="417">
        <f>ROUND(M787*$E787,0)</f>
        <v>8064830</v>
      </c>
      <c r="P787" s="417"/>
      <c r="Q787" s="666"/>
      <c r="T787" s="439">
        <f t="shared" ref="T787:T795" si="284">M787/G787-1</f>
        <v>0</v>
      </c>
      <c r="AD787" s="400">
        <f>K787-[25]Blocking1!O787</f>
        <v>0</v>
      </c>
    </row>
    <row r="788" spans="1:30">
      <c r="A788" s="432" t="s">
        <v>344</v>
      </c>
      <c r="C788" s="433">
        <f>'[25]23'!I20</f>
        <v>351525.556317362</v>
      </c>
      <c r="E788" s="617">
        <f>ROUND(E$797*C788/C$797,0)</f>
        <v>357523</v>
      </c>
      <c r="G788" s="496">
        <f>[25]Blocking1!M788</f>
        <v>8.65</v>
      </c>
      <c r="H788" s="551"/>
      <c r="I788" s="417">
        <f>ROUND($G788*C788,0)</f>
        <v>3040696</v>
      </c>
      <c r="K788" s="417">
        <f>ROUND($G788*E788,0)</f>
        <v>3092574</v>
      </c>
      <c r="M788" s="552">
        <f t="shared" si="283"/>
        <v>8.65</v>
      </c>
      <c r="N788" s="551"/>
      <c r="O788" s="417">
        <f>ROUND(M788*$E788,0)</f>
        <v>3092574</v>
      </c>
      <c r="P788" s="417"/>
      <c r="Q788" s="516"/>
      <c r="T788" s="439">
        <f t="shared" si="284"/>
        <v>0</v>
      </c>
      <c r="AD788" s="400">
        <f>K788-[25]Blocking1!O788</f>
        <v>0</v>
      </c>
    </row>
    <row r="789" spans="1:30">
      <c r="A789" s="432" t="s">
        <v>345</v>
      </c>
      <c r="C789" s="433">
        <f>'[25]23'!J20</f>
        <v>309052.26501035294</v>
      </c>
      <c r="E789" s="617">
        <f>ROUND(E$797*C789/C$797,0)</f>
        <v>314325</v>
      </c>
      <c r="G789" s="496">
        <f>[25]Blocking1!M789</f>
        <v>8.7000000000000011</v>
      </c>
      <c r="H789" s="551"/>
      <c r="I789" s="417">
        <f>ROUND($G789*C789,0)</f>
        <v>2688755</v>
      </c>
      <c r="K789" s="417">
        <f>ROUND($G789*E789,0)</f>
        <v>2734628</v>
      </c>
      <c r="M789" s="552">
        <f t="shared" si="283"/>
        <v>8.7000000000000011</v>
      </c>
      <c r="N789" s="551"/>
      <c r="O789" s="417">
        <f>ROUND(M789*$E789,0)</f>
        <v>2734628</v>
      </c>
      <c r="P789" s="417"/>
      <c r="Q789" s="516"/>
      <c r="S789" s="502"/>
      <c r="T789" s="439">
        <f t="shared" si="284"/>
        <v>0</v>
      </c>
      <c r="AD789" s="400">
        <f>K789-[25]Blocking1!O789</f>
        <v>0</v>
      </c>
    </row>
    <row r="790" spans="1:30">
      <c r="A790" s="432" t="s">
        <v>346</v>
      </c>
      <c r="C790" s="433">
        <f>'[25]23'!K20</f>
        <v>2847.29739952719</v>
      </c>
      <c r="E790" s="617">
        <f>ROUND(E$797*C790/C$797,0)</f>
        <v>2896</v>
      </c>
      <c r="G790" s="496">
        <f>[25]Blocking1!M790</f>
        <v>-0.48</v>
      </c>
      <c r="H790" s="551"/>
      <c r="I790" s="417">
        <f>ROUND($G790*C790,0)</f>
        <v>-1367</v>
      </c>
      <c r="K790" s="417">
        <f>ROUND($G790*E790,0)</f>
        <v>-1390</v>
      </c>
      <c r="M790" s="552">
        <f t="shared" si="283"/>
        <v>-0.48</v>
      </c>
      <c r="N790" s="551"/>
      <c r="O790" s="417">
        <f>ROUND(M790*$E790,0)</f>
        <v>-1390</v>
      </c>
      <c r="P790" s="497"/>
      <c r="Q790" s="516"/>
      <c r="T790" s="439">
        <f t="shared" si="284"/>
        <v>0</v>
      </c>
      <c r="AD790" s="400">
        <f>K790-[25]Blocking1!O790</f>
        <v>0</v>
      </c>
    </row>
    <row r="791" spans="1:30">
      <c r="A791" s="432" t="s">
        <v>347</v>
      </c>
      <c r="C791" s="433">
        <f>'[25]23'!N20+[25]TempRev!C389</f>
        <v>249152501.61570126</v>
      </c>
      <c r="E791" s="617">
        <f>ROUND(SUM([25]Energy!D27:F27,[25]Energy!N27:O27)*'Blocking GRC'!C791/('Blocking GRC'!C791+'Blocking GRC'!C792),0)</f>
        <v>255869707</v>
      </c>
      <c r="G791" s="547">
        <f>[25]Blocking1!M791</f>
        <v>11.73</v>
      </c>
      <c r="H791" s="462" t="s">
        <v>305</v>
      </c>
      <c r="I791" s="417">
        <f>ROUND($G791*C791/100,0)</f>
        <v>29225588</v>
      </c>
      <c r="K791" s="417">
        <f>ROUND($G791*E791/100,0)</f>
        <v>30013517</v>
      </c>
      <c r="M791" s="558">
        <f t="shared" si="283"/>
        <v>11.733599999999999</v>
      </c>
      <c r="N791" s="462" t="s">
        <v>305</v>
      </c>
      <c r="O791" s="417">
        <f>ROUND(M791*$E791/100,0)</f>
        <v>30022728</v>
      </c>
      <c r="P791" s="497"/>
      <c r="R791" s="560"/>
      <c r="T791" s="439">
        <f t="shared" si="284"/>
        <v>3.0690537084399061E-4</v>
      </c>
      <c r="AD791" s="400">
        <f>K791-[25]Blocking1!O791</f>
        <v>0</v>
      </c>
    </row>
    <row r="792" spans="1:30">
      <c r="A792" s="432" t="s">
        <v>348</v>
      </c>
      <c r="C792" s="433">
        <f>'[25]23'!O20+[25]TempRev!C390</f>
        <v>272237123.3138063</v>
      </c>
      <c r="E792" s="617">
        <f>SUM([25]Energy!D27:F27,[25]Energy!N27:O27)-E791</f>
        <v>279576696.07704496</v>
      </c>
      <c r="G792" s="547">
        <f>[25]Blocking1!M792</f>
        <v>6.5762999999999998</v>
      </c>
      <c r="H792" s="462" t="s">
        <v>305</v>
      </c>
      <c r="I792" s="417">
        <f>ROUND($G792*C792/100,0)</f>
        <v>17903130</v>
      </c>
      <c r="K792" s="417">
        <f>ROUND($G792*E792/100,0)</f>
        <v>18385802</v>
      </c>
      <c r="M792" s="558">
        <f t="shared" si="283"/>
        <v>6.5782999999999996</v>
      </c>
      <c r="N792" s="462" t="s">
        <v>305</v>
      </c>
      <c r="O792" s="417">
        <f>ROUND(M792*$E792/100,0)</f>
        <v>18391394</v>
      </c>
      <c r="P792" s="497"/>
      <c r="Q792" s="516"/>
      <c r="R792" s="560"/>
      <c r="T792" s="439">
        <f t="shared" si="284"/>
        <v>3.0412237884513971E-4</v>
      </c>
      <c r="AD792" s="400">
        <f>K792-[25]Blocking1!O792</f>
        <v>0</v>
      </c>
    </row>
    <row r="793" spans="1:30">
      <c r="A793" s="432" t="s">
        <v>349</v>
      </c>
      <c r="C793" s="433">
        <f>'[25]23'!Q20+[25]TempRev!C391</f>
        <v>357244022.72635818</v>
      </c>
      <c r="E793" s="617">
        <f>ROUND(SUM([25]Energy!G27:M27)*'Blocking GRC'!C793/('Blocking GRC'!C793+'Blocking GRC'!C794),0)</f>
        <v>361939605</v>
      </c>
      <c r="G793" s="547">
        <f>[25]Blocking1!M793</f>
        <v>10.7967</v>
      </c>
      <c r="H793" s="462" t="s">
        <v>305</v>
      </c>
      <c r="I793" s="417">
        <f>ROUND($G793*C793/100,0)</f>
        <v>38570565</v>
      </c>
      <c r="K793" s="417">
        <f>ROUND($G793*E793/100,0)</f>
        <v>39077533</v>
      </c>
      <c r="M793" s="558">
        <f t="shared" si="283"/>
        <v>10.8</v>
      </c>
      <c r="N793" s="462" t="s">
        <v>305</v>
      </c>
      <c r="O793" s="417">
        <f>ROUND(M793*$E793/100,0)</f>
        <v>39089477</v>
      </c>
      <c r="P793" s="497"/>
      <c r="R793" s="560"/>
      <c r="T793" s="439">
        <f t="shared" si="284"/>
        <v>3.0564894828977174E-4</v>
      </c>
      <c r="AD793" s="400">
        <f>K793-[25]Blocking1!O793</f>
        <v>0</v>
      </c>
    </row>
    <row r="794" spans="1:30">
      <c r="A794" s="432" t="s">
        <v>350</v>
      </c>
      <c r="C794" s="433">
        <f>'[25]23'!R20+[25]TempRev!C392</f>
        <v>315890259.37421006</v>
      </c>
      <c r="E794" s="617">
        <f>SUM([25]Energy!G27:M27)-E793</f>
        <v>320042292.21931601</v>
      </c>
      <c r="G794" s="547">
        <f>[25]Blocking1!M794</f>
        <v>6.0523999999999996</v>
      </c>
      <c r="H794" s="462" t="s">
        <v>305</v>
      </c>
      <c r="I794" s="417">
        <f>ROUND($G794*C794/100,0)</f>
        <v>19118942</v>
      </c>
      <c r="K794" s="417">
        <f>ROUND($G794*E794/100,0)</f>
        <v>19370240</v>
      </c>
      <c r="M794" s="558">
        <f t="shared" si="283"/>
        <v>6.0567000000000002</v>
      </c>
      <c r="N794" s="462" t="s">
        <v>305</v>
      </c>
      <c r="O794" s="417">
        <f>ROUND(M794*$E794/100,0)</f>
        <v>19384002</v>
      </c>
      <c r="R794" s="560"/>
      <c r="T794" s="439">
        <f t="shared" si="284"/>
        <v>7.1046196550139662E-4</v>
      </c>
      <c r="AD794" s="400">
        <f>K794-[25]Blocking1!O794</f>
        <v>0</v>
      </c>
    </row>
    <row r="795" spans="1:30">
      <c r="A795" s="432" t="s">
        <v>351</v>
      </c>
      <c r="C795" s="433">
        <v>0</v>
      </c>
      <c r="E795" s="617">
        <f>ROUND(C795*E787/C787,0)</f>
        <v>0</v>
      </c>
      <c r="G795" s="496">
        <f>[25]Blocking1!M795</f>
        <v>120</v>
      </c>
      <c r="H795" s="551"/>
      <c r="I795" s="417">
        <f>ROUND($G795*C795,0)</f>
        <v>0</v>
      </c>
      <c r="K795" s="417">
        <f>ROUND($G795*E795,0)</f>
        <v>0</v>
      </c>
      <c r="M795" s="552">
        <f t="shared" si="283"/>
        <v>120</v>
      </c>
      <c r="N795" s="551"/>
      <c r="O795" s="417">
        <f>ROUND(M795*$E795,0)</f>
        <v>0</v>
      </c>
      <c r="T795" s="439">
        <f t="shared" si="284"/>
        <v>0</v>
      </c>
      <c r="AD795" s="400">
        <f>K795-[25]Blocking1!O795</f>
        <v>0</v>
      </c>
    </row>
    <row r="796" spans="1:30">
      <c r="A796" s="432" t="s">
        <v>313</v>
      </c>
      <c r="C796" s="504">
        <f>'[25]Table 2'!J48</f>
        <v>2483299</v>
      </c>
      <c r="E796" s="504">
        <v>0</v>
      </c>
      <c r="I796" s="507">
        <f>'[25]Table 3'!F48</f>
        <v>673475</v>
      </c>
      <c r="K796" s="507">
        <v>0</v>
      </c>
      <c r="O796" s="506">
        <v>0</v>
      </c>
      <c r="P796" s="417"/>
      <c r="AD796" s="400">
        <f>K796-[25]Blocking1!O796</f>
        <v>0</v>
      </c>
    </row>
    <row r="797" spans="1:30" ht="16.5" thickBot="1">
      <c r="A797" s="432" t="s">
        <v>314</v>
      </c>
      <c r="C797" s="549">
        <f>SUM(C791:C794,C796)</f>
        <v>1197007206.0300758</v>
      </c>
      <c r="E797" s="559">
        <f>[25]Energy!P27</f>
        <v>1217428300.2963607</v>
      </c>
      <c r="G797" s="532"/>
      <c r="I797" s="533">
        <f>SUM(I787:I796)</f>
        <v>119067134</v>
      </c>
      <c r="K797" s="533">
        <f>SUM(K787:K796)</f>
        <v>120737734</v>
      </c>
      <c r="M797" s="534"/>
      <c r="O797" s="533">
        <f>SUM(O787:O796)</f>
        <v>120778243</v>
      </c>
      <c r="P797" s="417"/>
      <c r="Q797" s="416" t="s">
        <v>601</v>
      </c>
      <c r="R797" s="518">
        <f>O797/K797-1</f>
        <v>3.3551234281081754E-4</v>
      </c>
      <c r="AD797" s="400">
        <f>K797-[25]Blocking1!O797</f>
        <v>0</v>
      </c>
    </row>
    <row r="798" spans="1:30" ht="16.5" thickTop="1">
      <c r="C798" s="406"/>
      <c r="E798" s="406"/>
      <c r="P798" s="417"/>
      <c r="AD798" s="400">
        <f>K798-[25]Blocking1!O798</f>
        <v>0</v>
      </c>
    </row>
    <row r="799" spans="1:30">
      <c r="A799" s="428" t="s">
        <v>673</v>
      </c>
      <c r="C799" s="406"/>
      <c r="E799" s="406"/>
      <c r="P799" s="417"/>
      <c r="AD799" s="400">
        <f>K799-[25]Blocking1!O799</f>
        <v>0</v>
      </c>
    </row>
    <row r="800" spans="1:30">
      <c r="A800" s="432" t="s">
        <v>303</v>
      </c>
      <c r="C800" s="433">
        <f>'[25]23'!G21</f>
        <v>41059.344555555377</v>
      </c>
      <c r="E800" s="517">
        <f>[25]Bill!P43</f>
        <v>38687.647583827027</v>
      </c>
      <c r="G800" s="496">
        <f>[25]Blocking1!M800</f>
        <v>10</v>
      </c>
      <c r="H800" s="551"/>
      <c r="I800" s="417">
        <f>ROUND($G800*C800,0)</f>
        <v>410593</v>
      </c>
      <c r="K800" s="417">
        <f>ROUND($G800*E800,0)</f>
        <v>386876</v>
      </c>
      <c r="M800" s="552">
        <f t="shared" ref="M800:M808" si="285">M774</f>
        <v>10</v>
      </c>
      <c r="N800" s="551"/>
      <c r="O800" s="417">
        <f>ROUND(M800*$E800,0)</f>
        <v>386876</v>
      </c>
      <c r="P800" s="417"/>
      <c r="T800" s="439">
        <f t="shared" ref="T800:T808" si="286">M800/G800-1</f>
        <v>0</v>
      </c>
      <c r="AD800" s="400">
        <f>K800-[25]Blocking1!O800</f>
        <v>0</v>
      </c>
    </row>
    <row r="801" spans="1:30">
      <c r="A801" s="432" t="s">
        <v>344</v>
      </c>
      <c r="C801" s="433">
        <f>'[25]23'!I21</f>
        <v>18360.1615269461</v>
      </c>
      <c r="E801" s="617">
        <f>ROUND(C801*$E$810/$C$810,0)</f>
        <v>19727</v>
      </c>
      <c r="G801" s="496">
        <f>[25]Blocking1!M801</f>
        <v>8.65</v>
      </c>
      <c r="H801" s="551"/>
      <c r="I801" s="417">
        <f>ROUND($G801*C801,0)</f>
        <v>158815</v>
      </c>
      <c r="K801" s="417">
        <f>ROUND($G801*E801,0)</f>
        <v>170639</v>
      </c>
      <c r="M801" s="552">
        <f t="shared" si="285"/>
        <v>8.65</v>
      </c>
      <c r="N801" s="551"/>
      <c r="O801" s="417">
        <f>ROUND(M801*$E801,0)</f>
        <v>170639</v>
      </c>
      <c r="P801" s="417"/>
      <c r="T801" s="439">
        <f t="shared" si="286"/>
        <v>0</v>
      </c>
      <c r="AD801" s="400">
        <f>K801-[25]Blocking1!O801</f>
        <v>0</v>
      </c>
    </row>
    <row r="802" spans="1:30">
      <c r="A802" s="432" t="s">
        <v>345</v>
      </c>
      <c r="C802" s="433">
        <f>'[25]23'!J21</f>
        <v>20795.642339544502</v>
      </c>
      <c r="E802" s="617">
        <f>ROUND(C802*$E$810/$C$810,0)</f>
        <v>22344</v>
      </c>
      <c r="G802" s="496">
        <f>[25]Blocking1!M802</f>
        <v>8.7000000000000011</v>
      </c>
      <c r="H802" s="551"/>
      <c r="I802" s="417">
        <f>ROUND($G802*C802,0)</f>
        <v>180922</v>
      </c>
      <c r="K802" s="417">
        <f>ROUND($G802*E802,0)</f>
        <v>194393</v>
      </c>
      <c r="M802" s="552">
        <f t="shared" si="285"/>
        <v>8.7000000000000011</v>
      </c>
      <c r="N802" s="551"/>
      <c r="O802" s="417">
        <f>ROUND(M802*$E802,0)</f>
        <v>194393</v>
      </c>
      <c r="P802" s="417"/>
      <c r="S802" s="502"/>
      <c r="T802" s="439">
        <f t="shared" si="286"/>
        <v>0</v>
      </c>
      <c r="AD802" s="400">
        <f>K802-[25]Blocking1!O802</f>
        <v>0</v>
      </c>
    </row>
    <row r="803" spans="1:30">
      <c r="A803" s="432" t="s">
        <v>346</v>
      </c>
      <c r="C803" s="433">
        <f>'[25]23'!K21</f>
        <v>3846.2222222222199</v>
      </c>
      <c r="E803" s="617">
        <f>ROUND(C803*$E$810/$C$810,0)</f>
        <v>4133</v>
      </c>
      <c r="G803" s="496">
        <f>[25]Blocking1!M803</f>
        <v>-0.48</v>
      </c>
      <c r="H803" s="551"/>
      <c r="I803" s="417">
        <f>ROUND($G803*C803,0)</f>
        <v>-1846</v>
      </c>
      <c r="K803" s="417">
        <f>ROUND($G803*E803,0)</f>
        <v>-1984</v>
      </c>
      <c r="M803" s="552">
        <f t="shared" si="285"/>
        <v>-0.48</v>
      </c>
      <c r="N803" s="551"/>
      <c r="O803" s="417">
        <f>ROUND(M803*$E803,0)</f>
        <v>-1984</v>
      </c>
      <c r="P803" s="497"/>
      <c r="T803" s="439">
        <f t="shared" si="286"/>
        <v>0</v>
      </c>
      <c r="AD803" s="400">
        <f>K803-[25]Blocking1!O803</f>
        <v>0</v>
      </c>
    </row>
    <row r="804" spans="1:30">
      <c r="A804" s="432" t="s">
        <v>347</v>
      </c>
      <c r="C804" s="433">
        <f>'[25]23'!N21+[25]TempRev!C410</f>
        <v>11549867.771739131</v>
      </c>
      <c r="E804" s="617">
        <f>ROUND(SUM([25]Energy!D43:F43,[25]Energy!N43:O43)*'Blocking GRC'!C804/('Blocking GRC'!C804+'Blocking GRC'!C805),0)</f>
        <v>12354872</v>
      </c>
      <c r="G804" s="576">
        <f>[25]Blocking1!M804</f>
        <v>11.73</v>
      </c>
      <c r="H804" s="462" t="s">
        <v>305</v>
      </c>
      <c r="I804" s="417">
        <f>ROUND($G804*C804/100,0)</f>
        <v>1354799</v>
      </c>
      <c r="K804" s="417">
        <f>ROUND($G804*E804/100,0)</f>
        <v>1449226</v>
      </c>
      <c r="M804" s="577">
        <f t="shared" si="285"/>
        <v>11.733599999999999</v>
      </c>
      <c r="N804" s="462" t="s">
        <v>305</v>
      </c>
      <c r="O804" s="417">
        <f>ROUND(M804*$E804/100,0)</f>
        <v>1449671</v>
      </c>
      <c r="P804" s="497"/>
      <c r="T804" s="439">
        <f t="shared" si="286"/>
        <v>3.0690537084399061E-4</v>
      </c>
      <c r="AD804" s="400">
        <f>K804-[25]Blocking1!O804</f>
        <v>0</v>
      </c>
    </row>
    <row r="805" spans="1:30">
      <c r="A805" s="432" t="s">
        <v>348</v>
      </c>
      <c r="C805" s="433">
        <f>'[25]23'!O21+[25]TempRev!C411</f>
        <v>12341249</v>
      </c>
      <c r="E805" s="617">
        <f>SUM([25]Energy!D43:F43,[25]Energy!N43:O43)-E804</f>
        <v>13201411.754702382</v>
      </c>
      <c r="G805" s="576">
        <f>[25]Blocking1!M805</f>
        <v>6.5762999999999998</v>
      </c>
      <c r="H805" s="462" t="s">
        <v>305</v>
      </c>
      <c r="I805" s="417">
        <f>ROUND($G805*C805/100,0)</f>
        <v>811598</v>
      </c>
      <c r="K805" s="417">
        <f>ROUND($G805*E805/100,0)</f>
        <v>868164</v>
      </c>
      <c r="M805" s="577">
        <f t="shared" si="285"/>
        <v>6.5782999999999996</v>
      </c>
      <c r="N805" s="462" t="s">
        <v>305</v>
      </c>
      <c r="O805" s="417">
        <f>ROUND(M805*$E805/100,0)</f>
        <v>868428</v>
      </c>
      <c r="P805" s="497"/>
      <c r="T805" s="439">
        <f t="shared" si="286"/>
        <v>3.0412237884513971E-4</v>
      </c>
      <c r="AD805" s="400">
        <f>K805-[25]Blocking1!O805</f>
        <v>0</v>
      </c>
    </row>
    <row r="806" spans="1:30">
      <c r="A806" s="432" t="s">
        <v>349</v>
      </c>
      <c r="C806" s="433">
        <f>'[25]23'!Q21+[25]TempRev!C412</f>
        <v>17151034.178910978</v>
      </c>
      <c r="E806" s="617">
        <f>ROUND(SUM([25]Energy!G43:M43)*'Blocking GRC'!C806/('Blocking GRC'!C806+'Blocking GRC'!C807),0)</f>
        <v>18771638</v>
      </c>
      <c r="G806" s="576">
        <f>[25]Blocking1!M806</f>
        <v>10.7967</v>
      </c>
      <c r="H806" s="462" t="s">
        <v>305</v>
      </c>
      <c r="I806" s="417">
        <f>ROUND($G806*C806/100,0)</f>
        <v>1851746</v>
      </c>
      <c r="K806" s="417">
        <f>ROUND($G806*E806/100,0)</f>
        <v>2026717</v>
      </c>
      <c r="M806" s="577">
        <f t="shared" si="285"/>
        <v>10.8</v>
      </c>
      <c r="N806" s="462" t="s">
        <v>305</v>
      </c>
      <c r="O806" s="417">
        <f>ROUND(M806*$E806/100,0)</f>
        <v>2027337</v>
      </c>
      <c r="P806" s="497"/>
      <c r="T806" s="439">
        <f t="shared" si="286"/>
        <v>3.0564894828977174E-4</v>
      </c>
      <c r="AD806" s="400">
        <f>K806-[25]Blocking1!O806</f>
        <v>0</v>
      </c>
    </row>
    <row r="807" spans="1:30">
      <c r="A807" s="432" t="s">
        <v>350</v>
      </c>
      <c r="C807" s="433">
        <f>'[25]23'!R21+[25]TempRev!C413</f>
        <v>15628475</v>
      </c>
      <c r="E807" s="617">
        <f>E810-E804-E805-E806</f>
        <v>17105211.263756469</v>
      </c>
      <c r="G807" s="576">
        <f>[25]Blocking1!M807</f>
        <v>6.0523999999999996</v>
      </c>
      <c r="H807" s="462" t="s">
        <v>305</v>
      </c>
      <c r="I807" s="417">
        <f>ROUND($G807*C807/100,0)</f>
        <v>945898</v>
      </c>
      <c r="K807" s="417">
        <f>ROUND($G807*E807/100,0)</f>
        <v>1035276</v>
      </c>
      <c r="M807" s="577">
        <f t="shared" si="285"/>
        <v>6.0567000000000002</v>
      </c>
      <c r="N807" s="462" t="s">
        <v>305</v>
      </c>
      <c r="O807" s="417">
        <f>ROUND(M807*$E807/100,0)</f>
        <v>1036011</v>
      </c>
      <c r="T807" s="439">
        <f t="shared" si="286"/>
        <v>7.1046196550139662E-4</v>
      </c>
      <c r="AD807" s="400">
        <f>K807-[25]Blocking1!O807</f>
        <v>0</v>
      </c>
    </row>
    <row r="808" spans="1:30">
      <c r="A808" s="432" t="s">
        <v>351</v>
      </c>
      <c r="C808" s="433">
        <v>0</v>
      </c>
      <c r="E808" s="617">
        <f>ROUND(C808*E800/C800,0)</f>
        <v>0</v>
      </c>
      <c r="G808" s="496">
        <f>[25]Blocking1!M808</f>
        <v>120</v>
      </c>
      <c r="H808" s="551"/>
      <c r="I808" s="417">
        <f>ROUND($G808*C808,0)</f>
        <v>0</v>
      </c>
      <c r="K808" s="417">
        <f>ROUND($G808*E808,0)</f>
        <v>0</v>
      </c>
      <c r="M808" s="552">
        <f t="shared" si="285"/>
        <v>120</v>
      </c>
      <c r="N808" s="551"/>
      <c r="O808" s="417">
        <f>ROUND(M808*$E808,0)</f>
        <v>0</v>
      </c>
      <c r="T808" s="439">
        <f t="shared" si="286"/>
        <v>0</v>
      </c>
      <c r="AD808" s="400">
        <f>K808-[25]Blocking1!O808</f>
        <v>0</v>
      </c>
    </row>
    <row r="809" spans="1:30">
      <c r="A809" s="432" t="s">
        <v>313</v>
      </c>
      <c r="C809" s="504">
        <f>'[25]Table 2'!J78</f>
        <v>504873</v>
      </c>
      <c r="E809" s="504">
        <v>0</v>
      </c>
      <c r="I809" s="507">
        <f>'[25]Table 3'!F78</f>
        <v>60712</v>
      </c>
      <c r="K809" s="507">
        <v>0</v>
      </c>
      <c r="O809" s="506">
        <v>0</v>
      </c>
      <c r="P809" s="417"/>
      <c r="AD809" s="400">
        <f>K809-[25]Blocking1!O809</f>
        <v>0</v>
      </c>
    </row>
    <row r="810" spans="1:30" ht="16.5" thickBot="1">
      <c r="A810" s="432" t="s">
        <v>314</v>
      </c>
      <c r="C810" s="549">
        <f>SUM(C804:C807,C809)</f>
        <v>57175498.950650111</v>
      </c>
      <c r="E810" s="559">
        <f>[25]Energy!P43</f>
        <v>61433133.018458851</v>
      </c>
      <c r="G810" s="532"/>
      <c r="I810" s="533">
        <f>SUM(I800:I809)</f>
        <v>5773237</v>
      </c>
      <c r="K810" s="533">
        <f>SUM(K800:K809)</f>
        <v>6129307</v>
      </c>
      <c r="M810" s="534"/>
      <c r="O810" s="533">
        <f>SUM(O800:O809)</f>
        <v>6131371</v>
      </c>
      <c r="P810" s="417"/>
      <c r="Q810" s="416" t="s">
        <v>601</v>
      </c>
      <c r="R810" s="518">
        <f>O810/K810-1</f>
        <v>3.3674279979778454E-4</v>
      </c>
      <c r="AD810" s="400">
        <f>K810-[25]Blocking1!O810</f>
        <v>0</v>
      </c>
    </row>
    <row r="811" spans="1:30" ht="16.5" thickTop="1">
      <c r="C811" s="406"/>
      <c r="E811" s="406"/>
      <c r="P811" s="417"/>
      <c r="AD811" s="400">
        <f>K811-[25]Blocking1!O811</f>
        <v>0</v>
      </c>
    </row>
    <row r="812" spans="1:30">
      <c r="A812" s="428" t="s">
        <v>674</v>
      </c>
      <c r="C812" s="406"/>
      <c r="E812" s="406"/>
      <c r="P812" s="417"/>
      <c r="AD812" s="400">
        <f>K812-[25]Blocking1!O812</f>
        <v>0</v>
      </c>
    </row>
    <row r="813" spans="1:30">
      <c r="A813" s="432" t="s">
        <v>303</v>
      </c>
      <c r="C813" s="433">
        <f>'[25]23'!G22</f>
        <v>141426.22599999976</v>
      </c>
      <c r="E813" s="517">
        <f>[25]Bill!P11</f>
        <v>146847.33754468188</v>
      </c>
      <c r="G813" s="496">
        <f>[25]Blocking1!M813</f>
        <v>10</v>
      </c>
      <c r="H813" s="551"/>
      <c r="I813" s="417">
        <f>ROUND($G813*C813,0)</f>
        <v>1414262</v>
      </c>
      <c r="K813" s="417">
        <f>ROUND($G813*E813,0)</f>
        <v>1468473</v>
      </c>
      <c r="M813" s="552">
        <f t="shared" ref="M813:M821" si="287">M774</f>
        <v>10</v>
      </c>
      <c r="N813" s="551"/>
      <c r="O813" s="417">
        <f>ROUND(M813*$E813,0)</f>
        <v>1468473</v>
      </c>
      <c r="P813" s="417"/>
      <c r="T813" s="439">
        <f t="shared" ref="T813:T821" si="288">M813/G813-1</f>
        <v>0</v>
      </c>
      <c r="AD813" s="400">
        <f>K813-[25]Blocking1!O813</f>
        <v>0</v>
      </c>
    </row>
    <row r="814" spans="1:30">
      <c r="A814" s="432" t="s">
        <v>344</v>
      </c>
      <c r="C814" s="433">
        <f>'[25]23'!I22</f>
        <v>8390.5323053892225</v>
      </c>
      <c r="E814" s="617">
        <f>ROUND(C814*$E$823/$C$823,0)</f>
        <v>10496</v>
      </c>
      <c r="G814" s="496">
        <f>[25]Blocking1!M814</f>
        <v>8.65</v>
      </c>
      <c r="H814" s="551"/>
      <c r="I814" s="417">
        <f>ROUND($G814*C814,0)</f>
        <v>72578</v>
      </c>
      <c r="K814" s="417">
        <f>ROUND($G814*E814,0)</f>
        <v>90790</v>
      </c>
      <c r="M814" s="552">
        <f t="shared" si="287"/>
        <v>8.65</v>
      </c>
      <c r="N814" s="551"/>
      <c r="O814" s="417">
        <f>ROUND(M814*$E814,0)</f>
        <v>90790</v>
      </c>
      <c r="P814" s="417"/>
      <c r="T814" s="439">
        <f t="shared" si="288"/>
        <v>0</v>
      </c>
      <c r="AD814" s="400">
        <f>K814-[25]Blocking1!O814</f>
        <v>0</v>
      </c>
    </row>
    <row r="815" spans="1:30">
      <c r="A815" s="432" t="s">
        <v>345</v>
      </c>
      <c r="C815" s="433">
        <f>'[25]23'!J22</f>
        <v>8867.0329192546506</v>
      </c>
      <c r="E815" s="617">
        <f>ROUND(C815*$E$823/$C$823,0)</f>
        <v>11092</v>
      </c>
      <c r="G815" s="496">
        <f>[25]Blocking1!M815</f>
        <v>8.7000000000000011</v>
      </c>
      <c r="H815" s="551"/>
      <c r="I815" s="417">
        <f>ROUND($G815*C815,0)</f>
        <v>77143</v>
      </c>
      <c r="K815" s="417">
        <f>ROUND($G815*E815,0)</f>
        <v>96500</v>
      </c>
      <c r="M815" s="552">
        <f t="shared" si="287"/>
        <v>8.7000000000000011</v>
      </c>
      <c r="N815" s="551"/>
      <c r="O815" s="417">
        <f>ROUND(M815*$E815,0)</f>
        <v>96500</v>
      </c>
      <c r="P815" s="417"/>
      <c r="S815" s="502"/>
      <c r="T815" s="439">
        <f t="shared" si="288"/>
        <v>0</v>
      </c>
      <c r="AD815" s="400">
        <f>K815-[25]Blocking1!O815</f>
        <v>0</v>
      </c>
    </row>
    <row r="816" spans="1:30">
      <c r="A816" s="432" t="s">
        <v>346</v>
      </c>
      <c r="C816" s="433">
        <f>'[25]23'!K22</f>
        <v>0</v>
      </c>
      <c r="E816" s="617">
        <f>ROUND(C816*$E$823/$C$823,0)</f>
        <v>0</v>
      </c>
      <c r="G816" s="496">
        <f>[25]Blocking1!M816</f>
        <v>-0.48</v>
      </c>
      <c r="H816" s="551"/>
      <c r="I816" s="417">
        <f>ROUND($G816*C816,0)</f>
        <v>0</v>
      </c>
      <c r="K816" s="417">
        <f>ROUND($G816*E816,0)</f>
        <v>0</v>
      </c>
      <c r="M816" s="552">
        <f t="shared" si="287"/>
        <v>-0.48</v>
      </c>
      <c r="N816" s="551"/>
      <c r="O816" s="417">
        <f>ROUND(M816*$E816,0)</f>
        <v>0</v>
      </c>
      <c r="P816" s="497"/>
      <c r="T816" s="439">
        <f t="shared" si="288"/>
        <v>0</v>
      </c>
      <c r="AD816" s="400">
        <f>K816-[25]Blocking1!O816</f>
        <v>0</v>
      </c>
    </row>
    <row r="817" spans="1:30">
      <c r="A817" s="432" t="s">
        <v>347</v>
      </c>
      <c r="C817" s="433">
        <f>'[25]23'!N22+[25]TempRev!C368</f>
        <v>22016680</v>
      </c>
      <c r="E817" s="617">
        <f>ROUND(SUM([25]Energy!D11:F11,[25]Energy!N11:O11)*'Blocking GRC'!C817/('Blocking GRC'!C817+'Blocking GRC'!C818),0)</f>
        <v>27753029</v>
      </c>
      <c r="G817" s="547">
        <f>[25]Blocking1!M817</f>
        <v>11.73</v>
      </c>
      <c r="H817" s="462" t="s">
        <v>305</v>
      </c>
      <c r="I817" s="417">
        <f>ROUND($G817*C817/100,0)</f>
        <v>2582557</v>
      </c>
      <c r="K817" s="417">
        <f>ROUND($G817*E817/100,0)</f>
        <v>3255430</v>
      </c>
      <c r="M817" s="558">
        <f t="shared" si="287"/>
        <v>11.733599999999999</v>
      </c>
      <c r="N817" s="462" t="s">
        <v>305</v>
      </c>
      <c r="O817" s="417">
        <f>ROUND(M817*$E817/100,0)</f>
        <v>3256429</v>
      </c>
      <c r="P817" s="497"/>
      <c r="T817" s="439">
        <f t="shared" si="288"/>
        <v>3.0690537084399061E-4</v>
      </c>
      <c r="AD817" s="400">
        <f>K817-[25]Blocking1!O817</f>
        <v>0</v>
      </c>
    </row>
    <row r="818" spans="1:30">
      <c r="A818" s="432" t="s">
        <v>348</v>
      </c>
      <c r="C818" s="433">
        <f>'[25]23'!O22+[25]TempRev!C369</f>
        <v>12868951</v>
      </c>
      <c r="E818" s="617">
        <f>SUM([25]Energy!D11:F11,[25]Energy!N11:O11)-E817</f>
        <v>16221899.951434359</v>
      </c>
      <c r="G818" s="547">
        <f>[25]Blocking1!M818</f>
        <v>6.5762999999999998</v>
      </c>
      <c r="H818" s="462" t="s">
        <v>305</v>
      </c>
      <c r="I818" s="417">
        <f>ROUND($G818*C818/100,0)</f>
        <v>846301</v>
      </c>
      <c r="K818" s="417">
        <f>ROUND($G818*E818/100,0)</f>
        <v>1066801</v>
      </c>
      <c r="M818" s="558">
        <f t="shared" si="287"/>
        <v>6.5782999999999996</v>
      </c>
      <c r="N818" s="462" t="s">
        <v>305</v>
      </c>
      <c r="O818" s="417">
        <f>ROUND(M818*$E818/100,0)</f>
        <v>1067125</v>
      </c>
      <c r="P818" s="497"/>
      <c r="T818" s="439">
        <f t="shared" si="288"/>
        <v>3.0412237884513971E-4</v>
      </c>
      <c r="AD818" s="400">
        <f>K818-[25]Blocking1!O818</f>
        <v>0</v>
      </c>
    </row>
    <row r="819" spans="1:30">
      <c r="A819" s="432" t="s">
        <v>349</v>
      </c>
      <c r="C819" s="433">
        <f>'[25]23'!Q22+[25]TempRev!C370</f>
        <v>35522014</v>
      </c>
      <c r="E819" s="617">
        <f>ROUND(SUM([25]Energy!G11:M11)*'Blocking GRC'!C819/('Blocking GRC'!C819+'Blocking GRC'!C820),0)</f>
        <v>44108983</v>
      </c>
      <c r="G819" s="547">
        <f>[25]Blocking1!M819</f>
        <v>10.7967</v>
      </c>
      <c r="H819" s="462" t="s">
        <v>305</v>
      </c>
      <c r="I819" s="417">
        <f>ROUND($G819*C819/100,0)</f>
        <v>3835205</v>
      </c>
      <c r="K819" s="417">
        <f>ROUND($G819*E819/100,0)</f>
        <v>4762315</v>
      </c>
      <c r="M819" s="558">
        <f t="shared" si="287"/>
        <v>10.8</v>
      </c>
      <c r="N819" s="462" t="s">
        <v>305</v>
      </c>
      <c r="O819" s="417">
        <f>ROUND(M819*$E819/100,0)</f>
        <v>4763770</v>
      </c>
      <c r="P819" s="497"/>
      <c r="T819" s="439">
        <f t="shared" si="288"/>
        <v>3.0564894828977174E-4</v>
      </c>
      <c r="AD819" s="400">
        <f>K819-[25]Blocking1!O819</f>
        <v>0</v>
      </c>
    </row>
    <row r="820" spans="1:30">
      <c r="A820" s="432" t="s">
        <v>350</v>
      </c>
      <c r="C820" s="433">
        <f>'[25]23'!R22+[25]TempRev!C371</f>
        <v>19281759</v>
      </c>
      <c r="E820" s="617">
        <f>E823-E817-E818-E819</f>
        <v>23942865.487180814</v>
      </c>
      <c r="G820" s="547">
        <f>[25]Blocking1!M820</f>
        <v>6.0523999999999996</v>
      </c>
      <c r="H820" s="462" t="s">
        <v>305</v>
      </c>
      <c r="I820" s="417">
        <f>ROUND($G820*C820/100,0)</f>
        <v>1167009</v>
      </c>
      <c r="K820" s="417">
        <f>ROUND($G820*E820/100,0)</f>
        <v>1449118</v>
      </c>
      <c r="M820" s="558">
        <f t="shared" si="287"/>
        <v>6.0567000000000002</v>
      </c>
      <c r="N820" s="462" t="s">
        <v>305</v>
      </c>
      <c r="O820" s="417">
        <f>ROUND(M820*$E820/100,0)</f>
        <v>1450148</v>
      </c>
      <c r="T820" s="439">
        <f t="shared" si="288"/>
        <v>7.1046196550139662E-4</v>
      </c>
      <c r="AD820" s="400">
        <f>K820-[25]Blocking1!O820</f>
        <v>0</v>
      </c>
    </row>
    <row r="821" spans="1:30">
      <c r="A821" s="432" t="s">
        <v>351</v>
      </c>
      <c r="C821" s="433">
        <v>0</v>
      </c>
      <c r="E821" s="617">
        <f>ROUND(C821*E813/C813,0)</f>
        <v>0</v>
      </c>
      <c r="G821" s="496">
        <f>[25]Blocking1!M821</f>
        <v>120</v>
      </c>
      <c r="H821" s="551"/>
      <c r="I821" s="417">
        <f>ROUND($G821*C821,0)</f>
        <v>0</v>
      </c>
      <c r="K821" s="417">
        <f>ROUND($G821*E821,0)</f>
        <v>0</v>
      </c>
      <c r="M821" s="552">
        <f t="shared" si="287"/>
        <v>120</v>
      </c>
      <c r="N821" s="551"/>
      <c r="O821" s="417">
        <f>ROUND(M821*$E821,0)</f>
        <v>0</v>
      </c>
      <c r="T821" s="439">
        <f t="shared" si="288"/>
        <v>0</v>
      </c>
      <c r="AD821" s="400">
        <f>K821-[25]Blocking1!O821</f>
        <v>0</v>
      </c>
    </row>
    <row r="822" spans="1:30">
      <c r="A822" s="432" t="s">
        <v>313</v>
      </c>
      <c r="C822" s="504">
        <f>'[25]Table 2'!J19</f>
        <v>-134713</v>
      </c>
      <c r="E822" s="504">
        <v>0</v>
      </c>
      <c r="I822" s="507">
        <f>'[25]Table 3'!F19</f>
        <v>21646</v>
      </c>
      <c r="K822" s="507">
        <v>0</v>
      </c>
      <c r="O822" s="506">
        <v>0</v>
      </c>
      <c r="P822" s="417"/>
      <c r="AD822" s="400">
        <f>K822-[25]Blocking1!O822</f>
        <v>0</v>
      </c>
    </row>
    <row r="823" spans="1:30" ht="16.5" thickBot="1">
      <c r="A823" s="432" t="s">
        <v>314</v>
      </c>
      <c r="C823" s="549">
        <f>SUM(C817:C820,C822)</f>
        <v>89554691</v>
      </c>
      <c r="E823" s="559">
        <f>[25]Energy!P11</f>
        <v>112026777.43861517</v>
      </c>
      <c r="G823" s="532"/>
      <c r="I823" s="533">
        <f>SUM(I813:I822)</f>
        <v>10016701</v>
      </c>
      <c r="K823" s="533">
        <f>SUM(K813:K822)</f>
        <v>12189427</v>
      </c>
      <c r="M823" s="534"/>
      <c r="O823" s="533">
        <f>SUM(O813:O822)</f>
        <v>12193235</v>
      </c>
      <c r="P823" s="417"/>
      <c r="Q823" s="416" t="s">
        <v>601</v>
      </c>
      <c r="R823" s="518">
        <f>O823/K823-1</f>
        <v>3.1240188730774499E-4</v>
      </c>
      <c r="AD823" s="400">
        <f>K823-[25]Blocking1!O823</f>
        <v>0</v>
      </c>
    </row>
    <row r="824" spans="1:30" ht="16.5" thickTop="1">
      <c r="P824" s="417"/>
      <c r="AD824" s="400">
        <f>K824-[25]Blocking1!O824</f>
        <v>0</v>
      </c>
    </row>
    <row r="825" spans="1:30">
      <c r="A825" s="428" t="s">
        <v>675</v>
      </c>
      <c r="C825" s="406"/>
      <c r="E825" s="406"/>
      <c r="G825" s="547"/>
      <c r="H825" s="572"/>
      <c r="M825" s="558"/>
      <c r="N825" s="572"/>
      <c r="P825" s="417"/>
      <c r="S825" s="667"/>
      <c r="AD825" s="400">
        <f>K825-[25]Blocking1!O825</f>
        <v>0</v>
      </c>
    </row>
    <row r="826" spans="1:30">
      <c r="A826" s="656" t="s">
        <v>513</v>
      </c>
      <c r="C826" s="406"/>
      <c r="E826" s="406"/>
      <c r="P826" s="417"/>
      <c r="Q826" s="416" t="s">
        <v>676</v>
      </c>
      <c r="T826" s="667"/>
      <c r="AD826" s="400">
        <f>K826-[25]Blocking1!O826</f>
        <v>0</v>
      </c>
    </row>
    <row r="827" spans="1:30">
      <c r="A827" s="432" t="s">
        <v>514</v>
      </c>
      <c r="B827" s="432"/>
      <c r="C827" s="561">
        <f>C888+C949+C1010</f>
        <v>0</v>
      </c>
      <c r="E827" s="561">
        <f>E888+E949+E1010</f>
        <v>0</v>
      </c>
      <c r="G827" s="434">
        <f>[25]Blocking1!M827</f>
        <v>131</v>
      </c>
      <c r="H827" s="435"/>
      <c r="I827" s="417">
        <f>ROUND(G827*$C827,0)</f>
        <v>0</v>
      </c>
      <c r="K827" s="417">
        <f>ROUND(G827*$E827,0)</f>
        <v>0</v>
      </c>
      <c r="M827" s="434">
        <f>ROUND(G827*(1+$R$832),0)</f>
        <v>133</v>
      </c>
      <c r="N827" s="435"/>
      <c r="O827" s="417">
        <f>ROUND(M827*$E827,0)</f>
        <v>0</v>
      </c>
      <c r="Q827" s="437" t="s">
        <v>589</v>
      </c>
      <c r="R827" s="438">
        <f>O884</f>
        <v>4575592</v>
      </c>
      <c r="S827" s="667"/>
      <c r="T827" s="439">
        <f>M827/G827-1</f>
        <v>1.5267175572519109E-2</v>
      </c>
      <c r="AD827" s="400">
        <f>K827-[25]Blocking1!O827</f>
        <v>0</v>
      </c>
    </row>
    <row r="828" spans="1:30">
      <c r="A828" s="432" t="s">
        <v>515</v>
      </c>
      <c r="B828" s="432"/>
      <c r="C828" s="561">
        <f>C889+C950+C1011</f>
        <v>0</v>
      </c>
      <c r="E828" s="561">
        <f>E889+E950+E1011</f>
        <v>0</v>
      </c>
      <c r="G828" s="434">
        <f>[25]Blocking1!M828</f>
        <v>5.52</v>
      </c>
      <c r="H828" s="435"/>
      <c r="I828" s="417">
        <f>ROUND(G828*$C828,0)</f>
        <v>0</v>
      </c>
      <c r="K828" s="417">
        <f>ROUND(G828*$E828,0)</f>
        <v>0</v>
      </c>
      <c r="M828" s="434">
        <f>ROUND(G828*(1+$R$832),$R$833)</f>
        <v>5.6</v>
      </c>
      <c r="N828" s="435"/>
      <c r="O828" s="417">
        <f>ROUND(M828*$E828,0)</f>
        <v>0</v>
      </c>
      <c r="P828" s="417"/>
      <c r="Q828" s="444" t="s">
        <v>593</v>
      </c>
      <c r="R828" s="445">
        <f>[25]RateSpread2!M33*1000</f>
        <v>4575772</v>
      </c>
      <c r="S828" s="667"/>
      <c r="T828" s="439">
        <f>M828/G828-1</f>
        <v>1.449275362318847E-2</v>
      </c>
      <c r="AD828" s="400">
        <f>K828-[25]Blocking1!O828</f>
        <v>0</v>
      </c>
    </row>
    <row r="829" spans="1:30">
      <c r="A829" s="432" t="s">
        <v>516</v>
      </c>
      <c r="B829" s="432"/>
      <c r="C829" s="561"/>
      <c r="E829" s="561"/>
      <c r="G829" s="496"/>
      <c r="H829" s="551"/>
      <c r="I829" s="417"/>
      <c r="K829" s="417"/>
      <c r="M829" s="496"/>
      <c r="N829" s="551"/>
      <c r="O829" s="417"/>
      <c r="P829" s="417"/>
      <c r="Q829" s="450" t="s">
        <v>159</v>
      </c>
      <c r="R829" s="451">
        <f>R828-R827</f>
        <v>180</v>
      </c>
      <c r="S829" s="667"/>
      <c r="T829" s="667"/>
      <c r="AD829" s="400">
        <f>K829-[25]Blocking1!O829</f>
        <v>0</v>
      </c>
    </row>
    <row r="830" spans="1:30">
      <c r="A830" s="432" t="s">
        <v>517</v>
      </c>
      <c r="B830" s="432"/>
      <c r="C830" s="561">
        <f t="shared" ref="C830:C838" si="289">C891+C952+C1013</f>
        <v>0</v>
      </c>
      <c r="E830" s="561">
        <f t="shared" ref="E830:E838" si="290">E891+E952+E1013</f>
        <v>0</v>
      </c>
      <c r="G830" s="668"/>
      <c r="H830" s="669"/>
      <c r="I830" s="417"/>
      <c r="K830" s="417"/>
      <c r="M830" s="668"/>
      <c r="N830" s="669"/>
      <c r="O830" s="417"/>
      <c r="P830" s="417"/>
      <c r="Q830" s="463" t="s">
        <v>601</v>
      </c>
      <c r="R830" s="536">
        <f>R827/K884-1</f>
        <v>1.4633670392052434E-2</v>
      </c>
      <c r="T830" s="439"/>
      <c r="AD830" s="400">
        <f>K830-[25]Blocking1!O830</f>
        <v>0</v>
      </c>
    </row>
    <row r="831" spans="1:30">
      <c r="A831" s="432" t="s">
        <v>677</v>
      </c>
      <c r="B831" s="432"/>
      <c r="C831" s="561">
        <f t="shared" si="289"/>
        <v>0</v>
      </c>
      <c r="E831" s="561">
        <f t="shared" si="290"/>
        <v>0</v>
      </c>
      <c r="G831" s="434">
        <f>[25]Blocking1!M831</f>
        <v>0.87</v>
      </c>
      <c r="H831" s="669"/>
      <c r="I831" s="417">
        <f t="shared" ref="I831:I832" si="291">ROUND(G831*$C831,0)</f>
        <v>0</v>
      </c>
      <c r="K831" s="417">
        <f t="shared" ref="K831:K832" si="292">ROUND(G831*$E831,0)</f>
        <v>0</v>
      </c>
      <c r="M831" s="434">
        <f>ROUND(G831*(1+$R$832),$R$833)</f>
        <v>0.88</v>
      </c>
      <c r="N831" s="669"/>
      <c r="O831" s="417">
        <f t="shared" ref="O831:O832" si="293">ROUND(M831*$E831,0)</f>
        <v>0</v>
      </c>
      <c r="P831" s="417"/>
      <c r="Q831" s="471" t="s">
        <v>603</v>
      </c>
      <c r="R831" s="540">
        <f>R828/K884-1</f>
        <v>1.4673585240376097E-2</v>
      </c>
      <c r="T831" s="439">
        <f t="shared" ref="T831:T832" si="294">M831/G831-1</f>
        <v>1.1494252873563315E-2</v>
      </c>
      <c r="AD831" s="400">
        <f>K831-[25]Blocking1!O831</f>
        <v>0</v>
      </c>
    </row>
    <row r="832" spans="1:30">
      <c r="A832" s="432" t="s">
        <v>678</v>
      </c>
      <c r="B832" s="432"/>
      <c r="C832" s="561">
        <f t="shared" si="289"/>
        <v>0</v>
      </c>
      <c r="E832" s="561">
        <f t="shared" si="290"/>
        <v>0</v>
      </c>
      <c r="G832" s="434">
        <f>[25]Blocking1!M832</f>
        <v>0.61</v>
      </c>
      <c r="H832" s="669"/>
      <c r="I832" s="417">
        <f t="shared" si="291"/>
        <v>0</v>
      </c>
      <c r="K832" s="417">
        <f t="shared" si="292"/>
        <v>0</v>
      </c>
      <c r="M832" s="434">
        <f>ROUND(G832*(1+$R$832),$R$833)</f>
        <v>0.62</v>
      </c>
      <c r="N832" s="669"/>
      <c r="O832" s="417">
        <f t="shared" si="293"/>
        <v>0</v>
      </c>
      <c r="P832" s="417"/>
      <c r="Q832" s="488" t="s">
        <v>679</v>
      </c>
      <c r="R832" s="544">
        <f>R831</f>
        <v>1.4673585240376097E-2</v>
      </c>
      <c r="S832" s="667"/>
      <c r="T832" s="439">
        <f t="shared" si="294"/>
        <v>1.6393442622950838E-2</v>
      </c>
      <c r="AD832" s="400">
        <f>K832-[25]Blocking1!O832</f>
        <v>0</v>
      </c>
    </row>
    <row r="833" spans="1:30">
      <c r="A833" s="432" t="s">
        <v>518</v>
      </c>
      <c r="B833" s="432"/>
      <c r="C833" s="561">
        <f t="shared" si="289"/>
        <v>0</v>
      </c>
      <c r="E833" s="561">
        <f t="shared" si="290"/>
        <v>0</v>
      </c>
      <c r="G833" s="668"/>
      <c r="H833" s="670"/>
      <c r="I833" s="417"/>
      <c r="K833" s="417"/>
      <c r="M833" s="668"/>
      <c r="N833" s="670"/>
      <c r="O833" s="417"/>
      <c r="P833" s="417"/>
      <c r="Q833" s="416" t="s">
        <v>680</v>
      </c>
      <c r="R833" s="478">
        <v>2</v>
      </c>
      <c r="AD833" s="400">
        <f>K833-[25]Blocking1!O833</f>
        <v>0</v>
      </c>
    </row>
    <row r="834" spans="1:30">
      <c r="A834" s="432" t="s">
        <v>677</v>
      </c>
      <c r="B834" s="432"/>
      <c r="C834" s="561">
        <f t="shared" si="289"/>
        <v>0</v>
      </c>
      <c r="E834" s="561">
        <f t="shared" si="290"/>
        <v>0</v>
      </c>
      <c r="G834" s="671">
        <f>[25]Blocking1!M834</f>
        <v>0.435</v>
      </c>
      <c r="H834" s="670"/>
      <c r="I834" s="417">
        <f t="shared" ref="I834:I835" si="295">ROUND(G834*$C834,0)</f>
        <v>0</v>
      </c>
      <c r="K834" s="417">
        <f t="shared" ref="K834:K835" si="296">ROUND(G834*$E834,0)</f>
        <v>0</v>
      </c>
      <c r="M834" s="671">
        <f>M831/2</f>
        <v>0.44</v>
      </c>
      <c r="N834" s="670"/>
      <c r="O834" s="417">
        <f t="shared" ref="O834:O835" si="297">ROUND(M834*$E834,0)</f>
        <v>0</v>
      </c>
      <c r="P834" s="417"/>
      <c r="Q834" s="521"/>
      <c r="R834" s="568"/>
      <c r="T834" s="439">
        <f t="shared" ref="T834:T835" si="298">M834/G834-1</f>
        <v>1.1494252873563315E-2</v>
      </c>
      <c r="AD834" s="400">
        <f>K834-[25]Blocking1!O834</f>
        <v>0</v>
      </c>
    </row>
    <row r="835" spans="1:30">
      <c r="A835" s="432" t="s">
        <v>678</v>
      </c>
      <c r="B835" s="432"/>
      <c r="C835" s="561">
        <f t="shared" si="289"/>
        <v>0</v>
      </c>
      <c r="E835" s="561">
        <f t="shared" si="290"/>
        <v>0</v>
      </c>
      <c r="G835" s="671">
        <f>[25]Blocking1!M835</f>
        <v>0.30499999999999999</v>
      </c>
      <c r="H835" s="670"/>
      <c r="I835" s="417">
        <f t="shared" si="295"/>
        <v>0</v>
      </c>
      <c r="K835" s="417">
        <f t="shared" si="296"/>
        <v>0</v>
      </c>
      <c r="M835" s="671">
        <f>M832/2</f>
        <v>0.31</v>
      </c>
      <c r="N835" s="670"/>
      <c r="O835" s="417">
        <f t="shared" si="297"/>
        <v>0</v>
      </c>
      <c r="P835" s="417"/>
      <c r="Q835" s="521"/>
      <c r="R835" s="568"/>
      <c r="T835" s="439">
        <f t="shared" si="298"/>
        <v>1.6393442622950838E-2</v>
      </c>
      <c r="AD835" s="400">
        <f>K835-[25]Blocking1!O835</f>
        <v>0</v>
      </c>
    </row>
    <row r="836" spans="1:30">
      <c r="A836" s="432" t="s">
        <v>519</v>
      </c>
      <c r="B836" s="432"/>
      <c r="C836" s="561">
        <f t="shared" si="289"/>
        <v>0</v>
      </c>
      <c r="E836" s="561">
        <f t="shared" si="290"/>
        <v>0</v>
      </c>
      <c r="G836" s="668"/>
      <c r="H836" s="435"/>
      <c r="I836" s="417"/>
      <c r="K836" s="417"/>
      <c r="M836" s="668"/>
      <c r="N836" s="435"/>
      <c r="O836" s="417"/>
      <c r="P836" s="417"/>
      <c r="Q836" s="407"/>
      <c r="R836" s="455"/>
      <c r="AD836" s="400">
        <f>K836-[25]Blocking1!O836</f>
        <v>0</v>
      </c>
    </row>
    <row r="837" spans="1:30">
      <c r="A837" s="432" t="s">
        <v>677</v>
      </c>
      <c r="B837" s="432"/>
      <c r="C837" s="561">
        <f t="shared" si="289"/>
        <v>0</v>
      </c>
      <c r="E837" s="561">
        <f t="shared" si="290"/>
        <v>0</v>
      </c>
      <c r="G837" s="434">
        <f>[25]Blocking1!M837</f>
        <v>40.22</v>
      </c>
      <c r="H837" s="435"/>
      <c r="I837" s="417">
        <f t="shared" ref="I837:I838" si="299">ROUND(G837*$C837,0)</f>
        <v>0</v>
      </c>
      <c r="K837" s="417">
        <f t="shared" ref="K837:K838" si="300">ROUND(G837*$E837,0)</f>
        <v>0</v>
      </c>
      <c r="M837" s="434">
        <f>ROUND(G837*(1+$R$832),$R$833)</f>
        <v>40.81</v>
      </c>
      <c r="N837" s="435"/>
      <c r="O837" s="417">
        <f t="shared" ref="O837:O838" si="301">ROUND(M837*$E837,0)</f>
        <v>0</v>
      </c>
      <c r="P837" s="417"/>
      <c r="Q837" s="521"/>
      <c r="R837" s="568"/>
      <c r="S837" s="667"/>
      <c r="T837" s="439">
        <f t="shared" ref="T837:T838" si="302">M837/G837-1</f>
        <v>1.4669318746892257E-2</v>
      </c>
      <c r="AD837" s="400">
        <f>K837-[25]Blocking1!O837</f>
        <v>0</v>
      </c>
    </row>
    <row r="838" spans="1:30">
      <c r="A838" s="432" t="s">
        <v>678</v>
      </c>
      <c r="B838" s="432"/>
      <c r="C838" s="561">
        <f t="shared" si="289"/>
        <v>0</v>
      </c>
      <c r="E838" s="561">
        <f t="shared" si="290"/>
        <v>0</v>
      </c>
      <c r="G838" s="434">
        <f>[25]Blocking1!M838</f>
        <v>31.58</v>
      </c>
      <c r="H838" s="435"/>
      <c r="I838" s="417">
        <f t="shared" si="299"/>
        <v>0</v>
      </c>
      <c r="K838" s="417">
        <f t="shared" si="300"/>
        <v>0</v>
      </c>
      <c r="M838" s="434">
        <f>ROUND(G838*(1+$R$832),$R$833)</f>
        <v>32.04</v>
      </c>
      <c r="N838" s="435"/>
      <c r="O838" s="417">
        <f t="shared" si="301"/>
        <v>0</v>
      </c>
      <c r="P838" s="417"/>
      <c r="Q838" s="521"/>
      <c r="R838" s="568"/>
      <c r="S838" s="667"/>
      <c r="T838" s="439">
        <f t="shared" si="302"/>
        <v>1.4566181127295685E-2</v>
      </c>
      <c r="AD838" s="400">
        <f>K838-[25]Blocking1!O838</f>
        <v>0</v>
      </c>
    </row>
    <row r="839" spans="1:30">
      <c r="A839" s="656" t="s">
        <v>520</v>
      </c>
      <c r="C839" s="561"/>
      <c r="E839" s="561"/>
      <c r="M839" s="404"/>
      <c r="P839" s="417"/>
      <c r="Q839" s="521"/>
      <c r="R839" s="568"/>
      <c r="T839" s="667"/>
      <c r="AD839" s="400">
        <f>K839-[25]Blocking1!O839</f>
        <v>0</v>
      </c>
    </row>
    <row r="840" spans="1:30">
      <c r="A840" s="432" t="s">
        <v>514</v>
      </c>
      <c r="C840" s="561">
        <f>C901+C962+C1023</f>
        <v>24.000017312020301</v>
      </c>
      <c r="E840" s="561">
        <f>E901+E962+E1023</f>
        <v>24</v>
      </c>
      <c r="G840" s="434">
        <f>[25]Blocking1!M840</f>
        <v>596</v>
      </c>
      <c r="H840" s="435"/>
      <c r="I840" s="417">
        <f>ROUND(G840*$C840,0)</f>
        <v>14304</v>
      </c>
      <c r="K840" s="417">
        <f>ROUND(G840*$E840,0)</f>
        <v>14304</v>
      </c>
      <c r="M840" s="434">
        <f>ROUND(G840*(1+$R$832),0)</f>
        <v>605</v>
      </c>
      <c r="N840" s="435"/>
      <c r="O840" s="417">
        <f>ROUND(M840*$E840,0)</f>
        <v>14520</v>
      </c>
      <c r="S840" s="667"/>
      <c r="T840" s="439">
        <f t="shared" ref="T840:T841" si="303">M840/G840-1</f>
        <v>1.5100671140939603E-2</v>
      </c>
      <c r="AD840" s="400">
        <f>K840-[25]Blocking1!O840</f>
        <v>0</v>
      </c>
    </row>
    <row r="841" spans="1:30">
      <c r="A841" s="432" t="s">
        <v>515</v>
      </c>
      <c r="C841" s="561">
        <f>C902+C963+C1024</f>
        <v>39600.000966995998</v>
      </c>
      <c r="E841" s="561">
        <f>E902+E963+E1024</f>
        <v>38791</v>
      </c>
      <c r="G841" s="434">
        <f>[25]Blocking1!M841</f>
        <v>4.3999999999999995</v>
      </c>
      <c r="H841" s="435"/>
      <c r="I841" s="417">
        <f>ROUND(G841*$C841,0)</f>
        <v>174240</v>
      </c>
      <c r="K841" s="417">
        <f>ROUND(G841*$E841,0)</f>
        <v>170680</v>
      </c>
      <c r="M841" s="434">
        <f>ROUND(G841*(1+$R$832),$R$833)</f>
        <v>4.46</v>
      </c>
      <c r="N841" s="435"/>
      <c r="O841" s="417">
        <f>ROUND(M841*$E841,0)</f>
        <v>173008</v>
      </c>
      <c r="P841" s="417"/>
      <c r="Q841" s="672"/>
      <c r="R841" s="560"/>
      <c r="T841" s="439">
        <f t="shared" si="303"/>
        <v>1.3636363636363669E-2</v>
      </c>
      <c r="AD841" s="400">
        <f>K841-[25]Blocking1!O841</f>
        <v>0</v>
      </c>
    </row>
    <row r="842" spans="1:30">
      <c r="A842" s="432" t="s">
        <v>516</v>
      </c>
      <c r="C842" s="561"/>
      <c r="E842" s="561"/>
      <c r="G842" s="496"/>
      <c r="H842" s="435"/>
      <c r="I842" s="417"/>
      <c r="K842" s="417"/>
      <c r="M842" s="496"/>
      <c r="N842" s="551"/>
      <c r="O842" s="417"/>
      <c r="P842" s="417"/>
      <c r="Q842" s="516"/>
      <c r="S842" s="667"/>
      <c r="T842" s="667"/>
      <c r="AD842" s="400">
        <f>K842-[25]Blocking1!O842</f>
        <v>0</v>
      </c>
    </row>
    <row r="843" spans="1:30">
      <c r="A843" s="432" t="s">
        <v>517</v>
      </c>
      <c r="C843" s="561">
        <f t="shared" ref="C843:C851" si="304">C904+C965+C1026</f>
        <v>199762.02717439301</v>
      </c>
      <c r="E843" s="561">
        <f t="shared" ref="E843:E851" si="305">E904+E965+E1026</f>
        <v>195683</v>
      </c>
      <c r="G843" s="668"/>
      <c r="H843" s="669"/>
      <c r="I843" s="417"/>
      <c r="K843" s="417"/>
      <c r="M843" s="668"/>
      <c r="N843" s="669"/>
      <c r="O843" s="417"/>
      <c r="P843" s="417"/>
      <c r="Q843" s="589"/>
      <c r="R843" s="497"/>
      <c r="T843" s="439"/>
      <c r="AD843" s="400">
        <f>K843-[25]Blocking1!O843</f>
        <v>0</v>
      </c>
    </row>
    <row r="844" spans="1:30">
      <c r="A844" s="432" t="s">
        <v>677</v>
      </c>
      <c r="C844" s="561">
        <f t="shared" si="304"/>
        <v>80678.006818276903</v>
      </c>
      <c r="E844" s="561">
        <f t="shared" si="305"/>
        <v>79030</v>
      </c>
      <c r="G844" s="434">
        <f>[25]Blocking1!M844</f>
        <v>0.85</v>
      </c>
      <c r="H844" s="669"/>
      <c r="I844" s="417">
        <f t="shared" ref="I844:I845" si="306">ROUND(G844*$C844,0)</f>
        <v>68576</v>
      </c>
      <c r="K844" s="417">
        <f t="shared" ref="K844:K845" si="307">ROUND(G844*$E844,0)</f>
        <v>67176</v>
      </c>
      <c r="M844" s="434">
        <f>ROUND(G844*(1+$R$832),$R$833)</f>
        <v>0.86</v>
      </c>
      <c r="N844" s="669"/>
      <c r="O844" s="417">
        <f t="shared" ref="O844:O845" si="308">ROUND(M844*$E844,0)</f>
        <v>67966</v>
      </c>
      <c r="P844" s="417"/>
      <c r="Q844" s="589"/>
      <c r="R844" s="497"/>
      <c r="T844" s="439">
        <f t="shared" ref="T844:T845" si="309">M844/G844-1</f>
        <v>1.1764705882352899E-2</v>
      </c>
      <c r="AD844" s="400">
        <f>K844-[25]Blocking1!O844</f>
        <v>0</v>
      </c>
    </row>
    <row r="845" spans="1:30">
      <c r="A845" s="432" t="s">
        <v>678</v>
      </c>
      <c r="C845" s="561">
        <f t="shared" si="304"/>
        <v>119084.020356116</v>
      </c>
      <c r="E845" s="561">
        <f t="shared" si="305"/>
        <v>116653</v>
      </c>
      <c r="G845" s="434">
        <f>[25]Blocking1!M845</f>
        <v>0.59</v>
      </c>
      <c r="H845" s="669"/>
      <c r="I845" s="417">
        <f t="shared" si="306"/>
        <v>70260</v>
      </c>
      <c r="K845" s="417">
        <f t="shared" si="307"/>
        <v>68825</v>
      </c>
      <c r="M845" s="434">
        <f>ROUND(G845*(1+$R$832),$R$833)</f>
        <v>0.6</v>
      </c>
      <c r="N845" s="669"/>
      <c r="O845" s="417">
        <f t="shared" si="308"/>
        <v>69992</v>
      </c>
      <c r="P845" s="417"/>
      <c r="Q845" s="589"/>
      <c r="R845" s="497"/>
      <c r="T845" s="439">
        <f t="shared" si="309"/>
        <v>1.6949152542372836E-2</v>
      </c>
      <c r="AD845" s="400">
        <f>K845-[25]Blocking1!O845</f>
        <v>0</v>
      </c>
    </row>
    <row r="846" spans="1:30">
      <c r="A846" s="432" t="s">
        <v>518</v>
      </c>
      <c r="C846" s="561">
        <f t="shared" si="304"/>
        <v>24759.982010712301</v>
      </c>
      <c r="E846" s="561">
        <f t="shared" si="305"/>
        <v>24254</v>
      </c>
      <c r="G846" s="668"/>
      <c r="H846" s="670"/>
      <c r="I846" s="417"/>
      <c r="K846" s="417"/>
      <c r="M846" s="668"/>
      <c r="N846" s="670"/>
      <c r="O846" s="417"/>
      <c r="P846" s="417"/>
      <c r="Q846" s="589"/>
      <c r="R846" s="497"/>
      <c r="S846" s="440"/>
      <c r="AD846" s="400">
        <f>K846-[25]Blocking1!O846</f>
        <v>0</v>
      </c>
    </row>
    <row r="847" spans="1:30">
      <c r="A847" s="432" t="s">
        <v>677</v>
      </c>
      <c r="C847" s="561">
        <f t="shared" si="304"/>
        <v>24759.982010712301</v>
      </c>
      <c r="E847" s="561">
        <f t="shared" si="305"/>
        <v>24254</v>
      </c>
      <c r="G847" s="671">
        <f>[25]Blocking1!M847</f>
        <v>0.42499999999999999</v>
      </c>
      <c r="H847" s="670"/>
      <c r="I847" s="417">
        <f t="shared" ref="I847:I848" si="310">ROUND(G847*$C847,0)</f>
        <v>10523</v>
      </c>
      <c r="K847" s="417">
        <f t="shared" ref="K847:K848" si="311">ROUND(G847*$E847,0)</f>
        <v>10308</v>
      </c>
      <c r="M847" s="671">
        <f>M844/2</f>
        <v>0.43</v>
      </c>
      <c r="N847" s="670"/>
      <c r="O847" s="417">
        <f t="shared" ref="O847:O848" si="312">ROUND(M847*$E847,0)</f>
        <v>10429</v>
      </c>
      <c r="P847" s="417"/>
      <c r="Q847" s="589"/>
      <c r="R847" s="497"/>
      <c r="S847" s="440"/>
      <c r="T847" s="439">
        <f t="shared" ref="T847:T848" si="313">M847/G847-1</f>
        <v>1.1764705882352899E-2</v>
      </c>
      <c r="AD847" s="400">
        <f>K847-[25]Blocking1!O847</f>
        <v>0</v>
      </c>
    </row>
    <row r="848" spans="1:30">
      <c r="A848" s="432" t="s">
        <v>678</v>
      </c>
      <c r="C848" s="561">
        <f t="shared" si="304"/>
        <v>0</v>
      </c>
      <c r="E848" s="561">
        <f t="shared" si="305"/>
        <v>0</v>
      </c>
      <c r="G848" s="671">
        <f>[25]Blocking1!M848</f>
        <v>0.29499999999999998</v>
      </c>
      <c r="H848" s="670"/>
      <c r="I848" s="417">
        <f t="shared" si="310"/>
        <v>0</v>
      </c>
      <c r="K848" s="417">
        <f t="shared" si="311"/>
        <v>0</v>
      </c>
      <c r="M848" s="671">
        <f>M845/2</f>
        <v>0.3</v>
      </c>
      <c r="N848" s="670"/>
      <c r="O848" s="417">
        <f t="shared" si="312"/>
        <v>0</v>
      </c>
      <c r="P848" s="417"/>
      <c r="Q848" s="589"/>
      <c r="R848" s="497"/>
      <c r="S848" s="440"/>
      <c r="T848" s="439">
        <f t="shared" si="313"/>
        <v>1.6949152542372836E-2</v>
      </c>
      <c r="AD848" s="400">
        <f>K848-[25]Blocking1!O848</f>
        <v>0</v>
      </c>
    </row>
    <row r="849" spans="1:30">
      <c r="A849" s="432" t="s">
        <v>519</v>
      </c>
      <c r="C849" s="561">
        <f t="shared" si="304"/>
        <v>30.967607533779201</v>
      </c>
      <c r="E849" s="561">
        <f t="shared" si="305"/>
        <v>30</v>
      </c>
      <c r="G849" s="668"/>
      <c r="H849" s="435"/>
      <c r="I849" s="417"/>
      <c r="K849" s="417"/>
      <c r="M849" s="668"/>
      <c r="N849" s="435"/>
      <c r="O849" s="417"/>
      <c r="P849" s="417"/>
      <c r="Q849" s="590"/>
      <c r="R849" s="497"/>
      <c r="AD849" s="400">
        <f>K849-[25]Blocking1!O849</f>
        <v>0</v>
      </c>
    </row>
    <row r="850" spans="1:30">
      <c r="A850" s="432" t="s">
        <v>677</v>
      </c>
      <c r="C850" s="561">
        <f t="shared" si="304"/>
        <v>0</v>
      </c>
      <c r="E850" s="561">
        <f t="shared" si="305"/>
        <v>0</v>
      </c>
      <c r="G850" s="434">
        <f>[25]Blocking1!M850</f>
        <v>37.979999999999997</v>
      </c>
      <c r="H850" s="435"/>
      <c r="I850" s="417">
        <f t="shared" ref="I850:I851" si="314">ROUND(G850*$C850,0)</f>
        <v>0</v>
      </c>
      <c r="K850" s="417">
        <f t="shared" ref="K850:K851" si="315">ROUND(G850*$E850,0)</f>
        <v>0</v>
      </c>
      <c r="M850" s="434">
        <f>ROUND(G850*(1+$R$832),$R$833)</f>
        <v>38.54</v>
      </c>
      <c r="N850" s="435"/>
      <c r="O850" s="417">
        <f t="shared" ref="O850:O851" si="316">ROUND(M850*$E850,0)</f>
        <v>0</v>
      </c>
      <c r="P850" s="417"/>
      <c r="Q850" s="590"/>
      <c r="R850" s="497"/>
      <c r="T850" s="439">
        <f t="shared" ref="T850:T851" si="317">M850/G850-1</f>
        <v>1.4744602422327668E-2</v>
      </c>
      <c r="AD850" s="400">
        <f>K850-[25]Blocking1!O850</f>
        <v>0</v>
      </c>
    </row>
    <row r="851" spans="1:30">
      <c r="A851" s="432" t="s">
        <v>678</v>
      </c>
      <c r="C851" s="561">
        <f t="shared" si="304"/>
        <v>30.967607533779201</v>
      </c>
      <c r="E851" s="561">
        <f t="shared" si="305"/>
        <v>30</v>
      </c>
      <c r="G851" s="434">
        <f>[25]Blocking1!M851</f>
        <v>29.34</v>
      </c>
      <c r="H851" s="435"/>
      <c r="I851" s="417">
        <f t="shared" si="314"/>
        <v>909</v>
      </c>
      <c r="K851" s="417">
        <f t="shared" si="315"/>
        <v>880</v>
      </c>
      <c r="M851" s="434">
        <f>ROUND(G851*(1+$R$832),$R$833)</f>
        <v>29.77</v>
      </c>
      <c r="N851" s="435"/>
      <c r="O851" s="417">
        <f t="shared" si="316"/>
        <v>893</v>
      </c>
      <c r="P851" s="417"/>
      <c r="Q851" s="590"/>
      <c r="R851" s="497"/>
      <c r="T851" s="439">
        <f t="shared" si="317"/>
        <v>1.4655760054532951E-2</v>
      </c>
      <c r="AD851" s="400">
        <f>K851-[25]Blocking1!O851</f>
        <v>0</v>
      </c>
    </row>
    <row r="852" spans="1:30">
      <c r="A852" s="656" t="s">
        <v>521</v>
      </c>
      <c r="C852" s="561"/>
      <c r="E852" s="561"/>
      <c r="M852" s="404"/>
      <c r="P852" s="417"/>
      <c r="Q852" s="521"/>
      <c r="R852" s="568"/>
      <c r="T852" s="667"/>
      <c r="AD852" s="400">
        <f>K852-[25]Blocking1!O852</f>
        <v>0</v>
      </c>
    </row>
    <row r="853" spans="1:30">
      <c r="A853" s="432" t="s">
        <v>514</v>
      </c>
      <c r="C853" s="561">
        <f>C914+C975+C1036</f>
        <v>23.999980505766999</v>
      </c>
      <c r="E853" s="561">
        <f>E914+E975+E1036</f>
        <v>24</v>
      </c>
      <c r="G853" s="434">
        <f>[25]Blocking1!M853</f>
        <v>668</v>
      </c>
      <c r="H853" s="435"/>
      <c r="I853" s="417">
        <f>ROUND(G853*$C853,0)</f>
        <v>16032</v>
      </c>
      <c r="K853" s="417">
        <f>ROUND(G853*$E853,0)</f>
        <v>16032</v>
      </c>
      <c r="M853" s="434">
        <f>ROUND(G853*(1+$R$832),0)</f>
        <v>678</v>
      </c>
      <c r="N853" s="435"/>
      <c r="O853" s="417">
        <f>ROUND(M853*$E853,0)</f>
        <v>16272</v>
      </c>
      <c r="P853" s="497"/>
      <c r="Q853" s="521"/>
      <c r="R853" s="568"/>
      <c r="T853" s="439">
        <f t="shared" ref="T853:T854" si="318">M853/G853-1</f>
        <v>1.4970059880239583E-2</v>
      </c>
      <c r="AD853" s="400">
        <f>K853-[25]Blocking1!O853</f>
        <v>0</v>
      </c>
    </row>
    <row r="854" spans="1:30">
      <c r="A854" s="432" t="s">
        <v>515</v>
      </c>
      <c r="C854" s="561">
        <f>C915+C976+C1037</f>
        <v>292800.00140698301</v>
      </c>
      <c r="E854" s="561">
        <f>E915+E976+E1037</f>
        <v>153429</v>
      </c>
      <c r="G854" s="434">
        <f>[25]Blocking1!M854</f>
        <v>2.59</v>
      </c>
      <c r="H854" s="515"/>
      <c r="I854" s="417">
        <f>ROUND(G854*$C854,0)</f>
        <v>758352</v>
      </c>
      <c r="K854" s="417">
        <f>ROUND(G854*$E854,0)</f>
        <v>397381</v>
      </c>
      <c r="M854" s="434">
        <f>ROUND(G854*(1+$R$832),$R$833)</f>
        <v>2.63</v>
      </c>
      <c r="N854" s="435"/>
      <c r="O854" s="417">
        <f>ROUND(M854*$E854,0)</f>
        <v>403518</v>
      </c>
      <c r="P854" s="497"/>
      <c r="Q854" s="521"/>
      <c r="R854" s="568"/>
      <c r="T854" s="439">
        <f t="shared" si="318"/>
        <v>1.5444015444015413E-2</v>
      </c>
      <c r="AD854" s="400">
        <f>K854-[25]Blocking1!O854</f>
        <v>0</v>
      </c>
    </row>
    <row r="855" spans="1:30">
      <c r="A855" s="432" t="s">
        <v>516</v>
      </c>
      <c r="C855" s="561"/>
      <c r="E855" s="561"/>
      <c r="G855" s="496"/>
      <c r="H855" s="551"/>
      <c r="I855" s="417"/>
      <c r="K855" s="417"/>
      <c r="M855" s="496"/>
      <c r="N855" s="551"/>
      <c r="O855" s="417"/>
      <c r="P855" s="497"/>
      <c r="Q855" s="521"/>
      <c r="R855" s="609"/>
      <c r="T855" s="667"/>
      <c r="AD855" s="400">
        <f>K855-[25]Blocking1!O855</f>
        <v>0</v>
      </c>
    </row>
    <row r="856" spans="1:30">
      <c r="A856" s="432" t="s">
        <v>517</v>
      </c>
      <c r="C856" s="561">
        <f t="shared" ref="C856:C864" si="319">C917+C978+C1039</f>
        <v>700649.99848372303</v>
      </c>
      <c r="E856" s="561">
        <f t="shared" ref="E856:E864" si="320">E917+E978+E1039</f>
        <v>391585</v>
      </c>
      <c r="G856" s="668"/>
      <c r="H856" s="669"/>
      <c r="I856" s="417"/>
      <c r="K856" s="417"/>
      <c r="M856" s="668"/>
      <c r="N856" s="669"/>
      <c r="O856" s="417"/>
      <c r="P856" s="497"/>
      <c r="Q856" s="516"/>
      <c r="R856" s="560"/>
      <c r="T856" s="439"/>
      <c r="AD856" s="400">
        <f>K856-[25]Blocking1!O856</f>
        <v>0</v>
      </c>
    </row>
    <row r="857" spans="1:30">
      <c r="A857" s="432" t="s">
        <v>677</v>
      </c>
      <c r="C857" s="561">
        <f t="shared" si="319"/>
        <v>353074.97848737403</v>
      </c>
      <c r="E857" s="561">
        <f t="shared" si="320"/>
        <v>239920</v>
      </c>
      <c r="G857" s="434">
        <f>[25]Blocking1!M857</f>
        <v>0.75</v>
      </c>
      <c r="H857" s="669"/>
      <c r="I857" s="417">
        <f t="shared" ref="I857:I858" si="321">ROUND(G857*$C857,0)</f>
        <v>264806</v>
      </c>
      <c r="K857" s="417">
        <f t="shared" ref="K857:K858" si="322">ROUND(G857*$E857,0)</f>
        <v>179940</v>
      </c>
      <c r="M857" s="434">
        <f>ROUND(G857*(1+$R$832),$R$833)</f>
        <v>0.76</v>
      </c>
      <c r="N857" s="669"/>
      <c r="O857" s="417">
        <f t="shared" ref="O857:O858" si="323">ROUND(M857*$E857,0)</f>
        <v>182339</v>
      </c>
      <c r="P857" s="497"/>
      <c r="Q857" s="516"/>
      <c r="R857" s="560"/>
      <c r="T857" s="439">
        <f t="shared" ref="T857:T858" si="324">M857/G857-1</f>
        <v>1.3333333333333419E-2</v>
      </c>
      <c r="AD857" s="400">
        <f>K857-[25]Blocking1!O857</f>
        <v>0</v>
      </c>
    </row>
    <row r="858" spans="1:30">
      <c r="A858" s="432" t="s">
        <v>678</v>
      </c>
      <c r="C858" s="561">
        <f t="shared" si="319"/>
        <v>347575.01999634888</v>
      </c>
      <c r="E858" s="561">
        <f t="shared" si="320"/>
        <v>151665</v>
      </c>
      <c r="G858" s="434">
        <f>[25]Blocking1!M858</f>
        <v>0.5</v>
      </c>
      <c r="H858" s="669"/>
      <c r="I858" s="417">
        <f t="shared" si="321"/>
        <v>173788</v>
      </c>
      <c r="K858" s="417">
        <f t="shared" si="322"/>
        <v>75833</v>
      </c>
      <c r="M858" s="434">
        <f>ROUND(G858*(1+$R$832),$R$833)</f>
        <v>0.51</v>
      </c>
      <c r="N858" s="669"/>
      <c r="O858" s="417">
        <f t="shared" si="323"/>
        <v>77349</v>
      </c>
      <c r="P858" s="497"/>
      <c r="Q858" s="516"/>
      <c r="R858" s="560"/>
      <c r="T858" s="439">
        <f t="shared" si="324"/>
        <v>2.0000000000000018E-2</v>
      </c>
      <c r="AD858" s="400">
        <f>K858-[25]Blocking1!O858</f>
        <v>0</v>
      </c>
    </row>
    <row r="859" spans="1:30">
      <c r="A859" s="432" t="s">
        <v>518</v>
      </c>
      <c r="C859" s="561">
        <f t="shared" si="319"/>
        <v>0</v>
      </c>
      <c r="E859" s="561">
        <f t="shared" si="320"/>
        <v>0</v>
      </c>
      <c r="G859" s="668"/>
      <c r="H859" s="670"/>
      <c r="I859" s="417"/>
      <c r="K859" s="417"/>
      <c r="M859" s="668"/>
      <c r="N859" s="670"/>
      <c r="O859" s="417"/>
      <c r="P859" s="417"/>
      <c r="R859" s="560"/>
      <c r="AD859" s="400">
        <f>K859-[25]Blocking1!O859</f>
        <v>0</v>
      </c>
    </row>
    <row r="860" spans="1:30">
      <c r="A860" s="432" t="s">
        <v>677</v>
      </c>
      <c r="C860" s="561">
        <f t="shared" si="319"/>
        <v>0</v>
      </c>
      <c r="E860" s="561">
        <f t="shared" si="320"/>
        <v>0</v>
      </c>
      <c r="G860" s="671">
        <f>[25]Blocking1!M860</f>
        <v>0.375</v>
      </c>
      <c r="H860" s="670"/>
      <c r="I860" s="417">
        <f t="shared" ref="I860:I861" si="325">ROUND(G860*$C860,0)</f>
        <v>0</v>
      </c>
      <c r="K860" s="417">
        <f t="shared" ref="K860:K861" si="326">ROUND(G860*$E860,0)</f>
        <v>0</v>
      </c>
      <c r="M860" s="671">
        <f>M857/2</f>
        <v>0.38</v>
      </c>
      <c r="N860" s="670"/>
      <c r="O860" s="417">
        <f t="shared" ref="O860:O861" si="327">ROUND(M860*$E860,0)</f>
        <v>0</v>
      </c>
      <c r="P860" s="417"/>
      <c r="R860" s="560"/>
      <c r="T860" s="439">
        <f t="shared" ref="T860:T861" si="328">M860/G860-1</f>
        <v>1.3333333333333419E-2</v>
      </c>
      <c r="AD860" s="400">
        <f>K860-[25]Blocking1!O860</f>
        <v>0</v>
      </c>
    </row>
    <row r="861" spans="1:30">
      <c r="A861" s="432" t="s">
        <v>678</v>
      </c>
      <c r="C861" s="561">
        <f t="shared" si="319"/>
        <v>0</v>
      </c>
      <c r="E861" s="561">
        <f t="shared" si="320"/>
        <v>0</v>
      </c>
      <c r="G861" s="671">
        <f>[25]Blocking1!M861</f>
        <v>0.25</v>
      </c>
      <c r="H861" s="670"/>
      <c r="I861" s="417">
        <f t="shared" si="325"/>
        <v>0</v>
      </c>
      <c r="K861" s="417">
        <f t="shared" si="326"/>
        <v>0</v>
      </c>
      <c r="M861" s="671">
        <f>M858/2</f>
        <v>0.255</v>
      </c>
      <c r="N861" s="670"/>
      <c r="O861" s="417">
        <f t="shared" si="327"/>
        <v>0</v>
      </c>
      <c r="P861" s="417"/>
      <c r="R861" s="560"/>
      <c r="T861" s="439">
        <f t="shared" si="328"/>
        <v>2.0000000000000018E-2</v>
      </c>
      <c r="AD861" s="400">
        <f>K861-[25]Blocking1!O861</f>
        <v>0</v>
      </c>
    </row>
    <row r="862" spans="1:30">
      <c r="A862" s="432" t="s">
        <v>519</v>
      </c>
      <c r="C862" s="561">
        <f t="shared" si="319"/>
        <v>0</v>
      </c>
      <c r="E862" s="561">
        <f t="shared" si="320"/>
        <v>0</v>
      </c>
      <c r="G862" s="668"/>
      <c r="H862" s="435"/>
      <c r="I862" s="417"/>
      <c r="K862" s="417"/>
      <c r="M862" s="668"/>
      <c r="N862" s="435"/>
      <c r="O862" s="417"/>
      <c r="P862" s="417"/>
      <c r="AD862" s="400">
        <f>K862-[25]Blocking1!O862</f>
        <v>0</v>
      </c>
    </row>
    <row r="863" spans="1:30">
      <c r="A863" s="432" t="s">
        <v>677</v>
      </c>
      <c r="C863" s="561">
        <f t="shared" si="319"/>
        <v>0</v>
      </c>
      <c r="E863" s="561">
        <f t="shared" si="320"/>
        <v>0</v>
      </c>
      <c r="G863" s="434">
        <f>[25]Blocking1!M863</f>
        <v>31.88</v>
      </c>
      <c r="H863" s="435"/>
      <c r="I863" s="417">
        <f t="shared" ref="I863:I864" si="329">ROUND(G863*$C863,0)</f>
        <v>0</v>
      </c>
      <c r="K863" s="417">
        <f t="shared" ref="K863:K864" si="330">ROUND(G863*$E863,0)</f>
        <v>0</v>
      </c>
      <c r="M863" s="434">
        <f>ROUND(G863*(1+$R$832),$R$833)</f>
        <v>32.35</v>
      </c>
      <c r="N863" s="435"/>
      <c r="O863" s="417">
        <f t="shared" ref="O863:O864" si="331">ROUND(M863*$E863,0)</f>
        <v>0</v>
      </c>
      <c r="P863" s="417"/>
      <c r="T863" s="439">
        <f t="shared" ref="T863:T864" si="332">M863/G863-1</f>
        <v>1.4742785445420292E-2</v>
      </c>
      <c r="AD863" s="400">
        <f>K863-[25]Blocking1!O863</f>
        <v>0</v>
      </c>
    </row>
    <row r="864" spans="1:30">
      <c r="A864" s="432" t="s">
        <v>678</v>
      </c>
      <c r="C864" s="561">
        <f t="shared" si="319"/>
        <v>0</v>
      </c>
      <c r="E864" s="561">
        <f t="shared" si="320"/>
        <v>0</v>
      </c>
      <c r="G864" s="434">
        <f>[25]Blocking1!M864</f>
        <v>23.02</v>
      </c>
      <c r="H864" s="435"/>
      <c r="I864" s="417">
        <f t="shared" si="329"/>
        <v>0</v>
      </c>
      <c r="K864" s="417">
        <f t="shared" si="330"/>
        <v>0</v>
      </c>
      <c r="M864" s="434">
        <f>ROUND(G864*(1+$R$832),$R$833)</f>
        <v>23.36</v>
      </c>
      <c r="N864" s="435"/>
      <c r="O864" s="417">
        <f t="shared" si="331"/>
        <v>0</v>
      </c>
      <c r="P864" s="417"/>
      <c r="T864" s="439">
        <f t="shared" si="332"/>
        <v>1.476976542137276E-2</v>
      </c>
      <c r="AD864" s="400">
        <f>K864-[25]Blocking1!O864</f>
        <v>0</v>
      </c>
    </row>
    <row r="865" spans="1:30">
      <c r="A865" s="432" t="s">
        <v>511</v>
      </c>
      <c r="C865" s="673"/>
      <c r="E865" s="673"/>
      <c r="G865" s="547"/>
      <c r="H865" s="572"/>
      <c r="I865" s="506">
        <f>SUM(I827:I864)</f>
        <v>1551790</v>
      </c>
      <c r="K865" s="506">
        <f>SUM(K827:K864)</f>
        <v>1001359</v>
      </c>
      <c r="M865" s="547"/>
      <c r="N865" s="572"/>
      <c r="O865" s="506">
        <f>SUM(O827:O864)</f>
        <v>1016286</v>
      </c>
      <c r="P865" s="417"/>
      <c r="Q865" s="416" t="s">
        <v>601</v>
      </c>
      <c r="R865" s="518">
        <f>O865/K865-1</f>
        <v>1.4906741737978013E-2</v>
      </c>
      <c r="AD865" s="400">
        <f>K865-[25]Blocking1!O865</f>
        <v>0</v>
      </c>
    </row>
    <row r="866" spans="1:30">
      <c r="A866" s="656" t="s">
        <v>522</v>
      </c>
      <c r="C866" s="674"/>
      <c r="E866" s="674"/>
      <c r="P866" s="417"/>
      <c r="Q866" s="467"/>
      <c r="AD866" s="400">
        <f>K866-[25]Blocking1!O866</f>
        <v>0</v>
      </c>
    </row>
    <row r="867" spans="1:30">
      <c r="A867" s="428" t="s">
        <v>523</v>
      </c>
      <c r="C867" s="561"/>
      <c r="E867" s="561"/>
      <c r="G867" s="496"/>
      <c r="H867" s="551"/>
      <c r="I867" s="417"/>
      <c r="K867" s="417"/>
      <c r="M867" s="552"/>
      <c r="N867" s="551"/>
      <c r="O867" s="417"/>
      <c r="P867" s="417"/>
      <c r="Q867" s="467"/>
      <c r="AD867" s="400">
        <f>K867-[25]Blocking1!O867</f>
        <v>0</v>
      </c>
    </row>
    <row r="868" spans="1:30">
      <c r="A868" s="432" t="s">
        <v>398</v>
      </c>
      <c r="C868" s="561">
        <f t="shared" ref="C868:C874" si="333">C929+C990+C1051</f>
        <v>16400</v>
      </c>
      <c r="E868" s="561">
        <f t="shared" ref="E868:E874" si="334">E929+E990+E1051</f>
        <v>16065</v>
      </c>
      <c r="G868" s="496">
        <f>[25]Blocking1!M868</f>
        <v>4.71</v>
      </c>
      <c r="H868" s="551"/>
      <c r="I868" s="417">
        <f>ROUND(G868*$C868,0)</f>
        <v>77244</v>
      </c>
      <c r="K868" s="417">
        <f>ROUND(G868*$E868,0)</f>
        <v>75666</v>
      </c>
      <c r="M868" s="552">
        <f t="shared" ref="M868:M874" si="335">M427</f>
        <v>4.76</v>
      </c>
      <c r="N868" s="551"/>
      <c r="O868" s="417">
        <f>ROUND(M868*$E868,0)</f>
        <v>76469</v>
      </c>
      <c r="P868" s="417"/>
      <c r="Q868" s="467"/>
      <c r="T868" s="439">
        <f t="shared" ref="T868:T874" si="336">M868/G868-1</f>
        <v>1.0615711252653925E-2</v>
      </c>
      <c r="AD868" s="400">
        <f>K868-[25]Blocking1!O868</f>
        <v>0</v>
      </c>
    </row>
    <row r="869" spans="1:30">
      <c r="A869" s="432" t="s">
        <v>399</v>
      </c>
      <c r="C869" s="561">
        <f t="shared" si="333"/>
        <v>0</v>
      </c>
      <c r="E869" s="561">
        <f t="shared" si="334"/>
        <v>0</v>
      </c>
      <c r="G869" s="496">
        <f>[25]Blocking1!M869</f>
        <v>15.4</v>
      </c>
      <c r="H869" s="551"/>
      <c r="I869" s="417">
        <f>ROUND(G869*$C869,0)</f>
        <v>0</v>
      </c>
      <c r="K869" s="417">
        <f>ROUND(G869*$E869,0)</f>
        <v>0</v>
      </c>
      <c r="M869" s="552">
        <f t="shared" si="335"/>
        <v>15.56</v>
      </c>
      <c r="N869" s="551"/>
      <c r="O869" s="417">
        <f>ROUND(M869*$E869,0)</f>
        <v>0</v>
      </c>
      <c r="P869" s="417"/>
      <c r="Q869" s="467"/>
      <c r="T869" s="439">
        <f t="shared" si="336"/>
        <v>1.0389610389610393E-2</v>
      </c>
      <c r="AD869" s="400">
        <f>K869-[25]Blocking1!O869</f>
        <v>0</v>
      </c>
    </row>
    <row r="870" spans="1:30">
      <c r="A870" s="432" t="s">
        <v>400</v>
      </c>
      <c r="C870" s="561">
        <f t="shared" si="333"/>
        <v>16400</v>
      </c>
      <c r="E870" s="561">
        <f t="shared" si="334"/>
        <v>16065</v>
      </c>
      <c r="G870" s="496">
        <f>[25]Blocking1!M870</f>
        <v>11.08</v>
      </c>
      <c r="H870" s="551"/>
      <c r="I870" s="417">
        <f>ROUND(G870*$C870,0)</f>
        <v>181712</v>
      </c>
      <c r="K870" s="417">
        <f>ROUND(G870*$E870,0)</f>
        <v>178000</v>
      </c>
      <c r="M870" s="552">
        <f t="shared" si="335"/>
        <v>11.19</v>
      </c>
      <c r="N870" s="551"/>
      <c r="O870" s="417">
        <f>ROUND(M870*$E870,0)</f>
        <v>179767</v>
      </c>
      <c r="P870" s="417"/>
      <c r="Q870" s="467"/>
      <c r="T870" s="439">
        <f t="shared" si="336"/>
        <v>9.9277978339349371E-3</v>
      </c>
      <c r="AD870" s="400">
        <f>K870-[25]Blocking1!O870</f>
        <v>0</v>
      </c>
    </row>
    <row r="871" spans="1:30">
      <c r="A871" s="432" t="s">
        <v>346</v>
      </c>
      <c r="C871" s="561">
        <f t="shared" si="333"/>
        <v>16400</v>
      </c>
      <c r="E871" s="561">
        <f t="shared" si="334"/>
        <v>16065</v>
      </c>
      <c r="G871" s="496">
        <f>[25]Blocking1!M871</f>
        <v>-1.1200000000000001</v>
      </c>
      <c r="H871" s="551"/>
      <c r="I871" s="417">
        <f>ROUND(G871*$C871,0)</f>
        <v>-18368</v>
      </c>
      <c r="K871" s="417">
        <f>ROUND(G871*$E871,0)</f>
        <v>-17993</v>
      </c>
      <c r="M871" s="552">
        <f t="shared" si="335"/>
        <v>-1.1299999999999999</v>
      </c>
      <c r="N871" s="551"/>
      <c r="O871" s="417">
        <f>ROUND(M871*$E871,0)</f>
        <v>-18153</v>
      </c>
      <c r="P871" s="417"/>
      <c r="Q871" s="467"/>
      <c r="T871" s="439">
        <f t="shared" si="336"/>
        <v>8.9285714285711748E-3</v>
      </c>
      <c r="AD871" s="400">
        <f>K871-[25]Blocking1!O871</f>
        <v>0</v>
      </c>
    </row>
    <row r="872" spans="1:30">
      <c r="A872" s="432" t="s">
        <v>315</v>
      </c>
      <c r="C872" s="561">
        <f t="shared" si="333"/>
        <v>1064405</v>
      </c>
      <c r="E872" s="561">
        <f t="shared" si="334"/>
        <v>1044794</v>
      </c>
      <c r="G872" s="547">
        <f>[25]Blocking1!M872</f>
        <v>4.9961000000000002</v>
      </c>
      <c r="H872" s="462" t="s">
        <v>305</v>
      </c>
      <c r="I872" s="417">
        <f>ROUND(G872*$C872/100,0)</f>
        <v>53179</v>
      </c>
      <c r="K872" s="417">
        <f>ROUND(G872*$E872/100,0)</f>
        <v>52199</v>
      </c>
      <c r="M872" s="558">
        <f t="shared" si="335"/>
        <v>5.0473999999999997</v>
      </c>
      <c r="N872" s="462" t="s">
        <v>305</v>
      </c>
      <c r="O872" s="417">
        <f>ROUND(M872*$E872/100,0)</f>
        <v>52735</v>
      </c>
      <c r="P872" s="417"/>
      <c r="Q872" s="467"/>
      <c r="T872" s="439">
        <f t="shared" si="336"/>
        <v>1.0268009047056603E-2</v>
      </c>
      <c r="AD872" s="400">
        <f>K872-[25]Blocking1!O872</f>
        <v>0</v>
      </c>
    </row>
    <row r="873" spans="1:30">
      <c r="A873" s="432" t="s">
        <v>366</v>
      </c>
      <c r="C873" s="561">
        <f t="shared" si="333"/>
        <v>4008522</v>
      </c>
      <c r="E873" s="561">
        <f t="shared" si="334"/>
        <v>3934668</v>
      </c>
      <c r="G873" s="547">
        <f>[25]Blocking1!M873</f>
        <v>3.9108999999999998</v>
      </c>
      <c r="H873" s="462" t="s">
        <v>305</v>
      </c>
      <c r="I873" s="417">
        <f>ROUND(G873*$C873/100,0)</f>
        <v>156769</v>
      </c>
      <c r="K873" s="417">
        <f>ROUND(G873*$E873/100,0)</f>
        <v>153881</v>
      </c>
      <c r="M873" s="558">
        <f t="shared" si="335"/>
        <v>3.9510999999999998</v>
      </c>
      <c r="N873" s="462" t="s">
        <v>305</v>
      </c>
      <c r="O873" s="417">
        <f>ROUND(M873*$E873/100,0)</f>
        <v>155463</v>
      </c>
      <c r="P873" s="417"/>
      <c r="T873" s="439">
        <f t="shared" si="336"/>
        <v>1.0278963921348083E-2</v>
      </c>
      <c r="AD873" s="400">
        <f>K873-[25]Blocking1!O873</f>
        <v>0</v>
      </c>
    </row>
    <row r="874" spans="1:30">
      <c r="A874" s="432" t="s">
        <v>401</v>
      </c>
      <c r="C874" s="561">
        <f t="shared" si="333"/>
        <v>5124703</v>
      </c>
      <c r="E874" s="561">
        <f t="shared" si="334"/>
        <v>5030284.6792951785</v>
      </c>
      <c r="G874" s="547">
        <f>[25]Blocking1!M874</f>
        <v>3.3640999999999996</v>
      </c>
      <c r="H874" s="462" t="s">
        <v>305</v>
      </c>
      <c r="I874" s="417">
        <f>ROUND(G874*$C874/100,0)</f>
        <v>172400</v>
      </c>
      <c r="K874" s="417">
        <f>ROUND(G874*$E874/100,0)</f>
        <v>169224</v>
      </c>
      <c r="M874" s="558">
        <f t="shared" si="335"/>
        <v>3.4001999999999999</v>
      </c>
      <c r="N874" s="462" t="s">
        <v>305</v>
      </c>
      <c r="O874" s="417">
        <f>ROUND(M874*$E874/100,0)</f>
        <v>171040</v>
      </c>
      <c r="P874" s="417"/>
      <c r="Q874" s="467"/>
      <c r="S874" s="502"/>
      <c r="T874" s="439">
        <f t="shared" si="336"/>
        <v>1.0730953301031576E-2</v>
      </c>
      <c r="AD874" s="400">
        <f>K874-[25]Blocking1!O874</f>
        <v>0</v>
      </c>
    </row>
    <row r="875" spans="1:30">
      <c r="A875" s="428" t="s">
        <v>524</v>
      </c>
      <c r="C875" s="561"/>
      <c r="E875" s="561"/>
      <c r="G875" s="496"/>
      <c r="H875" s="551"/>
      <c r="I875" s="417"/>
      <c r="K875" s="417"/>
      <c r="M875" s="552"/>
      <c r="N875" s="551"/>
      <c r="O875" s="417"/>
      <c r="P875" s="497"/>
      <c r="Q875" s="467"/>
      <c r="AD875" s="400">
        <f>K875-[25]Blocking1!O875</f>
        <v>0</v>
      </c>
    </row>
    <row r="876" spans="1:30">
      <c r="A876" s="432" t="s">
        <v>398</v>
      </c>
      <c r="C876" s="561">
        <f t="shared" ref="C876:C881" si="337">C937+C998+C1059</f>
        <v>103445.00135121599</v>
      </c>
      <c r="E876" s="561">
        <f t="shared" ref="E876:E881" si="338">E937+E998+E1059</f>
        <v>103313</v>
      </c>
      <c r="G876" s="496">
        <f>[25]Blocking1!M876</f>
        <v>2.19</v>
      </c>
      <c r="H876" s="551"/>
      <c r="I876" s="417">
        <f>ROUND(G876*$C876,0)</f>
        <v>226545</v>
      </c>
      <c r="K876" s="417">
        <f>ROUND(G876*$E876,0)</f>
        <v>226255</v>
      </c>
      <c r="M876" s="552">
        <f t="shared" ref="M876:M881" si="339">M463</f>
        <v>2.2200000000000002</v>
      </c>
      <c r="N876" s="551"/>
      <c r="O876" s="417">
        <f>ROUND(M876*$E876,0)</f>
        <v>229355</v>
      </c>
      <c r="P876" s="497"/>
      <c r="Q876" s="467"/>
      <c r="T876" s="439">
        <f t="shared" ref="T876:T881" si="340">M876/G876-1</f>
        <v>1.3698630136986356E-2</v>
      </c>
      <c r="AD876" s="400">
        <f>K876-[25]Blocking1!O876</f>
        <v>0</v>
      </c>
    </row>
    <row r="877" spans="1:30">
      <c r="A877" s="432" t="s">
        <v>399</v>
      </c>
      <c r="C877" s="561">
        <f t="shared" si="337"/>
        <v>49554</v>
      </c>
      <c r="E877" s="561">
        <f t="shared" si="338"/>
        <v>49491</v>
      </c>
      <c r="G877" s="496">
        <f>[25]Blocking1!M877</f>
        <v>13.75</v>
      </c>
      <c r="H877" s="551"/>
      <c r="I877" s="417">
        <f>ROUND(G877*$C877,0)</f>
        <v>681368</v>
      </c>
      <c r="K877" s="417">
        <f>ROUND(G877*$E877,0)</f>
        <v>680501</v>
      </c>
      <c r="M877" s="552">
        <f t="shared" si="339"/>
        <v>13.96</v>
      </c>
      <c r="N877" s="551"/>
      <c r="O877" s="417">
        <f>ROUND(M877*$E877,0)</f>
        <v>690894</v>
      </c>
      <c r="P877" s="497"/>
      <c r="Q877" s="467"/>
      <c r="T877" s="439">
        <f t="shared" si="340"/>
        <v>1.5272727272727327E-2</v>
      </c>
      <c r="AD877" s="400">
        <f>K877-[25]Blocking1!O877</f>
        <v>0</v>
      </c>
    </row>
    <row r="878" spans="1:30">
      <c r="A878" s="432" t="s">
        <v>400</v>
      </c>
      <c r="C878" s="561">
        <f t="shared" si="337"/>
        <v>50143.999635145403</v>
      </c>
      <c r="E878" s="561">
        <f t="shared" si="338"/>
        <v>50080</v>
      </c>
      <c r="G878" s="496">
        <f>[25]Blocking1!M878</f>
        <v>9.32</v>
      </c>
      <c r="H878" s="551"/>
      <c r="I878" s="417">
        <f>ROUND(G878*$C878,0)</f>
        <v>467342</v>
      </c>
      <c r="K878" s="417">
        <f>ROUND(G878*$E878,0)</f>
        <v>466746</v>
      </c>
      <c r="M878" s="552">
        <f t="shared" si="339"/>
        <v>9.4700000000000006</v>
      </c>
      <c r="N878" s="551"/>
      <c r="O878" s="417">
        <f>ROUND(M878*$E878,0)</f>
        <v>474258</v>
      </c>
      <c r="P878" s="497"/>
      <c r="Q878" s="467"/>
      <c r="T878" s="439">
        <f t="shared" si="340"/>
        <v>1.6094420600858417E-2</v>
      </c>
      <c r="AD878" s="400">
        <f>K878-[25]Blocking1!O878</f>
        <v>0</v>
      </c>
    </row>
    <row r="879" spans="1:30">
      <c r="A879" s="432" t="s">
        <v>403</v>
      </c>
      <c r="C879" s="561">
        <f t="shared" si="337"/>
        <v>8127144</v>
      </c>
      <c r="E879" s="561">
        <f t="shared" si="338"/>
        <v>7647176</v>
      </c>
      <c r="G879" s="576">
        <f>[25]Blocking1!M879</f>
        <v>4.5818000000000003</v>
      </c>
      <c r="H879" s="462" t="s">
        <v>305</v>
      </c>
      <c r="I879" s="417">
        <f>ROUND(G879*$C879/100,0)</f>
        <v>372369</v>
      </c>
      <c r="K879" s="417">
        <f>ROUND(G879*$E879/100,0)</f>
        <v>350378</v>
      </c>
      <c r="M879" s="577">
        <f t="shared" si="339"/>
        <v>4.6531000000000002</v>
      </c>
      <c r="N879" s="462" t="s">
        <v>305</v>
      </c>
      <c r="O879" s="417">
        <f>ROUND(M879*$E879/100,0)</f>
        <v>355831</v>
      </c>
      <c r="Q879" s="467"/>
      <c r="S879" s="667"/>
      <c r="T879" s="439">
        <f t="shared" si="340"/>
        <v>1.556156968876854E-2</v>
      </c>
      <c r="AD879" s="400">
        <f>K879-[25]Blocking1!O879</f>
        <v>0</v>
      </c>
    </row>
    <row r="880" spans="1:30">
      <c r="A880" s="432" t="s">
        <v>404</v>
      </c>
      <c r="C880" s="561">
        <f t="shared" si="337"/>
        <v>13316146</v>
      </c>
      <c r="E880" s="561">
        <f t="shared" si="338"/>
        <v>10898121</v>
      </c>
      <c r="G880" s="576">
        <f>[25]Blocking1!M880</f>
        <v>3.4453</v>
      </c>
      <c r="H880" s="462" t="s">
        <v>305</v>
      </c>
      <c r="I880" s="417">
        <f>ROUND(G880*$C880/100,0)</f>
        <v>458781</v>
      </c>
      <c r="K880" s="417">
        <f>ROUND(G880*$E880/100,0)</f>
        <v>375473</v>
      </c>
      <c r="M880" s="577">
        <f t="shared" si="339"/>
        <v>3.4988999999999999</v>
      </c>
      <c r="N880" s="462" t="s">
        <v>305</v>
      </c>
      <c r="O880" s="417">
        <f>ROUND(M880*$E880/100,0)</f>
        <v>381314</v>
      </c>
      <c r="S880" s="667"/>
      <c r="T880" s="439">
        <f t="shared" si="340"/>
        <v>1.5557426058688595E-2</v>
      </c>
      <c r="AD880" s="400">
        <f>K880-[25]Blocking1!O880</f>
        <v>0</v>
      </c>
    </row>
    <row r="881" spans="1:30">
      <c r="A881" s="432" t="s">
        <v>401</v>
      </c>
      <c r="C881" s="675">
        <f t="shared" si="337"/>
        <v>31472683.819308575</v>
      </c>
      <c r="E881" s="675">
        <f t="shared" si="338"/>
        <v>27727401.345819965</v>
      </c>
      <c r="G881" s="676">
        <f>[25]Blocking1!M881</f>
        <v>2.8776999999999999</v>
      </c>
      <c r="H881" s="462" t="s">
        <v>305</v>
      </c>
      <c r="I881" s="619">
        <f>ROUND(G881*$C881/100,0)</f>
        <v>905689</v>
      </c>
      <c r="K881" s="619">
        <f>ROUND(G881*$E881/100,0)</f>
        <v>797911</v>
      </c>
      <c r="M881" s="677">
        <f t="shared" si="339"/>
        <v>2.9224999999999999</v>
      </c>
      <c r="N881" s="462" t="s">
        <v>305</v>
      </c>
      <c r="O881" s="619">
        <f>ROUND(M881*$E881/100,0)</f>
        <v>810333</v>
      </c>
      <c r="T881" s="439">
        <f t="shared" si="340"/>
        <v>1.5567988324008741E-2</v>
      </c>
      <c r="AD881" s="400">
        <f>K881-[25]Blocking1!O881</f>
        <v>0</v>
      </c>
    </row>
    <row r="882" spans="1:30">
      <c r="A882" s="432" t="s">
        <v>511</v>
      </c>
      <c r="C882" s="443"/>
      <c r="E882" s="443"/>
      <c r="G882" s="678"/>
      <c r="H882" s="462"/>
      <c r="I882" s="497">
        <f>SUM(I868:I881)</f>
        <v>3735030</v>
      </c>
      <c r="K882" s="497">
        <f>SUM(K868:K881)</f>
        <v>3508241</v>
      </c>
      <c r="M882" s="679"/>
      <c r="N882" s="462"/>
      <c r="O882" s="497">
        <f>SUM(O868:O881)</f>
        <v>3559306</v>
      </c>
      <c r="Q882" s="416" t="s">
        <v>601</v>
      </c>
      <c r="R882" s="518">
        <f>O882/K882-1</f>
        <v>1.4555727499906634E-2</v>
      </c>
      <c r="T882" s="439"/>
      <c r="AD882" s="400">
        <f>K882-[25]Blocking1!O882</f>
        <v>0</v>
      </c>
    </row>
    <row r="883" spans="1:30">
      <c r="A883" s="404" t="s">
        <v>190</v>
      </c>
      <c r="C883" s="673">
        <f>C944+C1005+C1066</f>
        <v>-151318</v>
      </c>
      <c r="E883" s="673">
        <f>E944+E1005+E1066</f>
        <v>0</v>
      </c>
      <c r="G883" s="547"/>
      <c r="H883" s="572"/>
      <c r="I883" s="506">
        <f>I944+I1005+I1066</f>
        <v>2384</v>
      </c>
      <c r="K883" s="506">
        <v>0</v>
      </c>
      <c r="M883" s="547"/>
      <c r="N883" s="572"/>
      <c r="O883" s="506">
        <v>0</v>
      </c>
      <c r="P883" s="417"/>
      <c r="S883" s="667"/>
      <c r="AD883" s="400">
        <f>K883-[25]Blocking1!O883</f>
        <v>0</v>
      </c>
    </row>
    <row r="884" spans="1:30" ht="16.5" thickBot="1">
      <c r="A884" s="432" t="s">
        <v>525</v>
      </c>
      <c r="C884" s="549">
        <f>SUM(C872:C874,C879:C881,C883)</f>
        <v>62962285.819308579</v>
      </c>
      <c r="E884" s="680">
        <f>SUM(E872:E874,E879:E881,E883)</f>
        <v>56282445.025115147</v>
      </c>
      <c r="G884" s="532"/>
      <c r="I884" s="533">
        <f>I865+I882+I883</f>
        <v>5289204</v>
      </c>
      <c r="K884" s="533">
        <f>K865+K882+K883</f>
        <v>4509600</v>
      </c>
      <c r="M884" s="534"/>
      <c r="O884" s="533">
        <f>O865+O882+O883</f>
        <v>4575592</v>
      </c>
      <c r="P884" s="417"/>
      <c r="Q884" s="416" t="s">
        <v>601</v>
      </c>
      <c r="R884" s="518">
        <f>O884/K884-1</f>
        <v>1.4633670392052434E-2</v>
      </c>
      <c r="AD884" s="400">
        <f>K884-[25]Blocking1!O884</f>
        <v>0</v>
      </c>
    </row>
    <row r="885" spans="1:30" ht="16.5" thickTop="1">
      <c r="P885" s="417"/>
      <c r="T885" s="667"/>
      <c r="AD885" s="400">
        <f>K885-[25]Blocking1!O885</f>
        <v>0</v>
      </c>
    </row>
    <row r="886" spans="1:30">
      <c r="A886" s="428" t="s">
        <v>681</v>
      </c>
      <c r="C886" s="406"/>
      <c r="E886" s="406"/>
      <c r="G886" s="547"/>
      <c r="H886" s="572"/>
      <c r="M886" s="558"/>
      <c r="N886" s="572"/>
      <c r="P886" s="417"/>
      <c r="S886" s="667"/>
      <c r="AD886" s="400">
        <f>K886-[25]Blocking1!O886</f>
        <v>0</v>
      </c>
    </row>
    <row r="887" spans="1:30">
      <c r="A887" s="656" t="s">
        <v>513</v>
      </c>
      <c r="C887" s="406"/>
      <c r="E887" s="406"/>
      <c r="P887" s="417"/>
      <c r="T887" s="667"/>
      <c r="AD887" s="400">
        <f>K887-[25]Blocking1!O887</f>
        <v>0</v>
      </c>
    </row>
    <row r="888" spans="1:30">
      <c r="A888" s="432" t="s">
        <v>514</v>
      </c>
      <c r="B888" s="432"/>
      <c r="C888" s="433">
        <v>0</v>
      </c>
      <c r="E888" s="550">
        <f>ROUND(C888/($C$888+$C$901+$C$914)*[25]Bill!$P$28,0)</f>
        <v>0</v>
      </c>
      <c r="G888" s="434">
        <f>[25]Blocking1!M888</f>
        <v>131</v>
      </c>
      <c r="H888" s="435"/>
      <c r="I888" s="417">
        <f>ROUND(G888*$C888,0)</f>
        <v>0</v>
      </c>
      <c r="K888" s="417">
        <f>ROUND(G888*$E888,0)</f>
        <v>0</v>
      </c>
      <c r="M888" s="434">
        <f>M827</f>
        <v>133</v>
      </c>
      <c r="N888" s="435"/>
      <c r="O888" s="417">
        <f>ROUND(M888*$E888,0)</f>
        <v>0</v>
      </c>
      <c r="Q888" s="416"/>
      <c r="S888" s="667"/>
      <c r="T888" s="439">
        <f>M888/G888-1</f>
        <v>1.5267175572519109E-2</v>
      </c>
      <c r="AD888" s="400">
        <f>K888-[25]Blocking1!O888</f>
        <v>0</v>
      </c>
    </row>
    <row r="889" spans="1:30">
      <c r="A889" s="432" t="s">
        <v>515</v>
      </c>
      <c r="B889" s="432"/>
      <c r="C889" s="433">
        <v>0</v>
      </c>
      <c r="E889" s="406">
        <f>ROUND(C889*$E$945/$C$945,0)</f>
        <v>0</v>
      </c>
      <c r="G889" s="434">
        <f>[25]Blocking1!M889</f>
        <v>5.52</v>
      </c>
      <c r="H889" s="435"/>
      <c r="I889" s="417">
        <f>ROUND(G889*$C889,0)</f>
        <v>0</v>
      </c>
      <c r="K889" s="417">
        <f>ROUND(G889*$E889,0)</f>
        <v>0</v>
      </c>
      <c r="M889" s="434">
        <f>M828</f>
        <v>5.6</v>
      </c>
      <c r="N889" s="435"/>
      <c r="O889" s="417">
        <f>ROUND(M889*$E889,0)</f>
        <v>0</v>
      </c>
      <c r="P889" s="417"/>
      <c r="Q889" s="416"/>
      <c r="R889" s="568"/>
      <c r="S889" s="667"/>
      <c r="T889" s="439">
        <f>M889/G889-1</f>
        <v>1.449275362318847E-2</v>
      </c>
      <c r="AD889" s="400">
        <f>K889-[25]Blocking1!O889</f>
        <v>0</v>
      </c>
    </row>
    <row r="890" spans="1:30">
      <c r="A890" s="432" t="s">
        <v>516</v>
      </c>
      <c r="B890" s="432"/>
      <c r="C890" s="406"/>
      <c r="E890" s="406"/>
      <c r="G890" s="496"/>
      <c r="H890" s="551"/>
      <c r="I890" s="417"/>
      <c r="K890" s="417"/>
      <c r="M890" s="496"/>
      <c r="N890" s="551"/>
      <c r="O890" s="417"/>
      <c r="P890" s="417"/>
      <c r="Q890" s="416"/>
      <c r="R890" s="568"/>
      <c r="S890" s="667"/>
      <c r="T890" s="667"/>
      <c r="AD890" s="400">
        <f>K890-[25]Blocking1!O890</f>
        <v>0</v>
      </c>
    </row>
    <row r="891" spans="1:30">
      <c r="A891" s="432" t="s">
        <v>517</v>
      </c>
      <c r="B891" s="432"/>
      <c r="C891" s="433">
        <v>0</v>
      </c>
      <c r="E891" s="406">
        <f>ROUND(C891*$E$945/$C$945,0)</f>
        <v>0</v>
      </c>
      <c r="G891" s="668"/>
      <c r="H891" s="669"/>
      <c r="I891" s="417"/>
      <c r="K891" s="417"/>
      <c r="M891" s="668"/>
      <c r="N891" s="669"/>
      <c r="O891" s="417"/>
      <c r="P891" s="417"/>
      <c r="Q891" s="416"/>
      <c r="R891" s="568"/>
      <c r="T891" s="439"/>
      <c r="AD891" s="400">
        <f>K891-[25]Blocking1!O891</f>
        <v>0</v>
      </c>
    </row>
    <row r="892" spans="1:30">
      <c r="A892" s="432" t="s">
        <v>677</v>
      </c>
      <c r="B892" s="432"/>
      <c r="C892" s="433"/>
      <c r="E892" s="406"/>
      <c r="G892" s="434">
        <f>[25]Blocking1!M892</f>
        <v>0.87</v>
      </c>
      <c r="H892" s="669"/>
      <c r="I892" s="417">
        <f t="shared" ref="I892:I893" si="341">ROUND(G892*$C892,0)</f>
        <v>0</v>
      </c>
      <c r="K892" s="417">
        <f t="shared" ref="K892:K893" si="342">ROUND(G892*$E892,0)</f>
        <v>0</v>
      </c>
      <c r="M892" s="434">
        <f>M831</f>
        <v>0.88</v>
      </c>
      <c r="N892" s="669"/>
      <c r="O892" s="417">
        <f t="shared" ref="O892:O899" si="343">ROUND(M892*$E892,0)</f>
        <v>0</v>
      </c>
      <c r="P892" s="417"/>
      <c r="Q892" s="416"/>
      <c r="R892" s="568"/>
      <c r="T892" s="439">
        <f t="shared" ref="T892:T893" si="344">M892/G892-1</f>
        <v>1.1494252873563315E-2</v>
      </c>
      <c r="AD892" s="400">
        <f>K892-[25]Blocking1!O892</f>
        <v>0</v>
      </c>
    </row>
    <row r="893" spans="1:30">
      <c r="A893" s="432" t="s">
        <v>678</v>
      </c>
      <c r="B893" s="432"/>
      <c r="C893" s="433"/>
      <c r="E893" s="406"/>
      <c r="G893" s="434">
        <f>[25]Blocking1!M893</f>
        <v>0.61</v>
      </c>
      <c r="H893" s="669"/>
      <c r="I893" s="417">
        <f t="shared" si="341"/>
        <v>0</v>
      </c>
      <c r="K893" s="417">
        <f t="shared" si="342"/>
        <v>0</v>
      </c>
      <c r="M893" s="434">
        <f>M832</f>
        <v>0.62</v>
      </c>
      <c r="N893" s="669"/>
      <c r="O893" s="417">
        <f t="shared" si="343"/>
        <v>0</v>
      </c>
      <c r="P893" s="417"/>
      <c r="Q893" s="416"/>
      <c r="R893" s="568"/>
      <c r="T893" s="439">
        <f t="shared" si="344"/>
        <v>1.6393442622950838E-2</v>
      </c>
      <c r="AD893" s="400">
        <f>K893-[25]Blocking1!O893</f>
        <v>0</v>
      </c>
    </row>
    <row r="894" spans="1:30">
      <c r="A894" s="432" t="s">
        <v>518</v>
      </c>
      <c r="B894" s="432"/>
      <c r="C894" s="433">
        <v>0</v>
      </c>
      <c r="E894" s="406">
        <f>ROUND(C894*$E$945/$C$945,0)</f>
        <v>0</v>
      </c>
      <c r="G894" s="668"/>
      <c r="H894" s="670"/>
      <c r="I894" s="417"/>
      <c r="K894" s="417"/>
      <c r="M894" s="668"/>
      <c r="N894" s="669"/>
      <c r="O894" s="417"/>
      <c r="P894" s="417"/>
      <c r="AD894" s="400">
        <f>K894-[25]Blocking1!O894</f>
        <v>0</v>
      </c>
    </row>
    <row r="895" spans="1:30">
      <c r="A895" s="432" t="s">
        <v>677</v>
      </c>
      <c r="B895" s="432"/>
      <c r="C895" s="433"/>
      <c r="E895" s="406"/>
      <c r="G895" s="671">
        <f>[25]Blocking1!M895</f>
        <v>0.435</v>
      </c>
      <c r="H895" s="670"/>
      <c r="I895" s="417">
        <f t="shared" ref="I895:I896" si="345">ROUND(G895*$C895,0)</f>
        <v>0</v>
      </c>
      <c r="K895" s="417">
        <f t="shared" ref="K895:K896" si="346">ROUND(G895*$E895,0)</f>
        <v>0</v>
      </c>
      <c r="M895" s="671">
        <f>M834</f>
        <v>0.44</v>
      </c>
      <c r="N895" s="669"/>
      <c r="O895" s="417">
        <f t="shared" si="343"/>
        <v>0</v>
      </c>
      <c r="P895" s="417"/>
      <c r="T895" s="439">
        <f t="shared" ref="T895:T896" si="347">M895/G895-1</f>
        <v>1.1494252873563315E-2</v>
      </c>
      <c r="AD895" s="400">
        <f>K895-[25]Blocking1!O895</f>
        <v>0</v>
      </c>
    </row>
    <row r="896" spans="1:30">
      <c r="A896" s="432" t="s">
        <v>678</v>
      </c>
      <c r="B896" s="432"/>
      <c r="C896" s="433"/>
      <c r="E896" s="406"/>
      <c r="G896" s="671">
        <f>[25]Blocking1!M896</f>
        <v>0.30499999999999999</v>
      </c>
      <c r="H896" s="670"/>
      <c r="I896" s="417">
        <f t="shared" si="345"/>
        <v>0</v>
      </c>
      <c r="K896" s="417">
        <f t="shared" si="346"/>
        <v>0</v>
      </c>
      <c r="M896" s="671">
        <f>M835</f>
        <v>0.31</v>
      </c>
      <c r="N896" s="669"/>
      <c r="O896" s="417">
        <f t="shared" si="343"/>
        <v>0</v>
      </c>
      <c r="P896" s="417"/>
      <c r="T896" s="439">
        <f t="shared" si="347"/>
        <v>1.6393442622950838E-2</v>
      </c>
      <c r="AD896" s="400">
        <f>K896-[25]Blocking1!O896</f>
        <v>0</v>
      </c>
    </row>
    <row r="897" spans="1:30">
      <c r="A897" s="432" t="s">
        <v>519</v>
      </c>
      <c r="B897" s="432"/>
      <c r="C897" s="433">
        <v>0</v>
      </c>
      <c r="E897" s="406">
        <f>ROUND(C897*$E$945/$C$945,0)</f>
        <v>0</v>
      </c>
      <c r="G897" s="668"/>
      <c r="H897" s="435"/>
      <c r="I897" s="417"/>
      <c r="K897" s="417"/>
      <c r="M897" s="668"/>
      <c r="N897" s="669"/>
      <c r="O897" s="417"/>
      <c r="P897" s="417"/>
      <c r="S897" s="667"/>
      <c r="AD897" s="400">
        <f>K897-[25]Blocking1!O897</f>
        <v>0</v>
      </c>
    </row>
    <row r="898" spans="1:30">
      <c r="A898" s="432" t="s">
        <v>677</v>
      </c>
      <c r="B898" s="432"/>
      <c r="C898" s="433"/>
      <c r="E898" s="406"/>
      <c r="G898" s="434">
        <f>[25]Blocking1!M898</f>
        <v>40.22</v>
      </c>
      <c r="H898" s="435"/>
      <c r="I898" s="417">
        <f t="shared" ref="I898:I899" si="348">ROUND(G898*$C898,0)</f>
        <v>0</v>
      </c>
      <c r="K898" s="417">
        <f t="shared" ref="K898:K899" si="349">ROUND(G898*$E898,0)</f>
        <v>0</v>
      </c>
      <c r="M898" s="434">
        <f>M837</f>
        <v>40.81</v>
      </c>
      <c r="N898" s="669"/>
      <c r="O898" s="417">
        <f t="shared" si="343"/>
        <v>0</v>
      </c>
      <c r="P898" s="417"/>
      <c r="S898" s="667"/>
      <c r="T898" s="439">
        <f t="shared" ref="T898:T899" si="350">M898/G898-1</f>
        <v>1.4669318746892257E-2</v>
      </c>
      <c r="AD898" s="400">
        <f>K898-[25]Blocking1!O898</f>
        <v>0</v>
      </c>
    </row>
    <row r="899" spans="1:30">
      <c r="A899" s="432" t="s">
        <v>678</v>
      </c>
      <c r="B899" s="432"/>
      <c r="C899" s="433"/>
      <c r="E899" s="406"/>
      <c r="G899" s="434">
        <f>[25]Blocking1!M899</f>
        <v>31.58</v>
      </c>
      <c r="H899" s="435"/>
      <c r="I899" s="417">
        <f t="shared" si="348"/>
        <v>0</v>
      </c>
      <c r="K899" s="417">
        <f t="shared" si="349"/>
        <v>0</v>
      </c>
      <c r="M899" s="434">
        <f>M838</f>
        <v>32.04</v>
      </c>
      <c r="N899" s="669"/>
      <c r="O899" s="417">
        <f t="shared" si="343"/>
        <v>0</v>
      </c>
      <c r="P899" s="417"/>
      <c r="S899" s="667"/>
      <c r="T899" s="439">
        <f t="shared" si="350"/>
        <v>1.4566181127295685E-2</v>
      </c>
      <c r="AD899" s="400">
        <f>K899-[25]Blocking1!O899</f>
        <v>0</v>
      </c>
    </row>
    <row r="900" spans="1:30">
      <c r="A900" s="656" t="s">
        <v>520</v>
      </c>
      <c r="C900" s="406"/>
      <c r="E900" s="406"/>
      <c r="M900" s="404"/>
      <c r="P900" s="417"/>
      <c r="Q900" s="516"/>
      <c r="R900" s="560"/>
      <c r="T900" s="667"/>
      <c r="AD900" s="400">
        <f>K900-[25]Blocking1!O900</f>
        <v>0</v>
      </c>
    </row>
    <row r="901" spans="1:30">
      <c r="A901" s="432" t="s">
        <v>514</v>
      </c>
      <c r="C901" s="433">
        <f>'[25]31'!I2</f>
        <v>24.000017312020301</v>
      </c>
      <c r="E901" s="550">
        <f>ROUND(C901/($C$888+$C$901+$C$914)*[25]Bill!$P$28,0)</f>
        <v>24</v>
      </c>
      <c r="G901" s="434">
        <f>[25]Blocking1!M901</f>
        <v>596</v>
      </c>
      <c r="H901" s="435"/>
      <c r="I901" s="417">
        <f>ROUND(G901*$C901,0)</f>
        <v>14304</v>
      </c>
      <c r="K901" s="417">
        <f>ROUND(G901*$E901,0)</f>
        <v>14304</v>
      </c>
      <c r="M901" s="434">
        <f>M840</f>
        <v>605</v>
      </c>
      <c r="N901" s="435"/>
      <c r="O901" s="417">
        <f>ROUND(M901*$E901,0)</f>
        <v>14520</v>
      </c>
      <c r="S901" s="667"/>
      <c r="T901" s="439">
        <f t="shared" ref="T901:T902" si="351">M901/G901-1</f>
        <v>1.5100671140939603E-2</v>
      </c>
      <c r="AD901" s="400">
        <f>K901-[25]Blocking1!O901</f>
        <v>0</v>
      </c>
    </row>
    <row r="902" spans="1:30">
      <c r="A902" s="432" t="s">
        <v>515</v>
      </c>
      <c r="C902" s="433">
        <f>'[25]31'!J2</f>
        <v>39600.000966995998</v>
      </c>
      <c r="E902" s="406">
        <f>ROUND(C902*$E$945/$C$945,0)</f>
        <v>38791</v>
      </c>
      <c r="G902" s="434">
        <f>[25]Blocking1!M902</f>
        <v>4.3999999999999995</v>
      </c>
      <c r="H902" s="435"/>
      <c r="I902" s="417">
        <f>ROUND(G902*$C902,0)</f>
        <v>174240</v>
      </c>
      <c r="K902" s="417">
        <f>ROUND(G902*$E902,0)</f>
        <v>170680</v>
      </c>
      <c r="M902" s="434">
        <f>M841</f>
        <v>4.46</v>
      </c>
      <c r="N902" s="435"/>
      <c r="O902" s="417">
        <f>ROUND(M902*$E902,0)</f>
        <v>173008</v>
      </c>
      <c r="P902" s="417"/>
      <c r="Q902" s="672"/>
      <c r="R902" s="560"/>
      <c r="T902" s="439">
        <f t="shared" si="351"/>
        <v>1.3636363636363669E-2</v>
      </c>
      <c r="AD902" s="400">
        <f>K902-[25]Blocking1!O902</f>
        <v>0</v>
      </c>
    </row>
    <row r="903" spans="1:30">
      <c r="A903" s="432" t="s">
        <v>516</v>
      </c>
      <c r="C903" s="433"/>
      <c r="E903" s="406"/>
      <c r="G903" s="496"/>
      <c r="H903" s="435"/>
      <c r="I903" s="417"/>
      <c r="K903" s="417"/>
      <c r="M903" s="496"/>
      <c r="N903" s="435"/>
      <c r="O903" s="417"/>
      <c r="P903" s="417"/>
      <c r="Q903" s="516"/>
      <c r="S903" s="667"/>
      <c r="T903" s="667"/>
      <c r="AD903" s="400">
        <f>K903-[25]Blocking1!O903</f>
        <v>0</v>
      </c>
    </row>
    <row r="904" spans="1:30">
      <c r="A904" s="432" t="s">
        <v>517</v>
      </c>
      <c r="C904" s="433">
        <f>'[25]31'!M2</f>
        <v>199762.02717439301</v>
      </c>
      <c r="E904" s="406">
        <f>ROUND(C904*$E$945/$C$945,0)</f>
        <v>195683</v>
      </c>
      <c r="G904" s="668"/>
      <c r="H904" s="669"/>
      <c r="I904" s="417"/>
      <c r="K904" s="417"/>
      <c r="M904" s="668"/>
      <c r="N904" s="669"/>
      <c r="O904" s="417"/>
      <c r="P904" s="417"/>
      <c r="Q904" s="589"/>
      <c r="R904" s="497"/>
      <c r="T904" s="439"/>
      <c r="AD904" s="400">
        <f>K904-[25]Blocking1!O904</f>
        <v>0</v>
      </c>
    </row>
    <row r="905" spans="1:30">
      <c r="A905" s="432" t="s">
        <v>677</v>
      </c>
      <c r="C905" s="433">
        <f>'[25]31'!N13</f>
        <v>80678.006818276903</v>
      </c>
      <c r="E905" s="406">
        <f>ROUND(C905*$E$945/$C$945,0)</f>
        <v>79030</v>
      </c>
      <c r="G905" s="434">
        <f>[25]Blocking1!M905</f>
        <v>0.85</v>
      </c>
      <c r="H905" s="669"/>
      <c r="I905" s="417">
        <f t="shared" ref="I905:I906" si="352">ROUND(G905*$C905,0)</f>
        <v>68576</v>
      </c>
      <c r="K905" s="417">
        <f t="shared" ref="K905:K906" si="353">ROUND(G905*$E905,0)</f>
        <v>67176</v>
      </c>
      <c r="M905" s="434">
        <f>M844</f>
        <v>0.86</v>
      </c>
      <c r="N905" s="669"/>
      <c r="O905" s="417">
        <f t="shared" ref="O905:O912" si="354">ROUND(M905*$E905,0)</f>
        <v>67966</v>
      </c>
      <c r="P905" s="417"/>
      <c r="Q905" s="589"/>
      <c r="R905" s="497"/>
      <c r="T905" s="439">
        <f t="shared" ref="T905:T906" si="355">M905/G905-1</f>
        <v>1.1764705882352899E-2</v>
      </c>
      <c r="AD905" s="400">
        <f>K905-[25]Blocking1!O905</f>
        <v>0</v>
      </c>
    </row>
    <row r="906" spans="1:30">
      <c r="A906" s="432" t="s">
        <v>678</v>
      </c>
      <c r="C906" s="433">
        <f>'[25]31'!N14</f>
        <v>119084.020356116</v>
      </c>
      <c r="E906" s="406">
        <f>E904-E905</f>
        <v>116653</v>
      </c>
      <c r="G906" s="434">
        <f>[25]Blocking1!M906</f>
        <v>0.59</v>
      </c>
      <c r="H906" s="669"/>
      <c r="I906" s="417">
        <f t="shared" si="352"/>
        <v>70260</v>
      </c>
      <c r="K906" s="417">
        <f t="shared" si="353"/>
        <v>68825</v>
      </c>
      <c r="M906" s="434">
        <f>M845</f>
        <v>0.6</v>
      </c>
      <c r="N906" s="669"/>
      <c r="O906" s="417">
        <f t="shared" si="354"/>
        <v>69992</v>
      </c>
      <c r="P906" s="417"/>
      <c r="Q906" s="589"/>
      <c r="R906" s="497"/>
      <c r="T906" s="439">
        <f t="shared" si="355"/>
        <v>1.6949152542372836E-2</v>
      </c>
      <c r="AD906" s="400">
        <f>K906-[25]Blocking1!O906</f>
        <v>0</v>
      </c>
    </row>
    <row r="907" spans="1:30">
      <c r="A907" s="432" t="s">
        <v>518</v>
      </c>
      <c r="C907" s="433">
        <f>'[25]31'!N2</f>
        <v>24759.982010712301</v>
      </c>
      <c r="E907" s="406">
        <f>ROUND(C907*$E$945/$C$945,0)</f>
        <v>24254</v>
      </c>
      <c r="G907" s="668"/>
      <c r="H907" s="670"/>
      <c r="I907" s="417"/>
      <c r="K907" s="417"/>
      <c r="M907" s="668"/>
      <c r="N907" s="669"/>
      <c r="O907" s="417"/>
      <c r="P907" s="417"/>
      <c r="Q907" s="589"/>
      <c r="R907" s="497"/>
      <c r="S907" s="440"/>
      <c r="AD907" s="400">
        <f>K907-[25]Blocking1!O907</f>
        <v>0</v>
      </c>
    </row>
    <row r="908" spans="1:30">
      <c r="A908" s="432" t="s">
        <v>677</v>
      </c>
      <c r="C908" s="433">
        <f>'[25]31'!O13</f>
        <v>24759.982010712301</v>
      </c>
      <c r="E908" s="406">
        <f>ROUND(C908*$E$945/$C$945,0)</f>
        <v>24254</v>
      </c>
      <c r="G908" s="671">
        <f>[25]Blocking1!M908</f>
        <v>0.42499999999999999</v>
      </c>
      <c r="H908" s="670"/>
      <c r="I908" s="417">
        <f t="shared" ref="I908:I909" si="356">ROUND(G908*$C908,0)</f>
        <v>10523</v>
      </c>
      <c r="K908" s="417">
        <f t="shared" ref="K908:K909" si="357">ROUND(G908*$E908,0)</f>
        <v>10308</v>
      </c>
      <c r="M908" s="671">
        <f>M847</f>
        <v>0.43</v>
      </c>
      <c r="N908" s="669"/>
      <c r="O908" s="417">
        <f t="shared" si="354"/>
        <v>10429</v>
      </c>
      <c r="P908" s="417"/>
      <c r="Q908" s="589"/>
      <c r="R908" s="497"/>
      <c r="S908" s="440"/>
      <c r="T908" s="439">
        <f t="shared" ref="T908:T909" si="358">M908/G908-1</f>
        <v>1.1764705882352899E-2</v>
      </c>
      <c r="AD908" s="400">
        <f>K908-[25]Blocking1!O908</f>
        <v>0</v>
      </c>
    </row>
    <row r="909" spans="1:30">
      <c r="A909" s="432" t="s">
        <v>678</v>
      </c>
      <c r="C909" s="433">
        <f>'[25]31'!O14</f>
        <v>0</v>
      </c>
      <c r="E909" s="406">
        <f>E907-E908</f>
        <v>0</v>
      </c>
      <c r="G909" s="671">
        <f>[25]Blocking1!M909</f>
        <v>0.29499999999999998</v>
      </c>
      <c r="H909" s="670"/>
      <c r="I909" s="417">
        <f t="shared" si="356"/>
        <v>0</v>
      </c>
      <c r="K909" s="417">
        <f t="shared" si="357"/>
        <v>0</v>
      </c>
      <c r="M909" s="671">
        <f>M848</f>
        <v>0.3</v>
      </c>
      <c r="N909" s="669"/>
      <c r="O909" s="417">
        <f t="shared" si="354"/>
        <v>0</v>
      </c>
      <c r="P909" s="417"/>
      <c r="Q909" s="589"/>
      <c r="R909" s="497"/>
      <c r="S909" s="440"/>
      <c r="T909" s="439">
        <f t="shared" si="358"/>
        <v>1.6949152542372836E-2</v>
      </c>
      <c r="AD909" s="400">
        <f>K909-[25]Blocking1!O909</f>
        <v>0</v>
      </c>
    </row>
    <row r="910" spans="1:30">
      <c r="A910" s="432" t="s">
        <v>519</v>
      </c>
      <c r="C910" s="433">
        <f>'[25]31'!O2</f>
        <v>30.967607533779201</v>
      </c>
      <c r="E910" s="406">
        <f>ROUND(C910*$E$945/$C$945,0)</f>
        <v>30</v>
      </c>
      <c r="G910" s="668"/>
      <c r="H910" s="435"/>
      <c r="I910" s="417"/>
      <c r="K910" s="417"/>
      <c r="M910" s="668"/>
      <c r="N910" s="669"/>
      <c r="O910" s="417"/>
      <c r="P910" s="417"/>
      <c r="Q910" s="590"/>
      <c r="R910" s="497"/>
      <c r="AD910" s="400">
        <f>K910-[25]Blocking1!O910</f>
        <v>0</v>
      </c>
    </row>
    <row r="911" spans="1:30">
      <c r="A911" s="432" t="s">
        <v>677</v>
      </c>
      <c r="C911" s="433">
        <f>'[25]31'!P13</f>
        <v>0</v>
      </c>
      <c r="E911" s="406">
        <f>ROUND(C911*$E$945/$C$945,0)</f>
        <v>0</v>
      </c>
      <c r="G911" s="434">
        <f>[25]Blocking1!M911</f>
        <v>37.979999999999997</v>
      </c>
      <c r="H911" s="435"/>
      <c r="I911" s="417">
        <f t="shared" ref="I911:I912" si="359">ROUND(G911*$C911,0)</f>
        <v>0</v>
      </c>
      <c r="K911" s="417">
        <f t="shared" ref="K911:K912" si="360">ROUND(G911*$E911,0)</f>
        <v>0</v>
      </c>
      <c r="M911" s="434">
        <f>M850</f>
        <v>38.54</v>
      </c>
      <c r="N911" s="669"/>
      <c r="O911" s="417">
        <f t="shared" si="354"/>
        <v>0</v>
      </c>
      <c r="P911" s="417"/>
      <c r="Q911" s="590"/>
      <c r="R911" s="497"/>
      <c r="T911" s="439">
        <f t="shared" ref="T911:T912" si="361">M911/G911-1</f>
        <v>1.4744602422327668E-2</v>
      </c>
      <c r="AD911" s="400">
        <f>K911-[25]Blocking1!O911</f>
        <v>0</v>
      </c>
    </row>
    <row r="912" spans="1:30">
      <c r="A912" s="432" t="s">
        <v>678</v>
      </c>
      <c r="C912" s="433">
        <f>'[25]31'!P14</f>
        <v>30.967607533779201</v>
      </c>
      <c r="E912" s="406">
        <f>E910-E911</f>
        <v>30</v>
      </c>
      <c r="G912" s="434">
        <f>[25]Blocking1!M912</f>
        <v>29.34</v>
      </c>
      <c r="H912" s="435"/>
      <c r="I912" s="417">
        <f t="shared" si="359"/>
        <v>909</v>
      </c>
      <c r="K912" s="417">
        <f t="shared" si="360"/>
        <v>880</v>
      </c>
      <c r="M912" s="434">
        <f>M851</f>
        <v>29.77</v>
      </c>
      <c r="N912" s="669"/>
      <c r="O912" s="417">
        <f t="shared" si="354"/>
        <v>893</v>
      </c>
      <c r="P912" s="417"/>
      <c r="Q912" s="590"/>
      <c r="R912" s="497"/>
      <c r="T912" s="439">
        <f t="shared" si="361"/>
        <v>1.4655760054532951E-2</v>
      </c>
      <c r="AD912" s="400">
        <f>K912-[25]Blocking1!O912</f>
        <v>0</v>
      </c>
    </row>
    <row r="913" spans="1:30">
      <c r="A913" s="656" t="s">
        <v>521</v>
      </c>
      <c r="C913" s="433"/>
      <c r="E913" s="406"/>
      <c r="M913" s="404"/>
      <c r="P913" s="417"/>
      <c r="Q913" s="521"/>
      <c r="R913" s="568"/>
      <c r="T913" s="667"/>
      <c r="AD913" s="400">
        <f>K913-[25]Blocking1!O913</f>
        <v>0</v>
      </c>
    </row>
    <row r="914" spans="1:30">
      <c r="A914" s="432" t="s">
        <v>514</v>
      </c>
      <c r="C914" s="433">
        <v>0</v>
      </c>
      <c r="E914" s="550">
        <f>ROUND(C914/($C$888+$C$901+$C$914)*[25]Bill!$P$28,0)</f>
        <v>0</v>
      </c>
      <c r="G914" s="434">
        <f>[25]Blocking1!M914</f>
        <v>668</v>
      </c>
      <c r="H914" s="435"/>
      <c r="I914" s="417">
        <f>ROUND(G914*$C914,0)</f>
        <v>0</v>
      </c>
      <c r="K914" s="417">
        <f>ROUND(G914*$E914,0)</f>
        <v>0</v>
      </c>
      <c r="M914" s="434">
        <f>M853</f>
        <v>678</v>
      </c>
      <c r="N914" s="435"/>
      <c r="O914" s="417">
        <f>ROUND(M914*$E914,0)</f>
        <v>0</v>
      </c>
      <c r="P914" s="497"/>
      <c r="Q914" s="521"/>
      <c r="R914" s="568"/>
      <c r="T914" s="439">
        <f t="shared" ref="T914:T915" si="362">M914/G914-1</f>
        <v>1.4970059880239583E-2</v>
      </c>
      <c r="AD914" s="400">
        <f>K914-[25]Blocking1!O914</f>
        <v>0</v>
      </c>
    </row>
    <row r="915" spans="1:30">
      <c r="A915" s="432" t="s">
        <v>515</v>
      </c>
      <c r="C915" s="433">
        <v>0</v>
      </c>
      <c r="E915" s="406">
        <f>ROUND(C915*$E$945/$C$945,0)</f>
        <v>0</v>
      </c>
      <c r="G915" s="434">
        <f>[25]Blocking1!M915</f>
        <v>2.59</v>
      </c>
      <c r="H915" s="515"/>
      <c r="I915" s="417">
        <f>ROUND(G915*$C915,0)</f>
        <v>0</v>
      </c>
      <c r="K915" s="417">
        <f>ROUND(G915*$E915,0)</f>
        <v>0</v>
      </c>
      <c r="M915" s="434">
        <f>M854</f>
        <v>2.63</v>
      </c>
      <c r="N915" s="515"/>
      <c r="O915" s="417">
        <f>ROUND(M915*$E915,0)</f>
        <v>0</v>
      </c>
      <c r="P915" s="497"/>
      <c r="Q915" s="521"/>
      <c r="R915" s="568"/>
      <c r="T915" s="439">
        <f t="shared" si="362"/>
        <v>1.5444015444015413E-2</v>
      </c>
      <c r="AD915" s="400">
        <f>K915-[25]Blocking1!O915</f>
        <v>0</v>
      </c>
    </row>
    <row r="916" spans="1:30">
      <c r="A916" s="432" t="s">
        <v>516</v>
      </c>
      <c r="C916" s="406"/>
      <c r="E916" s="406"/>
      <c r="G916" s="496"/>
      <c r="H916" s="551"/>
      <c r="I916" s="417"/>
      <c r="K916" s="417"/>
      <c r="M916" s="496"/>
      <c r="N916" s="551"/>
      <c r="O916" s="417"/>
      <c r="P916" s="497"/>
      <c r="Q916" s="521"/>
      <c r="R916" s="609"/>
      <c r="T916" s="667"/>
      <c r="AD916" s="400">
        <f>K916-[25]Blocking1!O916</f>
        <v>0</v>
      </c>
    </row>
    <row r="917" spans="1:30">
      <c r="A917" s="432" t="s">
        <v>517</v>
      </c>
      <c r="C917" s="433">
        <v>0</v>
      </c>
      <c r="E917" s="406">
        <f>ROUND(C917*$E$945/$C$945,0)</f>
        <v>0</v>
      </c>
      <c r="G917" s="668"/>
      <c r="H917" s="669"/>
      <c r="I917" s="417"/>
      <c r="K917" s="417"/>
      <c r="M917" s="668"/>
      <c r="N917" s="669"/>
      <c r="O917" s="417"/>
      <c r="P917" s="497"/>
      <c r="Q917" s="516"/>
      <c r="R917" s="560"/>
      <c r="T917" s="439"/>
      <c r="AD917" s="400">
        <f>K917-[25]Blocking1!O917</f>
        <v>0</v>
      </c>
    </row>
    <row r="918" spans="1:30">
      <c r="A918" s="432" t="s">
        <v>677</v>
      </c>
      <c r="C918" s="433"/>
      <c r="E918" s="406"/>
      <c r="G918" s="434">
        <f>[25]Blocking1!M918</f>
        <v>0.75</v>
      </c>
      <c r="H918" s="669"/>
      <c r="I918" s="417">
        <f t="shared" ref="I918:I919" si="363">ROUND(G918*$C918,0)</f>
        <v>0</v>
      </c>
      <c r="K918" s="417">
        <f t="shared" ref="K918:K919" si="364">ROUND(G918*$E918,0)</f>
        <v>0</v>
      </c>
      <c r="M918" s="434">
        <f>M857</f>
        <v>0.76</v>
      </c>
      <c r="N918" s="669"/>
      <c r="O918" s="417">
        <f t="shared" ref="O918:O925" si="365">ROUND(M918*$E918,0)</f>
        <v>0</v>
      </c>
      <c r="P918" s="497"/>
      <c r="Q918" s="516"/>
      <c r="R918" s="560"/>
      <c r="T918" s="439">
        <f t="shared" ref="T918:T919" si="366">M918/G918-1</f>
        <v>1.3333333333333419E-2</v>
      </c>
      <c r="AD918" s="400">
        <f>K918-[25]Blocking1!O918</f>
        <v>0</v>
      </c>
    </row>
    <row r="919" spans="1:30">
      <c r="A919" s="432" t="s">
        <v>678</v>
      </c>
      <c r="C919" s="433"/>
      <c r="E919" s="406"/>
      <c r="G919" s="434">
        <f>[25]Blocking1!M919</f>
        <v>0.5</v>
      </c>
      <c r="H919" s="669"/>
      <c r="I919" s="417">
        <f t="shared" si="363"/>
        <v>0</v>
      </c>
      <c r="K919" s="417">
        <f t="shared" si="364"/>
        <v>0</v>
      </c>
      <c r="M919" s="434">
        <f>M858</f>
        <v>0.51</v>
      </c>
      <c r="N919" s="669"/>
      <c r="O919" s="417">
        <f t="shared" si="365"/>
        <v>0</v>
      </c>
      <c r="P919" s="497"/>
      <c r="Q919" s="516"/>
      <c r="R919" s="560"/>
      <c r="T919" s="439">
        <f t="shared" si="366"/>
        <v>2.0000000000000018E-2</v>
      </c>
      <c r="AD919" s="400">
        <f>K919-[25]Blocking1!O919</f>
        <v>0</v>
      </c>
    </row>
    <row r="920" spans="1:30">
      <c r="A920" s="432" t="s">
        <v>518</v>
      </c>
      <c r="C920" s="433">
        <v>0</v>
      </c>
      <c r="E920" s="406">
        <f>ROUND(C920*$E$945/$C$945,0)</f>
        <v>0</v>
      </c>
      <c r="G920" s="668"/>
      <c r="H920" s="670"/>
      <c r="I920" s="417"/>
      <c r="K920" s="417"/>
      <c r="M920" s="668"/>
      <c r="N920" s="669"/>
      <c r="O920" s="417"/>
      <c r="P920" s="417"/>
      <c r="R920" s="560"/>
      <c r="AD920" s="400">
        <f>K920-[25]Blocking1!O920</f>
        <v>0</v>
      </c>
    </row>
    <row r="921" spans="1:30">
      <c r="A921" s="432" t="s">
        <v>677</v>
      </c>
      <c r="C921" s="433"/>
      <c r="E921" s="406"/>
      <c r="G921" s="671">
        <f>[25]Blocking1!M921</f>
        <v>0.375</v>
      </c>
      <c r="H921" s="670"/>
      <c r="I921" s="417">
        <f t="shared" ref="I921:I922" si="367">ROUND(G921*$C921,0)</f>
        <v>0</v>
      </c>
      <c r="K921" s="417">
        <f t="shared" ref="K921:K922" si="368">ROUND(G921*$E921,0)</f>
        <v>0</v>
      </c>
      <c r="M921" s="671">
        <f>M860</f>
        <v>0.38</v>
      </c>
      <c r="N921" s="669"/>
      <c r="O921" s="417">
        <f t="shared" si="365"/>
        <v>0</v>
      </c>
      <c r="P921" s="417"/>
      <c r="R921" s="560"/>
      <c r="T921" s="439">
        <f t="shared" ref="T921:T922" si="369">M921/G921-1</f>
        <v>1.3333333333333419E-2</v>
      </c>
      <c r="AD921" s="400">
        <f>K921-[25]Blocking1!O921</f>
        <v>0</v>
      </c>
    </row>
    <row r="922" spans="1:30">
      <c r="A922" s="432" t="s">
        <v>678</v>
      </c>
      <c r="C922" s="433"/>
      <c r="E922" s="406"/>
      <c r="G922" s="671">
        <f>[25]Blocking1!M922</f>
        <v>0.25</v>
      </c>
      <c r="H922" s="670"/>
      <c r="I922" s="417">
        <f t="shared" si="367"/>
        <v>0</v>
      </c>
      <c r="K922" s="417">
        <f t="shared" si="368"/>
        <v>0</v>
      </c>
      <c r="M922" s="671">
        <f>M861</f>
        <v>0.255</v>
      </c>
      <c r="N922" s="669"/>
      <c r="O922" s="417">
        <f t="shared" si="365"/>
        <v>0</v>
      </c>
      <c r="P922" s="417"/>
      <c r="R922" s="560"/>
      <c r="T922" s="439">
        <f t="shared" si="369"/>
        <v>2.0000000000000018E-2</v>
      </c>
      <c r="AD922" s="400">
        <f>K922-[25]Blocking1!O922</f>
        <v>0</v>
      </c>
    </row>
    <row r="923" spans="1:30">
      <c r="A923" s="432" t="s">
        <v>519</v>
      </c>
      <c r="C923" s="433">
        <v>0</v>
      </c>
      <c r="E923" s="406">
        <f>ROUND(C923*$E$945/$C$945,0)</f>
        <v>0</v>
      </c>
      <c r="G923" s="668"/>
      <c r="H923" s="435"/>
      <c r="I923" s="417"/>
      <c r="K923" s="417"/>
      <c r="M923" s="668"/>
      <c r="N923" s="669"/>
      <c r="O923" s="417"/>
      <c r="P923" s="417"/>
      <c r="AD923" s="400">
        <f>K923-[25]Blocking1!O923</f>
        <v>0</v>
      </c>
    </row>
    <row r="924" spans="1:30">
      <c r="A924" s="432" t="s">
        <v>677</v>
      </c>
      <c r="C924" s="433"/>
      <c r="E924" s="406"/>
      <c r="G924" s="434">
        <f>[25]Blocking1!M924</f>
        <v>31.88</v>
      </c>
      <c r="H924" s="435"/>
      <c r="I924" s="417">
        <f t="shared" ref="I924:I925" si="370">ROUND(G924*$C924,0)</f>
        <v>0</v>
      </c>
      <c r="K924" s="417">
        <f t="shared" ref="K924:K925" si="371">ROUND(G924*$E924,0)</f>
        <v>0</v>
      </c>
      <c r="M924" s="434">
        <f>M863</f>
        <v>32.35</v>
      </c>
      <c r="N924" s="669"/>
      <c r="O924" s="417">
        <f t="shared" si="365"/>
        <v>0</v>
      </c>
      <c r="P924" s="417"/>
      <c r="T924" s="439">
        <f t="shared" ref="T924:T925" si="372">M924/G924-1</f>
        <v>1.4742785445420292E-2</v>
      </c>
      <c r="AD924" s="400">
        <f>K924-[25]Blocking1!O924</f>
        <v>0</v>
      </c>
    </row>
    <row r="925" spans="1:30">
      <c r="A925" s="432" t="s">
        <v>678</v>
      </c>
      <c r="C925" s="433"/>
      <c r="E925" s="406"/>
      <c r="G925" s="434">
        <f>[25]Blocking1!M925</f>
        <v>23.02</v>
      </c>
      <c r="H925" s="435"/>
      <c r="I925" s="417">
        <f t="shared" si="370"/>
        <v>0</v>
      </c>
      <c r="K925" s="417">
        <f t="shared" si="371"/>
        <v>0</v>
      </c>
      <c r="M925" s="434">
        <f>M864</f>
        <v>23.36</v>
      </c>
      <c r="N925" s="669"/>
      <c r="O925" s="417">
        <f t="shared" si="365"/>
        <v>0</v>
      </c>
      <c r="P925" s="417"/>
      <c r="T925" s="439">
        <f t="shared" si="372"/>
        <v>1.476976542137276E-2</v>
      </c>
      <c r="AD925" s="400">
        <f>K925-[25]Blocking1!O925</f>
        <v>0</v>
      </c>
    </row>
    <row r="926" spans="1:30">
      <c r="A926" s="432" t="s">
        <v>511</v>
      </c>
      <c r="C926" s="681"/>
      <c r="E926" s="681"/>
      <c r="G926" s="547"/>
      <c r="H926" s="572"/>
      <c r="I926" s="506">
        <f>SUM(I888:I925)</f>
        <v>338812</v>
      </c>
      <c r="K926" s="506">
        <f>SUM(K888:K925)</f>
        <v>332173</v>
      </c>
      <c r="M926" s="547"/>
      <c r="N926" s="572"/>
      <c r="O926" s="506">
        <f>SUM(O888:O925)</f>
        <v>336808</v>
      </c>
      <c r="P926" s="417"/>
      <c r="Q926" s="416" t="s">
        <v>601</v>
      </c>
      <c r="R926" s="518">
        <f>O926/K926-1</f>
        <v>1.3953572385473789E-2</v>
      </c>
      <c r="AD926" s="400">
        <f>K926-[25]Blocking1!O926</f>
        <v>0</v>
      </c>
    </row>
    <row r="927" spans="1:30">
      <c r="A927" s="656" t="s">
        <v>522</v>
      </c>
      <c r="M927" s="404"/>
      <c r="P927" s="417"/>
      <c r="Q927" s="467"/>
      <c r="AD927" s="400">
        <f>K927-[25]Blocking1!O927</f>
        <v>0</v>
      </c>
    </row>
    <row r="928" spans="1:30">
      <c r="A928" s="428" t="s">
        <v>523</v>
      </c>
      <c r="C928" s="433"/>
      <c r="E928" s="406"/>
      <c r="G928" s="496"/>
      <c r="H928" s="551"/>
      <c r="I928" s="417"/>
      <c r="K928" s="417"/>
      <c r="M928" s="496"/>
      <c r="N928" s="551"/>
      <c r="O928" s="417"/>
      <c r="P928" s="417"/>
      <c r="Q928" s="467"/>
      <c r="AD928" s="400">
        <f>K928-[25]Blocking1!O928</f>
        <v>0</v>
      </c>
    </row>
    <row r="929" spans="1:30">
      <c r="A929" s="432" t="s">
        <v>398</v>
      </c>
      <c r="C929" s="433">
        <f>'[25]31'!K2</f>
        <v>16400</v>
      </c>
      <c r="E929" s="406">
        <f>ROUND(C929*$E$945/$C$945,0)</f>
        <v>16065</v>
      </c>
      <c r="G929" s="496">
        <f>[25]Blocking1!M929</f>
        <v>4.71</v>
      </c>
      <c r="H929" s="551"/>
      <c r="I929" s="417">
        <f>ROUND(G929*$C929,0)</f>
        <v>77244</v>
      </c>
      <c r="K929" s="417">
        <f>ROUND(G929*$E929,0)</f>
        <v>75666</v>
      </c>
      <c r="M929" s="496">
        <f t="shared" ref="M929:M935" si="373">M868</f>
        <v>4.76</v>
      </c>
      <c r="N929" s="551"/>
      <c r="O929" s="417">
        <f>ROUND(M929*$E929,0)</f>
        <v>76469</v>
      </c>
      <c r="P929" s="417"/>
      <c r="Q929" s="467"/>
      <c r="T929" s="439">
        <f t="shared" ref="T929:T935" si="374">M929/G929-1</f>
        <v>1.0615711252653925E-2</v>
      </c>
      <c r="AD929" s="400">
        <f>K929-[25]Blocking1!O929</f>
        <v>0</v>
      </c>
    </row>
    <row r="930" spans="1:30">
      <c r="A930" s="432" t="s">
        <v>399</v>
      </c>
      <c r="C930" s="433">
        <f>'[25]31'!Q2</f>
        <v>0</v>
      </c>
      <c r="E930" s="406">
        <f>ROUND(C930*$E$945/$C$945,0)</f>
        <v>0</v>
      </c>
      <c r="G930" s="496">
        <f>[25]Blocking1!M930</f>
        <v>15.4</v>
      </c>
      <c r="H930" s="551"/>
      <c r="I930" s="417">
        <f>ROUND(G930*$C930,0)</f>
        <v>0</v>
      </c>
      <c r="K930" s="417">
        <f>ROUND(G930*$E930,0)</f>
        <v>0</v>
      </c>
      <c r="M930" s="496">
        <f t="shared" si="373"/>
        <v>15.56</v>
      </c>
      <c r="N930" s="551"/>
      <c r="O930" s="417">
        <f>ROUND(M930*$E930,0)</f>
        <v>0</v>
      </c>
      <c r="P930" s="417"/>
      <c r="Q930" s="467"/>
      <c r="T930" s="439">
        <f t="shared" si="374"/>
        <v>1.0389610389610393E-2</v>
      </c>
      <c r="AD930" s="400">
        <f>K930-[25]Blocking1!O930</f>
        <v>0</v>
      </c>
    </row>
    <row r="931" spans="1:30">
      <c r="A931" s="432" t="s">
        <v>400</v>
      </c>
      <c r="C931" s="433">
        <f>'[25]31'!R2</f>
        <v>16400</v>
      </c>
      <c r="E931" s="406">
        <f>ROUND(C931*$E$945/$C$945,0)</f>
        <v>16065</v>
      </c>
      <c r="G931" s="496">
        <f>[25]Blocking1!M931</f>
        <v>11.08</v>
      </c>
      <c r="H931" s="551"/>
      <c r="I931" s="417">
        <f>ROUND(G931*$C931,0)</f>
        <v>181712</v>
      </c>
      <c r="K931" s="417">
        <f>ROUND(G931*$E931,0)</f>
        <v>178000</v>
      </c>
      <c r="M931" s="496">
        <f t="shared" si="373"/>
        <v>11.19</v>
      </c>
      <c r="N931" s="551"/>
      <c r="O931" s="417">
        <f>ROUND(M931*$E931,0)</f>
        <v>179767</v>
      </c>
      <c r="P931" s="417"/>
      <c r="Q931" s="467"/>
      <c r="T931" s="439">
        <f t="shared" si="374"/>
        <v>9.9277978339349371E-3</v>
      </c>
      <c r="AD931" s="400">
        <f>K931-[25]Blocking1!O931</f>
        <v>0</v>
      </c>
    </row>
    <row r="932" spans="1:30">
      <c r="A932" s="432" t="s">
        <v>346</v>
      </c>
      <c r="C932" s="433">
        <f>'[25]31'!S2</f>
        <v>16400</v>
      </c>
      <c r="E932" s="406">
        <f>ROUND(C932*$E$945/$C$945,0)</f>
        <v>16065</v>
      </c>
      <c r="G932" s="496">
        <f>[25]Blocking1!M932</f>
        <v>-1.1200000000000001</v>
      </c>
      <c r="H932" s="551"/>
      <c r="I932" s="417">
        <f>ROUND(G932*$C932,0)</f>
        <v>-18368</v>
      </c>
      <c r="K932" s="417">
        <f>ROUND(G932*$E932,0)</f>
        <v>-17993</v>
      </c>
      <c r="M932" s="496">
        <f t="shared" si="373"/>
        <v>-1.1299999999999999</v>
      </c>
      <c r="N932" s="551"/>
      <c r="O932" s="417">
        <f>ROUND(M932*$E932,0)</f>
        <v>-18153</v>
      </c>
      <c r="P932" s="417"/>
      <c r="Q932" s="467"/>
      <c r="T932" s="439">
        <f t="shared" si="374"/>
        <v>8.9285714285711748E-3</v>
      </c>
      <c r="AD932" s="400">
        <f>K932-[25]Blocking1!O932</f>
        <v>0</v>
      </c>
    </row>
    <row r="933" spans="1:30">
      <c r="A933" s="432" t="s">
        <v>315</v>
      </c>
      <c r="C933" s="433">
        <f>'[25]31'!U2</f>
        <v>1064405</v>
      </c>
      <c r="E933" s="406">
        <f>ROUND(C933*$E$945/($C$945-$C$944),0)</f>
        <v>1044794</v>
      </c>
      <c r="G933" s="547">
        <f>[25]Blocking1!M933</f>
        <v>4.9961000000000002</v>
      </c>
      <c r="H933" s="462" t="s">
        <v>305</v>
      </c>
      <c r="I933" s="417">
        <f>ROUND(G933*$C933/100,0)</f>
        <v>53179</v>
      </c>
      <c r="K933" s="417">
        <f>ROUND(G933*$E933/100,0)</f>
        <v>52199</v>
      </c>
      <c r="M933" s="547">
        <f t="shared" si="373"/>
        <v>5.0473999999999997</v>
      </c>
      <c r="N933" s="462" t="s">
        <v>305</v>
      </c>
      <c r="O933" s="417">
        <f>ROUND(M933*$E933/100,0)</f>
        <v>52735</v>
      </c>
      <c r="P933" s="417"/>
      <c r="Q933" s="467"/>
      <c r="T933" s="439">
        <f t="shared" si="374"/>
        <v>1.0268009047056603E-2</v>
      </c>
      <c r="AD933" s="400">
        <f>K933-[25]Blocking1!O933</f>
        <v>0</v>
      </c>
    </row>
    <row r="934" spans="1:30">
      <c r="A934" s="432" t="s">
        <v>366</v>
      </c>
      <c r="C934" s="433">
        <f>'[25]31'!V2</f>
        <v>4008522</v>
      </c>
      <c r="E934" s="406">
        <f>ROUND(C934*$E$945/($C$945-$C$944),0)</f>
        <v>3934668</v>
      </c>
      <c r="G934" s="547">
        <f>[25]Blocking1!M934</f>
        <v>3.9108999999999998</v>
      </c>
      <c r="H934" s="462" t="s">
        <v>305</v>
      </c>
      <c r="I934" s="417">
        <f>ROUND(G934*$C934/100,0)</f>
        <v>156769</v>
      </c>
      <c r="K934" s="417">
        <f>ROUND(G934*$E934/100,0)</f>
        <v>153881</v>
      </c>
      <c r="M934" s="547">
        <f t="shared" si="373"/>
        <v>3.9510999999999998</v>
      </c>
      <c r="N934" s="462" t="s">
        <v>305</v>
      </c>
      <c r="O934" s="417">
        <f>ROUND(M934*$E934/100,0)</f>
        <v>155463</v>
      </c>
      <c r="P934" s="417"/>
      <c r="T934" s="439">
        <f t="shared" si="374"/>
        <v>1.0278963921348083E-2</v>
      </c>
      <c r="AD934" s="400">
        <f>K934-[25]Blocking1!O934</f>
        <v>0</v>
      </c>
    </row>
    <row r="935" spans="1:30">
      <c r="A935" s="432" t="s">
        <v>401</v>
      </c>
      <c r="C935" s="433">
        <f>'[25]31'!W2</f>
        <v>5124703</v>
      </c>
      <c r="E935" s="406">
        <f>E945-E933-E934-E940-E941-E942</f>
        <v>5030284.6792951785</v>
      </c>
      <c r="G935" s="547">
        <f>[25]Blocking1!M935</f>
        <v>3.3640999999999996</v>
      </c>
      <c r="H935" s="462" t="s">
        <v>305</v>
      </c>
      <c r="I935" s="417">
        <f>ROUND(G935*$C935/100,0)</f>
        <v>172400</v>
      </c>
      <c r="K935" s="417">
        <f>ROUND(G935*$E935/100,0)</f>
        <v>169224</v>
      </c>
      <c r="M935" s="547">
        <f t="shared" si="373"/>
        <v>3.4001999999999999</v>
      </c>
      <c r="N935" s="462" t="s">
        <v>305</v>
      </c>
      <c r="O935" s="417">
        <f>ROUND(M935*$E935/100,0)</f>
        <v>171040</v>
      </c>
      <c r="P935" s="417"/>
      <c r="Q935" s="467"/>
      <c r="S935" s="502"/>
      <c r="T935" s="439">
        <f t="shared" si="374"/>
        <v>1.0730953301031576E-2</v>
      </c>
      <c r="AD935" s="400">
        <f>K935-[25]Blocking1!O935</f>
        <v>0</v>
      </c>
    </row>
    <row r="936" spans="1:30">
      <c r="A936" s="428" t="s">
        <v>524</v>
      </c>
      <c r="C936" s="433"/>
      <c r="E936" s="581"/>
      <c r="G936" s="496"/>
      <c r="H936" s="551"/>
      <c r="I936" s="417"/>
      <c r="K936" s="417"/>
      <c r="M936" s="496"/>
      <c r="N936" s="551"/>
      <c r="O936" s="417"/>
      <c r="P936" s="497"/>
      <c r="Q936" s="467"/>
      <c r="AD936" s="400">
        <f>K936-[25]Blocking1!O936</f>
        <v>0</v>
      </c>
    </row>
    <row r="937" spans="1:30">
      <c r="A937" s="432" t="s">
        <v>398</v>
      </c>
      <c r="C937" s="433">
        <v>0</v>
      </c>
      <c r="E937" s="406">
        <f>ROUND(C937*$E$945/$C$945,0)</f>
        <v>0</v>
      </c>
      <c r="G937" s="496">
        <f>[25]Blocking1!M937</f>
        <v>2.19</v>
      </c>
      <c r="H937" s="551"/>
      <c r="I937" s="417">
        <f>ROUND(G937*$C937,0)</f>
        <v>0</v>
      </c>
      <c r="K937" s="417">
        <f>ROUND(G937*$E937,0)</f>
        <v>0</v>
      </c>
      <c r="M937" s="496">
        <f t="shared" ref="M937:M942" si="375">M876</f>
        <v>2.2200000000000002</v>
      </c>
      <c r="N937" s="551"/>
      <c r="O937" s="417">
        <f>ROUND(M937*$E937,0)</f>
        <v>0</v>
      </c>
      <c r="P937" s="497"/>
      <c r="Q937" s="467"/>
      <c r="T937" s="439">
        <f t="shared" ref="T937:T942" si="376">M937/G937-1</f>
        <v>1.3698630136986356E-2</v>
      </c>
      <c r="AD937" s="400">
        <f>K937-[25]Blocking1!O937</f>
        <v>0</v>
      </c>
    </row>
    <row r="938" spans="1:30">
      <c r="A938" s="432" t="s">
        <v>399</v>
      </c>
      <c r="C938" s="433">
        <v>0</v>
      </c>
      <c r="E938" s="406">
        <f>ROUND(C938*$E$945/$C$945,0)</f>
        <v>0</v>
      </c>
      <c r="G938" s="496">
        <f>[25]Blocking1!M938</f>
        <v>13.75</v>
      </c>
      <c r="H938" s="551"/>
      <c r="I938" s="417">
        <f>ROUND(G938*$C938,0)</f>
        <v>0</v>
      </c>
      <c r="K938" s="417">
        <f>ROUND(G938*$E938,0)</f>
        <v>0</v>
      </c>
      <c r="M938" s="496">
        <f t="shared" si="375"/>
        <v>13.96</v>
      </c>
      <c r="N938" s="551"/>
      <c r="O938" s="417">
        <f>ROUND(M938*$E938,0)</f>
        <v>0</v>
      </c>
      <c r="P938" s="497"/>
      <c r="Q938" s="467"/>
      <c r="T938" s="439">
        <f t="shared" si="376"/>
        <v>1.5272727272727327E-2</v>
      </c>
      <c r="AD938" s="400">
        <f>K938-[25]Blocking1!O938</f>
        <v>0</v>
      </c>
    </row>
    <row r="939" spans="1:30">
      <c r="A939" s="432" t="s">
        <v>400</v>
      </c>
      <c r="C939" s="433">
        <v>0</v>
      </c>
      <c r="E939" s="406">
        <f>ROUND(C939*$E$945/$C$945,0)</f>
        <v>0</v>
      </c>
      <c r="G939" s="496">
        <f>[25]Blocking1!M939</f>
        <v>9.32</v>
      </c>
      <c r="H939" s="551"/>
      <c r="I939" s="417">
        <f>ROUND(G939*$C939,0)</f>
        <v>0</v>
      </c>
      <c r="K939" s="417">
        <f>ROUND(G939*$E939,0)</f>
        <v>0</v>
      </c>
      <c r="M939" s="496">
        <f t="shared" si="375"/>
        <v>9.4700000000000006</v>
      </c>
      <c r="N939" s="551"/>
      <c r="O939" s="417">
        <f>ROUND(M939*$E939,0)</f>
        <v>0</v>
      </c>
      <c r="P939" s="497"/>
      <c r="Q939" s="467"/>
      <c r="T939" s="439">
        <f t="shared" si="376"/>
        <v>1.6094420600858417E-2</v>
      </c>
      <c r="AD939" s="400">
        <f>K939-[25]Blocking1!O939</f>
        <v>0</v>
      </c>
    </row>
    <row r="940" spans="1:30">
      <c r="A940" s="432" t="s">
        <v>403</v>
      </c>
      <c r="C940" s="433">
        <v>0</v>
      </c>
      <c r="E940" s="406">
        <f>ROUND(C940*$E$945/($C$945-$C$944),0)</f>
        <v>0</v>
      </c>
      <c r="G940" s="576">
        <f>[25]Blocking1!M940</f>
        <v>4.5818000000000003</v>
      </c>
      <c r="H940" s="462" t="s">
        <v>305</v>
      </c>
      <c r="I940" s="417">
        <f>ROUND(G940*$C940/100,0)</f>
        <v>0</v>
      </c>
      <c r="K940" s="417">
        <f>ROUND(G940*$E940/100,0)</f>
        <v>0</v>
      </c>
      <c r="M940" s="576">
        <f t="shared" si="375"/>
        <v>4.6531000000000002</v>
      </c>
      <c r="N940" s="462" t="s">
        <v>305</v>
      </c>
      <c r="O940" s="417">
        <f>ROUND(M940*$E940/100,0)</f>
        <v>0</v>
      </c>
      <c r="Q940" s="467"/>
      <c r="S940" s="667"/>
      <c r="T940" s="439">
        <f t="shared" si="376"/>
        <v>1.556156968876854E-2</v>
      </c>
      <c r="AD940" s="400">
        <f>K940-[25]Blocking1!O940</f>
        <v>0</v>
      </c>
    </row>
    <row r="941" spans="1:30">
      <c r="A941" s="432" t="s">
        <v>404</v>
      </c>
      <c r="C941" s="433">
        <v>0</v>
      </c>
      <c r="E941" s="406">
        <f>ROUND(C941*$E$945/($C$945-$C$944),0)</f>
        <v>0</v>
      </c>
      <c r="G941" s="576">
        <f>[25]Blocking1!M941</f>
        <v>3.4453</v>
      </c>
      <c r="H941" s="462" t="s">
        <v>305</v>
      </c>
      <c r="I941" s="417">
        <f>ROUND(G941*$C941/100,0)</f>
        <v>0</v>
      </c>
      <c r="K941" s="417">
        <f>ROUND(G941*$E941/100,0)</f>
        <v>0</v>
      </c>
      <c r="M941" s="576">
        <f t="shared" si="375"/>
        <v>3.4988999999999999</v>
      </c>
      <c r="N941" s="462" t="s">
        <v>305</v>
      </c>
      <c r="O941" s="417">
        <f>ROUND(M941*$E941/100,0)</f>
        <v>0</v>
      </c>
      <c r="S941" s="667"/>
      <c r="T941" s="439">
        <f t="shared" si="376"/>
        <v>1.5557426058688595E-2</v>
      </c>
      <c r="AD941" s="400">
        <f>K941-[25]Blocking1!O941</f>
        <v>0</v>
      </c>
    </row>
    <row r="942" spans="1:30">
      <c r="A942" s="432" t="s">
        <v>401</v>
      </c>
      <c r="C942" s="682">
        <v>0</v>
      </c>
      <c r="E942" s="683">
        <f>ROUND(C942*$E$945/($C$945-$C$944),0)</f>
        <v>0</v>
      </c>
      <c r="G942" s="676">
        <f>[25]Blocking1!M942</f>
        <v>2.8776999999999999</v>
      </c>
      <c r="H942" s="462" t="s">
        <v>305</v>
      </c>
      <c r="I942" s="619">
        <f>ROUND(G942*$C942/100,0)</f>
        <v>0</v>
      </c>
      <c r="K942" s="619">
        <f>ROUND(G942*$E942/100,0)</f>
        <v>0</v>
      </c>
      <c r="M942" s="676">
        <f t="shared" si="375"/>
        <v>2.9224999999999999</v>
      </c>
      <c r="N942" s="462" t="s">
        <v>305</v>
      </c>
      <c r="O942" s="619">
        <f>ROUND(M942*$E942/100,0)</f>
        <v>0</v>
      </c>
      <c r="T942" s="439">
        <f t="shared" si="376"/>
        <v>1.5567988324008741E-2</v>
      </c>
      <c r="AD942" s="400">
        <f>K942-[25]Blocking1!O942</f>
        <v>0</v>
      </c>
    </row>
    <row r="943" spans="1:30">
      <c r="A943" s="432" t="s">
        <v>511</v>
      </c>
      <c r="C943" s="459"/>
      <c r="E943" s="621"/>
      <c r="G943" s="678"/>
      <c r="H943" s="462"/>
      <c r="I943" s="497">
        <f>SUM(I929:I942)</f>
        <v>622936</v>
      </c>
      <c r="K943" s="497">
        <f>SUM(K929:K942)</f>
        <v>610977</v>
      </c>
      <c r="M943" s="679"/>
      <c r="N943" s="462"/>
      <c r="O943" s="497">
        <f>SUM(O929:O942)</f>
        <v>617321</v>
      </c>
      <c r="Q943" s="416" t="s">
        <v>601</v>
      </c>
      <c r="R943" s="518">
        <f>O943/K943-1</f>
        <v>1.0383369586743907E-2</v>
      </c>
      <c r="T943" s="439"/>
      <c r="AD943" s="400">
        <f>K943-[25]Blocking1!O943</f>
        <v>0</v>
      </c>
    </row>
    <row r="944" spans="1:30">
      <c r="A944" s="404" t="s">
        <v>190</v>
      </c>
      <c r="C944" s="681">
        <f>'[25]Table 2'!J49</f>
        <v>20796</v>
      </c>
      <c r="E944" s="681">
        <v>0</v>
      </c>
      <c r="G944" s="547"/>
      <c r="H944" s="572"/>
      <c r="I944" s="506">
        <f>'[25]Table 3'!F49</f>
        <v>5088</v>
      </c>
      <c r="K944" s="506">
        <v>0</v>
      </c>
      <c r="M944" s="547"/>
      <c r="N944" s="572"/>
      <c r="O944" s="506">
        <v>0</v>
      </c>
      <c r="P944" s="417"/>
      <c r="S944" s="667"/>
      <c r="AD944" s="400">
        <f>K944-[25]Blocking1!O944</f>
        <v>0</v>
      </c>
    </row>
    <row r="945" spans="1:30" ht="16.5" thickBot="1">
      <c r="A945" s="432" t="s">
        <v>525</v>
      </c>
      <c r="C945" s="549">
        <f>C944+C933+C934+C935+C940+C941+C942</f>
        <v>10218426</v>
      </c>
      <c r="E945" s="559">
        <f>[25]Energy!P28</f>
        <v>10009746.679295179</v>
      </c>
      <c r="G945" s="532"/>
      <c r="I945" s="533">
        <f>I926+I943+I944</f>
        <v>966836</v>
      </c>
      <c r="K945" s="533">
        <f>K926+K943+K944</f>
        <v>943150</v>
      </c>
      <c r="M945" s="534"/>
      <c r="O945" s="533">
        <f>O926+O943+O944</f>
        <v>954129</v>
      </c>
      <c r="P945" s="417"/>
      <c r="Q945" s="416" t="s">
        <v>601</v>
      </c>
      <c r="R945" s="518">
        <f>O945/K945-1</f>
        <v>1.1640778243121375E-2</v>
      </c>
      <c r="AD945" s="400">
        <f>K945-[25]Blocking1!O945</f>
        <v>0</v>
      </c>
    </row>
    <row r="946" spans="1:30" ht="16.5" thickTop="1">
      <c r="P946" s="417"/>
      <c r="T946" s="667"/>
      <c r="AD946" s="400">
        <f>K946-[25]Blocking1!O946</f>
        <v>0</v>
      </c>
    </row>
    <row r="947" spans="1:30">
      <c r="A947" s="428" t="s">
        <v>682</v>
      </c>
      <c r="C947" s="406"/>
      <c r="E947" s="406"/>
      <c r="G947" s="547"/>
      <c r="H947" s="572"/>
      <c r="M947" s="558"/>
      <c r="N947" s="572"/>
      <c r="P947" s="417"/>
      <c r="Q947" s="502"/>
      <c r="R947" s="502"/>
      <c r="S947" s="667"/>
      <c r="AD947" s="400">
        <f>K947-[25]Blocking1!O947</f>
        <v>0</v>
      </c>
    </row>
    <row r="948" spans="1:30">
      <c r="A948" s="656" t="s">
        <v>513</v>
      </c>
      <c r="C948" s="406"/>
      <c r="E948" s="406"/>
      <c r="P948" s="417"/>
      <c r="Q948" s="516"/>
      <c r="R948" s="560"/>
      <c r="T948" s="667"/>
      <c r="AD948" s="400">
        <f>K948-[25]Blocking1!O948</f>
        <v>0</v>
      </c>
    </row>
    <row r="949" spans="1:30">
      <c r="A949" s="432" t="s">
        <v>514</v>
      </c>
      <c r="C949" s="433">
        <v>0</v>
      </c>
      <c r="E949" s="550">
        <f>ROUND(C949/($C$949+$C$962+$C$975)*[25]Bill!$P$44,0)</f>
        <v>0</v>
      </c>
      <c r="G949" s="434">
        <f>[25]Blocking1!M949</f>
        <v>131</v>
      </c>
      <c r="H949" s="435"/>
      <c r="I949" s="417">
        <f>ROUND(G949*$C949,0)</f>
        <v>0</v>
      </c>
      <c r="K949" s="417">
        <f>ROUND(G949*$E949,0)</f>
        <v>0</v>
      </c>
      <c r="M949" s="434">
        <f>M827</f>
        <v>133</v>
      </c>
      <c r="N949" s="435"/>
      <c r="O949" s="417">
        <f>ROUND(M949*$E949,0)</f>
        <v>0</v>
      </c>
      <c r="S949" s="667"/>
      <c r="T949" s="439">
        <f>M949/G949-1</f>
        <v>1.5267175572519109E-2</v>
      </c>
      <c r="AD949" s="400">
        <f>K949-[25]Blocking1!O949</f>
        <v>0</v>
      </c>
    </row>
    <row r="950" spans="1:30">
      <c r="A950" s="432" t="s">
        <v>515</v>
      </c>
      <c r="C950" s="433">
        <v>0</v>
      </c>
      <c r="E950" s="406">
        <f>ROUND(C950*$E$1006/$C$1006,0)</f>
        <v>0</v>
      </c>
      <c r="G950" s="434">
        <f>[25]Blocking1!M950</f>
        <v>5.52</v>
      </c>
      <c r="H950" s="435"/>
      <c r="I950" s="417">
        <f>ROUND(G950*$C950,0)</f>
        <v>0</v>
      </c>
      <c r="K950" s="417">
        <f>ROUND(G950*$E950,0)</f>
        <v>0</v>
      </c>
      <c r="M950" s="434">
        <f>M828</f>
        <v>5.6</v>
      </c>
      <c r="N950" s="435"/>
      <c r="O950" s="417">
        <f>ROUND(M950*$E950,0)</f>
        <v>0</v>
      </c>
      <c r="P950" s="417"/>
      <c r="Q950" s="672"/>
      <c r="R950" s="560"/>
      <c r="S950" s="667"/>
      <c r="T950" s="439">
        <f>M950/G950-1</f>
        <v>1.449275362318847E-2</v>
      </c>
      <c r="AD950" s="400">
        <f>K950-[25]Blocking1!O950</f>
        <v>0</v>
      </c>
    </row>
    <row r="951" spans="1:30">
      <c r="A951" s="432" t="s">
        <v>516</v>
      </c>
      <c r="C951" s="406"/>
      <c r="E951" s="406"/>
      <c r="G951" s="496"/>
      <c r="H951" s="551"/>
      <c r="I951" s="417"/>
      <c r="K951" s="417"/>
      <c r="M951" s="496"/>
      <c r="N951" s="551"/>
      <c r="O951" s="417"/>
      <c r="P951" s="417"/>
      <c r="Q951" s="516"/>
      <c r="S951" s="667"/>
      <c r="T951" s="667"/>
      <c r="AD951" s="400">
        <f>K951-[25]Blocking1!O951</f>
        <v>0</v>
      </c>
    </row>
    <row r="952" spans="1:30">
      <c r="A952" s="432" t="s">
        <v>517</v>
      </c>
      <c r="C952" s="433">
        <v>0</v>
      </c>
      <c r="E952" s="406">
        <f>ROUND(C952*$E$1006/$C$1006,0)</f>
        <v>0</v>
      </c>
      <c r="G952" s="668"/>
      <c r="H952" s="669"/>
      <c r="I952" s="417"/>
      <c r="K952" s="417"/>
      <c r="M952" s="668"/>
      <c r="N952" s="669"/>
      <c r="O952" s="417"/>
      <c r="P952" s="417"/>
      <c r="Q952" s="516"/>
      <c r="R952" s="560"/>
      <c r="T952" s="439"/>
      <c r="AD952" s="400">
        <f>K952-[25]Blocking1!O952</f>
        <v>0</v>
      </c>
    </row>
    <row r="953" spans="1:30">
      <c r="A953" s="432" t="s">
        <v>677</v>
      </c>
      <c r="C953" s="433"/>
      <c r="E953" s="406"/>
      <c r="G953" s="434">
        <f>[25]Blocking1!M953</f>
        <v>0.87</v>
      </c>
      <c r="H953" s="669"/>
      <c r="I953" s="417">
        <f t="shared" ref="I953:I954" si="377">ROUND(G953*$C953,0)</f>
        <v>0</v>
      </c>
      <c r="K953" s="417">
        <f t="shared" ref="K953:K954" si="378">ROUND(G953*$E953,0)</f>
        <v>0</v>
      </c>
      <c r="M953" s="434">
        <f>M831</f>
        <v>0.88</v>
      </c>
      <c r="N953" s="669"/>
      <c r="O953" s="417">
        <f t="shared" ref="O953:O960" si="379">ROUND(M953*$E953,0)</f>
        <v>0</v>
      </c>
      <c r="P953" s="417"/>
      <c r="Q953" s="516"/>
      <c r="R953" s="560"/>
      <c r="T953" s="439">
        <f t="shared" ref="T953:T954" si="380">M953/G953-1</f>
        <v>1.1494252873563315E-2</v>
      </c>
      <c r="AD953" s="400">
        <f>K953-[25]Blocking1!O953</f>
        <v>0</v>
      </c>
    </row>
    <row r="954" spans="1:30">
      <c r="A954" s="432" t="s">
        <v>678</v>
      </c>
      <c r="C954" s="433"/>
      <c r="E954" s="406"/>
      <c r="G954" s="434">
        <f>[25]Blocking1!M954</f>
        <v>0.61</v>
      </c>
      <c r="H954" s="669"/>
      <c r="I954" s="417">
        <f t="shared" si="377"/>
        <v>0</v>
      </c>
      <c r="K954" s="417">
        <f t="shared" si="378"/>
        <v>0</v>
      </c>
      <c r="M954" s="434">
        <f>M832</f>
        <v>0.62</v>
      </c>
      <c r="N954" s="669"/>
      <c r="O954" s="417">
        <f t="shared" si="379"/>
        <v>0</v>
      </c>
      <c r="P954" s="417"/>
      <c r="Q954" s="516"/>
      <c r="R954" s="560"/>
      <c r="T954" s="439">
        <f t="shared" si="380"/>
        <v>1.6393442622950838E-2</v>
      </c>
      <c r="AD954" s="400">
        <f>K954-[25]Blocking1!O954</f>
        <v>0</v>
      </c>
    </row>
    <row r="955" spans="1:30">
      <c r="A955" s="432" t="s">
        <v>518</v>
      </c>
      <c r="C955" s="433">
        <v>0</v>
      </c>
      <c r="E955" s="406">
        <f>ROUND(C955*$E$1006/$C$1006,0)</f>
        <v>0</v>
      </c>
      <c r="G955" s="668"/>
      <c r="H955" s="670"/>
      <c r="I955" s="417"/>
      <c r="K955" s="417"/>
      <c r="M955" s="668"/>
      <c r="N955" s="669"/>
      <c r="O955" s="417"/>
      <c r="P955" s="417"/>
      <c r="AD955" s="400">
        <f>K955-[25]Blocking1!O955</f>
        <v>0</v>
      </c>
    </row>
    <row r="956" spans="1:30">
      <c r="A956" s="432" t="s">
        <v>677</v>
      </c>
      <c r="C956" s="433"/>
      <c r="E956" s="406"/>
      <c r="G956" s="671">
        <f>[25]Blocking1!M956</f>
        <v>0.435</v>
      </c>
      <c r="H956" s="670"/>
      <c r="I956" s="417">
        <f t="shared" ref="I956:I957" si="381">ROUND(G956*$C956,0)</f>
        <v>0</v>
      </c>
      <c r="K956" s="417">
        <f t="shared" ref="K956:K957" si="382">ROUND(G956*$E956,0)</f>
        <v>0</v>
      </c>
      <c r="M956" s="671">
        <f>M834</f>
        <v>0.44</v>
      </c>
      <c r="N956" s="669"/>
      <c r="O956" s="417">
        <f t="shared" si="379"/>
        <v>0</v>
      </c>
      <c r="P956" s="417"/>
      <c r="T956" s="439">
        <f t="shared" ref="T956:T957" si="383">M956/G956-1</f>
        <v>1.1494252873563315E-2</v>
      </c>
      <c r="AD956" s="400">
        <f>K956-[25]Blocking1!O956</f>
        <v>0</v>
      </c>
    </row>
    <row r="957" spans="1:30">
      <c r="A957" s="432" t="s">
        <v>678</v>
      </c>
      <c r="C957" s="433"/>
      <c r="E957" s="406"/>
      <c r="G957" s="671">
        <f>[25]Blocking1!M957</f>
        <v>0.30499999999999999</v>
      </c>
      <c r="H957" s="670"/>
      <c r="I957" s="417">
        <f t="shared" si="381"/>
        <v>0</v>
      </c>
      <c r="K957" s="417">
        <f t="shared" si="382"/>
        <v>0</v>
      </c>
      <c r="M957" s="671">
        <f>M835</f>
        <v>0.31</v>
      </c>
      <c r="N957" s="669"/>
      <c r="O957" s="417">
        <f t="shared" si="379"/>
        <v>0</v>
      </c>
      <c r="P957" s="417"/>
      <c r="T957" s="439">
        <f t="shared" si="383"/>
        <v>1.6393442622950838E-2</v>
      </c>
      <c r="AD957" s="400">
        <f>K957-[25]Blocking1!O957</f>
        <v>0</v>
      </c>
    </row>
    <row r="958" spans="1:30">
      <c r="A958" s="432" t="s">
        <v>519</v>
      </c>
      <c r="C958" s="433">
        <v>0</v>
      </c>
      <c r="E958" s="406">
        <f>ROUND(C958*$E$1006/$C$1006,0)</f>
        <v>0</v>
      </c>
      <c r="G958" s="668"/>
      <c r="H958" s="435"/>
      <c r="I958" s="417"/>
      <c r="K958" s="417"/>
      <c r="M958" s="668"/>
      <c r="N958" s="669"/>
      <c r="O958" s="417"/>
      <c r="P958" s="417"/>
      <c r="S958" s="667"/>
      <c r="AD958" s="400">
        <f>K958-[25]Blocking1!O958</f>
        <v>0</v>
      </c>
    </row>
    <row r="959" spans="1:30">
      <c r="A959" s="432" t="s">
        <v>677</v>
      </c>
      <c r="C959" s="433"/>
      <c r="E959" s="406"/>
      <c r="G959" s="434">
        <f>[25]Blocking1!M959</f>
        <v>40.22</v>
      </c>
      <c r="H959" s="435"/>
      <c r="I959" s="417">
        <f t="shared" ref="I959:I960" si="384">ROUND(G959*$C959,0)</f>
        <v>0</v>
      </c>
      <c r="K959" s="417">
        <f t="shared" ref="K959:K960" si="385">ROUND(G959*$E959,0)</f>
        <v>0</v>
      </c>
      <c r="M959" s="434">
        <f>M837</f>
        <v>40.81</v>
      </c>
      <c r="N959" s="669"/>
      <c r="O959" s="417">
        <f t="shared" si="379"/>
        <v>0</v>
      </c>
      <c r="P959" s="417"/>
      <c r="S959" s="667"/>
      <c r="T959" s="439">
        <f t="shared" ref="T959:T960" si="386">M959/G959-1</f>
        <v>1.4669318746892257E-2</v>
      </c>
      <c r="AD959" s="400">
        <f>K959-[25]Blocking1!O959</f>
        <v>0</v>
      </c>
    </row>
    <row r="960" spans="1:30">
      <c r="A960" s="432" t="s">
        <v>678</v>
      </c>
      <c r="C960" s="433"/>
      <c r="E960" s="406"/>
      <c r="G960" s="434">
        <f>[25]Blocking1!M960</f>
        <v>31.58</v>
      </c>
      <c r="H960" s="435"/>
      <c r="I960" s="417">
        <f t="shared" si="384"/>
        <v>0</v>
      </c>
      <c r="K960" s="417">
        <f t="shared" si="385"/>
        <v>0</v>
      </c>
      <c r="M960" s="434">
        <f>M838</f>
        <v>32.04</v>
      </c>
      <c r="N960" s="669"/>
      <c r="O960" s="417">
        <f t="shared" si="379"/>
        <v>0</v>
      </c>
      <c r="P960" s="417"/>
      <c r="S960" s="667"/>
      <c r="T960" s="439">
        <f t="shared" si="386"/>
        <v>1.4566181127295685E-2</v>
      </c>
      <c r="AD960" s="400">
        <f>K960-[25]Blocking1!O960</f>
        <v>0</v>
      </c>
    </row>
    <row r="961" spans="1:30">
      <c r="A961" s="656" t="s">
        <v>520</v>
      </c>
      <c r="C961" s="406"/>
      <c r="E961" s="406"/>
      <c r="M961" s="404"/>
      <c r="P961" s="417"/>
      <c r="Q961" s="516"/>
      <c r="R961" s="560"/>
      <c r="T961" s="667"/>
      <c r="AD961" s="400">
        <f>K961-[25]Blocking1!O961</f>
        <v>0</v>
      </c>
    </row>
    <row r="962" spans="1:30">
      <c r="A962" s="432" t="s">
        <v>514</v>
      </c>
      <c r="C962" s="433">
        <v>0</v>
      </c>
      <c r="E962" s="550">
        <f>ROUND(C962/($C$949+$C$962+$C$975)*[25]Bill!$P$44,0)</f>
        <v>0</v>
      </c>
      <c r="G962" s="434">
        <f>[25]Blocking1!M962</f>
        <v>596</v>
      </c>
      <c r="H962" s="435"/>
      <c r="I962" s="417">
        <f>ROUND(G962*$C962,0)</f>
        <v>0</v>
      </c>
      <c r="K962" s="417">
        <f>ROUND(G962*$E962,0)</f>
        <v>0</v>
      </c>
      <c r="M962" s="434">
        <f>M840</f>
        <v>605</v>
      </c>
      <c r="N962" s="435"/>
      <c r="O962" s="417">
        <f>ROUND(M962*$E962,0)</f>
        <v>0</v>
      </c>
      <c r="S962" s="667"/>
      <c r="T962" s="439">
        <f t="shared" ref="T962:T963" si="387">M962/G962-1</f>
        <v>1.5100671140939603E-2</v>
      </c>
      <c r="AD962" s="400">
        <f>K962-[25]Blocking1!O962</f>
        <v>0</v>
      </c>
    </row>
    <row r="963" spans="1:30">
      <c r="A963" s="432" t="s">
        <v>515</v>
      </c>
      <c r="C963" s="433">
        <v>0</v>
      </c>
      <c r="E963" s="406">
        <f>ROUND(C963*$E$1006/$C$1006,0)</f>
        <v>0</v>
      </c>
      <c r="G963" s="434">
        <f>[25]Blocking1!M963</f>
        <v>4.3999999999999995</v>
      </c>
      <c r="H963" s="435"/>
      <c r="I963" s="417">
        <f>ROUND(G963*$C963,0)</f>
        <v>0</v>
      </c>
      <c r="K963" s="417">
        <f>ROUND(G963*$E963,0)</f>
        <v>0</v>
      </c>
      <c r="M963" s="434">
        <f>M841</f>
        <v>4.46</v>
      </c>
      <c r="N963" s="435"/>
      <c r="O963" s="417">
        <f>ROUND(M963*$E963,0)</f>
        <v>0</v>
      </c>
      <c r="P963" s="417"/>
      <c r="Q963" s="672"/>
      <c r="R963" s="560"/>
      <c r="T963" s="439">
        <f t="shared" si="387"/>
        <v>1.3636363636363669E-2</v>
      </c>
      <c r="AD963" s="400">
        <f>K963-[25]Blocking1!O963</f>
        <v>0</v>
      </c>
    </row>
    <row r="964" spans="1:30">
      <c r="A964" s="432" t="s">
        <v>516</v>
      </c>
      <c r="C964" s="433"/>
      <c r="E964" s="406"/>
      <c r="G964" s="496"/>
      <c r="H964" s="435"/>
      <c r="I964" s="417"/>
      <c r="K964" s="417"/>
      <c r="M964" s="496"/>
      <c r="N964" s="435"/>
      <c r="O964" s="417"/>
      <c r="P964" s="417"/>
      <c r="Q964" s="516"/>
      <c r="S964" s="667"/>
      <c r="T964" s="667"/>
      <c r="AD964" s="400">
        <f>K964-[25]Blocking1!O964</f>
        <v>0</v>
      </c>
    </row>
    <row r="965" spans="1:30">
      <c r="A965" s="432" t="s">
        <v>517</v>
      </c>
      <c r="C965" s="433">
        <v>0</v>
      </c>
      <c r="E965" s="406">
        <f>ROUND(C965*$E$1006/$C$1006,0)</f>
        <v>0</v>
      </c>
      <c r="G965" s="668"/>
      <c r="H965" s="669"/>
      <c r="I965" s="417"/>
      <c r="K965" s="417"/>
      <c r="M965" s="668"/>
      <c r="N965" s="669"/>
      <c r="O965" s="417"/>
      <c r="P965" s="417"/>
      <c r="Q965" s="516"/>
      <c r="R965" s="560"/>
      <c r="T965" s="439"/>
      <c r="AD965" s="400">
        <f>K965-[25]Blocking1!O965</f>
        <v>0</v>
      </c>
    </row>
    <row r="966" spans="1:30">
      <c r="A966" s="432" t="s">
        <v>677</v>
      </c>
      <c r="C966" s="433"/>
      <c r="E966" s="406"/>
      <c r="G966" s="434">
        <f>[25]Blocking1!M966</f>
        <v>0.85</v>
      </c>
      <c r="H966" s="669"/>
      <c r="I966" s="417">
        <f t="shared" ref="I966:I967" si="388">ROUND(G966*$C966,0)</f>
        <v>0</v>
      </c>
      <c r="K966" s="417">
        <f t="shared" ref="K966:K967" si="389">ROUND(G966*$E966,0)</f>
        <v>0</v>
      </c>
      <c r="M966" s="434">
        <f>M844</f>
        <v>0.86</v>
      </c>
      <c r="N966" s="669"/>
      <c r="O966" s="417">
        <f t="shared" ref="O966:O973" si="390">ROUND(M966*$E966,0)</f>
        <v>0</v>
      </c>
      <c r="P966" s="417"/>
      <c r="Q966" s="516"/>
      <c r="R966" s="560"/>
      <c r="T966" s="439">
        <f t="shared" ref="T966:T967" si="391">M966/G966-1</f>
        <v>1.1764705882352899E-2</v>
      </c>
      <c r="AD966" s="400">
        <f>K966-[25]Blocking1!O966</f>
        <v>0</v>
      </c>
    </row>
    <row r="967" spans="1:30">
      <c r="A967" s="432" t="s">
        <v>678</v>
      </c>
      <c r="C967" s="433"/>
      <c r="E967" s="406"/>
      <c r="G967" s="434">
        <f>[25]Blocking1!M967</f>
        <v>0.59</v>
      </c>
      <c r="H967" s="669"/>
      <c r="I967" s="417">
        <f t="shared" si="388"/>
        <v>0</v>
      </c>
      <c r="K967" s="417">
        <f t="shared" si="389"/>
        <v>0</v>
      </c>
      <c r="M967" s="434">
        <f>M845</f>
        <v>0.6</v>
      </c>
      <c r="N967" s="669"/>
      <c r="O967" s="417">
        <f t="shared" si="390"/>
        <v>0</v>
      </c>
      <c r="P967" s="417"/>
      <c r="Q967" s="516"/>
      <c r="R967" s="560"/>
      <c r="T967" s="439">
        <f t="shared" si="391"/>
        <v>1.6949152542372836E-2</v>
      </c>
      <c r="AD967" s="400">
        <f>K967-[25]Blocking1!O967</f>
        <v>0</v>
      </c>
    </row>
    <row r="968" spans="1:30">
      <c r="A968" s="432" t="s">
        <v>518</v>
      </c>
      <c r="C968" s="433">
        <v>0</v>
      </c>
      <c r="E968" s="406">
        <f>ROUND(C968*$E$1006/$C$1006,0)</f>
        <v>0</v>
      </c>
      <c r="G968" s="668"/>
      <c r="H968" s="670"/>
      <c r="I968" s="417"/>
      <c r="K968" s="417"/>
      <c r="M968" s="668"/>
      <c r="N968" s="669"/>
      <c r="O968" s="417"/>
      <c r="P968" s="417"/>
      <c r="S968" s="440"/>
      <c r="AD968" s="400">
        <f>K968-[25]Blocking1!O968</f>
        <v>0</v>
      </c>
    </row>
    <row r="969" spans="1:30">
      <c r="A969" s="432" t="s">
        <v>677</v>
      </c>
      <c r="C969" s="433"/>
      <c r="E969" s="406"/>
      <c r="G969" s="671">
        <f>[25]Blocking1!M969</f>
        <v>0.42499999999999999</v>
      </c>
      <c r="H969" s="670"/>
      <c r="I969" s="417">
        <f t="shared" ref="I969:I970" si="392">ROUND(G969*$C969,0)</f>
        <v>0</v>
      </c>
      <c r="K969" s="417">
        <f t="shared" ref="K969:K970" si="393">ROUND(G969*$E969,0)</f>
        <v>0</v>
      </c>
      <c r="M969" s="671">
        <f>M847</f>
        <v>0.43</v>
      </c>
      <c r="N969" s="669"/>
      <c r="O969" s="417">
        <f t="shared" si="390"/>
        <v>0</v>
      </c>
      <c r="P969" s="417"/>
      <c r="S969" s="440"/>
      <c r="T969" s="439">
        <f t="shared" ref="T969:T970" si="394">M969/G969-1</f>
        <v>1.1764705882352899E-2</v>
      </c>
      <c r="AD969" s="400">
        <f>K969-[25]Blocking1!O969</f>
        <v>0</v>
      </c>
    </row>
    <row r="970" spans="1:30">
      <c r="A970" s="432" t="s">
        <v>678</v>
      </c>
      <c r="C970" s="433"/>
      <c r="E970" s="406"/>
      <c r="G970" s="671">
        <f>[25]Blocking1!M970</f>
        <v>0.29499999999999998</v>
      </c>
      <c r="H970" s="670"/>
      <c r="I970" s="417">
        <f t="shared" si="392"/>
        <v>0</v>
      </c>
      <c r="K970" s="417">
        <f t="shared" si="393"/>
        <v>0</v>
      </c>
      <c r="M970" s="671">
        <f>M848</f>
        <v>0.3</v>
      </c>
      <c r="N970" s="669"/>
      <c r="O970" s="417">
        <f t="shared" si="390"/>
        <v>0</v>
      </c>
      <c r="P970" s="417"/>
      <c r="S970" s="440"/>
      <c r="T970" s="439">
        <f t="shared" si="394"/>
        <v>1.6949152542372836E-2</v>
      </c>
      <c r="AD970" s="400">
        <f>K970-[25]Blocking1!O970</f>
        <v>0</v>
      </c>
    </row>
    <row r="971" spans="1:30">
      <c r="A971" s="432" t="s">
        <v>519</v>
      </c>
      <c r="C971" s="433">
        <v>0</v>
      </c>
      <c r="E971" s="406">
        <f>ROUND(C971*$E$1006/$C$1006,0)</f>
        <v>0</v>
      </c>
      <c r="G971" s="668"/>
      <c r="H971" s="435"/>
      <c r="I971" s="417"/>
      <c r="K971" s="417"/>
      <c r="M971" s="668"/>
      <c r="N971" s="669"/>
      <c r="O971" s="417"/>
      <c r="P971" s="417"/>
      <c r="AD971" s="400">
        <f>K971-[25]Blocking1!O971</f>
        <v>0</v>
      </c>
    </row>
    <row r="972" spans="1:30">
      <c r="A972" s="432" t="s">
        <v>677</v>
      </c>
      <c r="C972" s="433"/>
      <c r="E972" s="406"/>
      <c r="G972" s="434">
        <f>[25]Blocking1!M972</f>
        <v>37.979999999999997</v>
      </c>
      <c r="H972" s="435"/>
      <c r="I972" s="417">
        <f t="shared" ref="I972:I973" si="395">ROUND(G972*$C972,0)</f>
        <v>0</v>
      </c>
      <c r="K972" s="417">
        <f t="shared" ref="K972:K973" si="396">ROUND(G972*$E972,0)</f>
        <v>0</v>
      </c>
      <c r="M972" s="434">
        <f>M850</f>
        <v>38.54</v>
      </c>
      <c r="N972" s="669"/>
      <c r="O972" s="417">
        <f t="shared" si="390"/>
        <v>0</v>
      </c>
      <c r="P972" s="417"/>
      <c r="T972" s="439">
        <f t="shared" ref="T972:T973" si="397">M972/G972-1</f>
        <v>1.4744602422327668E-2</v>
      </c>
      <c r="AD972" s="400">
        <f>K972-[25]Blocking1!O972</f>
        <v>0</v>
      </c>
    </row>
    <row r="973" spans="1:30">
      <c r="A973" s="432" t="s">
        <v>678</v>
      </c>
      <c r="C973" s="433"/>
      <c r="E973" s="406"/>
      <c r="G973" s="434">
        <f>[25]Blocking1!M973</f>
        <v>29.34</v>
      </c>
      <c r="H973" s="435"/>
      <c r="I973" s="417">
        <f t="shared" si="395"/>
        <v>0</v>
      </c>
      <c r="K973" s="417">
        <f t="shared" si="396"/>
        <v>0</v>
      </c>
      <c r="M973" s="434">
        <f>M851</f>
        <v>29.77</v>
      </c>
      <c r="N973" s="669"/>
      <c r="O973" s="417">
        <f t="shared" si="390"/>
        <v>0</v>
      </c>
      <c r="P973" s="417"/>
      <c r="T973" s="439">
        <f t="shared" si="397"/>
        <v>1.4655760054532951E-2</v>
      </c>
      <c r="AD973" s="400">
        <f>K973-[25]Blocking1!O973</f>
        <v>0</v>
      </c>
    </row>
    <row r="974" spans="1:30">
      <c r="A974" s="656" t="s">
        <v>521</v>
      </c>
      <c r="C974" s="433"/>
      <c r="E974" s="406"/>
      <c r="M974" s="404"/>
      <c r="P974" s="417"/>
      <c r="Q974" s="516"/>
      <c r="R974" s="560"/>
      <c r="T974" s="667"/>
      <c r="AD974" s="400">
        <f>K974-[25]Blocking1!O974</f>
        <v>0</v>
      </c>
    </row>
    <row r="975" spans="1:30">
      <c r="A975" s="432" t="s">
        <v>514</v>
      </c>
      <c r="C975" s="433">
        <f>'[25]31'!I3</f>
        <v>11.999990252883499</v>
      </c>
      <c r="E975" s="550">
        <f>ROUND(C975/($C$949+$C$962+$C$975)*[25]Bill!$P$44,0)</f>
        <v>12</v>
      </c>
      <c r="G975" s="434">
        <f>[25]Blocking1!M975</f>
        <v>668</v>
      </c>
      <c r="H975" s="435"/>
      <c r="I975" s="417">
        <f>ROUND(G975*$C975,0)</f>
        <v>8016</v>
      </c>
      <c r="K975" s="417">
        <f>ROUND(G975*$E975,0)</f>
        <v>8016</v>
      </c>
      <c r="M975" s="434">
        <f>M853</f>
        <v>678</v>
      </c>
      <c r="N975" s="435"/>
      <c r="O975" s="417">
        <f>ROUND(M975*$E975,0)</f>
        <v>8136</v>
      </c>
      <c r="P975" s="497"/>
      <c r="T975" s="439">
        <f t="shared" ref="T975:T976" si="398">M975/G975-1</f>
        <v>1.4970059880239583E-2</v>
      </c>
      <c r="AD975" s="400">
        <f>K975-[25]Blocking1!O975</f>
        <v>0</v>
      </c>
    </row>
    <row r="976" spans="1:30">
      <c r="A976" s="432" t="s">
        <v>515</v>
      </c>
      <c r="C976" s="433">
        <f>'[25]31'!J3</f>
        <v>218999.99833246501</v>
      </c>
      <c r="E976" s="406">
        <f>ROUND(C976*$E$1006/$C$1006,0)</f>
        <v>79723</v>
      </c>
      <c r="G976" s="434">
        <f>[25]Blocking1!M976</f>
        <v>2.59</v>
      </c>
      <c r="H976" s="515"/>
      <c r="I976" s="417">
        <f>ROUND(G976*$C976,0)</f>
        <v>567210</v>
      </c>
      <c r="K976" s="417">
        <f>ROUND(G976*$E976,0)</f>
        <v>206483</v>
      </c>
      <c r="M976" s="434">
        <f>M854</f>
        <v>2.63</v>
      </c>
      <c r="N976" s="515"/>
      <c r="O976" s="417">
        <f>ROUND(M976*$E976,0)</f>
        <v>209671</v>
      </c>
      <c r="P976" s="497"/>
      <c r="Q976" s="672"/>
      <c r="R976" s="560"/>
      <c r="T976" s="439">
        <f t="shared" si="398"/>
        <v>1.5444015444015413E-2</v>
      </c>
      <c r="AD976" s="400">
        <f>K976-[25]Blocking1!O976</f>
        <v>0</v>
      </c>
    </row>
    <row r="977" spans="1:30">
      <c r="A977" s="432" t="s">
        <v>516</v>
      </c>
      <c r="C977" s="433"/>
      <c r="E977" s="406"/>
      <c r="G977" s="496"/>
      <c r="H977" s="551"/>
      <c r="I977" s="417"/>
      <c r="K977" s="417"/>
      <c r="M977" s="496"/>
      <c r="N977" s="551"/>
      <c r="O977" s="417"/>
      <c r="P977" s="497"/>
      <c r="Q977" s="516"/>
      <c r="T977" s="667"/>
      <c r="AD977" s="400">
        <f>K977-[25]Blocking1!O977</f>
        <v>0</v>
      </c>
    </row>
    <row r="978" spans="1:30">
      <c r="A978" s="432" t="s">
        <v>517</v>
      </c>
      <c r="C978" s="433">
        <f>'[25]31'!M3</f>
        <v>485543.99320932699</v>
      </c>
      <c r="E978" s="406">
        <f>ROUND(C978*$E$1006/$C$1006,0)</f>
        <v>176753</v>
      </c>
      <c r="G978" s="668"/>
      <c r="H978" s="669"/>
      <c r="I978" s="417"/>
      <c r="K978" s="417"/>
      <c r="M978" s="668"/>
      <c r="N978" s="669"/>
      <c r="O978" s="417"/>
      <c r="P978" s="497"/>
      <c r="Q978" s="516"/>
      <c r="R978" s="560"/>
      <c r="T978" s="439"/>
      <c r="AD978" s="400">
        <f>K978-[25]Blocking1!O978</f>
        <v>0</v>
      </c>
    </row>
    <row r="979" spans="1:30">
      <c r="A979" s="432" t="s">
        <v>677</v>
      </c>
      <c r="C979" s="433">
        <f>'[25]31'!N15</f>
        <v>177572.990476512</v>
      </c>
      <c r="E979" s="406">
        <f>ROUND(C979*$E$1006/$C$1006,0)</f>
        <v>64642</v>
      </c>
      <c r="G979" s="434">
        <f>[25]Blocking1!M979</f>
        <v>0.75</v>
      </c>
      <c r="H979" s="669"/>
      <c r="I979" s="417">
        <f t="shared" ref="I979:I980" si="399">ROUND(G979*$C979,0)</f>
        <v>133180</v>
      </c>
      <c r="K979" s="417">
        <f t="shared" ref="K979:K980" si="400">ROUND(G979*$E979,0)</f>
        <v>48482</v>
      </c>
      <c r="M979" s="434">
        <f>M857</f>
        <v>0.76</v>
      </c>
      <c r="N979" s="669"/>
      <c r="O979" s="417">
        <f t="shared" ref="O979:O986" si="401">ROUND(M979*$E979,0)</f>
        <v>49128</v>
      </c>
      <c r="P979" s="497"/>
      <c r="Q979" s="516"/>
      <c r="R979" s="560"/>
      <c r="T979" s="439">
        <f t="shared" ref="T979:T980" si="402">M979/G979-1</f>
        <v>1.3333333333333419E-2</v>
      </c>
      <c r="AD979" s="400">
        <f>K979-[25]Blocking1!O979</f>
        <v>0</v>
      </c>
    </row>
    <row r="980" spans="1:30">
      <c r="A980" s="432" t="s">
        <v>678</v>
      </c>
      <c r="C980" s="433">
        <f>'[25]31'!N16</f>
        <v>307971.00273281499</v>
      </c>
      <c r="E980" s="406">
        <f>E978-E979</f>
        <v>112111</v>
      </c>
      <c r="G980" s="434">
        <f>[25]Blocking1!M980</f>
        <v>0.5</v>
      </c>
      <c r="H980" s="669"/>
      <c r="I980" s="417">
        <f t="shared" si="399"/>
        <v>153986</v>
      </c>
      <c r="K980" s="417">
        <f t="shared" si="400"/>
        <v>56056</v>
      </c>
      <c r="M980" s="434">
        <f>M858</f>
        <v>0.51</v>
      </c>
      <c r="N980" s="669"/>
      <c r="O980" s="417">
        <f t="shared" si="401"/>
        <v>57177</v>
      </c>
      <c r="P980" s="497"/>
      <c r="Q980" s="516"/>
      <c r="R980" s="560"/>
      <c r="T980" s="439">
        <f t="shared" si="402"/>
        <v>2.0000000000000018E-2</v>
      </c>
      <c r="AD980" s="400">
        <f>K980-[25]Blocking1!O980</f>
        <v>0</v>
      </c>
    </row>
    <row r="981" spans="1:30">
      <c r="A981" s="432" t="s">
        <v>518</v>
      </c>
      <c r="C981" s="433">
        <f>'[25]31'!N3</f>
        <v>0</v>
      </c>
      <c r="E981" s="406">
        <f>ROUND(C981*$E$1006/$C$1006,0)</f>
        <v>0</v>
      </c>
      <c r="G981" s="668"/>
      <c r="H981" s="670"/>
      <c r="I981" s="417"/>
      <c r="K981" s="417"/>
      <c r="M981" s="668"/>
      <c r="N981" s="669"/>
      <c r="O981" s="417"/>
      <c r="P981" s="417"/>
      <c r="R981" s="560"/>
      <c r="AD981" s="400">
        <f>K981-[25]Blocking1!O981</f>
        <v>0</v>
      </c>
    </row>
    <row r="982" spans="1:30">
      <c r="A982" s="432" t="s">
        <v>677</v>
      </c>
      <c r="C982" s="433"/>
      <c r="E982" s="406"/>
      <c r="G982" s="671">
        <f>[25]Blocking1!M982</f>
        <v>0.375</v>
      </c>
      <c r="H982" s="670"/>
      <c r="I982" s="417">
        <f t="shared" ref="I982:I983" si="403">ROUND(G982*$C982,0)</f>
        <v>0</v>
      </c>
      <c r="K982" s="417">
        <f t="shared" ref="K982:K983" si="404">ROUND(G982*$E982,0)</f>
        <v>0</v>
      </c>
      <c r="M982" s="671">
        <f>M860</f>
        <v>0.38</v>
      </c>
      <c r="N982" s="669"/>
      <c r="O982" s="417">
        <f t="shared" si="401"/>
        <v>0</v>
      </c>
      <c r="P982" s="417"/>
      <c r="R982" s="560"/>
      <c r="T982" s="439">
        <f t="shared" ref="T982:T983" si="405">M982/G982-1</f>
        <v>1.3333333333333419E-2</v>
      </c>
      <c r="AD982" s="400">
        <f>K982-[25]Blocking1!O982</f>
        <v>0</v>
      </c>
    </row>
    <row r="983" spans="1:30">
      <c r="A983" s="432" t="s">
        <v>678</v>
      </c>
      <c r="C983" s="433"/>
      <c r="E983" s="406"/>
      <c r="G983" s="671">
        <f>[25]Blocking1!M983</f>
        <v>0.25</v>
      </c>
      <c r="H983" s="670"/>
      <c r="I983" s="417">
        <f t="shared" si="403"/>
        <v>0</v>
      </c>
      <c r="K983" s="417">
        <f t="shared" si="404"/>
        <v>0</v>
      </c>
      <c r="M983" s="671">
        <f>M861</f>
        <v>0.255</v>
      </c>
      <c r="N983" s="669"/>
      <c r="O983" s="417">
        <f t="shared" si="401"/>
        <v>0</v>
      </c>
      <c r="P983" s="417"/>
      <c r="R983" s="560"/>
      <c r="T983" s="439">
        <f t="shared" si="405"/>
        <v>2.0000000000000018E-2</v>
      </c>
      <c r="AD983" s="400">
        <f>K983-[25]Blocking1!O983</f>
        <v>0</v>
      </c>
    </row>
    <row r="984" spans="1:30">
      <c r="A984" s="432" t="s">
        <v>519</v>
      </c>
      <c r="C984" s="433">
        <f>'[25]31'!O3</f>
        <v>0</v>
      </c>
      <c r="E984" s="406">
        <f>ROUND(C984*$E$1006/$C$1006,0)</f>
        <v>0</v>
      </c>
      <c r="G984" s="668"/>
      <c r="H984" s="435"/>
      <c r="I984" s="417"/>
      <c r="K984" s="417"/>
      <c r="M984" s="668"/>
      <c r="N984" s="669"/>
      <c r="O984" s="417"/>
      <c r="P984" s="417"/>
      <c r="AD984" s="400">
        <f>K984-[25]Blocking1!O984</f>
        <v>0</v>
      </c>
    </row>
    <row r="985" spans="1:30">
      <c r="A985" s="432" t="s">
        <v>677</v>
      </c>
      <c r="C985" s="433"/>
      <c r="E985" s="406"/>
      <c r="G985" s="434">
        <f>[25]Blocking1!M985</f>
        <v>31.88</v>
      </c>
      <c r="H985" s="435"/>
      <c r="I985" s="417">
        <f t="shared" ref="I985:I986" si="406">ROUND(G985*$C985,0)</f>
        <v>0</v>
      </c>
      <c r="K985" s="417">
        <f t="shared" ref="K985:K986" si="407">ROUND(G985*$E985,0)</f>
        <v>0</v>
      </c>
      <c r="M985" s="434">
        <f>M863</f>
        <v>32.35</v>
      </c>
      <c r="N985" s="669"/>
      <c r="O985" s="417">
        <f t="shared" si="401"/>
        <v>0</v>
      </c>
      <c r="P985" s="417"/>
      <c r="T985" s="439">
        <f t="shared" ref="T985:T986" si="408">M985/G985-1</f>
        <v>1.4742785445420292E-2</v>
      </c>
      <c r="AD985" s="400">
        <f>K985-[25]Blocking1!O985</f>
        <v>0</v>
      </c>
    </row>
    <row r="986" spans="1:30">
      <c r="A986" s="432" t="s">
        <v>678</v>
      </c>
      <c r="C986" s="433"/>
      <c r="E986" s="406"/>
      <c r="G986" s="434">
        <f>[25]Blocking1!M986</f>
        <v>23.02</v>
      </c>
      <c r="H986" s="435"/>
      <c r="I986" s="417">
        <f t="shared" si="406"/>
        <v>0</v>
      </c>
      <c r="K986" s="417">
        <f t="shared" si="407"/>
        <v>0</v>
      </c>
      <c r="M986" s="434">
        <f>M864</f>
        <v>23.36</v>
      </c>
      <c r="N986" s="669"/>
      <c r="O986" s="417">
        <f t="shared" si="401"/>
        <v>0</v>
      </c>
      <c r="P986" s="417"/>
      <c r="T986" s="439">
        <f t="shared" si="408"/>
        <v>1.476976542137276E-2</v>
      </c>
      <c r="AD986" s="400">
        <f>K986-[25]Blocking1!O986</f>
        <v>0</v>
      </c>
    </row>
    <row r="987" spans="1:30">
      <c r="A987" s="432" t="s">
        <v>511</v>
      </c>
      <c r="C987" s="681"/>
      <c r="E987" s="681"/>
      <c r="G987" s="547"/>
      <c r="H987" s="572"/>
      <c r="I987" s="506">
        <f>SUM(I949:I986)</f>
        <v>862392</v>
      </c>
      <c r="K987" s="506">
        <f>SUM(K949:K986)</f>
        <v>319037</v>
      </c>
      <c r="L987" s="506">
        <f>SUM(L949:L984)</f>
        <v>0</v>
      </c>
      <c r="M987" s="547"/>
      <c r="N987" s="506"/>
      <c r="O987" s="506">
        <f>SUM(O949:O986)</f>
        <v>324112</v>
      </c>
      <c r="P987" s="417"/>
      <c r="Q987" s="416" t="s">
        <v>601</v>
      </c>
      <c r="R987" s="518">
        <f>O987/K987-1</f>
        <v>1.5907245868034048E-2</v>
      </c>
      <c r="AD987" s="400">
        <f>K987-[25]Blocking1!O987</f>
        <v>0</v>
      </c>
    </row>
    <row r="988" spans="1:30">
      <c r="A988" s="656" t="s">
        <v>522</v>
      </c>
      <c r="M988" s="404"/>
      <c r="P988" s="417"/>
      <c r="AD988" s="400">
        <f>K988-[25]Blocking1!O988</f>
        <v>0</v>
      </c>
    </row>
    <row r="989" spans="1:30">
      <c r="A989" s="428" t="s">
        <v>523</v>
      </c>
      <c r="C989" s="433"/>
      <c r="E989" s="406"/>
      <c r="G989" s="496"/>
      <c r="H989" s="551"/>
      <c r="I989" s="417"/>
      <c r="K989" s="417"/>
      <c r="M989" s="496"/>
      <c r="N989" s="551"/>
      <c r="O989" s="417"/>
      <c r="P989" s="417"/>
      <c r="AD989" s="400">
        <f>K989-[25]Blocking1!O989</f>
        <v>0</v>
      </c>
    </row>
    <row r="990" spans="1:30">
      <c r="A990" s="432" t="s">
        <v>398</v>
      </c>
      <c r="C990" s="433">
        <v>0</v>
      </c>
      <c r="E990" s="406">
        <f>ROUND(C990*$E$1006/$C$1006,0)</f>
        <v>0</v>
      </c>
      <c r="G990" s="496">
        <f>[25]Blocking1!M990</f>
        <v>4.71</v>
      </c>
      <c r="H990" s="551"/>
      <c r="I990" s="417">
        <f>ROUND(G990*$C990,0)</f>
        <v>0</v>
      </c>
      <c r="K990" s="417">
        <f>ROUND(G990*$E990,0)</f>
        <v>0</v>
      </c>
      <c r="M990" s="496">
        <f t="shared" ref="M990:M996" si="409">M868</f>
        <v>4.76</v>
      </c>
      <c r="N990" s="551"/>
      <c r="O990" s="417">
        <f>ROUND(M990*$E990,0)</f>
        <v>0</v>
      </c>
      <c r="P990" s="417"/>
      <c r="T990" s="439">
        <f t="shared" ref="T990:T996" si="410">M990/G990-1</f>
        <v>1.0615711252653925E-2</v>
      </c>
      <c r="AD990" s="400">
        <f>K990-[25]Blocking1!O990</f>
        <v>0</v>
      </c>
    </row>
    <row r="991" spans="1:30">
      <c r="A991" s="432" t="s">
        <v>399</v>
      </c>
      <c r="C991" s="433">
        <v>0</v>
      </c>
      <c r="E991" s="406">
        <f>ROUND(C991*$E$1006/$C$1006,0)</f>
        <v>0</v>
      </c>
      <c r="G991" s="496">
        <f>[25]Blocking1!M991</f>
        <v>15.4</v>
      </c>
      <c r="H991" s="551"/>
      <c r="I991" s="417">
        <f>ROUND(G991*$C991,0)</f>
        <v>0</v>
      </c>
      <c r="K991" s="417">
        <f>ROUND(G991*$E991,0)</f>
        <v>0</v>
      </c>
      <c r="M991" s="496">
        <f t="shared" si="409"/>
        <v>15.56</v>
      </c>
      <c r="N991" s="551"/>
      <c r="O991" s="417">
        <f>ROUND(M991*$E991,0)</f>
        <v>0</v>
      </c>
      <c r="P991" s="417"/>
      <c r="T991" s="439">
        <f t="shared" si="410"/>
        <v>1.0389610389610393E-2</v>
      </c>
      <c r="AD991" s="400">
        <f>K991-[25]Blocking1!O991</f>
        <v>0</v>
      </c>
    </row>
    <row r="992" spans="1:30">
      <c r="A992" s="432" t="s">
        <v>400</v>
      </c>
      <c r="C992" s="433">
        <v>0</v>
      </c>
      <c r="E992" s="406">
        <f>ROUND(C992*$E$1006/$C$1006,0)</f>
        <v>0</v>
      </c>
      <c r="G992" s="496">
        <f>[25]Blocking1!M992</f>
        <v>11.08</v>
      </c>
      <c r="H992" s="551"/>
      <c r="I992" s="417">
        <f>ROUND(G992*$C992,0)</f>
        <v>0</v>
      </c>
      <c r="K992" s="417">
        <f>ROUND(G992*$E992,0)</f>
        <v>0</v>
      </c>
      <c r="M992" s="496">
        <f t="shared" si="409"/>
        <v>11.19</v>
      </c>
      <c r="N992" s="551"/>
      <c r="O992" s="417">
        <f>ROUND(M992*$E992,0)</f>
        <v>0</v>
      </c>
      <c r="P992" s="417"/>
      <c r="T992" s="439">
        <f t="shared" si="410"/>
        <v>9.9277978339349371E-3</v>
      </c>
      <c r="AD992" s="400">
        <f>K992-[25]Blocking1!O992</f>
        <v>0</v>
      </c>
    </row>
    <row r="993" spans="1:30">
      <c r="A993" s="432" t="s">
        <v>346</v>
      </c>
      <c r="C993" s="433">
        <v>0</v>
      </c>
      <c r="E993" s="406">
        <f>ROUND(C993*$E$1006/$C$1006,0)</f>
        <v>0</v>
      </c>
      <c r="G993" s="496">
        <f>[25]Blocking1!M993</f>
        <v>-1.1200000000000001</v>
      </c>
      <c r="H993" s="551"/>
      <c r="I993" s="417">
        <f>ROUND(G993*$C993,0)</f>
        <v>0</v>
      </c>
      <c r="K993" s="417">
        <f>ROUND(G993*$E993,0)</f>
        <v>0</v>
      </c>
      <c r="M993" s="496">
        <f t="shared" si="409"/>
        <v>-1.1299999999999999</v>
      </c>
      <c r="N993" s="551"/>
      <c r="O993" s="417">
        <f>ROUND(M993*$E993,0)</f>
        <v>0</v>
      </c>
      <c r="P993" s="417"/>
      <c r="T993" s="439">
        <f t="shared" si="410"/>
        <v>8.9285714285711748E-3</v>
      </c>
      <c r="AD993" s="400">
        <f>K993-[25]Blocking1!O993</f>
        <v>0</v>
      </c>
    </row>
    <row r="994" spans="1:30">
      <c r="A994" s="432" t="s">
        <v>315</v>
      </c>
      <c r="C994" s="433">
        <v>0</v>
      </c>
      <c r="E994" s="406">
        <f>ROUND(C994*$E$1006/($C$1006-$C$1005),0)</f>
        <v>0</v>
      </c>
      <c r="G994" s="547">
        <f>[25]Blocking1!M994</f>
        <v>4.9961000000000002</v>
      </c>
      <c r="H994" s="462" t="s">
        <v>305</v>
      </c>
      <c r="I994" s="417">
        <f>ROUND(G994*$C994/100,0)</f>
        <v>0</v>
      </c>
      <c r="K994" s="417">
        <f>ROUND(G994*$E994/100,0)</f>
        <v>0</v>
      </c>
      <c r="M994" s="547">
        <f t="shared" si="409"/>
        <v>5.0473999999999997</v>
      </c>
      <c r="N994" s="462" t="s">
        <v>305</v>
      </c>
      <c r="O994" s="417">
        <f>ROUND(M994*$E994/100,0)</f>
        <v>0</v>
      </c>
      <c r="P994" s="417"/>
      <c r="R994" s="502"/>
      <c r="T994" s="439">
        <f t="shared" si="410"/>
        <v>1.0268009047056603E-2</v>
      </c>
      <c r="AD994" s="400">
        <f>K994-[25]Blocking1!O994</f>
        <v>0</v>
      </c>
    </row>
    <row r="995" spans="1:30">
      <c r="A995" s="432" t="s">
        <v>366</v>
      </c>
      <c r="C995" s="433">
        <v>0</v>
      </c>
      <c r="E995" s="406">
        <f t="shared" ref="E995:E996" si="411">ROUND(C995*$E$1006/($C$1006-$C$1005),0)</f>
        <v>0</v>
      </c>
      <c r="G995" s="547">
        <f>[25]Blocking1!M995</f>
        <v>3.9108999999999998</v>
      </c>
      <c r="H995" s="462" t="s">
        <v>305</v>
      </c>
      <c r="I995" s="417">
        <f>ROUND(G995*$C995/100,0)</f>
        <v>0</v>
      </c>
      <c r="K995" s="417">
        <f>ROUND(G995*$E995/100,0)</f>
        <v>0</v>
      </c>
      <c r="M995" s="547">
        <f t="shared" si="409"/>
        <v>3.9510999999999998</v>
      </c>
      <c r="N995" s="462" t="s">
        <v>305</v>
      </c>
      <c r="O995" s="417">
        <f>ROUND(M995*$E995/100,0)</f>
        <v>0</v>
      </c>
      <c r="P995" s="417"/>
      <c r="T995" s="439">
        <f t="shared" si="410"/>
        <v>1.0278963921348083E-2</v>
      </c>
      <c r="AD995" s="400">
        <f>K995-[25]Blocking1!O995</f>
        <v>0</v>
      </c>
    </row>
    <row r="996" spans="1:30">
      <c r="A996" s="432" t="s">
        <v>401</v>
      </c>
      <c r="C996" s="433">
        <v>0</v>
      </c>
      <c r="E996" s="406">
        <f t="shared" si="411"/>
        <v>0</v>
      </c>
      <c r="G996" s="547">
        <f>[25]Blocking1!M996</f>
        <v>3.3640999999999996</v>
      </c>
      <c r="H996" s="462" t="s">
        <v>305</v>
      </c>
      <c r="I996" s="417">
        <f>ROUND(G996*$C996/100,0)</f>
        <v>0</v>
      </c>
      <c r="K996" s="417">
        <f>ROUND(G996*$E996/100,0)</f>
        <v>0</v>
      </c>
      <c r="M996" s="547">
        <f t="shared" si="409"/>
        <v>3.4001999999999999</v>
      </c>
      <c r="N996" s="462" t="s">
        <v>305</v>
      </c>
      <c r="O996" s="417">
        <f>ROUND(M996*$E996/100,0)</f>
        <v>0</v>
      </c>
      <c r="P996" s="417"/>
      <c r="S996" s="502"/>
      <c r="T996" s="439">
        <f t="shared" si="410"/>
        <v>1.0730953301031576E-2</v>
      </c>
      <c r="AD996" s="400">
        <f>K996-[25]Blocking1!O996</f>
        <v>0</v>
      </c>
    </row>
    <row r="997" spans="1:30">
      <c r="A997" s="428" t="s">
        <v>524</v>
      </c>
      <c r="C997" s="433"/>
      <c r="E997" s="581"/>
      <c r="G997" s="496"/>
      <c r="H997" s="462"/>
      <c r="I997" s="417"/>
      <c r="K997" s="417"/>
      <c r="M997" s="496"/>
      <c r="N997" s="462"/>
      <c r="O997" s="417"/>
      <c r="P997" s="497"/>
      <c r="AD997" s="400">
        <f>K997-[25]Blocking1!O997</f>
        <v>0</v>
      </c>
    </row>
    <row r="998" spans="1:30">
      <c r="A998" s="432" t="s">
        <v>398</v>
      </c>
      <c r="C998" s="433">
        <f>'[25]31'!K3</f>
        <v>0</v>
      </c>
      <c r="E998" s="406">
        <f>ROUND(C998*$E$1006/$C$1006,0)</f>
        <v>0</v>
      </c>
      <c r="G998" s="496">
        <f>[25]Blocking1!M998</f>
        <v>2.19</v>
      </c>
      <c r="H998" s="551"/>
      <c r="I998" s="417">
        <f>ROUND(G998*$C998,0)</f>
        <v>0</v>
      </c>
      <c r="K998" s="417">
        <f>ROUND(G998*$E998,0)</f>
        <v>0</v>
      </c>
      <c r="M998" s="496">
        <f t="shared" ref="M998:M1003" si="412">M876</f>
        <v>2.2200000000000002</v>
      </c>
      <c r="N998" s="551"/>
      <c r="O998" s="417">
        <f>ROUND(M998*$E998,0)</f>
        <v>0</v>
      </c>
      <c r="P998" s="497"/>
      <c r="T998" s="439">
        <f t="shared" ref="T998:T1003" si="413">M998/G998-1</f>
        <v>1.3698630136986356E-2</v>
      </c>
      <c r="AD998" s="400">
        <f>K998-[25]Blocking1!O998</f>
        <v>0</v>
      </c>
    </row>
    <row r="999" spans="1:30">
      <c r="A999" s="432" t="s">
        <v>399</v>
      </c>
      <c r="C999" s="433">
        <f>'[25]31'!Q3</f>
        <v>0</v>
      </c>
      <c r="E999" s="406">
        <f>ROUND(C999*$E$1006/$C$1006,0)</f>
        <v>0</v>
      </c>
      <c r="G999" s="496">
        <f>[25]Blocking1!M999</f>
        <v>13.75</v>
      </c>
      <c r="H999" s="551"/>
      <c r="I999" s="417">
        <f>ROUND(G999*$C999,0)</f>
        <v>0</v>
      </c>
      <c r="K999" s="417">
        <f>ROUND(G999*$E999,0)</f>
        <v>0</v>
      </c>
      <c r="M999" s="496">
        <f t="shared" si="412"/>
        <v>13.96</v>
      </c>
      <c r="N999" s="551"/>
      <c r="O999" s="417">
        <f>ROUND(M999*$E999,0)</f>
        <v>0</v>
      </c>
      <c r="P999" s="497"/>
      <c r="T999" s="439">
        <f t="shared" si="413"/>
        <v>1.5272727272727327E-2</v>
      </c>
      <c r="AD999" s="400">
        <f>K999-[25]Blocking1!O999</f>
        <v>0</v>
      </c>
    </row>
    <row r="1000" spans="1:30">
      <c r="A1000" s="432" t="s">
        <v>400</v>
      </c>
      <c r="C1000" s="433">
        <f>'[25]31'!R3</f>
        <v>0</v>
      </c>
      <c r="E1000" s="406">
        <f>ROUND(C1000*$E$1006/$C$1006,0)</f>
        <v>0</v>
      </c>
      <c r="G1000" s="496">
        <f>[25]Blocking1!M1000</f>
        <v>9.32</v>
      </c>
      <c r="H1000" s="551"/>
      <c r="I1000" s="417">
        <f>ROUND(G1000*$C1000,0)</f>
        <v>0</v>
      </c>
      <c r="K1000" s="417">
        <f>ROUND(G1000*$E1000,0)</f>
        <v>0</v>
      </c>
      <c r="M1000" s="496">
        <f t="shared" si="412"/>
        <v>9.4700000000000006</v>
      </c>
      <c r="N1000" s="551"/>
      <c r="O1000" s="417">
        <f>ROUND(M1000*$E1000,0)</f>
        <v>0</v>
      </c>
      <c r="P1000" s="497"/>
      <c r="T1000" s="439">
        <f t="shared" si="413"/>
        <v>1.6094420600858417E-2</v>
      </c>
      <c r="AD1000" s="400">
        <f>K1000-[25]Blocking1!O1000</f>
        <v>0</v>
      </c>
    </row>
    <row r="1001" spans="1:30">
      <c r="A1001" s="432" t="s">
        <v>403</v>
      </c>
      <c r="C1001" s="433">
        <f>'[25]31'!U3</f>
        <v>672000</v>
      </c>
      <c r="E1001" s="406">
        <f>ROUND(C1001*$E$1006/($C$1006-$C$1005),0)</f>
        <v>246801</v>
      </c>
      <c r="G1001" s="576">
        <f>[25]Blocking1!M1001</f>
        <v>4.5818000000000003</v>
      </c>
      <c r="H1001" s="462" t="s">
        <v>305</v>
      </c>
      <c r="I1001" s="417">
        <f>ROUND(G1001*$C1001/100,0)</f>
        <v>30790</v>
      </c>
      <c r="K1001" s="417">
        <f>ROUND(G1001*$E1001/100,0)</f>
        <v>11308</v>
      </c>
      <c r="M1001" s="576">
        <f t="shared" si="412"/>
        <v>4.6531000000000002</v>
      </c>
      <c r="N1001" s="462" t="s">
        <v>305</v>
      </c>
      <c r="O1001" s="417">
        <f>ROUND(M1001*$E1001/100,0)</f>
        <v>11484</v>
      </c>
      <c r="T1001" s="439">
        <f t="shared" si="413"/>
        <v>1.556156968876854E-2</v>
      </c>
      <c r="AD1001" s="400">
        <f>K1001-[25]Blocking1!O1001</f>
        <v>0</v>
      </c>
    </row>
    <row r="1002" spans="1:30">
      <c r="A1002" s="432" t="s">
        <v>404</v>
      </c>
      <c r="C1002" s="433">
        <f>'[25]31'!V3</f>
        <v>3710000</v>
      </c>
      <c r="E1002" s="406">
        <f>ROUND(C1002*$E$1006/($C$1006-$C$1005),0)</f>
        <v>1362547</v>
      </c>
      <c r="G1002" s="576">
        <f>[25]Blocking1!M1002</f>
        <v>3.4453</v>
      </c>
      <c r="H1002" s="462" t="s">
        <v>305</v>
      </c>
      <c r="I1002" s="417">
        <f>ROUND(G1002*$C1002/100,0)</f>
        <v>127821</v>
      </c>
      <c r="K1002" s="417">
        <f>ROUND(G1002*$E1002/100,0)</f>
        <v>46944</v>
      </c>
      <c r="M1002" s="576">
        <f t="shared" si="412"/>
        <v>3.4988999999999999</v>
      </c>
      <c r="N1002" s="462" t="s">
        <v>305</v>
      </c>
      <c r="O1002" s="417">
        <f>ROUND(M1002*$E1002/100,0)</f>
        <v>47674</v>
      </c>
      <c r="T1002" s="439">
        <f t="shared" si="413"/>
        <v>1.5557426058688595E-2</v>
      </c>
      <c r="AD1002" s="400">
        <f>K1002-[25]Blocking1!O1002</f>
        <v>0</v>
      </c>
    </row>
    <row r="1003" spans="1:30">
      <c r="A1003" s="432" t="s">
        <v>401</v>
      </c>
      <c r="C1003" s="682">
        <f>'[25]31'!W3</f>
        <v>5619000</v>
      </c>
      <c r="E1003" s="683">
        <f>E1006-SUM(E994:E996,E1001:E1002)</f>
        <v>2063652</v>
      </c>
      <c r="G1003" s="676">
        <f>[25]Blocking1!M1003</f>
        <v>2.8776999999999999</v>
      </c>
      <c r="H1003" s="462" t="s">
        <v>305</v>
      </c>
      <c r="I1003" s="619">
        <f>ROUND(G1003*$C1003/100,0)</f>
        <v>161698</v>
      </c>
      <c r="K1003" s="619">
        <f>ROUND(G1003*$E1003/100,0)</f>
        <v>59386</v>
      </c>
      <c r="M1003" s="676">
        <f t="shared" si="412"/>
        <v>2.9224999999999999</v>
      </c>
      <c r="N1003" s="462" t="s">
        <v>305</v>
      </c>
      <c r="O1003" s="619">
        <f>ROUND(M1003*$E1003/100,0)</f>
        <v>60310</v>
      </c>
      <c r="T1003" s="439">
        <f t="shared" si="413"/>
        <v>1.5567988324008741E-2</v>
      </c>
      <c r="AD1003" s="400">
        <f>K1003-[25]Blocking1!O1003</f>
        <v>0</v>
      </c>
    </row>
    <row r="1004" spans="1:30">
      <c r="A1004" s="432" t="s">
        <v>511</v>
      </c>
      <c r="C1004" s="459"/>
      <c r="E1004" s="621"/>
      <c r="G1004" s="678"/>
      <c r="H1004" s="462"/>
      <c r="I1004" s="497">
        <f>SUM(I990:I1003)</f>
        <v>320309</v>
      </c>
      <c r="K1004" s="497">
        <f>SUM(K990:K1003)</f>
        <v>117638</v>
      </c>
      <c r="M1004" s="679"/>
      <c r="N1004" s="462"/>
      <c r="O1004" s="497">
        <f>SUM(O990:O1003)</f>
        <v>119468</v>
      </c>
      <c r="Q1004" s="416" t="s">
        <v>601</v>
      </c>
      <c r="R1004" s="518">
        <f t="shared" ref="R1004:R1006" si="414">O1004/K1004-1</f>
        <v>1.5556197827232721E-2</v>
      </c>
      <c r="T1004" s="439"/>
      <c r="AD1004" s="400">
        <f>K1004-[25]Blocking1!O1004</f>
        <v>0</v>
      </c>
    </row>
    <row r="1005" spans="1:30">
      <c r="A1005" s="404" t="s">
        <v>190</v>
      </c>
      <c r="C1005" s="681">
        <f>'[25]Table 2'!J79</f>
        <v>88815</v>
      </c>
      <c r="E1005" s="681">
        <v>0</v>
      </c>
      <c r="G1005" s="547"/>
      <c r="H1005" s="572"/>
      <c r="I1005" s="506">
        <f>'[25]Table 3'!F79</f>
        <v>10706</v>
      </c>
      <c r="K1005" s="506">
        <v>0</v>
      </c>
      <c r="M1005" s="558"/>
      <c r="N1005" s="572"/>
      <c r="O1005" s="506">
        <v>0</v>
      </c>
      <c r="P1005" s="684"/>
      <c r="AD1005" s="400">
        <f>K1005-[25]Blocking1!O1005</f>
        <v>0</v>
      </c>
    </row>
    <row r="1006" spans="1:30" ht="16.5" thickBot="1">
      <c r="A1006" s="432" t="s">
        <v>525</v>
      </c>
      <c r="C1006" s="549">
        <f>C1005+C994+C995+C996+C1001+C1002+C1003</f>
        <v>10089815</v>
      </c>
      <c r="E1006" s="559">
        <f>[25]Energy!P44</f>
        <v>3673000</v>
      </c>
      <c r="G1006" s="532"/>
      <c r="I1006" s="533">
        <f>I987+I1004+I1005</f>
        <v>1193407</v>
      </c>
      <c r="K1006" s="533">
        <f>K987+K1004+K1005</f>
        <v>436675</v>
      </c>
      <c r="M1006" s="534"/>
      <c r="O1006" s="533">
        <f>O987+O1004+O1005</f>
        <v>443580</v>
      </c>
      <c r="P1006" s="684"/>
      <c r="Q1006" s="416" t="s">
        <v>601</v>
      </c>
      <c r="R1006" s="518">
        <f t="shared" si="414"/>
        <v>1.581267533062336E-2</v>
      </c>
      <c r="AD1006" s="400">
        <f>K1006-[25]Blocking1!O1006</f>
        <v>0</v>
      </c>
    </row>
    <row r="1007" spans="1:30" ht="16.5" thickTop="1">
      <c r="P1007" s="417"/>
      <c r="T1007" s="667"/>
      <c r="AD1007" s="400">
        <f>K1007-[25]Blocking1!O1007</f>
        <v>0</v>
      </c>
    </row>
    <row r="1008" spans="1:30">
      <c r="A1008" s="428" t="s">
        <v>683</v>
      </c>
      <c r="C1008" s="406"/>
      <c r="E1008" s="406"/>
      <c r="G1008" s="547"/>
      <c r="H1008" s="572"/>
      <c r="M1008" s="558"/>
      <c r="N1008" s="572"/>
      <c r="P1008" s="417"/>
      <c r="Q1008" s="502"/>
      <c r="R1008" s="502"/>
      <c r="S1008" s="667"/>
      <c r="AD1008" s="400">
        <f>K1008-[25]Blocking1!O1008</f>
        <v>0</v>
      </c>
    </row>
    <row r="1009" spans="1:30">
      <c r="A1009" s="656" t="s">
        <v>513</v>
      </c>
      <c r="C1009" s="406"/>
      <c r="E1009" s="406"/>
      <c r="P1009" s="417"/>
      <c r="Q1009" s="516"/>
      <c r="R1009" s="560"/>
      <c r="T1009" s="667"/>
      <c r="AD1009" s="400">
        <f>K1009-[25]Blocking1!O1009</f>
        <v>0</v>
      </c>
    </row>
    <row r="1010" spans="1:30">
      <c r="A1010" s="432" t="s">
        <v>514</v>
      </c>
      <c r="C1010" s="433">
        <v>0</v>
      </c>
      <c r="E1010" s="550">
        <f>ROUND(C1010/($C$1010+$C$1023+$C$1036)*[25]Bill!$P$68,0)</f>
        <v>0</v>
      </c>
      <c r="G1010" s="434">
        <f>[25]Blocking1!M1010</f>
        <v>131</v>
      </c>
      <c r="H1010" s="435"/>
      <c r="I1010" s="417">
        <f>ROUND(G1010*$C1010,0)</f>
        <v>0</v>
      </c>
      <c r="K1010" s="417">
        <f>ROUND(G1010*$E1010,0)</f>
        <v>0</v>
      </c>
      <c r="M1010" s="434">
        <f>M827</f>
        <v>133</v>
      </c>
      <c r="N1010" s="435"/>
      <c r="O1010" s="417">
        <f>ROUND(M1010*$E1010,0)</f>
        <v>0</v>
      </c>
      <c r="S1010" s="667"/>
      <c r="T1010" s="439">
        <f>M1010/G1010-1</f>
        <v>1.5267175572519109E-2</v>
      </c>
      <c r="AD1010" s="400">
        <f>K1010-[25]Blocking1!O1010</f>
        <v>0</v>
      </c>
    </row>
    <row r="1011" spans="1:30">
      <c r="A1011" s="432" t="s">
        <v>515</v>
      </c>
      <c r="C1011" s="433">
        <v>0</v>
      </c>
      <c r="E1011" s="406">
        <f>ROUND(C1011*$E$1067/$C$1067,0)</f>
        <v>0</v>
      </c>
      <c r="G1011" s="434">
        <f>[25]Blocking1!M1011</f>
        <v>5.52</v>
      </c>
      <c r="H1011" s="435"/>
      <c r="I1011" s="417">
        <f>ROUND(G1011*$C1011,0)</f>
        <v>0</v>
      </c>
      <c r="K1011" s="417">
        <f>ROUND(G1011*$E1011,0)</f>
        <v>0</v>
      </c>
      <c r="M1011" s="434">
        <f>M828</f>
        <v>5.6</v>
      </c>
      <c r="N1011" s="435"/>
      <c r="O1011" s="417">
        <f>ROUND(M1011*$E1011,0)</f>
        <v>0</v>
      </c>
      <c r="P1011" s="417"/>
      <c r="Q1011" s="672"/>
      <c r="R1011" s="560"/>
      <c r="S1011" s="667"/>
      <c r="T1011" s="439">
        <f>M1011/G1011-1</f>
        <v>1.449275362318847E-2</v>
      </c>
      <c r="AD1011" s="400">
        <f>K1011-[25]Blocking1!O1011</f>
        <v>0</v>
      </c>
    </row>
    <row r="1012" spans="1:30">
      <c r="A1012" s="432" t="s">
        <v>516</v>
      </c>
      <c r="C1012" s="406"/>
      <c r="E1012" s="406"/>
      <c r="G1012" s="496"/>
      <c r="H1012" s="551"/>
      <c r="I1012" s="417"/>
      <c r="K1012" s="417"/>
      <c r="M1012" s="496"/>
      <c r="N1012" s="551"/>
      <c r="O1012" s="417"/>
      <c r="P1012" s="417"/>
      <c r="Q1012" s="516"/>
      <c r="S1012" s="667"/>
      <c r="T1012" s="667"/>
      <c r="AD1012" s="400">
        <f>K1012-[25]Blocking1!O1012</f>
        <v>0</v>
      </c>
    </row>
    <row r="1013" spans="1:30">
      <c r="A1013" s="432" t="s">
        <v>517</v>
      </c>
      <c r="C1013" s="433">
        <v>0</v>
      </c>
      <c r="E1013" s="406">
        <f>ROUND(C1013*$E$1067/$C$1067,0)</f>
        <v>0</v>
      </c>
      <c r="G1013" s="668"/>
      <c r="H1013" s="669"/>
      <c r="I1013" s="417"/>
      <c r="K1013" s="417"/>
      <c r="M1013" s="668"/>
      <c r="N1013" s="669"/>
      <c r="O1013" s="417"/>
      <c r="P1013" s="417"/>
      <c r="Q1013" s="516"/>
      <c r="R1013" s="560"/>
      <c r="T1013" s="439"/>
      <c r="AD1013" s="400">
        <f>K1013-[25]Blocking1!O1013</f>
        <v>0</v>
      </c>
    </row>
    <row r="1014" spans="1:30">
      <c r="A1014" s="432" t="s">
        <v>677</v>
      </c>
      <c r="C1014" s="433"/>
      <c r="E1014" s="406"/>
      <c r="G1014" s="434">
        <f>[25]Blocking1!M1014</f>
        <v>0.87</v>
      </c>
      <c r="H1014" s="669"/>
      <c r="I1014" s="417">
        <f t="shared" ref="I1014:I1015" si="415">ROUND(G1014*$C1014,0)</f>
        <v>0</v>
      </c>
      <c r="K1014" s="417">
        <f t="shared" ref="K1014:K1015" si="416">ROUND(G1014*$E1014,0)</f>
        <v>0</v>
      </c>
      <c r="M1014" s="434">
        <f>M831</f>
        <v>0.88</v>
      </c>
      <c r="N1014" s="669"/>
      <c r="O1014" s="417">
        <f t="shared" ref="O1014:O1021" si="417">ROUND(M1014*$E1014,0)</f>
        <v>0</v>
      </c>
      <c r="P1014" s="417"/>
      <c r="Q1014" s="516"/>
      <c r="R1014" s="560"/>
      <c r="T1014" s="439">
        <f t="shared" ref="T1014:T1015" si="418">M1014/G1014-1</f>
        <v>1.1494252873563315E-2</v>
      </c>
      <c r="AD1014" s="400">
        <f>K1014-[25]Blocking1!O1014</f>
        <v>0</v>
      </c>
    </row>
    <row r="1015" spans="1:30">
      <c r="A1015" s="432" t="s">
        <v>678</v>
      </c>
      <c r="C1015" s="433"/>
      <c r="E1015" s="406"/>
      <c r="G1015" s="434">
        <f>[25]Blocking1!M1015</f>
        <v>0.61</v>
      </c>
      <c r="H1015" s="669"/>
      <c r="I1015" s="417">
        <f t="shared" si="415"/>
        <v>0</v>
      </c>
      <c r="K1015" s="417">
        <f t="shared" si="416"/>
        <v>0</v>
      </c>
      <c r="M1015" s="434">
        <f>M832</f>
        <v>0.62</v>
      </c>
      <c r="N1015" s="669"/>
      <c r="O1015" s="417">
        <f t="shared" si="417"/>
        <v>0</v>
      </c>
      <c r="P1015" s="417"/>
      <c r="Q1015" s="516"/>
      <c r="R1015" s="560"/>
      <c r="T1015" s="439">
        <f t="shared" si="418"/>
        <v>1.6393442622950838E-2</v>
      </c>
      <c r="AD1015" s="400">
        <f>K1015-[25]Blocking1!O1015</f>
        <v>0</v>
      </c>
    </row>
    <row r="1016" spans="1:30">
      <c r="A1016" s="432" t="s">
        <v>518</v>
      </c>
      <c r="C1016" s="433">
        <v>0</v>
      </c>
      <c r="E1016" s="406">
        <f>ROUND(C1016*$E$1067/$C$1067,0)</f>
        <v>0</v>
      </c>
      <c r="G1016" s="668"/>
      <c r="H1016" s="670"/>
      <c r="I1016" s="417"/>
      <c r="K1016" s="417"/>
      <c r="M1016" s="668"/>
      <c r="N1016" s="669"/>
      <c r="O1016" s="417"/>
      <c r="P1016" s="417"/>
      <c r="AD1016" s="400">
        <f>K1016-[25]Blocking1!O1016</f>
        <v>0</v>
      </c>
    </row>
    <row r="1017" spans="1:30">
      <c r="A1017" s="432" t="s">
        <v>677</v>
      </c>
      <c r="C1017" s="433"/>
      <c r="E1017" s="406"/>
      <c r="G1017" s="671">
        <f>[25]Blocking1!M1017</f>
        <v>0.435</v>
      </c>
      <c r="H1017" s="670"/>
      <c r="I1017" s="417">
        <f t="shared" ref="I1017:I1018" si="419">ROUND(G1017*$C1017,0)</f>
        <v>0</v>
      </c>
      <c r="K1017" s="417">
        <f t="shared" ref="K1017:K1018" si="420">ROUND(G1017*$E1017,0)</f>
        <v>0</v>
      </c>
      <c r="M1017" s="671">
        <f>M834</f>
        <v>0.44</v>
      </c>
      <c r="N1017" s="669"/>
      <c r="O1017" s="417">
        <f t="shared" si="417"/>
        <v>0</v>
      </c>
      <c r="P1017" s="417"/>
      <c r="T1017" s="439">
        <f t="shared" ref="T1017:T1018" si="421">M1017/G1017-1</f>
        <v>1.1494252873563315E-2</v>
      </c>
      <c r="AD1017" s="400">
        <f>K1017-[25]Blocking1!O1017</f>
        <v>0</v>
      </c>
    </row>
    <row r="1018" spans="1:30">
      <c r="A1018" s="432" t="s">
        <v>678</v>
      </c>
      <c r="C1018" s="433"/>
      <c r="E1018" s="406"/>
      <c r="G1018" s="671">
        <f>[25]Blocking1!M1018</f>
        <v>0.30499999999999999</v>
      </c>
      <c r="H1018" s="670"/>
      <c r="I1018" s="417">
        <f t="shared" si="419"/>
        <v>0</v>
      </c>
      <c r="K1018" s="417">
        <f t="shared" si="420"/>
        <v>0</v>
      </c>
      <c r="M1018" s="671">
        <f>M835</f>
        <v>0.31</v>
      </c>
      <c r="N1018" s="669"/>
      <c r="O1018" s="417">
        <f t="shared" si="417"/>
        <v>0</v>
      </c>
      <c r="P1018" s="417"/>
      <c r="T1018" s="439">
        <f t="shared" si="421"/>
        <v>1.6393442622950838E-2</v>
      </c>
      <c r="AD1018" s="400">
        <f>K1018-[25]Blocking1!O1018</f>
        <v>0</v>
      </c>
    </row>
    <row r="1019" spans="1:30">
      <c r="A1019" s="432" t="s">
        <v>519</v>
      </c>
      <c r="C1019" s="433">
        <v>0</v>
      </c>
      <c r="E1019" s="406">
        <f>ROUND(C1019*$E$1067/$C$1067,0)</f>
        <v>0</v>
      </c>
      <c r="G1019" s="668"/>
      <c r="H1019" s="435"/>
      <c r="I1019" s="417"/>
      <c r="K1019" s="417"/>
      <c r="M1019" s="668"/>
      <c r="N1019" s="669"/>
      <c r="O1019" s="417"/>
      <c r="P1019" s="417"/>
      <c r="S1019" s="667"/>
      <c r="AD1019" s="400">
        <f>K1019-[25]Blocking1!O1019</f>
        <v>0</v>
      </c>
    </row>
    <row r="1020" spans="1:30">
      <c r="A1020" s="432" t="s">
        <v>677</v>
      </c>
      <c r="C1020" s="433"/>
      <c r="E1020" s="406"/>
      <c r="G1020" s="434">
        <f>[25]Blocking1!M1020</f>
        <v>40.22</v>
      </c>
      <c r="H1020" s="435"/>
      <c r="I1020" s="417">
        <f t="shared" ref="I1020:I1021" si="422">ROUND(G1020*$C1020,0)</f>
        <v>0</v>
      </c>
      <c r="K1020" s="417">
        <f t="shared" ref="K1020:K1021" si="423">ROUND(G1020*$E1020,0)</f>
        <v>0</v>
      </c>
      <c r="M1020" s="434">
        <f>M837</f>
        <v>40.81</v>
      </c>
      <c r="N1020" s="669"/>
      <c r="O1020" s="417">
        <f t="shared" si="417"/>
        <v>0</v>
      </c>
      <c r="P1020" s="417"/>
      <c r="S1020" s="667"/>
      <c r="T1020" s="439">
        <f t="shared" ref="T1020:T1021" si="424">M1020/G1020-1</f>
        <v>1.4669318746892257E-2</v>
      </c>
      <c r="AD1020" s="400">
        <f>K1020-[25]Blocking1!O1020</f>
        <v>0</v>
      </c>
    </row>
    <row r="1021" spans="1:30">
      <c r="A1021" s="432" t="s">
        <v>678</v>
      </c>
      <c r="C1021" s="433"/>
      <c r="E1021" s="406"/>
      <c r="G1021" s="434">
        <f>[25]Blocking1!M1021</f>
        <v>31.58</v>
      </c>
      <c r="H1021" s="435"/>
      <c r="I1021" s="417">
        <f t="shared" si="422"/>
        <v>0</v>
      </c>
      <c r="K1021" s="417">
        <f t="shared" si="423"/>
        <v>0</v>
      </c>
      <c r="M1021" s="434">
        <f>M838</f>
        <v>32.04</v>
      </c>
      <c r="N1021" s="669"/>
      <c r="O1021" s="417">
        <f t="shared" si="417"/>
        <v>0</v>
      </c>
      <c r="P1021" s="417"/>
      <c r="S1021" s="667"/>
      <c r="T1021" s="439">
        <f t="shared" si="424"/>
        <v>1.4566181127295685E-2</v>
      </c>
      <c r="AD1021" s="400">
        <f>K1021-[25]Blocking1!O1021</f>
        <v>0</v>
      </c>
    </row>
    <row r="1022" spans="1:30">
      <c r="A1022" s="656" t="s">
        <v>520</v>
      </c>
      <c r="C1022" s="406"/>
      <c r="E1022" s="406"/>
      <c r="M1022" s="404"/>
      <c r="P1022" s="417"/>
      <c r="Q1022" s="516"/>
      <c r="R1022" s="560"/>
      <c r="T1022" s="667"/>
      <c r="AD1022" s="400">
        <f>K1022-[25]Blocking1!O1022</f>
        <v>0</v>
      </c>
    </row>
    <row r="1023" spans="1:30">
      <c r="A1023" s="432" t="s">
        <v>514</v>
      </c>
      <c r="C1023" s="433">
        <v>0</v>
      </c>
      <c r="E1023" s="550">
        <f>ROUND(C1023/($C$1010+$C$1023+$C$1036)*[25]Bill!$P$68,0)</f>
        <v>0</v>
      </c>
      <c r="G1023" s="434">
        <f>[25]Blocking1!M1023</f>
        <v>596</v>
      </c>
      <c r="H1023" s="435"/>
      <c r="I1023" s="417">
        <f>ROUND(G1023*$C1023,0)</f>
        <v>0</v>
      </c>
      <c r="K1023" s="417">
        <f>ROUND(G1023*$E1023,0)</f>
        <v>0</v>
      </c>
      <c r="M1023" s="434">
        <f>M840</f>
        <v>605</v>
      </c>
      <c r="N1023" s="435"/>
      <c r="O1023" s="417">
        <f>ROUND(M1023*$E1023,0)</f>
        <v>0</v>
      </c>
      <c r="S1023" s="667"/>
      <c r="T1023" s="439">
        <f t="shared" ref="T1023:T1024" si="425">M1023/G1023-1</f>
        <v>1.5100671140939603E-2</v>
      </c>
      <c r="AD1023" s="400">
        <f>K1023-[25]Blocking1!O1023</f>
        <v>0</v>
      </c>
    </row>
    <row r="1024" spans="1:30">
      <c r="A1024" s="432" t="s">
        <v>515</v>
      </c>
      <c r="C1024" s="433">
        <v>0</v>
      </c>
      <c r="E1024" s="406">
        <f>ROUND(C1024*$E$1067/$C$1067,0)</f>
        <v>0</v>
      </c>
      <c r="G1024" s="434">
        <f>[25]Blocking1!M1024</f>
        <v>4.3999999999999995</v>
      </c>
      <c r="H1024" s="435"/>
      <c r="I1024" s="417">
        <f>ROUND(G1024*$C1024,0)</f>
        <v>0</v>
      </c>
      <c r="K1024" s="417">
        <f>ROUND(G1024*$E1024,0)</f>
        <v>0</v>
      </c>
      <c r="M1024" s="434">
        <f>M841</f>
        <v>4.46</v>
      </c>
      <c r="N1024" s="435"/>
      <c r="O1024" s="417">
        <f>ROUND(M1024*$E1024,0)</f>
        <v>0</v>
      </c>
      <c r="P1024" s="417"/>
      <c r="Q1024" s="672"/>
      <c r="R1024" s="560"/>
      <c r="T1024" s="439">
        <f t="shared" si="425"/>
        <v>1.3636363636363669E-2</v>
      </c>
      <c r="AD1024" s="400">
        <f>K1024-[25]Blocking1!O1024</f>
        <v>0</v>
      </c>
    </row>
    <row r="1025" spans="1:30">
      <c r="A1025" s="432" t="s">
        <v>516</v>
      </c>
      <c r="C1025" s="433"/>
      <c r="E1025" s="406"/>
      <c r="G1025" s="496"/>
      <c r="H1025" s="435"/>
      <c r="I1025" s="417"/>
      <c r="K1025" s="417"/>
      <c r="M1025" s="496"/>
      <c r="N1025" s="435"/>
      <c r="O1025" s="417"/>
      <c r="P1025" s="417"/>
      <c r="Q1025" s="516"/>
      <c r="S1025" s="667"/>
      <c r="T1025" s="667"/>
      <c r="AD1025" s="400">
        <f>K1025-[25]Blocking1!O1025</f>
        <v>0</v>
      </c>
    </row>
    <row r="1026" spans="1:30">
      <c r="A1026" s="432" t="s">
        <v>517</v>
      </c>
      <c r="C1026" s="433">
        <v>0</v>
      </c>
      <c r="E1026" s="406">
        <f>ROUND(C1026*$E$1067/$C$1067,0)</f>
        <v>0</v>
      </c>
      <c r="G1026" s="668"/>
      <c r="H1026" s="669"/>
      <c r="I1026" s="417"/>
      <c r="K1026" s="417"/>
      <c r="M1026" s="668"/>
      <c r="N1026" s="669"/>
      <c r="O1026" s="417"/>
      <c r="P1026" s="417"/>
      <c r="Q1026" s="516"/>
      <c r="R1026" s="560"/>
      <c r="T1026" s="439"/>
      <c r="AD1026" s="400">
        <f>K1026-[25]Blocking1!O1026</f>
        <v>0</v>
      </c>
    </row>
    <row r="1027" spans="1:30">
      <c r="A1027" s="432" t="s">
        <v>677</v>
      </c>
      <c r="C1027" s="433"/>
      <c r="E1027" s="406"/>
      <c r="G1027" s="434">
        <f>[25]Blocking1!M1027</f>
        <v>0.85</v>
      </c>
      <c r="H1027" s="669"/>
      <c r="I1027" s="417">
        <f t="shared" ref="I1027:I1028" si="426">ROUND(G1027*$C1027,0)</f>
        <v>0</v>
      </c>
      <c r="K1027" s="417">
        <f t="shared" ref="K1027:K1028" si="427">ROUND(G1027*$E1027,0)</f>
        <v>0</v>
      </c>
      <c r="M1027" s="434">
        <f>M844</f>
        <v>0.86</v>
      </c>
      <c r="N1027" s="669"/>
      <c r="O1027" s="417">
        <f t="shared" ref="O1027:O1034" si="428">ROUND(M1027*$E1027,0)</f>
        <v>0</v>
      </c>
      <c r="P1027" s="417"/>
      <c r="Q1027" s="516"/>
      <c r="R1027" s="560"/>
      <c r="T1027" s="439">
        <f t="shared" ref="T1027:T1028" si="429">M1027/G1027-1</f>
        <v>1.1764705882352899E-2</v>
      </c>
      <c r="AD1027" s="400">
        <f>K1027-[25]Blocking1!O1027</f>
        <v>0</v>
      </c>
    </row>
    <row r="1028" spans="1:30">
      <c r="A1028" s="432" t="s">
        <v>678</v>
      </c>
      <c r="C1028" s="433"/>
      <c r="E1028" s="406"/>
      <c r="G1028" s="434">
        <f>[25]Blocking1!M1028</f>
        <v>0.59</v>
      </c>
      <c r="H1028" s="669"/>
      <c r="I1028" s="417">
        <f t="shared" si="426"/>
        <v>0</v>
      </c>
      <c r="K1028" s="417">
        <f t="shared" si="427"/>
        <v>0</v>
      </c>
      <c r="M1028" s="434">
        <f>M845</f>
        <v>0.6</v>
      </c>
      <c r="N1028" s="669"/>
      <c r="O1028" s="417">
        <f t="shared" si="428"/>
        <v>0</v>
      </c>
      <c r="P1028" s="417"/>
      <c r="Q1028" s="516"/>
      <c r="R1028" s="560"/>
      <c r="T1028" s="439">
        <f t="shared" si="429"/>
        <v>1.6949152542372836E-2</v>
      </c>
      <c r="AD1028" s="400">
        <f>K1028-[25]Blocking1!O1028</f>
        <v>0</v>
      </c>
    </row>
    <row r="1029" spans="1:30">
      <c r="A1029" s="432" t="s">
        <v>518</v>
      </c>
      <c r="C1029" s="433">
        <v>0</v>
      </c>
      <c r="E1029" s="406">
        <f>ROUND(C1029*$E$1067/$C$1067,0)</f>
        <v>0</v>
      </c>
      <c r="G1029" s="668"/>
      <c r="H1029" s="670"/>
      <c r="I1029" s="417"/>
      <c r="K1029" s="417"/>
      <c r="M1029" s="668"/>
      <c r="N1029" s="669"/>
      <c r="O1029" s="417"/>
      <c r="P1029" s="417"/>
      <c r="S1029" s="440"/>
      <c r="AD1029" s="400">
        <f>K1029-[25]Blocking1!O1029</f>
        <v>0</v>
      </c>
    </row>
    <row r="1030" spans="1:30">
      <c r="A1030" s="432" t="s">
        <v>677</v>
      </c>
      <c r="C1030" s="433"/>
      <c r="E1030" s="406"/>
      <c r="G1030" s="671">
        <f>[25]Blocking1!M1030</f>
        <v>0.42499999999999999</v>
      </c>
      <c r="H1030" s="670"/>
      <c r="I1030" s="417">
        <f t="shared" ref="I1030:I1031" si="430">ROUND(G1030*$C1030,0)</f>
        <v>0</v>
      </c>
      <c r="K1030" s="417">
        <f t="shared" ref="K1030:K1031" si="431">ROUND(G1030*$E1030,0)</f>
        <v>0</v>
      </c>
      <c r="M1030" s="671">
        <f>M847</f>
        <v>0.43</v>
      </c>
      <c r="N1030" s="669"/>
      <c r="O1030" s="417">
        <f t="shared" si="428"/>
        <v>0</v>
      </c>
      <c r="P1030" s="417"/>
      <c r="S1030" s="440"/>
      <c r="T1030" s="439">
        <f t="shared" ref="T1030:T1031" si="432">M1030/G1030-1</f>
        <v>1.1764705882352899E-2</v>
      </c>
      <c r="AD1030" s="400">
        <f>K1030-[25]Blocking1!O1030</f>
        <v>0</v>
      </c>
    </row>
    <row r="1031" spans="1:30">
      <c r="A1031" s="432" t="s">
        <v>678</v>
      </c>
      <c r="C1031" s="433"/>
      <c r="E1031" s="406"/>
      <c r="G1031" s="671">
        <f>[25]Blocking1!M1031</f>
        <v>0.29499999999999998</v>
      </c>
      <c r="H1031" s="670"/>
      <c r="I1031" s="417">
        <f t="shared" si="430"/>
        <v>0</v>
      </c>
      <c r="K1031" s="417">
        <f t="shared" si="431"/>
        <v>0</v>
      </c>
      <c r="M1031" s="671">
        <f>M848</f>
        <v>0.3</v>
      </c>
      <c r="N1031" s="669"/>
      <c r="O1031" s="417">
        <f t="shared" si="428"/>
        <v>0</v>
      </c>
      <c r="P1031" s="417"/>
      <c r="S1031" s="440"/>
      <c r="T1031" s="439">
        <f t="shared" si="432"/>
        <v>1.6949152542372836E-2</v>
      </c>
      <c r="AD1031" s="400">
        <f>K1031-[25]Blocking1!O1031</f>
        <v>0</v>
      </c>
    </row>
    <row r="1032" spans="1:30">
      <c r="A1032" s="432" t="s">
        <v>519</v>
      </c>
      <c r="C1032" s="433">
        <v>0</v>
      </c>
      <c r="E1032" s="406">
        <f>ROUND(C1032*$E$1067/$C$1067,0)</f>
        <v>0</v>
      </c>
      <c r="G1032" s="668"/>
      <c r="H1032" s="435"/>
      <c r="I1032" s="417"/>
      <c r="K1032" s="417"/>
      <c r="M1032" s="668"/>
      <c r="N1032" s="669"/>
      <c r="O1032" s="417"/>
      <c r="P1032" s="417"/>
      <c r="AD1032" s="400">
        <f>K1032-[25]Blocking1!O1032</f>
        <v>0</v>
      </c>
    </row>
    <row r="1033" spans="1:30">
      <c r="A1033" s="432" t="s">
        <v>677</v>
      </c>
      <c r="C1033" s="433"/>
      <c r="E1033" s="406"/>
      <c r="G1033" s="434">
        <f>[25]Blocking1!M1033</f>
        <v>37.979999999999997</v>
      </c>
      <c r="H1033" s="435"/>
      <c r="I1033" s="417">
        <f t="shared" ref="I1033:I1034" si="433">ROUND(G1033*$C1033,0)</f>
        <v>0</v>
      </c>
      <c r="K1033" s="417">
        <f t="shared" ref="K1033:K1034" si="434">ROUND(G1033*$E1033,0)</f>
        <v>0</v>
      </c>
      <c r="M1033" s="434">
        <f>M850</f>
        <v>38.54</v>
      </c>
      <c r="N1033" s="669"/>
      <c r="O1033" s="417">
        <f t="shared" si="428"/>
        <v>0</v>
      </c>
      <c r="P1033" s="417"/>
      <c r="T1033" s="439">
        <f t="shared" ref="T1033:T1034" si="435">M1033/G1033-1</f>
        <v>1.4744602422327668E-2</v>
      </c>
      <c r="AD1033" s="400">
        <f>K1033-[25]Blocking1!O1033</f>
        <v>0</v>
      </c>
    </row>
    <row r="1034" spans="1:30">
      <c r="A1034" s="432" t="s">
        <v>678</v>
      </c>
      <c r="C1034" s="433"/>
      <c r="E1034" s="406"/>
      <c r="G1034" s="434">
        <f>[25]Blocking1!M1034</f>
        <v>29.34</v>
      </c>
      <c r="H1034" s="435"/>
      <c r="I1034" s="417">
        <f t="shared" si="433"/>
        <v>0</v>
      </c>
      <c r="K1034" s="417">
        <f t="shared" si="434"/>
        <v>0</v>
      </c>
      <c r="M1034" s="434">
        <f>M851</f>
        <v>29.77</v>
      </c>
      <c r="N1034" s="669"/>
      <c r="O1034" s="417">
        <f t="shared" si="428"/>
        <v>0</v>
      </c>
      <c r="P1034" s="417"/>
      <c r="T1034" s="439">
        <f t="shared" si="435"/>
        <v>1.4655760054532951E-2</v>
      </c>
      <c r="AD1034" s="400">
        <f>K1034-[25]Blocking1!O1034</f>
        <v>0</v>
      </c>
    </row>
    <row r="1035" spans="1:30">
      <c r="A1035" s="656" t="s">
        <v>521</v>
      </c>
      <c r="C1035" s="433"/>
      <c r="E1035" s="406"/>
      <c r="M1035" s="404"/>
      <c r="P1035" s="417"/>
      <c r="Q1035" s="516"/>
      <c r="R1035" s="560"/>
      <c r="T1035" s="667"/>
      <c r="AD1035" s="400">
        <f>K1035-[25]Blocking1!O1035</f>
        <v>0</v>
      </c>
    </row>
    <row r="1036" spans="1:30">
      <c r="A1036" s="432" t="s">
        <v>514</v>
      </c>
      <c r="C1036" s="433">
        <f>'[25]31'!I4</f>
        <v>11.999990252883499</v>
      </c>
      <c r="E1036" s="550">
        <f>ROUND(C1036/($C$1010+$C$1023+$C$1036)*[25]Bill!$P$68,0)</f>
        <v>12</v>
      </c>
      <c r="G1036" s="434">
        <f>[25]Blocking1!M1036</f>
        <v>668</v>
      </c>
      <c r="H1036" s="435"/>
      <c r="I1036" s="417">
        <f>ROUND(G1036*$C1036,0)</f>
        <v>8016</v>
      </c>
      <c r="K1036" s="417">
        <f>ROUND(G1036*$E1036,0)</f>
        <v>8016</v>
      </c>
      <c r="M1036" s="434">
        <f>M853</f>
        <v>678</v>
      </c>
      <c r="N1036" s="435"/>
      <c r="O1036" s="417">
        <f>ROUND(M1036*$E1036,0)</f>
        <v>8136</v>
      </c>
      <c r="P1036" s="497"/>
      <c r="T1036" s="439">
        <f t="shared" ref="T1036:T1037" si="436">M1036/G1036-1</f>
        <v>1.4970059880239583E-2</v>
      </c>
      <c r="AD1036" s="400">
        <f>K1036-[25]Blocking1!O1036</f>
        <v>0</v>
      </c>
    </row>
    <row r="1037" spans="1:30">
      <c r="A1037" s="432" t="s">
        <v>515</v>
      </c>
      <c r="C1037" s="433">
        <f>'[25]31'!J4</f>
        <v>73800.003074517997</v>
      </c>
      <c r="E1037" s="406">
        <f>ROUND(C1037*$E$1067/$C$1067,0)</f>
        <v>73706</v>
      </c>
      <c r="G1037" s="434">
        <f>[25]Blocking1!M1037</f>
        <v>2.59</v>
      </c>
      <c r="H1037" s="515"/>
      <c r="I1037" s="417">
        <f>ROUND(G1037*$C1037,0)</f>
        <v>191142</v>
      </c>
      <c r="K1037" s="417">
        <f>ROUND(G1037*$E1037,0)</f>
        <v>190899</v>
      </c>
      <c r="M1037" s="434">
        <f>M854</f>
        <v>2.63</v>
      </c>
      <c r="N1037" s="515"/>
      <c r="O1037" s="417">
        <f>ROUND(M1037*$E1037,0)</f>
        <v>193847</v>
      </c>
      <c r="P1037" s="497"/>
      <c r="Q1037" s="672"/>
      <c r="R1037" s="560"/>
      <c r="T1037" s="439">
        <f t="shared" si="436"/>
        <v>1.5444015444015413E-2</v>
      </c>
      <c r="AD1037" s="400">
        <f>K1037-[25]Blocking1!O1037</f>
        <v>0</v>
      </c>
    </row>
    <row r="1038" spans="1:30">
      <c r="A1038" s="432" t="s">
        <v>516</v>
      </c>
      <c r="C1038" s="433"/>
      <c r="E1038" s="406"/>
      <c r="G1038" s="496"/>
      <c r="H1038" s="551"/>
      <c r="I1038" s="417"/>
      <c r="K1038" s="417"/>
      <c r="M1038" s="496"/>
      <c r="N1038" s="551"/>
      <c r="O1038" s="417"/>
      <c r="P1038" s="497"/>
      <c r="Q1038" s="516"/>
      <c r="T1038" s="667"/>
      <c r="AD1038" s="400">
        <f>K1038-[25]Blocking1!O1038</f>
        <v>0</v>
      </c>
    </row>
    <row r="1039" spans="1:30">
      <c r="A1039" s="432" t="s">
        <v>517</v>
      </c>
      <c r="C1039" s="433">
        <f>'[25]31'!M4</f>
        <v>215106.00527439601</v>
      </c>
      <c r="E1039" s="406">
        <f>ROUND(C1039*$E$1067/$C$1067,0)</f>
        <v>214832</v>
      </c>
      <c r="G1039" s="668"/>
      <c r="H1039" s="669"/>
      <c r="I1039" s="417"/>
      <c r="K1039" s="417"/>
      <c r="M1039" s="668"/>
      <c r="N1039" s="669"/>
      <c r="O1039" s="417"/>
      <c r="P1039" s="497"/>
      <c r="Q1039" s="516"/>
      <c r="R1039" s="560"/>
      <c r="T1039" s="439"/>
      <c r="AD1039" s="400">
        <f>K1039-[25]Blocking1!O1039</f>
        <v>0</v>
      </c>
    </row>
    <row r="1040" spans="1:30">
      <c r="A1040" s="432" t="s">
        <v>677</v>
      </c>
      <c r="C1040" s="433">
        <f>'[25]31'!N17</f>
        <v>175501.988010862</v>
      </c>
      <c r="E1040" s="406">
        <f>ROUND(C1040*$E$1067/$C$1067,0)</f>
        <v>175278</v>
      </c>
      <c r="G1040" s="434">
        <f>[25]Blocking1!M1040</f>
        <v>0.75</v>
      </c>
      <c r="H1040" s="669"/>
      <c r="I1040" s="417">
        <f t="shared" ref="I1040:I1041" si="437">ROUND(G1040*$C1040,0)</f>
        <v>131626</v>
      </c>
      <c r="K1040" s="417">
        <f t="shared" ref="K1040:K1041" si="438">ROUND(G1040*$E1040,0)</f>
        <v>131459</v>
      </c>
      <c r="M1040" s="434">
        <f>M857</f>
        <v>0.76</v>
      </c>
      <c r="N1040" s="669"/>
      <c r="O1040" s="417">
        <f t="shared" ref="O1040:O1047" si="439">ROUND(M1040*$E1040,0)</f>
        <v>133211</v>
      </c>
      <c r="P1040" s="497"/>
      <c r="Q1040" s="516"/>
      <c r="R1040" s="560"/>
      <c r="T1040" s="439">
        <f t="shared" ref="T1040:T1041" si="440">M1040/G1040-1</f>
        <v>1.3333333333333419E-2</v>
      </c>
      <c r="AD1040" s="400">
        <f>K1040-[25]Blocking1!O1040</f>
        <v>0</v>
      </c>
    </row>
    <row r="1041" spans="1:30">
      <c r="A1041" s="432" t="s">
        <v>678</v>
      </c>
      <c r="C1041" s="433">
        <f>'[25]31'!N18</f>
        <v>39604.017263533897</v>
      </c>
      <c r="E1041" s="406">
        <f>E1039-E1040</f>
        <v>39554</v>
      </c>
      <c r="G1041" s="434">
        <f>[25]Blocking1!M1041</f>
        <v>0.5</v>
      </c>
      <c r="H1041" s="669"/>
      <c r="I1041" s="417">
        <f t="shared" si="437"/>
        <v>19802</v>
      </c>
      <c r="K1041" s="417">
        <f t="shared" si="438"/>
        <v>19777</v>
      </c>
      <c r="M1041" s="434">
        <f>M858</f>
        <v>0.51</v>
      </c>
      <c r="N1041" s="669"/>
      <c r="O1041" s="417">
        <f t="shared" si="439"/>
        <v>20173</v>
      </c>
      <c r="P1041" s="497"/>
      <c r="Q1041" s="516"/>
      <c r="R1041" s="560"/>
      <c r="T1041" s="439">
        <f t="shared" si="440"/>
        <v>2.0000000000000018E-2</v>
      </c>
      <c r="AD1041" s="400">
        <f>K1041-[25]Blocking1!O1041</f>
        <v>0</v>
      </c>
    </row>
    <row r="1042" spans="1:30">
      <c r="A1042" s="432" t="s">
        <v>518</v>
      </c>
      <c r="C1042" s="433">
        <f>'[25]31'!N4</f>
        <v>0</v>
      </c>
      <c r="E1042" s="406">
        <f>ROUND(C1042*$E$1067/$C$1067,0)</f>
        <v>0</v>
      </c>
      <c r="G1042" s="668"/>
      <c r="H1042" s="670"/>
      <c r="I1042" s="417"/>
      <c r="K1042" s="417"/>
      <c r="M1042" s="668"/>
      <c r="N1042" s="669"/>
      <c r="O1042" s="417"/>
      <c r="P1042" s="417"/>
      <c r="R1042" s="560"/>
      <c r="AD1042" s="400">
        <f>K1042-[25]Blocking1!O1042</f>
        <v>0</v>
      </c>
    </row>
    <row r="1043" spans="1:30">
      <c r="A1043" s="432" t="s">
        <v>677</v>
      </c>
      <c r="C1043" s="433"/>
      <c r="E1043" s="406"/>
      <c r="G1043" s="671">
        <f>[25]Blocking1!M1043</f>
        <v>0.375</v>
      </c>
      <c r="H1043" s="670"/>
      <c r="I1043" s="417">
        <f t="shared" ref="I1043:I1044" si="441">ROUND(G1043*$C1043,0)</f>
        <v>0</v>
      </c>
      <c r="K1043" s="417">
        <f t="shared" ref="K1043:K1044" si="442">ROUND(G1043*$E1043,0)</f>
        <v>0</v>
      </c>
      <c r="M1043" s="671">
        <f>M860</f>
        <v>0.38</v>
      </c>
      <c r="N1043" s="669"/>
      <c r="O1043" s="417">
        <f t="shared" si="439"/>
        <v>0</v>
      </c>
      <c r="P1043" s="417"/>
      <c r="R1043" s="560"/>
      <c r="T1043" s="439">
        <f t="shared" ref="T1043:T1044" si="443">M1043/G1043-1</f>
        <v>1.3333333333333419E-2</v>
      </c>
      <c r="AD1043" s="400">
        <f>K1043-[25]Blocking1!O1043</f>
        <v>0</v>
      </c>
    </row>
    <row r="1044" spans="1:30">
      <c r="A1044" s="432" t="s">
        <v>678</v>
      </c>
      <c r="C1044" s="433"/>
      <c r="E1044" s="406"/>
      <c r="G1044" s="671">
        <f>[25]Blocking1!M1044</f>
        <v>0.25</v>
      </c>
      <c r="H1044" s="670"/>
      <c r="I1044" s="417">
        <f t="shared" si="441"/>
        <v>0</v>
      </c>
      <c r="K1044" s="417">
        <f t="shared" si="442"/>
        <v>0</v>
      </c>
      <c r="M1044" s="671">
        <f>M861</f>
        <v>0.255</v>
      </c>
      <c r="N1044" s="669"/>
      <c r="O1044" s="417">
        <f t="shared" si="439"/>
        <v>0</v>
      </c>
      <c r="P1044" s="417"/>
      <c r="R1044" s="560"/>
      <c r="T1044" s="439">
        <f t="shared" si="443"/>
        <v>2.0000000000000018E-2</v>
      </c>
      <c r="AD1044" s="400">
        <f>K1044-[25]Blocking1!O1044</f>
        <v>0</v>
      </c>
    </row>
    <row r="1045" spans="1:30">
      <c r="A1045" s="432" t="s">
        <v>519</v>
      </c>
      <c r="C1045" s="433">
        <f>'[25]31'!O4</f>
        <v>0</v>
      </c>
      <c r="E1045" s="406">
        <f>ROUND(C1045*$E$1067/$C$1067,0)</f>
        <v>0</v>
      </c>
      <c r="G1045" s="668"/>
      <c r="H1045" s="435"/>
      <c r="I1045" s="417"/>
      <c r="K1045" s="417"/>
      <c r="M1045" s="668"/>
      <c r="N1045" s="669"/>
      <c r="O1045" s="417"/>
      <c r="P1045" s="417"/>
      <c r="AD1045" s="400">
        <f>K1045-[25]Blocking1!O1045</f>
        <v>0</v>
      </c>
    </row>
    <row r="1046" spans="1:30">
      <c r="A1046" s="432" t="s">
        <v>677</v>
      </c>
      <c r="C1046" s="433"/>
      <c r="E1046" s="406"/>
      <c r="G1046" s="434">
        <f>[25]Blocking1!M1046</f>
        <v>31.88</v>
      </c>
      <c r="H1046" s="435"/>
      <c r="I1046" s="417">
        <f t="shared" ref="I1046:I1047" si="444">ROUND(G1046*$C1046,0)</f>
        <v>0</v>
      </c>
      <c r="K1046" s="417">
        <f t="shared" ref="K1046:K1047" si="445">ROUND(G1046*$E1046,0)</f>
        <v>0</v>
      </c>
      <c r="M1046" s="434">
        <f>M863</f>
        <v>32.35</v>
      </c>
      <c r="N1046" s="669"/>
      <c r="O1046" s="417">
        <f t="shared" si="439"/>
        <v>0</v>
      </c>
      <c r="P1046" s="417"/>
      <c r="T1046" s="439">
        <f t="shared" ref="T1046:T1047" si="446">M1046/G1046-1</f>
        <v>1.4742785445420292E-2</v>
      </c>
      <c r="AD1046" s="400">
        <f>K1046-[25]Blocking1!O1046</f>
        <v>0</v>
      </c>
    </row>
    <row r="1047" spans="1:30">
      <c r="A1047" s="432" t="s">
        <v>678</v>
      </c>
      <c r="C1047" s="433"/>
      <c r="E1047" s="406"/>
      <c r="G1047" s="434">
        <f>[25]Blocking1!M1047</f>
        <v>23.02</v>
      </c>
      <c r="H1047" s="435"/>
      <c r="I1047" s="417">
        <f t="shared" si="444"/>
        <v>0</v>
      </c>
      <c r="K1047" s="417">
        <f t="shared" si="445"/>
        <v>0</v>
      </c>
      <c r="M1047" s="434">
        <f>M864</f>
        <v>23.36</v>
      </c>
      <c r="N1047" s="669"/>
      <c r="O1047" s="417">
        <f t="shared" si="439"/>
        <v>0</v>
      </c>
      <c r="P1047" s="417"/>
      <c r="T1047" s="439">
        <f t="shared" si="446"/>
        <v>1.476976542137276E-2</v>
      </c>
      <c r="AD1047" s="400">
        <f>K1047-[25]Blocking1!O1047</f>
        <v>0</v>
      </c>
    </row>
    <row r="1048" spans="1:30">
      <c r="A1048" s="432" t="s">
        <v>511</v>
      </c>
      <c r="C1048" s="681"/>
      <c r="E1048" s="681"/>
      <c r="G1048" s="547"/>
      <c r="H1048" s="572"/>
      <c r="I1048" s="506">
        <f>SUM(I1010:I1047)</f>
        <v>350586</v>
      </c>
      <c r="K1048" s="506">
        <f>SUM(K1010:K1047)</f>
        <v>350151</v>
      </c>
      <c r="L1048" s="506">
        <f>SUM(L1010:L1045)</f>
        <v>0</v>
      </c>
      <c r="M1048" s="547"/>
      <c r="N1048" s="506"/>
      <c r="O1048" s="506">
        <f>SUM(O1010:O1047)</f>
        <v>355367</v>
      </c>
      <c r="P1048" s="417"/>
      <c r="Q1048" s="416" t="s">
        <v>601</v>
      </c>
      <c r="R1048" s="518">
        <f>O1048/K1048-1</f>
        <v>1.4896430397171478E-2</v>
      </c>
      <c r="AD1048" s="400">
        <f>K1048-[25]Blocking1!O1048</f>
        <v>0</v>
      </c>
    </row>
    <row r="1049" spans="1:30">
      <c r="A1049" s="656" t="s">
        <v>522</v>
      </c>
      <c r="M1049" s="404"/>
      <c r="P1049" s="417"/>
      <c r="AD1049" s="400">
        <f>K1049-[25]Blocking1!O1049</f>
        <v>0</v>
      </c>
    </row>
    <row r="1050" spans="1:30">
      <c r="A1050" s="428" t="s">
        <v>523</v>
      </c>
      <c r="C1050" s="433"/>
      <c r="E1050" s="406"/>
      <c r="G1050" s="496"/>
      <c r="H1050" s="551"/>
      <c r="I1050" s="417"/>
      <c r="K1050" s="417"/>
      <c r="M1050" s="496"/>
      <c r="N1050" s="551"/>
      <c r="O1050" s="417"/>
      <c r="P1050" s="417"/>
      <c r="AD1050" s="400">
        <f>K1050-[25]Blocking1!O1050</f>
        <v>0</v>
      </c>
    </row>
    <row r="1051" spans="1:30">
      <c r="A1051" s="432" t="s">
        <v>398</v>
      </c>
      <c r="C1051" s="433">
        <v>0</v>
      </c>
      <c r="E1051" s="406">
        <f>ROUND(C1051*$E$1067/$C$1067,0)</f>
        <v>0</v>
      </c>
      <c r="G1051" s="496">
        <f>[25]Blocking1!M1051</f>
        <v>4.71</v>
      </c>
      <c r="H1051" s="551"/>
      <c r="I1051" s="417">
        <f>ROUND(G1051*$C1051,0)</f>
        <v>0</v>
      </c>
      <c r="K1051" s="417">
        <f>ROUND(G1051*$E1051,0)</f>
        <v>0</v>
      </c>
      <c r="M1051" s="496">
        <f t="shared" ref="M1051:M1057" si="447">M868</f>
        <v>4.76</v>
      </c>
      <c r="N1051" s="551"/>
      <c r="O1051" s="417">
        <f>ROUND(M1051*$E1051,0)</f>
        <v>0</v>
      </c>
      <c r="P1051" s="417"/>
      <c r="T1051" s="439">
        <f t="shared" ref="T1051:T1057" si="448">M1051/G1051-1</f>
        <v>1.0615711252653925E-2</v>
      </c>
      <c r="AD1051" s="400">
        <f>K1051-[25]Blocking1!O1051</f>
        <v>0</v>
      </c>
    </row>
    <row r="1052" spans="1:30">
      <c r="A1052" s="432" t="s">
        <v>399</v>
      </c>
      <c r="C1052" s="433">
        <v>0</v>
      </c>
      <c r="E1052" s="406">
        <f>ROUND(C1052*$E$1067/$C$1067,0)</f>
        <v>0</v>
      </c>
      <c r="G1052" s="496">
        <f>[25]Blocking1!M1052</f>
        <v>15.4</v>
      </c>
      <c r="H1052" s="551"/>
      <c r="I1052" s="417">
        <f>ROUND(G1052*$C1052,0)</f>
        <v>0</v>
      </c>
      <c r="K1052" s="417">
        <f>ROUND(G1052*$E1052,0)</f>
        <v>0</v>
      </c>
      <c r="M1052" s="496">
        <f t="shared" si="447"/>
        <v>15.56</v>
      </c>
      <c r="N1052" s="551"/>
      <c r="O1052" s="417">
        <f>ROUND(M1052*$E1052,0)</f>
        <v>0</v>
      </c>
      <c r="P1052" s="417"/>
      <c r="T1052" s="439">
        <f t="shared" si="448"/>
        <v>1.0389610389610393E-2</v>
      </c>
      <c r="AD1052" s="400">
        <f>K1052-[25]Blocking1!O1052</f>
        <v>0</v>
      </c>
    </row>
    <row r="1053" spans="1:30">
      <c r="A1053" s="432" t="s">
        <v>400</v>
      </c>
      <c r="C1053" s="433">
        <v>0</v>
      </c>
      <c r="E1053" s="406">
        <f>ROUND(C1053*$E$1067/$C$1067,0)</f>
        <v>0</v>
      </c>
      <c r="G1053" s="496">
        <f>[25]Blocking1!M1053</f>
        <v>11.08</v>
      </c>
      <c r="H1053" s="551"/>
      <c r="I1053" s="417">
        <f>ROUND(G1053*$C1053,0)</f>
        <v>0</v>
      </c>
      <c r="K1053" s="417">
        <f>ROUND(G1053*$E1053,0)</f>
        <v>0</v>
      </c>
      <c r="M1053" s="496">
        <f t="shared" si="447"/>
        <v>11.19</v>
      </c>
      <c r="N1053" s="551"/>
      <c r="O1053" s="417">
        <f>ROUND(M1053*$E1053,0)</f>
        <v>0</v>
      </c>
      <c r="P1053" s="417"/>
      <c r="T1053" s="439">
        <f t="shared" si="448"/>
        <v>9.9277978339349371E-3</v>
      </c>
      <c r="AD1053" s="400">
        <f>K1053-[25]Blocking1!O1053</f>
        <v>0</v>
      </c>
    </row>
    <row r="1054" spans="1:30">
      <c r="A1054" s="432" t="s">
        <v>346</v>
      </c>
      <c r="C1054" s="433">
        <v>0</v>
      </c>
      <c r="E1054" s="406">
        <f>ROUND(C1054*$E$1067/$C$1067,0)</f>
        <v>0</v>
      </c>
      <c r="G1054" s="496">
        <f>[25]Blocking1!M1054</f>
        <v>-1.1200000000000001</v>
      </c>
      <c r="H1054" s="551"/>
      <c r="I1054" s="417">
        <f>ROUND(G1054*$C1054,0)</f>
        <v>0</v>
      </c>
      <c r="K1054" s="417">
        <f>ROUND(G1054*$E1054,0)</f>
        <v>0</v>
      </c>
      <c r="M1054" s="496">
        <f t="shared" si="447"/>
        <v>-1.1299999999999999</v>
      </c>
      <c r="N1054" s="551"/>
      <c r="O1054" s="417">
        <f>ROUND(M1054*$E1054,0)</f>
        <v>0</v>
      </c>
      <c r="P1054" s="417"/>
      <c r="T1054" s="439">
        <f t="shared" si="448"/>
        <v>8.9285714285711748E-3</v>
      </c>
      <c r="AD1054" s="400">
        <f>K1054-[25]Blocking1!O1054</f>
        <v>0</v>
      </c>
    </row>
    <row r="1055" spans="1:30">
      <c r="A1055" s="432" t="s">
        <v>315</v>
      </c>
      <c r="C1055" s="433">
        <v>0</v>
      </c>
      <c r="E1055" s="406">
        <f>ROUND(C1055*$E$1067/($C$1067-$C$1066),0)</f>
        <v>0</v>
      </c>
      <c r="G1055" s="547">
        <f>[25]Blocking1!M1055</f>
        <v>4.9961000000000002</v>
      </c>
      <c r="H1055" s="462" t="s">
        <v>305</v>
      </c>
      <c r="I1055" s="417">
        <f>ROUND(G1055*$C1055/100,0)</f>
        <v>0</v>
      </c>
      <c r="K1055" s="417">
        <f>ROUND(G1055*$E1055/100,0)</f>
        <v>0</v>
      </c>
      <c r="M1055" s="547">
        <f t="shared" si="447"/>
        <v>5.0473999999999997</v>
      </c>
      <c r="N1055" s="462" t="s">
        <v>305</v>
      </c>
      <c r="O1055" s="417">
        <f>ROUND(M1055*$E1055/100,0)</f>
        <v>0</v>
      </c>
      <c r="P1055" s="417"/>
      <c r="R1055" s="502"/>
      <c r="T1055" s="439">
        <f t="shared" si="448"/>
        <v>1.0268009047056603E-2</v>
      </c>
      <c r="AD1055" s="400">
        <f>K1055-[25]Blocking1!O1055</f>
        <v>0</v>
      </c>
    </row>
    <row r="1056" spans="1:30">
      <c r="A1056" s="432" t="s">
        <v>366</v>
      </c>
      <c r="C1056" s="433">
        <v>0</v>
      </c>
      <c r="E1056" s="406">
        <f t="shared" ref="E1056:E1057" si="449">ROUND(C1056*$E$1067/($C$1067-$C$1066),0)</f>
        <v>0</v>
      </c>
      <c r="G1056" s="547">
        <f>[25]Blocking1!M1056</f>
        <v>3.9108999999999998</v>
      </c>
      <c r="H1056" s="462" t="s">
        <v>305</v>
      </c>
      <c r="I1056" s="417">
        <f>ROUND(G1056*$C1056/100,0)</f>
        <v>0</v>
      </c>
      <c r="K1056" s="417">
        <f>ROUND(G1056*$E1056/100,0)</f>
        <v>0</v>
      </c>
      <c r="M1056" s="547">
        <f t="shared" si="447"/>
        <v>3.9510999999999998</v>
      </c>
      <c r="N1056" s="462" t="s">
        <v>305</v>
      </c>
      <c r="O1056" s="417">
        <f>ROUND(M1056*$E1056/100,0)</f>
        <v>0</v>
      </c>
      <c r="P1056" s="417"/>
      <c r="T1056" s="439">
        <f t="shared" si="448"/>
        <v>1.0278963921348083E-2</v>
      </c>
      <c r="AD1056" s="400">
        <f>K1056-[25]Blocking1!O1056</f>
        <v>0</v>
      </c>
    </row>
    <row r="1057" spans="1:30">
      <c r="A1057" s="432" t="s">
        <v>401</v>
      </c>
      <c r="C1057" s="433">
        <v>0</v>
      </c>
      <c r="E1057" s="406">
        <f t="shared" si="449"/>
        <v>0</v>
      </c>
      <c r="G1057" s="547">
        <f>[25]Blocking1!M1057</f>
        <v>3.3640999999999996</v>
      </c>
      <c r="H1057" s="462" t="s">
        <v>305</v>
      </c>
      <c r="I1057" s="417">
        <f>ROUND(G1057*$C1057/100,0)</f>
        <v>0</v>
      </c>
      <c r="K1057" s="417">
        <f>ROUND(G1057*$E1057/100,0)</f>
        <v>0</v>
      </c>
      <c r="M1057" s="547">
        <f t="shared" si="447"/>
        <v>3.4001999999999999</v>
      </c>
      <c r="N1057" s="462" t="s">
        <v>305</v>
      </c>
      <c r="O1057" s="417">
        <f>ROUND(M1057*$E1057/100,0)</f>
        <v>0</v>
      </c>
      <c r="P1057" s="417"/>
      <c r="S1057" s="502"/>
      <c r="T1057" s="439">
        <f t="shared" si="448"/>
        <v>1.0730953301031576E-2</v>
      </c>
      <c r="AD1057" s="400">
        <f>K1057-[25]Blocking1!O1057</f>
        <v>0</v>
      </c>
    </row>
    <row r="1058" spans="1:30">
      <c r="A1058" s="428" t="s">
        <v>524</v>
      </c>
      <c r="C1058" s="433"/>
      <c r="E1058" s="581"/>
      <c r="G1058" s="496"/>
      <c r="H1058" s="462"/>
      <c r="I1058" s="417"/>
      <c r="K1058" s="417"/>
      <c r="M1058" s="496"/>
      <c r="N1058" s="462"/>
      <c r="O1058" s="417"/>
      <c r="P1058" s="497"/>
      <c r="AD1058" s="400">
        <f>K1058-[25]Blocking1!O1058</f>
        <v>0</v>
      </c>
    </row>
    <row r="1059" spans="1:30">
      <c r="A1059" s="432" t="s">
        <v>398</v>
      </c>
      <c r="C1059" s="433">
        <f>'[25]31'!K4</f>
        <v>103445.00135121599</v>
      </c>
      <c r="E1059" s="406">
        <f>ROUND(C1059*$E$1067/$C$1067,0)</f>
        <v>103313</v>
      </c>
      <c r="G1059" s="496">
        <f>[25]Blocking1!M1059</f>
        <v>2.19</v>
      </c>
      <c r="H1059" s="551"/>
      <c r="I1059" s="417">
        <f>ROUND(G1059*$C1059,0)</f>
        <v>226545</v>
      </c>
      <c r="K1059" s="417">
        <f>ROUND(G1059*$E1059,0)</f>
        <v>226255</v>
      </c>
      <c r="M1059" s="496">
        <f t="shared" ref="M1059:M1064" si="450">M876</f>
        <v>2.2200000000000002</v>
      </c>
      <c r="N1059" s="551"/>
      <c r="O1059" s="417">
        <f>ROUND(M1059*$E1059,0)</f>
        <v>229355</v>
      </c>
      <c r="P1059" s="497"/>
      <c r="T1059" s="439">
        <f t="shared" ref="T1059:T1064" si="451">M1059/G1059-1</f>
        <v>1.3698630136986356E-2</v>
      </c>
      <c r="AD1059" s="400">
        <f>K1059-[25]Blocking1!O1059</f>
        <v>0</v>
      </c>
    </row>
    <row r="1060" spans="1:30">
      <c r="A1060" s="432" t="s">
        <v>399</v>
      </c>
      <c r="C1060" s="433">
        <f>'[25]31'!Q4</f>
        <v>49554</v>
      </c>
      <c r="E1060" s="406">
        <f>ROUND(C1060*$E$1067/$C$1067,0)</f>
        <v>49491</v>
      </c>
      <c r="G1060" s="496">
        <f>[25]Blocking1!M1060</f>
        <v>13.75</v>
      </c>
      <c r="H1060" s="551"/>
      <c r="I1060" s="417">
        <f>ROUND(G1060*$C1060,0)</f>
        <v>681368</v>
      </c>
      <c r="K1060" s="417">
        <f>ROUND(G1060*$E1060,0)</f>
        <v>680501</v>
      </c>
      <c r="M1060" s="496">
        <f t="shared" si="450"/>
        <v>13.96</v>
      </c>
      <c r="N1060" s="551"/>
      <c r="O1060" s="417">
        <f>ROUND(M1060*$E1060,0)</f>
        <v>690894</v>
      </c>
      <c r="P1060" s="497"/>
      <c r="T1060" s="439">
        <f t="shared" si="451"/>
        <v>1.5272727272727327E-2</v>
      </c>
      <c r="AD1060" s="400">
        <f>K1060-[25]Blocking1!O1060</f>
        <v>0</v>
      </c>
    </row>
    <row r="1061" spans="1:30">
      <c r="A1061" s="432" t="s">
        <v>400</v>
      </c>
      <c r="C1061" s="433">
        <f>'[25]31'!R4</f>
        <v>50143.999635145403</v>
      </c>
      <c r="E1061" s="406">
        <f>ROUND(C1061*$E$1067/$C$1067,0)</f>
        <v>50080</v>
      </c>
      <c r="G1061" s="496">
        <f>[25]Blocking1!M1061</f>
        <v>9.32</v>
      </c>
      <c r="H1061" s="551"/>
      <c r="I1061" s="417">
        <f>ROUND(G1061*$C1061,0)</f>
        <v>467342</v>
      </c>
      <c r="K1061" s="417">
        <f>ROUND(G1061*$E1061,0)</f>
        <v>466746</v>
      </c>
      <c r="M1061" s="496">
        <f t="shared" si="450"/>
        <v>9.4700000000000006</v>
      </c>
      <c r="N1061" s="551"/>
      <c r="O1061" s="417">
        <f>ROUND(M1061*$E1061,0)</f>
        <v>474258</v>
      </c>
      <c r="P1061" s="497"/>
      <c r="T1061" s="439">
        <f t="shared" si="451"/>
        <v>1.6094420600858417E-2</v>
      </c>
      <c r="AD1061" s="400">
        <f>K1061-[25]Blocking1!O1061</f>
        <v>0</v>
      </c>
    </row>
    <row r="1062" spans="1:30">
      <c r="A1062" s="432" t="s">
        <v>403</v>
      </c>
      <c r="C1062" s="433">
        <f>'[25]31'!U4+[25]TempRev!C429</f>
        <v>7455144</v>
      </c>
      <c r="E1062" s="406">
        <f>ROUND(C1062*$E$1067/($C$1067-$C$1066),0)</f>
        <v>7400375</v>
      </c>
      <c r="G1062" s="576">
        <f>[25]Blocking1!M1062</f>
        <v>4.5818000000000003</v>
      </c>
      <c r="H1062" s="462" t="s">
        <v>305</v>
      </c>
      <c r="I1062" s="417">
        <f>ROUND(G1062*$C1062/100,0)</f>
        <v>341580</v>
      </c>
      <c r="K1062" s="417">
        <f>ROUND(G1062*$E1062/100,0)</f>
        <v>339070</v>
      </c>
      <c r="M1062" s="576">
        <f t="shared" si="450"/>
        <v>4.6531000000000002</v>
      </c>
      <c r="N1062" s="462" t="s">
        <v>305</v>
      </c>
      <c r="O1062" s="417">
        <f>ROUND(M1062*$E1062/100,0)</f>
        <v>344347</v>
      </c>
      <c r="T1062" s="439">
        <f t="shared" si="451"/>
        <v>1.556156968876854E-2</v>
      </c>
      <c r="AD1062" s="400">
        <f>K1062-[25]Blocking1!O1062</f>
        <v>0</v>
      </c>
    </row>
    <row r="1063" spans="1:30">
      <c r="A1063" s="432" t="s">
        <v>404</v>
      </c>
      <c r="C1063" s="433">
        <f>'[25]31'!V4+[25]TempRev!C430</f>
        <v>9606146</v>
      </c>
      <c r="E1063" s="406">
        <f>ROUND(C1063*$E$1067/($C$1067-$C$1066),0)</f>
        <v>9535574</v>
      </c>
      <c r="G1063" s="576">
        <f>[25]Blocking1!M1063</f>
        <v>3.4453</v>
      </c>
      <c r="H1063" s="462" t="s">
        <v>305</v>
      </c>
      <c r="I1063" s="417">
        <f>ROUND(G1063*$C1063/100,0)</f>
        <v>330961</v>
      </c>
      <c r="K1063" s="417">
        <f>ROUND(G1063*$E1063/100,0)</f>
        <v>328529</v>
      </c>
      <c r="M1063" s="576">
        <f t="shared" si="450"/>
        <v>3.4988999999999999</v>
      </c>
      <c r="N1063" s="462" t="s">
        <v>305</v>
      </c>
      <c r="O1063" s="417">
        <f>ROUND(M1063*$E1063/100,0)</f>
        <v>333640</v>
      </c>
      <c r="T1063" s="439">
        <f t="shared" si="451"/>
        <v>1.5557426058688595E-2</v>
      </c>
      <c r="AD1063" s="400">
        <f>K1063-[25]Blocking1!O1063</f>
        <v>0</v>
      </c>
    </row>
    <row r="1064" spans="1:30">
      <c r="A1064" s="432" t="s">
        <v>401</v>
      </c>
      <c r="C1064" s="682">
        <f>'[25]31'!W4+[25]TempRev!C431</f>
        <v>25853683.819308575</v>
      </c>
      <c r="E1064" s="683">
        <f>E1067-SUM(E1055:E1057,E1062:E1063)</f>
        <v>25663749.345819965</v>
      </c>
      <c r="G1064" s="676">
        <f>[25]Blocking1!M1064</f>
        <v>2.8776999999999999</v>
      </c>
      <c r="H1064" s="462" t="s">
        <v>305</v>
      </c>
      <c r="I1064" s="619">
        <f>ROUND(G1064*$C1064/100,0)</f>
        <v>743991</v>
      </c>
      <c r="K1064" s="619">
        <f>ROUND(G1064*$E1064/100,0)</f>
        <v>738526</v>
      </c>
      <c r="M1064" s="676">
        <f t="shared" si="450"/>
        <v>2.9224999999999999</v>
      </c>
      <c r="N1064" s="462" t="s">
        <v>305</v>
      </c>
      <c r="O1064" s="619">
        <f>ROUND(M1064*$E1064/100,0)</f>
        <v>750023</v>
      </c>
      <c r="T1064" s="439">
        <f t="shared" si="451"/>
        <v>1.5567988324008741E-2</v>
      </c>
      <c r="AD1064" s="400">
        <f>K1064-[25]Blocking1!O1064</f>
        <v>0</v>
      </c>
    </row>
    <row r="1065" spans="1:30">
      <c r="A1065" s="432" t="s">
        <v>511</v>
      </c>
      <c r="C1065" s="459"/>
      <c r="E1065" s="621"/>
      <c r="G1065" s="678"/>
      <c r="H1065" s="462"/>
      <c r="I1065" s="497">
        <f>SUM(I1051:I1064)</f>
        <v>2791787</v>
      </c>
      <c r="K1065" s="497">
        <f>SUM(K1051:K1064)</f>
        <v>2779627</v>
      </c>
      <c r="M1065" s="679"/>
      <c r="N1065" s="462"/>
      <c r="O1065" s="497">
        <f>SUM(O1051:O1064)</f>
        <v>2822517</v>
      </c>
      <c r="Q1065" s="416" t="s">
        <v>601</v>
      </c>
      <c r="R1065" s="518">
        <f t="shared" ref="R1065" si="452">O1065/K1065-1</f>
        <v>1.5430127855284193E-2</v>
      </c>
      <c r="T1065" s="439"/>
      <c r="AD1065" s="400">
        <f>K1065-[25]Blocking1!O1065</f>
        <v>0</v>
      </c>
    </row>
    <row r="1066" spans="1:30">
      <c r="A1066" s="404" t="s">
        <v>190</v>
      </c>
      <c r="C1066" s="681">
        <f>'[25]Table 2'!J144</f>
        <v>-260929</v>
      </c>
      <c r="E1066" s="681">
        <v>0</v>
      </c>
      <c r="G1066" s="547"/>
      <c r="H1066" s="572"/>
      <c r="I1066" s="506">
        <f>'[25]Table 3'!F144</f>
        <v>-13410</v>
      </c>
      <c r="K1066" s="506">
        <v>0</v>
      </c>
      <c r="M1066" s="558"/>
      <c r="N1066" s="572"/>
      <c r="O1066" s="506">
        <v>0</v>
      </c>
      <c r="P1066" s="684"/>
      <c r="AD1066" s="400">
        <f>K1066-[25]Blocking1!O1066</f>
        <v>0</v>
      </c>
    </row>
    <row r="1067" spans="1:30" ht="16.5" thickBot="1">
      <c r="A1067" s="432" t="s">
        <v>525</v>
      </c>
      <c r="C1067" s="549">
        <f>C1066+C1055+C1056+C1057+C1062+C1063+C1064</f>
        <v>42654044.819308579</v>
      </c>
      <c r="E1067" s="559">
        <f>[25]Energy!P68</f>
        <v>42599698.345819965</v>
      </c>
      <c r="G1067" s="532"/>
      <c r="I1067" s="533">
        <f>I1048+I1065+I1066</f>
        <v>3128963</v>
      </c>
      <c r="K1067" s="533">
        <f>K1048+K1065+K1066</f>
        <v>3129778</v>
      </c>
      <c r="M1067" s="534"/>
      <c r="O1067" s="533">
        <f>O1048+O1065+O1066</f>
        <v>3177884</v>
      </c>
      <c r="P1067" s="684"/>
      <c r="Q1067" s="416" t="s">
        <v>601</v>
      </c>
      <c r="R1067" s="518">
        <f t="shared" ref="R1067" si="453">O1067/K1067-1</f>
        <v>1.5370419243793121E-2</v>
      </c>
      <c r="AD1067" s="400">
        <f>K1067-[25]Blocking1!O1067</f>
        <v>0</v>
      </c>
    </row>
    <row r="1068" spans="1:30" ht="16.5" thickTop="1">
      <c r="P1068" s="684"/>
      <c r="AD1068" s="400">
        <f>K1068-[25]Blocking1!O1068</f>
        <v>0</v>
      </c>
    </row>
    <row r="1069" spans="1:30">
      <c r="A1069" s="428" t="s">
        <v>551</v>
      </c>
      <c r="C1069" s="406"/>
      <c r="E1069" s="406"/>
      <c r="P1069" s="530"/>
      <c r="AD1069" s="400">
        <f>K1069-[25]Blocking1!O1069</f>
        <v>0</v>
      </c>
    </row>
    <row r="1070" spans="1:30">
      <c r="A1070" s="432" t="s">
        <v>303</v>
      </c>
      <c r="C1070" s="433">
        <v>12</v>
      </c>
      <c r="E1070" s="550">
        <f>[25]Bill!P45</f>
        <v>12</v>
      </c>
      <c r="G1070" s="547"/>
      <c r="H1070" s="572"/>
      <c r="I1070" s="685">
        <f>K1070/E1070*C1070</f>
        <v>2667</v>
      </c>
      <c r="K1070" s="684">
        <f>[25]Blocking1!O1070</f>
        <v>2667</v>
      </c>
      <c r="M1070" s="558"/>
      <c r="N1070" s="572"/>
      <c r="O1070" s="684">
        <f>ROUND(K1070*(1+$R$1074),0)</f>
        <v>2694</v>
      </c>
      <c r="P1070" s="579"/>
      <c r="Q1070" s="437" t="s">
        <v>589</v>
      </c>
      <c r="R1070" s="438">
        <f>O1074</f>
        <v>27958751</v>
      </c>
      <c r="S1070" s="535"/>
      <c r="T1070" s="439"/>
      <c r="AD1070" s="400">
        <f>K1070-[25]Blocking1!O1070</f>
        <v>0</v>
      </c>
    </row>
    <row r="1071" spans="1:30">
      <c r="A1071" s="432" t="s">
        <v>526</v>
      </c>
      <c r="C1071" s="433">
        <f>[25]Nucor!N7</f>
        <v>1041000</v>
      </c>
      <c r="E1071" s="581">
        <f>ROUND(C1071*$E$1074/$C$1074,0)</f>
        <v>949050</v>
      </c>
      <c r="G1071" s="547"/>
      <c r="H1071" s="572"/>
      <c r="I1071" s="685">
        <f t="shared" ref="I1071:I1073" si="454">K1071/E1071*C1071</f>
        <v>12342090.734945472</v>
      </c>
      <c r="K1071" s="684">
        <f>[25]Blocking1!O1071</f>
        <v>11251932</v>
      </c>
      <c r="M1071" s="558"/>
      <c r="N1071" s="572"/>
      <c r="O1071" s="684">
        <f t="shared" ref="O1071:O1073" si="455">ROUND(K1071*(1+$R$1074),0)</f>
        <v>11364504</v>
      </c>
      <c r="P1071" s="579"/>
      <c r="Q1071" s="444" t="s">
        <v>593</v>
      </c>
      <c r="R1071" s="445">
        <f>[25]RateSpread2!M34*1000</f>
        <v>27958750</v>
      </c>
      <c r="S1071" s="535"/>
      <c r="T1071" s="439"/>
      <c r="AD1071" s="400">
        <f>K1071-[25]Blocking1!O1071</f>
        <v>0</v>
      </c>
    </row>
    <row r="1072" spans="1:30">
      <c r="A1072" s="432" t="s">
        <v>527</v>
      </c>
      <c r="C1072" s="433">
        <f>[25]Nucor!N14</f>
        <v>260217147</v>
      </c>
      <c r="E1072" s="581">
        <f>ROUND(C1072*$E$1074/$C$1074,0)</f>
        <v>237232647</v>
      </c>
      <c r="G1072" s="686"/>
      <c r="H1072" s="687"/>
      <c r="I1072" s="685">
        <f t="shared" si="454"/>
        <v>9354700.4100422096</v>
      </c>
      <c r="K1072" s="684">
        <f>[25]Blocking1!O1072</f>
        <v>8528417</v>
      </c>
      <c r="M1072" s="688"/>
      <c r="N1072" s="687"/>
      <c r="O1072" s="684">
        <f t="shared" si="455"/>
        <v>8613741</v>
      </c>
      <c r="P1072" s="530"/>
      <c r="Q1072" s="689" t="s">
        <v>159</v>
      </c>
      <c r="R1072" s="445">
        <f>R1071-R1070</f>
        <v>-1</v>
      </c>
      <c r="S1072" s="502"/>
      <c r="T1072" s="439"/>
      <c r="AD1072" s="400">
        <f>K1072-[25]Blocking1!O1072</f>
        <v>0</v>
      </c>
    </row>
    <row r="1073" spans="1:30">
      <c r="A1073" s="432" t="s">
        <v>528</v>
      </c>
      <c r="C1073" s="682">
        <f>[25]Nucor!N15</f>
        <v>327407853</v>
      </c>
      <c r="E1073" s="614">
        <f>E1074-E1072</f>
        <v>298488523</v>
      </c>
      <c r="I1073" s="690">
        <f t="shared" si="454"/>
        <v>8664068.1088241078</v>
      </c>
      <c r="K1073" s="691">
        <f>[25]Blocking1!O1073</f>
        <v>7898787</v>
      </c>
      <c r="O1073" s="691">
        <f t="shared" si="455"/>
        <v>7977812</v>
      </c>
      <c r="P1073" s="417"/>
      <c r="Q1073" s="463" t="s">
        <v>601</v>
      </c>
      <c r="R1073" s="536">
        <f>R1070/K1074-1</f>
        <v>1.0004695142147968E-2</v>
      </c>
      <c r="S1073" s="440"/>
      <c r="T1073" s="439"/>
      <c r="AD1073" s="400">
        <f>K1073-[25]Blocking1!O1073</f>
        <v>0</v>
      </c>
    </row>
    <row r="1074" spans="1:30" ht="16.5" thickBot="1">
      <c r="A1074" s="432" t="s">
        <v>314</v>
      </c>
      <c r="C1074" s="549">
        <f>SUM(C1072:C1073)</f>
        <v>587625000</v>
      </c>
      <c r="E1074" s="559">
        <f>[25]Energy!P45</f>
        <v>535721170</v>
      </c>
      <c r="G1074" s="692"/>
      <c r="H1074" s="572"/>
      <c r="I1074" s="693">
        <f>SUM(I1070:I1073)</f>
        <v>30363526.253811788</v>
      </c>
      <c r="K1074" s="693">
        <f>SUM(K1070:K1073)</f>
        <v>27681803</v>
      </c>
      <c r="M1074" s="694"/>
      <c r="N1074" s="572"/>
      <c r="O1074" s="693">
        <f>SUM(O1070:O1073)</f>
        <v>27958751</v>
      </c>
      <c r="P1074" s="579"/>
      <c r="Q1074" s="488" t="s">
        <v>603</v>
      </c>
      <c r="R1074" s="544">
        <f>R1071/K1074-1</f>
        <v>1.0004659017333495E-2</v>
      </c>
      <c r="T1074" s="439"/>
      <c r="AD1074" s="400">
        <f>K1074-[25]Blocking1!O1074</f>
        <v>0</v>
      </c>
    </row>
    <row r="1075" spans="1:30" ht="16.5" thickTop="1">
      <c r="C1075" s="406"/>
      <c r="E1075" s="406"/>
      <c r="I1075" s="695"/>
      <c r="K1075" s="695"/>
      <c r="O1075" s="695"/>
      <c r="P1075" s="497"/>
      <c r="Q1075" s="521"/>
      <c r="R1075" s="568"/>
      <c r="T1075" s="502"/>
      <c r="AD1075" s="400">
        <f>K1075-[25]Blocking1!O1075</f>
        <v>0</v>
      </c>
    </row>
    <row r="1076" spans="1:30">
      <c r="A1076" s="696" t="s">
        <v>552</v>
      </c>
      <c r="B1076" s="407"/>
      <c r="C1076" s="406"/>
      <c r="E1076" s="406"/>
      <c r="G1076" s="547"/>
      <c r="H1076" s="572"/>
      <c r="I1076" s="416"/>
      <c r="K1076" s="416"/>
      <c r="M1076" s="558"/>
      <c r="N1076" s="572"/>
      <c r="O1076" s="416"/>
      <c r="P1076" s="416"/>
      <c r="AD1076" s="400">
        <f>K1076-[25]Blocking1!O1076</f>
        <v>0</v>
      </c>
    </row>
    <row r="1077" spans="1:30">
      <c r="A1077" s="499" t="s">
        <v>303</v>
      </c>
      <c r="B1077" s="407"/>
      <c r="C1077" s="433">
        <v>12</v>
      </c>
      <c r="E1077" s="550">
        <f>[25]Bill!P46</f>
        <v>12</v>
      </c>
      <c r="I1077" s="416"/>
      <c r="K1077" s="416"/>
      <c r="O1077" s="416"/>
      <c r="P1077" s="684"/>
      <c r="Q1077" s="407"/>
      <c r="R1077" s="455"/>
      <c r="AD1077" s="400">
        <f>K1077-[25]Blocking1!O1077</f>
        <v>0</v>
      </c>
    </row>
    <row r="1078" spans="1:30">
      <c r="A1078" s="499" t="s">
        <v>684</v>
      </c>
      <c r="B1078" s="407"/>
      <c r="C1078" s="682">
        <f>[25]USMag!O39</f>
        <v>968926440</v>
      </c>
      <c r="E1078" s="550">
        <f>[25]Energy!P46-[25]Curtail!D26*1000</f>
        <v>795798675.78575754</v>
      </c>
      <c r="G1078" s="697"/>
      <c r="H1078" s="698"/>
      <c r="I1078" s="699">
        <f>[25]USMag!O41</f>
        <v>42690898.946400009</v>
      </c>
      <c r="K1078" s="417">
        <f>ROUND(I1078*E1078/C1078,0)</f>
        <v>35062890</v>
      </c>
      <c r="M1078" s="700"/>
      <c r="N1078" s="698"/>
      <c r="O1078" s="619">
        <f>K1078</f>
        <v>35062890</v>
      </c>
      <c r="P1078" s="684"/>
      <c r="Q1078" s="459"/>
      <c r="R1078" s="497"/>
      <c r="AD1078" s="400">
        <f>K1078-[25]Blocking1!O1078</f>
        <v>0</v>
      </c>
    </row>
    <row r="1079" spans="1:30" ht="16.5" thickBot="1">
      <c r="A1079" s="432" t="s">
        <v>314</v>
      </c>
      <c r="B1079" s="407"/>
      <c r="C1079" s="701">
        <f>C1078</f>
        <v>968926440</v>
      </c>
      <c r="E1079" s="701">
        <f>E1078</f>
        <v>795798675.78575754</v>
      </c>
      <c r="G1079" s="702"/>
      <c r="H1079" s="572"/>
      <c r="I1079" s="511">
        <f>I1078</f>
        <v>42690898.946400009</v>
      </c>
      <c r="K1079" s="703">
        <f>K1078</f>
        <v>35062890</v>
      </c>
      <c r="M1079" s="704"/>
      <c r="N1079" s="572"/>
      <c r="O1079" s="511">
        <f>O1078</f>
        <v>35062890</v>
      </c>
      <c r="P1079" s="684"/>
      <c r="Q1079" s="416" t="s">
        <v>601</v>
      </c>
      <c r="R1079" s="518">
        <f>O1079/K1079-1</f>
        <v>0</v>
      </c>
      <c r="AD1079" s="400">
        <f>K1079-[25]Blocking1!O1079</f>
        <v>0</v>
      </c>
    </row>
    <row r="1080" spans="1:30" ht="16.5" thickTop="1">
      <c r="A1080" s="499"/>
      <c r="B1080" s="407"/>
      <c r="C1080" s="621"/>
      <c r="E1080" s="621"/>
      <c r="G1080" s="655"/>
      <c r="H1080" s="705"/>
      <c r="I1080" s="497"/>
      <c r="K1080" s="497"/>
      <c r="M1080" s="705"/>
      <c r="N1080" s="705"/>
      <c r="O1080" s="497"/>
      <c r="P1080" s="684"/>
      <c r="Q1080" s="455"/>
      <c r="R1080" s="497"/>
      <c r="AD1080" s="400">
        <f>K1080-[25]Blocking1!O1080</f>
        <v>0</v>
      </c>
    </row>
    <row r="1081" spans="1:30">
      <c r="A1081" s="428" t="s">
        <v>553</v>
      </c>
      <c r="C1081" s="406"/>
      <c r="E1081" s="406"/>
      <c r="G1081" s="547"/>
      <c r="H1081" s="572"/>
      <c r="I1081" s="416"/>
      <c r="K1081" s="416"/>
      <c r="M1081" s="558"/>
      <c r="N1081" s="572"/>
      <c r="O1081" s="416"/>
      <c r="P1081" s="579"/>
      <c r="AD1081" s="400">
        <f>K1081-[25]Blocking1!O1081</f>
        <v>0</v>
      </c>
    </row>
    <row r="1082" spans="1:30">
      <c r="A1082" s="432" t="s">
        <v>303</v>
      </c>
      <c r="C1082" s="433">
        <f>[25]Kennecott!N25</f>
        <v>12</v>
      </c>
      <c r="E1082" s="550">
        <f>[25]Bill!P47</f>
        <v>12</v>
      </c>
      <c r="G1082" s="434"/>
      <c r="H1082" s="572"/>
      <c r="I1082" s="417">
        <f>I1104+I1126</f>
        <v>8016</v>
      </c>
      <c r="K1082" s="417">
        <f>K1104+K1126</f>
        <v>8016</v>
      </c>
      <c r="M1082" s="434"/>
      <c r="N1082" s="572"/>
      <c r="O1082" s="417">
        <f>O1104+O1126</f>
        <v>8136</v>
      </c>
      <c r="P1082" s="579"/>
      <c r="Q1082" s="666"/>
      <c r="T1082" s="439"/>
      <c r="AD1082" s="400">
        <f>K1082-[25]Blocking1!O1082</f>
        <v>0</v>
      </c>
    </row>
    <row r="1083" spans="1:30">
      <c r="A1083" s="432" t="s">
        <v>685</v>
      </c>
      <c r="C1083" s="433">
        <f>[25]Kennecott!N30</f>
        <v>711775</v>
      </c>
      <c r="E1083" s="581">
        <f>ROUND(C1083*$E$1101/$C$1101,0)</f>
        <v>422498</v>
      </c>
      <c r="G1083" s="434"/>
      <c r="H1083" s="572"/>
      <c r="I1083" s="417">
        <f>I1105+I1127</f>
        <v>1634710</v>
      </c>
      <c r="K1083" s="417">
        <f>K1105+K1127</f>
        <v>970337</v>
      </c>
      <c r="M1083" s="434"/>
      <c r="N1083" s="572"/>
      <c r="O1083" s="417">
        <f>O1105+O1127</f>
        <v>921045</v>
      </c>
      <c r="P1083" s="497"/>
      <c r="Q1083" s="416"/>
      <c r="R1083" s="439"/>
      <c r="T1083" s="439"/>
      <c r="AD1083" s="400">
        <f>K1083-[25]Blocking1!O1083</f>
        <v>0</v>
      </c>
    </row>
    <row r="1084" spans="1:30">
      <c r="A1084" s="432" t="s">
        <v>529</v>
      </c>
      <c r="C1084" s="433"/>
      <c r="E1084" s="581"/>
      <c r="G1084" s="496"/>
      <c r="H1084" s="706"/>
      <c r="I1084" s="684"/>
      <c r="K1084" s="684"/>
      <c r="M1084" s="496"/>
      <c r="N1084" s="706"/>
      <c r="O1084" s="684"/>
      <c r="P1084" s="497"/>
      <c r="Q1084" s="416"/>
      <c r="R1084" s="439"/>
      <c r="T1084" s="667"/>
      <c r="AD1084" s="400">
        <f>K1084-[25]Blocking1!O1084</f>
        <v>0</v>
      </c>
    </row>
    <row r="1085" spans="1:30">
      <c r="A1085" s="432" t="s">
        <v>517</v>
      </c>
      <c r="C1085" s="433">
        <f>[25]Kennecott!N35</f>
        <v>5787707</v>
      </c>
      <c r="E1085" s="581">
        <f t="shared" ref="E1085:E1091" si="456">ROUND(C1085*$E$1101/$C$1101,0)</f>
        <v>3435490</v>
      </c>
      <c r="G1085" s="668"/>
      <c r="H1085" s="669"/>
      <c r="I1085" s="417"/>
      <c r="K1085" s="417"/>
      <c r="M1085" s="668"/>
      <c r="N1085" s="572"/>
      <c r="O1085" s="417"/>
      <c r="P1085" s="497"/>
      <c r="Q1085" s="516"/>
      <c r="R1085" s="439"/>
      <c r="T1085" s="439"/>
      <c r="AD1085" s="400">
        <f>K1085-[25]Blocking1!O1085</f>
        <v>0</v>
      </c>
    </row>
    <row r="1086" spans="1:30">
      <c r="A1086" s="432" t="s">
        <v>677</v>
      </c>
      <c r="C1086" s="433">
        <f>SUM([25]Kennecott!B35:D35,[25]Kennecott!L35:M35)</f>
        <v>5481092</v>
      </c>
      <c r="E1086" s="581">
        <f t="shared" si="456"/>
        <v>3253488</v>
      </c>
      <c r="G1086" s="668"/>
      <c r="H1086" s="669"/>
      <c r="I1086" s="417">
        <f t="shared" ref="I1086:I1087" si="457">I1108+I1130</f>
        <v>3045733</v>
      </c>
      <c r="K1086" s="417">
        <f t="shared" ref="K1086:K1087" si="458">K1108+K1130</f>
        <v>1807898</v>
      </c>
      <c r="M1086" s="434"/>
      <c r="N1086" s="572"/>
      <c r="O1086" s="417">
        <f t="shared" ref="O1086:O1087" si="459">O1108+O1130</f>
        <v>1673920</v>
      </c>
      <c r="P1086" s="497"/>
      <c r="Q1086" s="516"/>
      <c r="R1086" s="439"/>
      <c r="T1086" s="439"/>
      <c r="AD1086" s="400">
        <f>K1086-[25]Blocking1!O1086</f>
        <v>0</v>
      </c>
    </row>
    <row r="1087" spans="1:30">
      <c r="A1087" s="432" t="s">
        <v>678</v>
      </c>
      <c r="C1087" s="433">
        <f>C1085-C1086</f>
        <v>306615</v>
      </c>
      <c r="E1087" s="581">
        <f>E1085-E1086</f>
        <v>182002</v>
      </c>
      <c r="G1087" s="668"/>
      <c r="H1087" s="669"/>
      <c r="I1087" s="417">
        <f t="shared" si="457"/>
        <v>154551</v>
      </c>
      <c r="K1087" s="417">
        <f t="shared" si="458"/>
        <v>91739</v>
      </c>
      <c r="M1087" s="434"/>
      <c r="N1087" s="572"/>
      <c r="O1087" s="417">
        <f t="shared" si="459"/>
        <v>93640</v>
      </c>
      <c r="P1087" s="497"/>
      <c r="Q1087" s="516"/>
      <c r="R1087" s="439"/>
      <c r="T1087" s="439"/>
      <c r="AD1087" s="400">
        <f>K1087-[25]Blocking1!O1087</f>
        <v>0</v>
      </c>
    </row>
    <row r="1088" spans="1:30">
      <c r="A1088" s="432" t="s">
        <v>518</v>
      </c>
      <c r="C1088" s="433">
        <f>[25]Kennecott!N43</f>
        <v>0</v>
      </c>
      <c r="E1088" s="581">
        <f t="shared" si="456"/>
        <v>0</v>
      </c>
      <c r="G1088" s="668"/>
      <c r="H1088" s="669"/>
      <c r="I1088" s="417"/>
      <c r="K1088" s="417"/>
      <c r="M1088" s="668"/>
      <c r="N1088" s="572"/>
      <c r="O1088" s="417"/>
      <c r="P1088" s="416"/>
      <c r="Q1088" s="666"/>
      <c r="R1088" s="560"/>
      <c r="AD1088" s="400">
        <f>K1088-[25]Blocking1!O1088</f>
        <v>0</v>
      </c>
    </row>
    <row r="1089" spans="1:30">
      <c r="A1089" s="432" t="s">
        <v>677</v>
      </c>
      <c r="C1089" s="433"/>
      <c r="E1089" s="581"/>
      <c r="G1089" s="668"/>
      <c r="H1089" s="669"/>
      <c r="I1089" s="417">
        <f t="shared" ref="I1089:I1090" si="460">I1111+I1133</f>
        <v>0</v>
      </c>
      <c r="K1089" s="417">
        <f t="shared" ref="K1089:K1090" si="461">K1111+K1133</f>
        <v>0</v>
      </c>
      <c r="M1089" s="671"/>
      <c r="N1089" s="572"/>
      <c r="O1089" s="417">
        <f t="shared" ref="O1089:O1090" si="462">O1111+O1133</f>
        <v>0</v>
      </c>
      <c r="P1089" s="416"/>
      <c r="Q1089" s="666"/>
      <c r="R1089" s="560"/>
      <c r="T1089" s="439"/>
      <c r="AD1089" s="400">
        <f>K1089-[25]Blocking1!O1089</f>
        <v>0</v>
      </c>
    </row>
    <row r="1090" spans="1:30">
      <c r="A1090" s="432" t="s">
        <v>678</v>
      </c>
      <c r="C1090" s="433"/>
      <c r="E1090" s="581"/>
      <c r="G1090" s="668"/>
      <c r="H1090" s="669"/>
      <c r="I1090" s="417">
        <f t="shared" si="460"/>
        <v>0</v>
      </c>
      <c r="K1090" s="417">
        <f t="shared" si="461"/>
        <v>0</v>
      </c>
      <c r="M1090" s="671"/>
      <c r="N1090" s="572"/>
      <c r="O1090" s="417">
        <f t="shared" si="462"/>
        <v>0</v>
      </c>
      <c r="P1090" s="416"/>
      <c r="Q1090" s="666"/>
      <c r="R1090" s="560"/>
      <c r="T1090" s="439"/>
      <c r="AD1090" s="400">
        <f>K1090-[25]Blocking1!O1090</f>
        <v>0</v>
      </c>
    </row>
    <row r="1091" spans="1:30">
      <c r="A1091" s="432" t="s">
        <v>530</v>
      </c>
      <c r="C1091" s="433">
        <f>[25]Kennecott!N51</f>
        <v>0</v>
      </c>
      <c r="E1091" s="581">
        <f t="shared" si="456"/>
        <v>0</v>
      </c>
      <c r="G1091" s="668"/>
      <c r="H1091" s="669"/>
      <c r="I1091" s="417"/>
      <c r="K1091" s="417"/>
      <c r="M1091" s="668"/>
      <c r="N1091" s="572"/>
      <c r="O1091" s="417"/>
      <c r="P1091" s="417"/>
      <c r="Q1091" s="416"/>
      <c r="R1091" s="439"/>
      <c r="S1091" s="502"/>
      <c r="AD1091" s="400">
        <f>K1091-[25]Blocking1!O1091</f>
        <v>0</v>
      </c>
    </row>
    <row r="1092" spans="1:30">
      <c r="A1092" s="432" t="s">
        <v>677</v>
      </c>
      <c r="C1092" s="433"/>
      <c r="E1092" s="581"/>
      <c r="G1092" s="668"/>
      <c r="H1092" s="669"/>
      <c r="I1092" s="417">
        <f t="shared" ref="I1092:I1093" si="463">I1114+I1136</f>
        <v>0</v>
      </c>
      <c r="K1092" s="417">
        <f t="shared" ref="K1092:K1093" si="464">K1114+K1136</f>
        <v>0</v>
      </c>
      <c r="M1092" s="434"/>
      <c r="N1092" s="572"/>
      <c r="O1092" s="417">
        <f t="shared" ref="O1092:O1093" si="465">O1114+O1136</f>
        <v>0</v>
      </c>
      <c r="P1092" s="417"/>
      <c r="Q1092" s="416"/>
      <c r="R1092" s="439"/>
      <c r="S1092" s="502"/>
      <c r="T1092" s="439"/>
      <c r="AD1092" s="400">
        <f>K1092-[25]Blocking1!O1092</f>
        <v>0</v>
      </c>
    </row>
    <row r="1093" spans="1:30">
      <c r="A1093" s="432" t="s">
        <v>678</v>
      </c>
      <c r="C1093" s="433"/>
      <c r="E1093" s="581"/>
      <c r="G1093" s="668"/>
      <c r="H1093" s="669"/>
      <c r="I1093" s="417">
        <f t="shared" si="463"/>
        <v>0</v>
      </c>
      <c r="K1093" s="417">
        <f t="shared" si="464"/>
        <v>0</v>
      </c>
      <c r="M1093" s="434"/>
      <c r="N1093" s="572"/>
      <c r="O1093" s="417">
        <f t="shared" si="465"/>
        <v>0</v>
      </c>
      <c r="P1093" s="417"/>
      <c r="Q1093" s="416"/>
      <c r="R1093" s="439"/>
      <c r="S1093" s="502"/>
      <c r="T1093" s="439"/>
      <c r="AD1093" s="400">
        <f>K1093-[25]Blocking1!O1093</f>
        <v>0</v>
      </c>
    </row>
    <row r="1094" spans="1:30">
      <c r="A1094" s="432" t="s">
        <v>531</v>
      </c>
      <c r="C1094" s="433"/>
      <c r="E1094" s="581"/>
      <c r="G1094" s="603"/>
      <c r="H1094" s="706"/>
      <c r="I1094" s="684"/>
      <c r="K1094" s="684"/>
      <c r="M1094" s="603"/>
      <c r="N1094" s="706"/>
      <c r="O1094" s="684"/>
      <c r="P1094" s="497"/>
      <c r="Q1094" s="416"/>
      <c r="R1094" s="439"/>
      <c r="AD1094" s="400">
        <f>K1094-[25]Blocking1!O1094</f>
        <v>0</v>
      </c>
    </row>
    <row r="1095" spans="1:30">
      <c r="A1095" s="432" t="s">
        <v>532</v>
      </c>
      <c r="C1095" s="433">
        <f>SUM([25]Kennecott!B60:D60,[25]Kennecott!L60:M60)</f>
        <v>41792</v>
      </c>
      <c r="E1095" s="581">
        <f t="shared" ref="E1095:E1096" si="466">ROUND(C1095*$E$1101/$C$1101,0)</f>
        <v>24807</v>
      </c>
      <c r="G1095" s="496"/>
      <c r="H1095" s="551"/>
      <c r="I1095" s="417">
        <f t="shared" ref="I1095:I1096" si="467">I1117+I1139</f>
        <v>574640</v>
      </c>
      <c r="K1095" s="417">
        <f t="shared" ref="K1095:K1096" si="468">K1117+K1139</f>
        <v>341096</v>
      </c>
      <c r="M1095" s="496"/>
      <c r="N1095" s="551"/>
      <c r="O1095" s="417">
        <f t="shared" ref="O1095:O1096" si="469">O1117+O1139</f>
        <v>346306</v>
      </c>
      <c r="P1095" s="684"/>
      <c r="Q1095" s="516"/>
      <c r="R1095" s="439"/>
      <c r="T1095" s="439"/>
      <c r="AD1095" s="400">
        <f>K1095-[25]Blocking1!O1095</f>
        <v>0</v>
      </c>
    </row>
    <row r="1096" spans="1:30">
      <c r="A1096" s="432" t="s">
        <v>533</v>
      </c>
      <c r="C1096" s="433">
        <f>SUM([25]Kennecott!E60:K60)</f>
        <v>1289459</v>
      </c>
      <c r="E1096" s="581">
        <f t="shared" si="466"/>
        <v>765402</v>
      </c>
      <c r="G1096" s="496"/>
      <c r="H1096" s="551"/>
      <c r="I1096" s="417">
        <f t="shared" si="467"/>
        <v>12017758</v>
      </c>
      <c r="K1096" s="417">
        <f t="shared" si="468"/>
        <v>7133546</v>
      </c>
      <c r="M1096" s="496"/>
      <c r="N1096" s="551"/>
      <c r="O1096" s="417">
        <f t="shared" si="469"/>
        <v>7248357</v>
      </c>
      <c r="P1096" s="497"/>
      <c r="T1096" s="439"/>
      <c r="AD1096" s="400">
        <f>K1096-[25]Blocking1!O1096</f>
        <v>0</v>
      </c>
    </row>
    <row r="1097" spans="1:30">
      <c r="A1097" s="432" t="s">
        <v>534</v>
      </c>
      <c r="C1097" s="500"/>
      <c r="E1097" s="621"/>
      <c r="G1097" s="707"/>
      <c r="H1097" s="706"/>
      <c r="I1097" s="579"/>
      <c r="K1097" s="579"/>
      <c r="M1097" s="707"/>
      <c r="N1097" s="706"/>
      <c r="O1097" s="579"/>
      <c r="P1097" s="497"/>
      <c r="AD1097" s="400">
        <f>K1097-[25]Blocking1!O1097</f>
        <v>0</v>
      </c>
    </row>
    <row r="1098" spans="1:30">
      <c r="A1098" s="432" t="s">
        <v>535</v>
      </c>
      <c r="C1098" s="433">
        <f>SUM([25]Kennecott!B76:D76,[25]Kennecott!L76:M76)</f>
        <v>38405453</v>
      </c>
      <c r="E1098" s="581">
        <f t="shared" ref="E1098:E1099" si="470">ROUND(C1098*$E$1101/$C$1101,0)</f>
        <v>22796861</v>
      </c>
      <c r="G1098" s="576"/>
      <c r="H1098" s="462" t="s">
        <v>305</v>
      </c>
      <c r="I1098" s="417">
        <f t="shared" ref="I1098:I1100" si="471">I1120+I1142</f>
        <v>1759661</v>
      </c>
      <c r="K1098" s="417">
        <f t="shared" ref="K1098:K1100" si="472">K1120+K1142</f>
        <v>1044506</v>
      </c>
      <c r="M1098" s="576"/>
      <c r="N1098" s="462"/>
      <c r="O1098" s="417">
        <f t="shared" ref="O1098:O1100" si="473">O1120+O1142</f>
        <v>1060761</v>
      </c>
      <c r="P1098" s="497"/>
      <c r="T1098" s="439"/>
      <c r="AD1098" s="400">
        <f>K1098-[25]Blocking1!O1098</f>
        <v>0</v>
      </c>
    </row>
    <row r="1099" spans="1:30">
      <c r="A1099" s="432" t="s">
        <v>536</v>
      </c>
      <c r="C1099" s="433">
        <f>SUM([25]Kennecott!E76:K76)</f>
        <v>344060613</v>
      </c>
      <c r="E1099" s="581">
        <f t="shared" si="470"/>
        <v>204228863</v>
      </c>
      <c r="G1099" s="576"/>
      <c r="H1099" s="462" t="s">
        <v>305</v>
      </c>
      <c r="I1099" s="417">
        <f t="shared" si="471"/>
        <v>11853921</v>
      </c>
      <c r="K1099" s="417">
        <f t="shared" si="472"/>
        <v>7036297</v>
      </c>
      <c r="M1099" s="576"/>
      <c r="N1099" s="462"/>
      <c r="O1099" s="417">
        <f t="shared" si="473"/>
        <v>7145764</v>
      </c>
      <c r="P1099" s="684"/>
      <c r="T1099" s="439"/>
      <c r="AD1099" s="400">
        <f>K1099-[25]Blocking1!O1099</f>
        <v>0</v>
      </c>
    </row>
    <row r="1100" spans="1:30">
      <c r="A1100" s="432" t="s">
        <v>537</v>
      </c>
      <c r="C1100" s="682">
        <f>[25]Kennecott!N78</f>
        <v>665084694</v>
      </c>
      <c r="E1100" s="708">
        <f>E1101-E1098-E1099</f>
        <v>394783609.25</v>
      </c>
      <c r="G1100" s="676"/>
      <c r="H1100" s="462" t="s">
        <v>305</v>
      </c>
      <c r="I1100" s="619">
        <f t="shared" si="471"/>
        <v>19139142</v>
      </c>
      <c r="K1100" s="619">
        <f t="shared" si="472"/>
        <v>11360688</v>
      </c>
      <c r="M1100" s="676"/>
      <c r="N1100" s="462"/>
      <c r="O1100" s="619">
        <f t="shared" si="473"/>
        <v>11537551</v>
      </c>
      <c r="P1100" s="684"/>
      <c r="T1100" s="439"/>
      <c r="AD1100" s="400">
        <f>K1100-[25]Blocking1!O1100</f>
        <v>0</v>
      </c>
    </row>
    <row r="1101" spans="1:30" ht="16.5" thickBot="1">
      <c r="A1101" s="432" t="s">
        <v>538</v>
      </c>
      <c r="C1101" s="549">
        <f>SUM(C1098:C1100)</f>
        <v>1047550760</v>
      </c>
      <c r="E1101" s="559">
        <f>[25]Energy!P47</f>
        <v>621809333.25</v>
      </c>
      <c r="G1101" s="692"/>
      <c r="H1101" s="572"/>
      <c r="I1101" s="693">
        <f>SUM(I1082:I1100)</f>
        <v>50188132</v>
      </c>
      <c r="K1101" s="693">
        <f>SUM(K1082:K1100)</f>
        <v>29794123</v>
      </c>
      <c r="M1101" s="692"/>
      <c r="N1101" s="572"/>
      <c r="O1101" s="693">
        <f>SUM(O1082:O1100)</f>
        <v>30035480</v>
      </c>
      <c r="P1101" s="684"/>
      <c r="Q1101" s="416" t="s">
        <v>601</v>
      </c>
      <c r="R1101" s="518">
        <f>O1101/K1101-1</f>
        <v>8.1008257903747438E-3</v>
      </c>
      <c r="AD1101" s="400">
        <f>K1101-[25]Blocking1!O1101</f>
        <v>0</v>
      </c>
    </row>
    <row r="1102" spans="1:30" ht="16.5" thickTop="1">
      <c r="C1102" s="406"/>
      <c r="E1102" s="406"/>
      <c r="G1102" s="547"/>
      <c r="H1102" s="572"/>
      <c r="I1102" s="416"/>
      <c r="K1102" s="416"/>
      <c r="M1102" s="558"/>
      <c r="N1102" s="572"/>
      <c r="O1102" s="416"/>
      <c r="P1102" s="684"/>
      <c r="AD1102" s="400">
        <f>K1102-[25]Blocking1!O1102</f>
        <v>0</v>
      </c>
    </row>
    <row r="1103" spans="1:30">
      <c r="A1103" s="428" t="s">
        <v>686</v>
      </c>
      <c r="C1103" s="406"/>
      <c r="E1103" s="406"/>
      <c r="G1103" s="547"/>
      <c r="H1103" s="572"/>
      <c r="I1103" s="416"/>
      <c r="K1103" s="416"/>
      <c r="M1103" s="558"/>
      <c r="N1103" s="572"/>
      <c r="O1103" s="416"/>
      <c r="P1103" s="579"/>
      <c r="AD1103" s="400">
        <f>K1103-[25]Blocking1!O1103</f>
        <v>0</v>
      </c>
    </row>
    <row r="1104" spans="1:30">
      <c r="A1104" s="432" t="s">
        <v>303</v>
      </c>
      <c r="C1104" s="433">
        <f>C1082*4/12</f>
        <v>4</v>
      </c>
      <c r="E1104" s="433">
        <f>E1082*4/12</f>
        <v>4</v>
      </c>
      <c r="G1104" s="434">
        <f>[25]Blocking1!M1104</f>
        <v>668</v>
      </c>
      <c r="H1104" s="572"/>
      <c r="I1104" s="417">
        <f>ROUND(G1104*$C1104,0)</f>
        <v>2672</v>
      </c>
      <c r="K1104" s="417">
        <f>ROUND(G1104*$E1104,0)</f>
        <v>2672</v>
      </c>
      <c r="M1104" s="434">
        <f>M1126</f>
        <v>678</v>
      </c>
      <c r="N1104" s="572"/>
      <c r="O1104" s="417">
        <f>ROUND(M1104*$E1104,0)</f>
        <v>2712</v>
      </c>
      <c r="P1104" s="579"/>
      <c r="Q1104" s="666"/>
      <c r="T1104" s="439">
        <f t="shared" ref="T1104:T1105" si="474">M1104/G1104-1</f>
        <v>1.4970059880239583E-2</v>
      </c>
      <c r="AD1104" s="400">
        <f>K1104-[25]Blocking1!O1104</f>
        <v>0</v>
      </c>
    </row>
    <row r="1105" spans="1:30">
      <c r="A1105" s="432" t="s">
        <v>685</v>
      </c>
      <c r="C1105" s="433">
        <f>C1083*4/12</f>
        <v>237258.33333333334</v>
      </c>
      <c r="E1105" s="433">
        <f>E1083*4/12</f>
        <v>140832.66666666666</v>
      </c>
      <c r="G1105" s="434">
        <f>[25]Blocking1!M1105</f>
        <v>2.59</v>
      </c>
      <c r="H1105" s="572"/>
      <c r="I1105" s="417">
        <f>ROUND(G1105*$C1105,0)</f>
        <v>614499</v>
      </c>
      <c r="K1105" s="417">
        <f>ROUND(G1105*$E1105,0)</f>
        <v>364757</v>
      </c>
      <c r="M1105" s="434">
        <f t="shared" ref="M1105" si="475">M1127</f>
        <v>2.1800000000000002</v>
      </c>
      <c r="N1105" s="572"/>
      <c r="O1105" s="417">
        <f>ROUND(M1105*$E1105,0)</f>
        <v>307015</v>
      </c>
      <c r="P1105" s="497"/>
      <c r="Q1105" s="416"/>
      <c r="R1105" s="439"/>
      <c r="T1105" s="439">
        <f t="shared" si="474"/>
        <v>-0.15830115830115821</v>
      </c>
      <c r="AD1105" s="400">
        <f>K1105-[25]Blocking1!O1105</f>
        <v>0</v>
      </c>
    </row>
    <row r="1106" spans="1:30">
      <c r="A1106" s="432" t="s">
        <v>529</v>
      </c>
      <c r="C1106" s="433"/>
      <c r="E1106" s="433"/>
      <c r="G1106" s="496"/>
      <c r="H1106" s="706"/>
      <c r="I1106" s="685"/>
      <c r="K1106" s="684"/>
      <c r="M1106" s="496"/>
      <c r="N1106" s="706"/>
      <c r="O1106" s="684"/>
      <c r="P1106" s="497"/>
      <c r="Q1106" s="416"/>
      <c r="R1106" s="439"/>
      <c r="T1106" s="667"/>
      <c r="AD1106" s="400">
        <f>K1106-[25]Blocking1!O1106</f>
        <v>0</v>
      </c>
    </row>
    <row r="1107" spans="1:30">
      <c r="A1107" s="432" t="s">
        <v>517</v>
      </c>
      <c r="C1107" s="433">
        <f>SUM(C1108:C1109)</f>
        <v>1227624.8285714285</v>
      </c>
      <c r="E1107" s="433">
        <f>SUM(E1108:E1109)</f>
        <v>728698.45714285714</v>
      </c>
      <c r="G1107" s="668"/>
      <c r="H1107" s="669"/>
      <c r="I1107" s="417"/>
      <c r="K1107" s="417"/>
      <c r="M1107" s="668"/>
      <c r="N1107" s="572"/>
      <c r="O1107" s="417"/>
      <c r="P1107" s="497"/>
      <c r="Q1107" s="516"/>
      <c r="R1107" s="439"/>
      <c r="T1107" s="439"/>
      <c r="AD1107" s="400">
        <f>K1107-[25]Blocking1!O1107</f>
        <v>0</v>
      </c>
    </row>
    <row r="1108" spans="1:30">
      <c r="A1108" s="432" t="s">
        <v>677</v>
      </c>
      <c r="C1108" s="433">
        <f>C1086/5</f>
        <v>1096218.3999999999</v>
      </c>
      <c r="E1108" s="433">
        <f>E1086/5</f>
        <v>650697.6</v>
      </c>
      <c r="G1108" s="434">
        <f>[25]Blocking1!M1108</f>
        <v>0.75</v>
      </c>
      <c r="H1108" s="669"/>
      <c r="I1108" s="417">
        <f t="shared" ref="I1108:I1109" si="476">ROUND(G1108*$C1108,0)</f>
        <v>822164</v>
      </c>
      <c r="K1108" s="417">
        <f t="shared" ref="K1108:K1109" si="477">ROUND(G1108*$E1108,0)</f>
        <v>488023</v>
      </c>
      <c r="M1108" s="434">
        <f t="shared" ref="M1108:M1109" si="478">M1130</f>
        <v>0.51449999999999996</v>
      </c>
      <c r="N1108" s="572"/>
      <c r="O1108" s="417">
        <f t="shared" ref="O1108:O1109" si="479">ROUND(M1108*$E1108,0)</f>
        <v>334784</v>
      </c>
      <c r="P1108" s="497"/>
      <c r="Q1108" s="516"/>
      <c r="R1108" s="439"/>
      <c r="T1108" s="439">
        <f t="shared" ref="T1108:T1109" si="480">M1108/G1108-1</f>
        <v>-0.31400000000000006</v>
      </c>
      <c r="AD1108" s="400">
        <f>K1108-[25]Blocking1!O1108</f>
        <v>0</v>
      </c>
    </row>
    <row r="1109" spans="1:30">
      <c r="A1109" s="432" t="s">
        <v>678</v>
      </c>
      <c r="C1109" s="433">
        <f>C1087*3/7</f>
        <v>131406.42857142858</v>
      </c>
      <c r="E1109" s="433">
        <f>E1087*3/7</f>
        <v>78000.857142857145</v>
      </c>
      <c r="G1109" s="434">
        <f>[25]Blocking1!M1109</f>
        <v>0.5</v>
      </c>
      <c r="H1109" s="669"/>
      <c r="I1109" s="417">
        <f t="shared" si="476"/>
        <v>65703</v>
      </c>
      <c r="K1109" s="417">
        <f t="shared" si="477"/>
        <v>39000</v>
      </c>
      <c r="M1109" s="434">
        <f t="shared" si="478"/>
        <v>0.51449999999999996</v>
      </c>
      <c r="N1109" s="572"/>
      <c r="O1109" s="417">
        <f t="shared" si="479"/>
        <v>40131</v>
      </c>
      <c r="P1109" s="497"/>
      <c r="Q1109" s="516"/>
      <c r="R1109" s="439"/>
      <c r="T1109" s="439">
        <f t="shared" si="480"/>
        <v>2.8999999999999915E-2</v>
      </c>
      <c r="AD1109" s="400">
        <f>K1109-[25]Blocking1!O1109</f>
        <v>0</v>
      </c>
    </row>
    <row r="1110" spans="1:30">
      <c r="A1110" s="432" t="s">
        <v>518</v>
      </c>
      <c r="C1110" s="433">
        <f>SUM(C1111:C1112)</f>
        <v>0</v>
      </c>
      <c r="E1110" s="433">
        <f>SUM(E1111:E1112)</f>
        <v>0</v>
      </c>
      <c r="G1110" s="668"/>
      <c r="H1110" s="669"/>
      <c r="I1110" s="417"/>
      <c r="K1110" s="417"/>
      <c r="M1110" s="668"/>
      <c r="N1110" s="572"/>
      <c r="O1110" s="417"/>
      <c r="P1110" s="416"/>
      <c r="Q1110" s="666"/>
      <c r="R1110" s="560"/>
      <c r="AD1110" s="400">
        <f>K1110-[25]Blocking1!O1110</f>
        <v>0</v>
      </c>
    </row>
    <row r="1111" spans="1:30">
      <c r="A1111" s="432" t="s">
        <v>677</v>
      </c>
      <c r="C1111" s="433">
        <f>C1089/5</f>
        <v>0</v>
      </c>
      <c r="E1111" s="433">
        <f>E1089/5</f>
        <v>0</v>
      </c>
      <c r="G1111" s="671">
        <f>[25]Blocking1!M1111</f>
        <v>0.375</v>
      </c>
      <c r="H1111" s="669"/>
      <c r="I1111" s="417">
        <f t="shared" ref="I1111:I1112" si="481">ROUND(G1111*$C1111,0)</f>
        <v>0</v>
      </c>
      <c r="K1111" s="417">
        <f t="shared" ref="K1111:K1112" si="482">ROUND(G1111*$E1111,0)</f>
        <v>0</v>
      </c>
      <c r="M1111" s="671">
        <f t="shared" ref="M1111:M1112" si="483">M1133</f>
        <v>0.25724999999999998</v>
      </c>
      <c r="N1111" s="572"/>
      <c r="O1111" s="417">
        <f t="shared" ref="O1111:O1112" si="484">ROUND(M1111*$E1111,0)</f>
        <v>0</v>
      </c>
      <c r="P1111" s="416"/>
      <c r="Q1111" s="666"/>
      <c r="R1111" s="560"/>
      <c r="T1111" s="439">
        <f t="shared" ref="T1111:T1112" si="485">M1111/G1111-1</f>
        <v>-0.31400000000000006</v>
      </c>
      <c r="AD1111" s="400">
        <f>K1111-[25]Blocking1!O1111</f>
        <v>0</v>
      </c>
    </row>
    <row r="1112" spans="1:30">
      <c r="A1112" s="432" t="s">
        <v>678</v>
      </c>
      <c r="C1112" s="433">
        <f>C1090*3/7</f>
        <v>0</v>
      </c>
      <c r="E1112" s="433">
        <f>E1090*3/7</f>
        <v>0</v>
      </c>
      <c r="G1112" s="671">
        <f>[25]Blocking1!M1112</f>
        <v>0.25</v>
      </c>
      <c r="H1112" s="669"/>
      <c r="I1112" s="417">
        <f t="shared" si="481"/>
        <v>0</v>
      </c>
      <c r="K1112" s="417">
        <f t="shared" si="482"/>
        <v>0</v>
      </c>
      <c r="M1112" s="671">
        <f t="shared" si="483"/>
        <v>0.25724999999999998</v>
      </c>
      <c r="N1112" s="572"/>
      <c r="O1112" s="417">
        <f t="shared" si="484"/>
        <v>0</v>
      </c>
      <c r="P1112" s="416"/>
      <c r="Q1112" s="666"/>
      <c r="R1112" s="560"/>
      <c r="T1112" s="439">
        <f t="shared" si="485"/>
        <v>2.8999999999999915E-2</v>
      </c>
      <c r="AD1112" s="400">
        <f>K1112-[25]Blocking1!O1112</f>
        <v>0</v>
      </c>
    </row>
    <row r="1113" spans="1:30">
      <c r="A1113" s="432" t="s">
        <v>530</v>
      </c>
      <c r="C1113" s="433">
        <f>SUM(C1114:C1115)</f>
        <v>0</v>
      </c>
      <c r="E1113" s="433">
        <f>SUM(E1114:E1115)</f>
        <v>0</v>
      </c>
      <c r="G1113" s="668"/>
      <c r="H1113" s="669"/>
      <c r="I1113" s="417"/>
      <c r="K1113" s="417"/>
      <c r="M1113" s="668"/>
      <c r="N1113" s="572"/>
      <c r="O1113" s="417"/>
      <c r="P1113" s="417"/>
      <c r="Q1113" s="416"/>
      <c r="R1113" s="439"/>
      <c r="S1113" s="502"/>
      <c r="AD1113" s="400">
        <f>K1113-[25]Blocking1!O1113</f>
        <v>0</v>
      </c>
    </row>
    <row r="1114" spans="1:30">
      <c r="A1114" s="432" t="s">
        <v>677</v>
      </c>
      <c r="C1114" s="433">
        <f>C1092/5</f>
        <v>0</v>
      </c>
      <c r="E1114" s="433">
        <f>E1092/5</f>
        <v>0</v>
      </c>
      <c r="G1114" s="434">
        <f>[25]Blocking1!M1114</f>
        <v>31.88</v>
      </c>
      <c r="H1114" s="669"/>
      <c r="I1114" s="417">
        <f t="shared" ref="I1114:I1115" si="486">ROUND(G1114*$C1114,0)</f>
        <v>0</v>
      </c>
      <c r="K1114" s="417">
        <f t="shared" ref="K1114:K1115" si="487">ROUND(G1114*$E1114,0)</f>
        <v>0</v>
      </c>
      <c r="M1114" s="434">
        <f t="shared" ref="M1114:M1115" si="488">M1136</f>
        <v>44.02</v>
      </c>
      <c r="N1114" s="572"/>
      <c r="O1114" s="417">
        <f t="shared" ref="O1114:O1115" si="489">ROUND(M1114*$E1114,0)</f>
        <v>0</v>
      </c>
      <c r="P1114" s="417"/>
      <c r="Q1114" s="416"/>
      <c r="R1114" s="439"/>
      <c r="S1114" s="502"/>
      <c r="T1114" s="439">
        <f t="shared" ref="T1114:T1115" si="490">M1114/G1114-1</f>
        <v>0.38080301129234639</v>
      </c>
      <c r="AD1114" s="400">
        <f>K1114-[25]Blocking1!O1114</f>
        <v>0</v>
      </c>
    </row>
    <row r="1115" spans="1:30">
      <c r="A1115" s="432" t="s">
        <v>678</v>
      </c>
      <c r="C1115" s="433">
        <f>C1093*3/7</f>
        <v>0</v>
      </c>
      <c r="E1115" s="433">
        <f>E1093*3/7</f>
        <v>0</v>
      </c>
      <c r="G1115" s="434">
        <f>[25]Blocking1!M1115</f>
        <v>23.02</v>
      </c>
      <c r="H1115" s="669"/>
      <c r="I1115" s="417">
        <f t="shared" si="486"/>
        <v>0</v>
      </c>
      <c r="K1115" s="417">
        <f t="shared" si="487"/>
        <v>0</v>
      </c>
      <c r="M1115" s="434">
        <f t="shared" si="488"/>
        <v>44.02</v>
      </c>
      <c r="N1115" s="572"/>
      <c r="O1115" s="417">
        <f t="shared" si="489"/>
        <v>0</v>
      </c>
      <c r="P1115" s="417"/>
      <c r="Q1115" s="416"/>
      <c r="R1115" s="439"/>
      <c r="S1115" s="502"/>
      <c r="T1115" s="439">
        <f t="shared" si="490"/>
        <v>0.91225021720243293</v>
      </c>
      <c r="AD1115" s="400">
        <f>K1115-[25]Blocking1!O1115</f>
        <v>0</v>
      </c>
    </row>
    <row r="1116" spans="1:30">
      <c r="A1116" s="432" t="s">
        <v>531</v>
      </c>
      <c r="C1116" s="433"/>
      <c r="E1116" s="433"/>
      <c r="G1116" s="603"/>
      <c r="H1116" s="706"/>
      <c r="I1116" s="685"/>
      <c r="K1116" s="684"/>
      <c r="M1116" s="603"/>
      <c r="N1116" s="706"/>
      <c r="O1116" s="684"/>
      <c r="P1116" s="497"/>
      <c r="Q1116" s="416"/>
      <c r="R1116" s="439"/>
      <c r="AD1116" s="400">
        <f>K1116-[25]Blocking1!O1116</f>
        <v>0</v>
      </c>
    </row>
    <row r="1117" spans="1:30">
      <c r="A1117" s="432" t="s">
        <v>532</v>
      </c>
      <c r="C1117" s="433">
        <f>C1095/5</f>
        <v>8358.4</v>
      </c>
      <c r="E1117" s="433">
        <f>E1095/5</f>
        <v>4961.3999999999996</v>
      </c>
      <c r="G1117" s="496">
        <f>[25]Blocking1!M1117</f>
        <v>13.75</v>
      </c>
      <c r="H1117" s="551"/>
      <c r="I1117" s="417">
        <f>ROUND($G1117*C1117,0)</f>
        <v>114928</v>
      </c>
      <c r="K1117" s="417">
        <f>ROUND($G1117*E1117,0)</f>
        <v>68219</v>
      </c>
      <c r="M1117" s="496">
        <f t="shared" ref="M1117:M1118" si="491">M1139</f>
        <v>13.96</v>
      </c>
      <c r="N1117" s="551"/>
      <c r="O1117" s="417">
        <f>ROUND(M1117*$E1117,0)</f>
        <v>69261</v>
      </c>
      <c r="P1117" s="684"/>
      <c r="Q1117" s="516"/>
      <c r="R1117" s="439"/>
      <c r="T1117" s="439">
        <f t="shared" ref="T1117:T1118" si="492">M1117/G1117-1</f>
        <v>1.5272727272727327E-2</v>
      </c>
      <c r="AD1117" s="400">
        <f>K1117-[25]Blocking1!O1117</f>
        <v>0</v>
      </c>
    </row>
    <row r="1118" spans="1:30">
      <c r="A1118" s="432" t="s">
        <v>533</v>
      </c>
      <c r="C1118" s="433">
        <f>C1096*3/7</f>
        <v>552625.28571428568</v>
      </c>
      <c r="E1118" s="433">
        <f>E1096*3/7</f>
        <v>328029.42857142858</v>
      </c>
      <c r="G1118" s="496">
        <f>[25]Blocking1!M1118</f>
        <v>9.32</v>
      </c>
      <c r="H1118" s="551"/>
      <c r="I1118" s="417">
        <f>ROUND($G1118*C1118,0)</f>
        <v>5150468</v>
      </c>
      <c r="K1118" s="417">
        <f>ROUND($G1118*E1118,0)</f>
        <v>3057234</v>
      </c>
      <c r="M1118" s="496">
        <f t="shared" si="491"/>
        <v>9.4700000000000006</v>
      </c>
      <c r="N1118" s="551"/>
      <c r="O1118" s="417">
        <f>ROUND(M1118*$E1118,0)</f>
        <v>3106439</v>
      </c>
      <c r="P1118" s="497"/>
      <c r="T1118" s="439">
        <f t="shared" si="492"/>
        <v>1.6094420600858417E-2</v>
      </c>
      <c r="AD1118" s="400">
        <f>K1118-[25]Blocking1!O1118</f>
        <v>0</v>
      </c>
    </row>
    <row r="1119" spans="1:30">
      <c r="A1119" s="432" t="s">
        <v>534</v>
      </c>
      <c r="C1119" s="500"/>
      <c r="E1119" s="500"/>
      <c r="G1119" s="707"/>
      <c r="H1119" s="706"/>
      <c r="I1119" s="709"/>
      <c r="K1119" s="579"/>
      <c r="M1119" s="707"/>
      <c r="N1119" s="706"/>
      <c r="O1119" s="579"/>
      <c r="P1119" s="497"/>
      <c r="AD1119" s="400">
        <f>K1119-[25]Blocking1!O1119</f>
        <v>0</v>
      </c>
    </row>
    <row r="1120" spans="1:30">
      <c r="A1120" s="432" t="s">
        <v>535</v>
      </c>
      <c r="C1120" s="433">
        <f>C1098/5</f>
        <v>7681090.5999999996</v>
      </c>
      <c r="E1120" s="433">
        <f>E1098/5</f>
        <v>4559372.2</v>
      </c>
      <c r="G1120" s="576">
        <f>[25]Blocking1!M1120</f>
        <v>4.5818000000000003</v>
      </c>
      <c r="H1120" s="462" t="s">
        <v>305</v>
      </c>
      <c r="I1120" s="417">
        <f>ROUND(G1120*$C1120/100,0)</f>
        <v>351932</v>
      </c>
      <c r="K1120" s="417">
        <f>ROUND(G1120*$E1120/100,0)</f>
        <v>208901</v>
      </c>
      <c r="M1120" s="576">
        <f t="shared" ref="M1120:M1122" si="493">M1142</f>
        <v>4.6531000000000002</v>
      </c>
      <c r="N1120" s="462" t="s">
        <v>305</v>
      </c>
      <c r="O1120" s="417">
        <f>ROUND(M1120*$E1120/100,0)</f>
        <v>212152</v>
      </c>
      <c r="P1120" s="497"/>
      <c r="T1120" s="439">
        <f t="shared" ref="T1120:T1122" si="494">M1120/G1120-1</f>
        <v>1.556156968876854E-2</v>
      </c>
      <c r="AD1120" s="400">
        <f>K1120-[25]Blocking1!O1120</f>
        <v>0</v>
      </c>
    </row>
    <row r="1121" spans="1:30">
      <c r="A1121" s="432" t="s">
        <v>536</v>
      </c>
      <c r="C1121" s="433">
        <f>C1099*3/7</f>
        <v>147454548.42857143</v>
      </c>
      <c r="E1121" s="433">
        <f>E1099*3/7</f>
        <v>87526655.571428567</v>
      </c>
      <c r="G1121" s="576">
        <f>[25]Blocking1!M1121</f>
        <v>3.4453</v>
      </c>
      <c r="H1121" s="462" t="s">
        <v>305</v>
      </c>
      <c r="I1121" s="417">
        <f t="shared" ref="I1121:I1122" si="495">ROUND(G1121*$C1121/100,0)</f>
        <v>5080252</v>
      </c>
      <c r="K1121" s="417">
        <f t="shared" ref="K1121:K1122" si="496">ROUND(G1121*$E1121/100,0)</f>
        <v>3015556</v>
      </c>
      <c r="M1121" s="576">
        <f t="shared" si="493"/>
        <v>3.4988999999999999</v>
      </c>
      <c r="N1121" s="462" t="s">
        <v>305</v>
      </c>
      <c r="O1121" s="417">
        <f t="shared" ref="O1121:O1122" si="497">ROUND(M1121*$E1121/100,0)</f>
        <v>3062470</v>
      </c>
      <c r="P1121" s="684"/>
      <c r="T1121" s="439">
        <f t="shared" si="494"/>
        <v>1.5557426058688595E-2</v>
      </c>
      <c r="AD1121" s="400">
        <f>K1121-[25]Blocking1!O1121</f>
        <v>0</v>
      </c>
    </row>
    <row r="1122" spans="1:30">
      <c r="A1122" s="432" t="s">
        <v>537</v>
      </c>
      <c r="C1122" s="682">
        <f>C1100*4/12</f>
        <v>221694898</v>
      </c>
      <c r="E1122" s="682">
        <f>E1100*4/12</f>
        <v>131594536.41666667</v>
      </c>
      <c r="G1122" s="676">
        <f>[25]Blocking1!M1122</f>
        <v>2.8776999999999999</v>
      </c>
      <c r="H1122" s="462" t="s">
        <v>305</v>
      </c>
      <c r="I1122" s="619">
        <f t="shared" si="495"/>
        <v>6379714</v>
      </c>
      <c r="K1122" s="619">
        <f t="shared" si="496"/>
        <v>3786896</v>
      </c>
      <c r="M1122" s="676">
        <f t="shared" si="493"/>
        <v>2.9224999999999999</v>
      </c>
      <c r="N1122" s="462" t="s">
        <v>305</v>
      </c>
      <c r="O1122" s="619">
        <f t="shared" si="497"/>
        <v>3845850</v>
      </c>
      <c r="P1122" s="684"/>
      <c r="T1122" s="439">
        <f t="shared" si="494"/>
        <v>1.5567988324008741E-2</v>
      </c>
      <c r="AD1122" s="400">
        <f>K1122-[25]Blocking1!O1122</f>
        <v>0</v>
      </c>
    </row>
    <row r="1123" spans="1:30" ht="16.5" thickBot="1">
      <c r="A1123" s="432" t="s">
        <v>538</v>
      </c>
      <c r="C1123" s="549">
        <f>SUM(C1120:C1122)</f>
        <v>376830537.02857143</v>
      </c>
      <c r="E1123" s="559">
        <f>SUM(E1120:E1122)</f>
        <v>223680564.18809524</v>
      </c>
      <c r="G1123" s="692"/>
      <c r="H1123" s="572"/>
      <c r="I1123" s="693">
        <f>SUM(I1104:I1122)</f>
        <v>18582332</v>
      </c>
      <c r="K1123" s="693">
        <f>SUM(K1104:K1122)</f>
        <v>11031258</v>
      </c>
      <c r="M1123" s="692"/>
      <c r="N1123" s="572"/>
      <c r="O1123" s="693">
        <f>SUM(O1104:O1122)</f>
        <v>10980814</v>
      </c>
      <c r="P1123" s="684"/>
      <c r="Q1123" s="416" t="s">
        <v>601</v>
      </c>
      <c r="R1123" s="518">
        <f>O1123/K1123-1</f>
        <v>-4.5728238791985509E-3</v>
      </c>
      <c r="AD1123" s="400">
        <f>K1123-[25]Blocking1!O1123</f>
        <v>0</v>
      </c>
    </row>
    <row r="1124" spans="1:30" ht="16.5" thickTop="1">
      <c r="C1124" s="406"/>
      <c r="E1124" s="406"/>
      <c r="G1124" s="547"/>
      <c r="H1124" s="572"/>
      <c r="I1124" s="416"/>
      <c r="K1124" s="416"/>
      <c r="M1124" s="558"/>
      <c r="N1124" s="572"/>
      <c r="O1124" s="416"/>
      <c r="P1124" s="684"/>
      <c r="AD1124" s="400">
        <f>K1124-[25]Blocking1!O1124</f>
        <v>0</v>
      </c>
    </row>
    <row r="1125" spans="1:30">
      <c r="A1125" s="428" t="s">
        <v>687</v>
      </c>
      <c r="C1125" s="406"/>
      <c r="E1125" s="406"/>
      <c r="G1125" s="547"/>
      <c r="H1125" s="572"/>
      <c r="I1125" s="416"/>
      <c r="K1125" s="416"/>
      <c r="M1125" s="558"/>
      <c r="N1125" s="572"/>
      <c r="O1125" s="416"/>
      <c r="P1125" s="579"/>
      <c r="AD1125" s="400">
        <f>K1125-[25]Blocking1!O1125</f>
        <v>0</v>
      </c>
    </row>
    <row r="1126" spans="1:30">
      <c r="A1126" s="432" t="s">
        <v>303</v>
      </c>
      <c r="C1126" s="433">
        <f>C1082-C1104</f>
        <v>8</v>
      </c>
      <c r="E1126" s="433">
        <f>E1082-E1104</f>
        <v>8</v>
      </c>
      <c r="G1126" s="434">
        <f>[25]Blocking1!M1126</f>
        <v>668</v>
      </c>
      <c r="H1126" s="572"/>
      <c r="I1126" s="417">
        <f>ROUND(G1126*$C1126,0)</f>
        <v>5344</v>
      </c>
      <c r="K1126" s="417">
        <f>ROUND(G1126*$E1126,0)</f>
        <v>5344</v>
      </c>
      <c r="M1126" s="456">
        <f>ROUND(G1126*(1+$R$1130),0)</f>
        <v>678</v>
      </c>
      <c r="N1126" s="572"/>
      <c r="O1126" s="417">
        <f>ROUND(M1126*$E1126,0)</f>
        <v>5424</v>
      </c>
      <c r="P1126" s="579"/>
      <c r="Q1126" s="437" t="s">
        <v>589</v>
      </c>
      <c r="R1126" s="438">
        <f>O1101</f>
        <v>30035480</v>
      </c>
      <c r="T1126" s="439">
        <f t="shared" ref="T1126:T1127" si="498">M1126/G1126-1</f>
        <v>1.4970059880239583E-2</v>
      </c>
      <c r="AD1126" s="400">
        <f>K1126-[25]Blocking1!O1126</f>
        <v>0</v>
      </c>
    </row>
    <row r="1127" spans="1:30">
      <c r="A1127" s="432" t="s">
        <v>685</v>
      </c>
      <c r="C1127" s="433">
        <f>C1083-C1105</f>
        <v>474516.66666666663</v>
      </c>
      <c r="E1127" s="433">
        <f>E1083-E1105</f>
        <v>281665.33333333337</v>
      </c>
      <c r="G1127" s="434">
        <f>[25]Blocking1!M1127</f>
        <v>2.15</v>
      </c>
      <c r="H1127" s="572"/>
      <c r="I1127" s="417">
        <f>ROUND(G1127*$C1127,0)</f>
        <v>1020211</v>
      </c>
      <c r="K1127" s="417">
        <f>ROUND(G1127*$E1127,0)</f>
        <v>605580</v>
      </c>
      <c r="M1127" s="456">
        <f>ROUND(G1127*(1+$R$1130),2)</f>
        <v>2.1800000000000002</v>
      </c>
      <c r="N1127" s="572"/>
      <c r="O1127" s="417">
        <f>ROUND(M1127*$E1127,0)</f>
        <v>614030</v>
      </c>
      <c r="P1127" s="497"/>
      <c r="Q1127" s="444" t="s">
        <v>593</v>
      </c>
      <c r="R1127" s="445">
        <f>[25]RateSpread2!K36*1000</f>
        <v>29794123</v>
      </c>
      <c r="T1127" s="439">
        <f t="shared" si="498"/>
        <v>1.3953488372093092E-2</v>
      </c>
      <c r="AD1127" s="400">
        <f>K1127-[25]Blocking1!O1127</f>
        <v>0</v>
      </c>
    </row>
    <row r="1128" spans="1:30">
      <c r="A1128" s="432" t="s">
        <v>529</v>
      </c>
      <c r="C1128" s="433"/>
      <c r="E1128" s="433"/>
      <c r="G1128" s="496"/>
      <c r="H1128" s="706"/>
      <c r="I1128" s="685"/>
      <c r="K1128" s="684"/>
      <c r="M1128" s="710"/>
      <c r="N1128" s="706"/>
      <c r="O1128" s="684"/>
      <c r="P1128" s="497"/>
      <c r="Q1128" s="689" t="s">
        <v>159</v>
      </c>
      <c r="R1128" s="445">
        <f>R1127-R1126</f>
        <v>-241357</v>
      </c>
      <c r="T1128" s="667"/>
      <c r="AD1128" s="400">
        <f>K1128-[25]Blocking1!O1128</f>
        <v>0</v>
      </c>
    </row>
    <row r="1129" spans="1:30">
      <c r="A1129" s="432" t="s">
        <v>517</v>
      </c>
      <c r="C1129" s="433">
        <f t="shared" ref="C1129:E1137" si="499">C1085-C1107</f>
        <v>4560082.1714285715</v>
      </c>
      <c r="E1129" s="433">
        <f t="shared" si="499"/>
        <v>2706791.5428571431</v>
      </c>
      <c r="G1129" s="668">
        <f>[25]Blocking1!M1129</f>
        <v>0.5071</v>
      </c>
      <c r="H1129" s="669"/>
      <c r="I1129" s="417"/>
      <c r="K1129" s="417"/>
      <c r="M1129" s="711">
        <f>ROUND(G1129*(1+$R$1130),4)</f>
        <v>0.51449999999999996</v>
      </c>
      <c r="N1129" s="572"/>
      <c r="O1129" s="417"/>
      <c r="P1129" s="497"/>
      <c r="Q1129" s="463" t="s">
        <v>601</v>
      </c>
      <c r="R1129" s="536">
        <f>R1126/K1101-1</f>
        <v>8.1008257903747438E-3</v>
      </c>
      <c r="T1129" s="439"/>
      <c r="AD1129" s="400">
        <f>K1129-[25]Blocking1!O1129</f>
        <v>0</v>
      </c>
    </row>
    <row r="1130" spans="1:30">
      <c r="A1130" s="432" t="s">
        <v>677</v>
      </c>
      <c r="C1130" s="433">
        <f t="shared" si="499"/>
        <v>4384873.5999999996</v>
      </c>
      <c r="E1130" s="433">
        <f t="shared" si="499"/>
        <v>2602790.4</v>
      </c>
      <c r="G1130" s="668">
        <f>[25]Blocking1!M1130</f>
        <v>0.5071</v>
      </c>
      <c r="H1130" s="669"/>
      <c r="I1130" s="417">
        <f t="shared" ref="I1130:I1131" si="500">ROUND(G1130*$C1130,0)</f>
        <v>2223569</v>
      </c>
      <c r="K1130" s="417">
        <f t="shared" ref="K1130:K1131" si="501">ROUND(G1130*$E1130,0)</f>
        <v>1319875</v>
      </c>
      <c r="M1130" s="711">
        <f>M1129</f>
        <v>0.51449999999999996</v>
      </c>
      <c r="N1130" s="572"/>
      <c r="O1130" s="417">
        <f t="shared" ref="O1130:O1131" si="502">ROUND(M1130*$E1130,0)</f>
        <v>1339136</v>
      </c>
      <c r="P1130" s="497"/>
      <c r="Q1130" s="488" t="s">
        <v>603</v>
      </c>
      <c r="R1130" s="544">
        <f>[25]RateSpread2!O59</f>
        <v>1.4673665799687045E-2</v>
      </c>
      <c r="T1130" s="439">
        <f>M1130/G1129-1</f>
        <v>1.4592782488660916E-2</v>
      </c>
      <c r="AD1130" s="400">
        <f>K1130-[25]Blocking1!O1130</f>
        <v>0</v>
      </c>
    </row>
    <row r="1131" spans="1:30">
      <c r="A1131" s="432" t="s">
        <v>678</v>
      </c>
      <c r="C1131" s="433">
        <f t="shared" si="499"/>
        <v>175208.57142857142</v>
      </c>
      <c r="E1131" s="433">
        <f t="shared" si="499"/>
        <v>104001.14285714286</v>
      </c>
      <c r="G1131" s="668">
        <f>[25]Blocking1!M1131</f>
        <v>0.5071</v>
      </c>
      <c r="H1131" s="669"/>
      <c r="I1131" s="417">
        <f t="shared" si="500"/>
        <v>88848</v>
      </c>
      <c r="K1131" s="417">
        <f t="shared" si="501"/>
        <v>52739</v>
      </c>
      <c r="M1131" s="711">
        <f>M1129</f>
        <v>0.51449999999999996</v>
      </c>
      <c r="N1131" s="572"/>
      <c r="O1131" s="417">
        <f t="shared" si="502"/>
        <v>53509</v>
      </c>
      <c r="P1131" s="497"/>
      <c r="Q1131" s="516"/>
      <c r="R1131" s="439"/>
      <c r="T1131" s="439">
        <f>M1131/G1129-1</f>
        <v>1.4592782488660916E-2</v>
      </c>
      <c r="AD1131" s="400">
        <f>K1131-[25]Blocking1!O1131</f>
        <v>0</v>
      </c>
    </row>
    <row r="1132" spans="1:30">
      <c r="A1132" s="432" t="s">
        <v>518</v>
      </c>
      <c r="C1132" s="433">
        <f t="shared" si="499"/>
        <v>0</v>
      </c>
      <c r="E1132" s="433">
        <f t="shared" si="499"/>
        <v>0</v>
      </c>
      <c r="G1132" s="668">
        <f>[25]Blocking1!M1132</f>
        <v>0.25355</v>
      </c>
      <c r="H1132" s="669"/>
      <c r="I1132" s="417"/>
      <c r="K1132" s="417"/>
      <c r="M1132" s="711">
        <f>M1129/2</f>
        <v>0.25724999999999998</v>
      </c>
      <c r="N1132" s="572"/>
      <c r="O1132" s="417"/>
      <c r="P1132" s="416"/>
      <c r="Q1132" s="666"/>
      <c r="R1132" s="560"/>
      <c r="AD1132" s="400">
        <f>K1132-[25]Blocking1!O1132</f>
        <v>0</v>
      </c>
    </row>
    <row r="1133" spans="1:30">
      <c r="A1133" s="432" t="s">
        <v>677</v>
      </c>
      <c r="C1133" s="433">
        <f t="shared" si="499"/>
        <v>0</v>
      </c>
      <c r="E1133" s="433">
        <f t="shared" si="499"/>
        <v>0</v>
      </c>
      <c r="G1133" s="668">
        <f>[25]Blocking1!M1133</f>
        <v>0.25355</v>
      </c>
      <c r="H1133" s="669"/>
      <c r="I1133" s="417">
        <f t="shared" ref="I1133:I1134" si="503">ROUND(G1133*$C1133,0)</f>
        <v>0</v>
      </c>
      <c r="K1133" s="417">
        <f t="shared" ref="K1133:K1134" si="504">ROUND(G1133*$E1133,0)</f>
        <v>0</v>
      </c>
      <c r="M1133" s="711">
        <f>M1132</f>
        <v>0.25724999999999998</v>
      </c>
      <c r="N1133" s="572"/>
      <c r="O1133" s="417">
        <f t="shared" ref="O1133:O1134" si="505">ROUND(M1133*$E1133,0)</f>
        <v>0</v>
      </c>
      <c r="P1133" s="416"/>
      <c r="Q1133" s="666"/>
      <c r="R1133" s="560"/>
      <c r="T1133" s="439">
        <f>M1133/G1132-1</f>
        <v>1.4592782488660916E-2</v>
      </c>
      <c r="AD1133" s="400">
        <f>K1133-[25]Blocking1!O1133</f>
        <v>0</v>
      </c>
    </row>
    <row r="1134" spans="1:30">
      <c r="A1134" s="432" t="s">
        <v>678</v>
      </c>
      <c r="C1134" s="433">
        <f t="shared" si="499"/>
        <v>0</v>
      </c>
      <c r="E1134" s="433">
        <f t="shared" si="499"/>
        <v>0</v>
      </c>
      <c r="G1134" s="668">
        <f>[25]Blocking1!M1134</f>
        <v>0.25355</v>
      </c>
      <c r="H1134" s="669"/>
      <c r="I1134" s="417">
        <f t="shared" si="503"/>
        <v>0</v>
      </c>
      <c r="K1134" s="417">
        <f t="shared" si="504"/>
        <v>0</v>
      </c>
      <c r="M1134" s="711">
        <f>M1132</f>
        <v>0.25724999999999998</v>
      </c>
      <c r="N1134" s="572"/>
      <c r="O1134" s="417">
        <f t="shared" si="505"/>
        <v>0</v>
      </c>
      <c r="P1134" s="416"/>
      <c r="Q1134" s="666"/>
      <c r="R1134" s="560"/>
      <c r="T1134" s="439">
        <f>M1134/G1132-1</f>
        <v>1.4592782488660916E-2</v>
      </c>
      <c r="AD1134" s="400">
        <f>K1134-[25]Blocking1!O1134</f>
        <v>0</v>
      </c>
    </row>
    <row r="1135" spans="1:30">
      <c r="A1135" s="432" t="s">
        <v>530</v>
      </c>
      <c r="C1135" s="433">
        <f t="shared" si="499"/>
        <v>0</v>
      </c>
      <c r="E1135" s="433">
        <f t="shared" si="499"/>
        <v>0</v>
      </c>
      <c r="G1135" s="434">
        <f>[25]Blocking1!M1135</f>
        <v>43.38</v>
      </c>
      <c r="H1135" s="669"/>
      <c r="I1135" s="417"/>
      <c r="K1135" s="417"/>
      <c r="M1135" s="456">
        <f>ROUND(G1135*(1+$R$1130),2)</f>
        <v>44.02</v>
      </c>
      <c r="N1135" s="572"/>
      <c r="O1135" s="417"/>
      <c r="P1135" s="417"/>
      <c r="Q1135" s="416"/>
      <c r="R1135" s="439"/>
      <c r="S1135" s="502"/>
      <c r="AD1135" s="400">
        <f>K1135-[25]Blocking1!O1135</f>
        <v>0</v>
      </c>
    </row>
    <row r="1136" spans="1:30">
      <c r="A1136" s="432" t="s">
        <v>677</v>
      </c>
      <c r="C1136" s="433">
        <f t="shared" si="499"/>
        <v>0</v>
      </c>
      <c r="E1136" s="433">
        <f t="shared" si="499"/>
        <v>0</v>
      </c>
      <c r="G1136" s="434">
        <f>[25]Blocking1!M1136</f>
        <v>43.38</v>
      </c>
      <c r="H1136" s="669"/>
      <c r="I1136" s="417">
        <f t="shared" ref="I1136:I1137" si="506">ROUND(G1136*$C1136,0)</f>
        <v>0</v>
      </c>
      <c r="K1136" s="417">
        <f t="shared" ref="K1136:K1137" si="507">ROUND(G1136*$E1136,0)</f>
        <v>0</v>
      </c>
      <c r="M1136" s="456">
        <f>M1135</f>
        <v>44.02</v>
      </c>
      <c r="N1136" s="572"/>
      <c r="O1136" s="417">
        <f t="shared" ref="O1136:O1137" si="508">ROUND(M1136*$E1136,0)</f>
        <v>0</v>
      </c>
      <c r="P1136" s="417"/>
      <c r="Q1136" s="416"/>
      <c r="R1136" s="439"/>
      <c r="S1136" s="502"/>
      <c r="T1136" s="439">
        <f>M1136/G1135-1</f>
        <v>1.4753342554172377E-2</v>
      </c>
      <c r="AD1136" s="400">
        <f>K1136-[25]Blocking1!O1136</f>
        <v>0</v>
      </c>
    </row>
    <row r="1137" spans="1:30">
      <c r="A1137" s="432" t="s">
        <v>678</v>
      </c>
      <c r="C1137" s="433">
        <f t="shared" si="499"/>
        <v>0</v>
      </c>
      <c r="E1137" s="433">
        <f t="shared" si="499"/>
        <v>0</v>
      </c>
      <c r="G1137" s="434">
        <f>[25]Blocking1!M1137</f>
        <v>43.38</v>
      </c>
      <c r="H1137" s="669"/>
      <c r="I1137" s="417">
        <f t="shared" si="506"/>
        <v>0</v>
      </c>
      <c r="K1137" s="417">
        <f t="shared" si="507"/>
        <v>0</v>
      </c>
      <c r="M1137" s="456">
        <f>M1135</f>
        <v>44.02</v>
      </c>
      <c r="N1137" s="572"/>
      <c r="O1137" s="417">
        <f t="shared" si="508"/>
        <v>0</v>
      </c>
      <c r="P1137" s="417"/>
      <c r="Q1137" s="416"/>
      <c r="R1137" s="439"/>
      <c r="S1137" s="502"/>
      <c r="T1137" s="439">
        <f>M1137/G1135-1</f>
        <v>1.4753342554172377E-2</v>
      </c>
      <c r="AD1137" s="400">
        <f>K1137-[25]Blocking1!O1137</f>
        <v>0</v>
      </c>
    </row>
    <row r="1138" spans="1:30">
      <c r="A1138" s="432" t="s">
        <v>531</v>
      </c>
      <c r="C1138" s="433"/>
      <c r="E1138" s="433"/>
      <c r="G1138" s="603"/>
      <c r="H1138" s="706"/>
      <c r="I1138" s="685"/>
      <c r="K1138" s="684"/>
      <c r="M1138" s="603"/>
      <c r="N1138" s="706"/>
      <c r="O1138" s="684"/>
      <c r="P1138" s="497"/>
      <c r="Q1138" s="416"/>
      <c r="R1138" s="439"/>
      <c r="AD1138" s="400">
        <f>K1138-[25]Blocking1!O1138</f>
        <v>0</v>
      </c>
    </row>
    <row r="1139" spans="1:30">
      <c r="A1139" s="432" t="s">
        <v>532</v>
      </c>
      <c r="C1139" s="433">
        <f t="shared" ref="C1139:E1140" si="509">C1095-C1117</f>
        <v>33433.599999999999</v>
      </c>
      <c r="E1139" s="433">
        <f t="shared" si="509"/>
        <v>19845.599999999999</v>
      </c>
      <c r="G1139" s="496">
        <f>[25]Blocking1!M1139</f>
        <v>13.75</v>
      </c>
      <c r="H1139" s="551"/>
      <c r="I1139" s="417">
        <f>ROUND($G1139*C1139,0)</f>
        <v>459712</v>
      </c>
      <c r="K1139" s="417">
        <f>ROUND($G1139*E1139,0)</f>
        <v>272877</v>
      </c>
      <c r="M1139" s="496">
        <f>M464</f>
        <v>13.96</v>
      </c>
      <c r="N1139" s="551"/>
      <c r="O1139" s="417">
        <f>ROUND(M1139*$E1139,0)</f>
        <v>277045</v>
      </c>
      <c r="P1139" s="684"/>
      <c r="Q1139" s="516"/>
      <c r="R1139" s="439"/>
      <c r="T1139" s="439">
        <f t="shared" ref="T1139:T1140" si="510">M1139/G1139-1</f>
        <v>1.5272727272727327E-2</v>
      </c>
      <c r="AD1139" s="400">
        <f>K1139-[25]Blocking1!O1139</f>
        <v>0</v>
      </c>
    </row>
    <row r="1140" spans="1:30">
      <c r="A1140" s="432" t="s">
        <v>533</v>
      </c>
      <c r="C1140" s="433">
        <f t="shared" si="509"/>
        <v>736833.71428571432</v>
      </c>
      <c r="E1140" s="433">
        <f t="shared" si="509"/>
        <v>437372.57142857142</v>
      </c>
      <c r="G1140" s="496">
        <f>[25]Blocking1!M1140</f>
        <v>9.32</v>
      </c>
      <c r="H1140" s="551"/>
      <c r="I1140" s="417">
        <f>ROUND($G1140*C1140,0)</f>
        <v>6867290</v>
      </c>
      <c r="K1140" s="417">
        <f>ROUND($G1140*E1140,0)</f>
        <v>4076312</v>
      </c>
      <c r="M1140" s="496">
        <f>M465</f>
        <v>9.4700000000000006</v>
      </c>
      <c r="N1140" s="551"/>
      <c r="O1140" s="417">
        <f>ROUND(M1140*$E1140,0)</f>
        <v>4141918</v>
      </c>
      <c r="P1140" s="497"/>
      <c r="T1140" s="439">
        <f t="shared" si="510"/>
        <v>1.6094420600858417E-2</v>
      </c>
      <c r="AD1140" s="400">
        <f>K1140-[25]Blocking1!O1140</f>
        <v>0</v>
      </c>
    </row>
    <row r="1141" spans="1:30">
      <c r="A1141" s="432" t="s">
        <v>534</v>
      </c>
      <c r="C1141" s="500"/>
      <c r="E1141" s="500"/>
      <c r="G1141" s="707"/>
      <c r="H1141" s="706"/>
      <c r="I1141" s="709"/>
      <c r="K1141" s="579"/>
      <c r="M1141" s="707"/>
      <c r="N1141" s="706"/>
      <c r="O1141" s="579"/>
      <c r="P1141" s="497"/>
      <c r="AD1141" s="400">
        <f>K1141-[25]Blocking1!O1141</f>
        <v>0</v>
      </c>
    </row>
    <row r="1142" spans="1:30">
      <c r="A1142" s="432" t="s">
        <v>535</v>
      </c>
      <c r="C1142" s="433">
        <f t="shared" ref="C1142:E1144" si="511">C1098-C1120</f>
        <v>30724362.399999999</v>
      </c>
      <c r="E1142" s="433">
        <f t="shared" si="511"/>
        <v>18237488.800000001</v>
      </c>
      <c r="G1142" s="576">
        <f>[25]Blocking1!M1142</f>
        <v>4.5818000000000003</v>
      </c>
      <c r="H1142" s="462" t="s">
        <v>305</v>
      </c>
      <c r="I1142" s="417">
        <f>ROUND(G1142*$C1142/100,0)</f>
        <v>1407729</v>
      </c>
      <c r="K1142" s="417">
        <f>ROUND(G1142*$E1142/100,0)</f>
        <v>835605</v>
      </c>
      <c r="M1142" s="576">
        <f>M466</f>
        <v>4.6531000000000002</v>
      </c>
      <c r="N1142" s="462" t="s">
        <v>305</v>
      </c>
      <c r="O1142" s="417">
        <f>ROUND(M1142*$E1142/100,0)</f>
        <v>848609</v>
      </c>
      <c r="P1142" s="497"/>
      <c r="T1142" s="439">
        <f t="shared" ref="T1142:T1144" si="512">M1142/G1142-1</f>
        <v>1.556156968876854E-2</v>
      </c>
      <c r="AD1142" s="400">
        <f>K1142-[25]Blocking1!O1142</f>
        <v>0</v>
      </c>
    </row>
    <row r="1143" spans="1:30">
      <c r="A1143" s="432" t="s">
        <v>536</v>
      </c>
      <c r="C1143" s="433">
        <f t="shared" si="511"/>
        <v>196606064.57142857</v>
      </c>
      <c r="E1143" s="433">
        <f t="shared" si="511"/>
        <v>116702207.42857143</v>
      </c>
      <c r="G1143" s="576">
        <f>[25]Blocking1!M1143</f>
        <v>3.4453</v>
      </c>
      <c r="H1143" s="462" t="s">
        <v>305</v>
      </c>
      <c r="I1143" s="417">
        <f t="shared" ref="I1143:I1144" si="513">ROUND(G1143*$C1143/100,0)</f>
        <v>6773669</v>
      </c>
      <c r="K1143" s="417">
        <f t="shared" ref="K1143:K1144" si="514">ROUND(G1143*$E1143/100,0)</f>
        <v>4020741</v>
      </c>
      <c r="M1143" s="576">
        <f t="shared" ref="M1143:M1144" si="515">M467</f>
        <v>3.4988999999999999</v>
      </c>
      <c r="N1143" s="462" t="s">
        <v>305</v>
      </c>
      <c r="O1143" s="417">
        <f t="shared" ref="O1143:O1144" si="516">ROUND(M1143*$E1143/100,0)</f>
        <v>4083294</v>
      </c>
      <c r="P1143" s="684"/>
      <c r="T1143" s="439">
        <f t="shared" si="512"/>
        <v>1.5557426058688595E-2</v>
      </c>
      <c r="AD1143" s="400">
        <f>K1143-[25]Blocking1!O1143</f>
        <v>0</v>
      </c>
    </row>
    <row r="1144" spans="1:30">
      <c r="A1144" s="432" t="s">
        <v>537</v>
      </c>
      <c r="C1144" s="682">
        <f t="shared" si="511"/>
        <v>443389796</v>
      </c>
      <c r="E1144" s="682">
        <f t="shared" si="511"/>
        <v>263189072.83333331</v>
      </c>
      <c r="G1144" s="676">
        <f>[25]Blocking1!M1144</f>
        <v>2.8776999999999999</v>
      </c>
      <c r="H1144" s="462" t="s">
        <v>305</v>
      </c>
      <c r="I1144" s="619">
        <f t="shared" si="513"/>
        <v>12759428</v>
      </c>
      <c r="K1144" s="619">
        <f t="shared" si="514"/>
        <v>7573792</v>
      </c>
      <c r="M1144" s="676">
        <f t="shared" si="515"/>
        <v>2.9224999999999999</v>
      </c>
      <c r="N1144" s="462" t="s">
        <v>305</v>
      </c>
      <c r="O1144" s="619">
        <f t="shared" si="516"/>
        <v>7691701</v>
      </c>
      <c r="P1144" s="684"/>
      <c r="T1144" s="439">
        <f t="shared" si="512"/>
        <v>1.5567988324008741E-2</v>
      </c>
      <c r="AD1144" s="400">
        <f>K1144-[25]Blocking1!O1144</f>
        <v>0</v>
      </c>
    </row>
    <row r="1145" spans="1:30" ht="16.5" thickBot="1">
      <c r="A1145" s="432" t="s">
        <v>538</v>
      </c>
      <c r="C1145" s="549">
        <f>SUM(C1142:C1144)</f>
        <v>670720222.97142863</v>
      </c>
      <c r="E1145" s="559">
        <f>SUM(E1142:E1144)</f>
        <v>398128769.06190479</v>
      </c>
      <c r="G1145" s="692"/>
      <c r="H1145" s="572"/>
      <c r="I1145" s="693">
        <f>SUM(I1126:I1144)</f>
        <v>31605800</v>
      </c>
      <c r="K1145" s="693">
        <f>SUM(K1126:K1144)</f>
        <v>18762865</v>
      </c>
      <c r="M1145" s="692"/>
      <c r="N1145" s="572"/>
      <c r="O1145" s="693">
        <f>SUM(O1126:O1144)</f>
        <v>19054666</v>
      </c>
      <c r="P1145" s="684"/>
      <c r="Q1145" s="416" t="s">
        <v>601</v>
      </c>
      <c r="R1145" s="518">
        <f>O1145/K1145-1</f>
        <v>1.5552049220628028E-2</v>
      </c>
      <c r="AD1145" s="400">
        <f>K1145-[25]Blocking1!O1145</f>
        <v>0</v>
      </c>
    </row>
    <row r="1146" spans="1:30" ht="16.5" thickTop="1">
      <c r="C1146" s="406"/>
      <c r="E1146" s="406"/>
      <c r="G1146" s="547"/>
      <c r="H1146" s="572"/>
      <c r="I1146" s="416"/>
      <c r="K1146" s="416"/>
      <c r="M1146" s="558"/>
      <c r="N1146" s="572"/>
      <c r="O1146" s="416"/>
      <c r="P1146" s="684"/>
      <c r="AD1146" s="400">
        <f>K1146-[25]Blocking1!O1146</f>
        <v>0</v>
      </c>
    </row>
    <row r="1147" spans="1:30">
      <c r="A1147" s="428" t="s">
        <v>688</v>
      </c>
      <c r="C1147" s="406"/>
      <c r="E1147" s="406"/>
      <c r="AD1147" s="400">
        <f>K1147-[25]Blocking1!O1147</f>
        <v>0</v>
      </c>
    </row>
    <row r="1148" spans="1:30">
      <c r="A1148" s="432" t="s">
        <v>539</v>
      </c>
      <c r="C1148" s="433">
        <f>C1157+C1166</f>
        <v>60.178899082568797</v>
      </c>
      <c r="E1148" s="433">
        <f>E1157+E1166</f>
        <v>60</v>
      </c>
      <c r="G1148" s="434">
        <f>[25]Blocking1!M1148</f>
        <v>2.1800000000000002</v>
      </c>
      <c r="H1148" s="435"/>
      <c r="I1148" s="417">
        <f>ROUND(G1148*$C1148,0)</f>
        <v>131</v>
      </c>
      <c r="K1148" s="417">
        <f>ROUND(G1148*$E1148,0)</f>
        <v>131</v>
      </c>
      <c r="M1148" s="434">
        <v>2.1800000000000002</v>
      </c>
      <c r="N1148" s="435"/>
      <c r="O1148" s="417">
        <f>ROUND(M1148*$E1148,0)</f>
        <v>131</v>
      </c>
      <c r="P1148" s="712"/>
      <c r="T1148" s="439">
        <f t="shared" ref="T1148:T1149" si="517">M1148/G1148-1</f>
        <v>0</v>
      </c>
      <c r="AD1148" s="400">
        <f>K1148-[25]Blocking1!O1148</f>
        <v>0</v>
      </c>
    </row>
    <row r="1149" spans="1:30">
      <c r="A1149" s="432" t="s">
        <v>540</v>
      </c>
      <c r="C1149" s="459">
        <f>C1158+C1167</f>
        <v>207.301674444139</v>
      </c>
      <c r="E1149" s="459">
        <f>E1158+E1167</f>
        <v>207</v>
      </c>
      <c r="G1149" s="713">
        <f>[25]Blocking1!M1149</f>
        <v>2.1858</v>
      </c>
      <c r="H1149" s="462"/>
      <c r="I1149" s="497">
        <f>ROUND(G1149*$C1149,0)</f>
        <v>453</v>
      </c>
      <c r="K1149" s="497">
        <f>ROUND(G1149*$E1149,0)</f>
        <v>452</v>
      </c>
      <c r="M1149" s="713">
        <v>2.1858</v>
      </c>
      <c r="N1149" s="462"/>
      <c r="O1149" s="497">
        <f>ROUND(M1149*$E1149,0)</f>
        <v>452</v>
      </c>
      <c r="T1149" s="439">
        <f t="shared" si="517"/>
        <v>0</v>
      </c>
      <c r="AD1149" s="400">
        <f>K1149-[25]Blocking1!O1149</f>
        <v>0</v>
      </c>
    </row>
    <row r="1150" spans="1:30">
      <c r="A1150" s="432" t="s">
        <v>464</v>
      </c>
      <c r="C1150" s="682">
        <f>SUM(C1148:C1149)</f>
        <v>267.48057352670781</v>
      </c>
      <c r="E1150" s="682">
        <f>SUM(E1148:E1149)</f>
        <v>267</v>
      </c>
      <c r="G1150" s="676"/>
      <c r="H1150" s="462"/>
      <c r="I1150" s="619">
        <f>SUM(I1148:I1149)</f>
        <v>584</v>
      </c>
      <c r="K1150" s="619">
        <f>SUM(K1148:K1149)</f>
        <v>583</v>
      </c>
      <c r="M1150" s="676"/>
      <c r="N1150" s="462"/>
      <c r="O1150" s="619">
        <f>SUM(O1148:O1149)</f>
        <v>583</v>
      </c>
      <c r="AD1150" s="400">
        <f>K1150-[25]Blocking1!O1150</f>
        <v>0</v>
      </c>
    </row>
    <row r="1151" spans="1:30">
      <c r="A1151" s="432" t="s">
        <v>541</v>
      </c>
      <c r="C1151" s="714">
        <f>C1160+C1169</f>
        <v>7756.93663227454</v>
      </c>
      <c r="E1151" s="714">
        <f>E1160+E1169</f>
        <v>7736.6128294616919</v>
      </c>
      <c r="G1151" s="523"/>
      <c r="I1151" s="407"/>
      <c r="K1151" s="407"/>
      <c r="M1151" s="407"/>
      <c r="O1151" s="407"/>
      <c r="P1151" s="417"/>
      <c r="AD1151" s="400">
        <f>K1151-[25]Blocking1!O1151</f>
        <v>0</v>
      </c>
    </row>
    <row r="1152" spans="1:30">
      <c r="A1152" s="432" t="s">
        <v>173</v>
      </c>
      <c r="C1152" s="714">
        <f t="shared" ref="C1152:E1153" si="518">C1161+C1170</f>
        <v>5</v>
      </c>
      <c r="E1152" s="714">
        <f t="shared" si="518"/>
        <v>5</v>
      </c>
      <c r="G1152" s="523"/>
      <c r="I1152" s="407"/>
      <c r="K1152" s="407"/>
      <c r="M1152" s="407"/>
      <c r="O1152" s="407"/>
      <c r="P1152" s="417"/>
      <c r="AD1152" s="400">
        <f>K1152-[25]Blocking1!O1152</f>
        <v>0</v>
      </c>
    </row>
    <row r="1153" spans="1:30">
      <c r="A1153" s="432" t="s">
        <v>190</v>
      </c>
      <c r="C1153" s="714">
        <f t="shared" si="518"/>
        <v>9</v>
      </c>
      <c r="E1153" s="714">
        <f t="shared" si="518"/>
        <v>0</v>
      </c>
      <c r="G1153" s="523"/>
      <c r="I1153" s="497">
        <f t="shared" ref="I1153" si="519">I1162+I1171</f>
        <v>3</v>
      </c>
      <c r="K1153" s="497"/>
      <c r="M1153" s="407"/>
      <c r="O1153" s="497">
        <v>0</v>
      </c>
      <c r="P1153" s="417"/>
      <c r="AD1153" s="400">
        <f>K1153-[25]Blocking1!O1153</f>
        <v>0</v>
      </c>
    </row>
    <row r="1154" spans="1:30" ht="16.5" thickBot="1">
      <c r="A1154" s="432" t="s">
        <v>172</v>
      </c>
      <c r="C1154" s="715">
        <f>C1153+C1151</f>
        <v>7765.93663227454</v>
      </c>
      <c r="E1154" s="715">
        <f>E1153+E1151</f>
        <v>7736.6128294616919</v>
      </c>
      <c r="G1154" s="634"/>
      <c r="H1154" s="712"/>
      <c r="I1154" s="716">
        <f>I1153+I1150</f>
        <v>587</v>
      </c>
      <c r="K1154" s="716">
        <f>K1153+K1150</f>
        <v>583</v>
      </c>
      <c r="M1154" s="716"/>
      <c r="N1154" s="712"/>
      <c r="O1154" s="716">
        <f>O1153+O1150</f>
        <v>583</v>
      </c>
      <c r="P1154" s="417"/>
      <c r="Q1154" s="416" t="s">
        <v>601</v>
      </c>
      <c r="R1154" s="518">
        <f>O1154/K1154-1</f>
        <v>0</v>
      </c>
      <c r="AD1154" s="400">
        <f>K1154-[25]Blocking1!O1154</f>
        <v>0</v>
      </c>
    </row>
    <row r="1155" spans="1:30" ht="16.5" thickTop="1">
      <c r="C1155" s="406"/>
      <c r="E1155" s="406"/>
      <c r="G1155" s="547"/>
      <c r="H1155" s="572"/>
      <c r="I1155" s="416"/>
      <c r="K1155" s="416"/>
      <c r="M1155" s="558"/>
      <c r="N1155" s="572"/>
      <c r="O1155" s="416"/>
      <c r="P1155" s="684"/>
      <c r="AD1155" s="400">
        <f>K1155-[25]Blocking1!O1155</f>
        <v>0</v>
      </c>
    </row>
    <row r="1156" spans="1:30">
      <c r="A1156" s="428" t="s">
        <v>689</v>
      </c>
      <c r="C1156" s="406"/>
      <c r="E1156" s="406"/>
      <c r="AD1156" s="400">
        <f>K1156-[25]Blocking1!O1156</f>
        <v>0</v>
      </c>
    </row>
    <row r="1157" spans="1:30">
      <c r="A1157" s="432" t="s">
        <v>539</v>
      </c>
      <c r="C1157" s="433">
        <v>0</v>
      </c>
      <c r="E1157" s="581">
        <f>ROUND(C1157*($E$1160/$C$1160),0)</f>
        <v>0</v>
      </c>
      <c r="G1157" s="434">
        <f>[25]Blocking1!M1157</f>
        <v>2.1800000000000002</v>
      </c>
      <c r="H1157" s="435"/>
      <c r="I1157" s="417">
        <f>ROUND(G1157*$C1157,0)</f>
        <v>0</v>
      </c>
      <c r="K1157" s="417">
        <f>ROUND(G1157*$E1157,0)</f>
        <v>0</v>
      </c>
      <c r="M1157" s="434">
        <v>2.1800000000000002</v>
      </c>
      <c r="N1157" s="435"/>
      <c r="O1157" s="417">
        <f>ROUND(M1157*$E1157,0)</f>
        <v>0</v>
      </c>
      <c r="P1157" s="712"/>
      <c r="T1157" s="439">
        <f t="shared" ref="T1157:T1158" si="520">M1157/G1157-1</f>
        <v>0</v>
      </c>
      <c r="AD1157" s="400">
        <f>K1157-[25]Blocking1!O1157</f>
        <v>0</v>
      </c>
    </row>
    <row r="1158" spans="1:30">
      <c r="A1158" s="432" t="s">
        <v>540</v>
      </c>
      <c r="C1158" s="459">
        <f>[25]PTL!K2</f>
        <v>207.301674444139</v>
      </c>
      <c r="E1158" s="581">
        <f>ROUND(C1158*($E$1160/$C$1160),0)</f>
        <v>207</v>
      </c>
      <c r="G1158" s="713">
        <f>[25]Blocking1!M1158</f>
        <v>2.1858</v>
      </c>
      <c r="H1158" s="462"/>
      <c r="I1158" s="497">
        <f>ROUND(G1158*$C1158,0)</f>
        <v>453</v>
      </c>
      <c r="K1158" s="497">
        <f>ROUND(G1158*$E1158,0)</f>
        <v>452</v>
      </c>
      <c r="M1158" s="713">
        <v>2.1858</v>
      </c>
      <c r="N1158" s="462"/>
      <c r="O1158" s="497">
        <f>ROUND(M1158*$E1158,0)</f>
        <v>452</v>
      </c>
      <c r="T1158" s="439">
        <f t="shared" si="520"/>
        <v>0</v>
      </c>
      <c r="AD1158" s="400">
        <f>K1158-[25]Blocking1!O1158</f>
        <v>0</v>
      </c>
    </row>
    <row r="1159" spans="1:30">
      <c r="A1159" s="432" t="s">
        <v>464</v>
      </c>
      <c r="C1159" s="682">
        <f>SUM(C1157:C1158)</f>
        <v>207.301674444139</v>
      </c>
      <c r="E1159" s="708">
        <f>SUM(E1157:E1158)</f>
        <v>207</v>
      </c>
      <c r="G1159" s="676"/>
      <c r="H1159" s="462"/>
      <c r="I1159" s="619">
        <f>SUM(I1157:I1158)</f>
        <v>453</v>
      </c>
      <c r="K1159" s="619">
        <f>SUM(K1157:K1158)</f>
        <v>452</v>
      </c>
      <c r="M1159" s="676"/>
      <c r="N1159" s="462"/>
      <c r="O1159" s="619">
        <f>SUM(O1157:O1158)</f>
        <v>452</v>
      </c>
      <c r="AD1159" s="400">
        <f>K1159-[25]Blocking1!O1159</f>
        <v>0</v>
      </c>
    </row>
    <row r="1160" spans="1:30">
      <c r="A1160" s="432" t="s">
        <v>541</v>
      </c>
      <c r="C1160" s="714">
        <f>[25]PTL!L2</f>
        <v>6011.74855888004</v>
      </c>
      <c r="E1160" s="717">
        <f>E1163</f>
        <v>5996.6128294616919</v>
      </c>
      <c r="G1160" s="523"/>
      <c r="I1160" s="407"/>
      <c r="K1160" s="407"/>
      <c r="M1160" s="407"/>
      <c r="O1160" s="407"/>
      <c r="P1160" s="417"/>
      <c r="AD1160" s="400">
        <f>K1160-[25]Blocking1!O1160</f>
        <v>0</v>
      </c>
    </row>
    <row r="1161" spans="1:30">
      <c r="A1161" s="432" t="s">
        <v>173</v>
      </c>
      <c r="C1161" s="714">
        <f>'[25]Table 2'!F50</f>
        <v>2</v>
      </c>
      <c r="E1161" s="718">
        <f>ROUND([25]Bill!P29/12,0)</f>
        <v>2</v>
      </c>
      <c r="G1161" s="523"/>
      <c r="I1161" s="407"/>
      <c r="K1161" s="407"/>
      <c r="M1161" s="407"/>
      <c r="O1161" s="407"/>
      <c r="P1161" s="417"/>
      <c r="AD1161" s="400">
        <f>K1161-[25]Blocking1!O1161</f>
        <v>0</v>
      </c>
    </row>
    <row r="1162" spans="1:30">
      <c r="A1162" s="432" t="s">
        <v>190</v>
      </c>
      <c r="C1162" s="714">
        <f>'[25]Table 2'!J50</f>
        <v>12</v>
      </c>
      <c r="E1162" s="717">
        <v>0</v>
      </c>
      <c r="G1162" s="523"/>
      <c r="I1162" s="497">
        <f>'[25]Table 3'!F50</f>
        <v>3</v>
      </c>
      <c r="K1162" s="497"/>
      <c r="M1162" s="407"/>
      <c r="O1162" s="497">
        <v>0</v>
      </c>
      <c r="P1162" s="417"/>
      <c r="AD1162" s="400">
        <f>K1162-[25]Blocking1!O1162</f>
        <v>0</v>
      </c>
    </row>
    <row r="1163" spans="1:30" ht="16.5" thickBot="1">
      <c r="A1163" s="432" t="s">
        <v>172</v>
      </c>
      <c r="C1163" s="715">
        <f>C1162+C1160</f>
        <v>6023.74855888004</v>
      </c>
      <c r="E1163" s="630">
        <f>[25]Energy!P29</f>
        <v>5996.6128294616919</v>
      </c>
      <c r="G1163" s="634"/>
      <c r="H1163" s="712"/>
      <c r="I1163" s="716">
        <f>I1162+I1159</f>
        <v>456</v>
      </c>
      <c r="K1163" s="716">
        <f>K1162+K1159</f>
        <v>452</v>
      </c>
      <c r="M1163" s="716"/>
      <c r="N1163" s="712"/>
      <c r="O1163" s="716">
        <f>O1162+O1159</f>
        <v>452</v>
      </c>
      <c r="P1163" s="417"/>
      <c r="Q1163" s="416" t="s">
        <v>601</v>
      </c>
      <c r="R1163" s="518">
        <f>O1163/K1163-1</f>
        <v>0</v>
      </c>
      <c r="AD1163" s="400">
        <f>K1163-[25]Blocking1!O1163</f>
        <v>0</v>
      </c>
    </row>
    <row r="1164" spans="1:30" ht="16.5" thickTop="1">
      <c r="C1164" s="406"/>
      <c r="E1164" s="406"/>
      <c r="G1164" s="547"/>
      <c r="H1164" s="572"/>
      <c r="I1164" s="416"/>
      <c r="K1164" s="416"/>
      <c r="M1164" s="558"/>
      <c r="N1164" s="572"/>
      <c r="O1164" s="416"/>
      <c r="P1164" s="684"/>
      <c r="AD1164" s="400">
        <f>K1164-[25]Blocking1!O1164</f>
        <v>0</v>
      </c>
    </row>
    <row r="1165" spans="1:30">
      <c r="A1165" s="428" t="s">
        <v>690</v>
      </c>
      <c r="C1165" s="406"/>
      <c r="E1165" s="406"/>
      <c r="AD1165" s="400">
        <f>K1165-[25]Blocking1!O1165</f>
        <v>0</v>
      </c>
    </row>
    <row r="1166" spans="1:30">
      <c r="A1166" s="432" t="s">
        <v>539</v>
      </c>
      <c r="C1166" s="433">
        <f>[25]PTL!K3</f>
        <v>60.178899082568797</v>
      </c>
      <c r="E1166" s="581">
        <f>ROUND(C1166*($E$1169/$C$1169),0)</f>
        <v>60</v>
      </c>
      <c r="G1166" s="434">
        <f>[25]Blocking1!M1166</f>
        <v>2.1800000000000002</v>
      </c>
      <c r="H1166" s="435"/>
      <c r="I1166" s="417">
        <f>ROUND(G1166*$C1166,0)</f>
        <v>131</v>
      </c>
      <c r="K1166" s="417">
        <f>ROUND(G1166*$E1166,0)</f>
        <v>131</v>
      </c>
      <c r="M1166" s="434">
        <v>2.1800000000000002</v>
      </c>
      <c r="N1166" s="435"/>
      <c r="O1166" s="417">
        <f>ROUND(M1166*$E1166,0)</f>
        <v>131</v>
      </c>
      <c r="P1166" s="712"/>
      <c r="T1166" s="439">
        <f t="shared" ref="T1166:T1167" si="521">M1166/G1166-1</f>
        <v>0</v>
      </c>
      <c r="AD1166" s="400">
        <f>K1166-[25]Blocking1!O1166</f>
        <v>0</v>
      </c>
    </row>
    <row r="1167" spans="1:30">
      <c r="A1167" s="432" t="s">
        <v>540</v>
      </c>
      <c r="C1167" s="459">
        <v>0</v>
      </c>
      <c r="E1167" s="581">
        <f>ROUND(C1167*($E$1169/$C$1169),0)</f>
        <v>0</v>
      </c>
      <c r="G1167" s="713">
        <f>[25]Blocking1!M1167</f>
        <v>2.1858</v>
      </c>
      <c r="H1167" s="462"/>
      <c r="I1167" s="497">
        <f>ROUND(G1167*$C1167,0)</f>
        <v>0</v>
      </c>
      <c r="K1167" s="497">
        <f>ROUND(G1167*$E1167,0)</f>
        <v>0</v>
      </c>
      <c r="M1167" s="713">
        <v>2.1858</v>
      </c>
      <c r="N1167" s="462"/>
      <c r="O1167" s="497">
        <f>ROUND(M1167*$E1167,0)</f>
        <v>0</v>
      </c>
      <c r="T1167" s="439">
        <f t="shared" si="521"/>
        <v>0</v>
      </c>
      <c r="AD1167" s="400">
        <f>K1167-[25]Blocking1!O1167</f>
        <v>0</v>
      </c>
    </row>
    <row r="1168" spans="1:30">
      <c r="A1168" s="432" t="s">
        <v>464</v>
      </c>
      <c r="C1168" s="682">
        <f>SUM(C1166:C1167)</f>
        <v>60.178899082568797</v>
      </c>
      <c r="E1168" s="708">
        <f>SUM(E1166:E1167)</f>
        <v>60</v>
      </c>
      <c r="G1168" s="676"/>
      <c r="H1168" s="462"/>
      <c r="I1168" s="619">
        <f>SUM(I1166:I1167)</f>
        <v>131</v>
      </c>
      <c r="K1168" s="619">
        <f>SUM(K1166:K1167)</f>
        <v>131</v>
      </c>
      <c r="M1168" s="676"/>
      <c r="N1168" s="462"/>
      <c r="O1168" s="619">
        <f>SUM(O1166:O1167)</f>
        <v>131</v>
      </c>
      <c r="AD1168" s="400">
        <f>K1168-[25]Blocking1!O1168</f>
        <v>0</v>
      </c>
    </row>
    <row r="1169" spans="1:30">
      <c r="A1169" s="432" t="s">
        <v>541</v>
      </c>
      <c r="C1169" s="714">
        <f>[25]PTL!L3</f>
        <v>1745.1880733945</v>
      </c>
      <c r="E1169" s="717">
        <f>E1172</f>
        <v>1740</v>
      </c>
      <c r="G1169" s="523"/>
      <c r="I1169" s="407"/>
      <c r="K1169" s="407"/>
      <c r="M1169" s="407"/>
      <c r="O1169" s="407"/>
      <c r="P1169" s="417"/>
      <c r="AD1169" s="400">
        <f>K1169-[25]Blocking1!O1169</f>
        <v>0</v>
      </c>
    </row>
    <row r="1170" spans="1:30">
      <c r="A1170" s="432" t="s">
        <v>173</v>
      </c>
      <c r="C1170" s="714">
        <f>'[25]Table 2'!F20</f>
        <v>3</v>
      </c>
      <c r="E1170" s="718">
        <f>ROUND([25]Bill!P12/12,0)</f>
        <v>3</v>
      </c>
      <c r="G1170" s="523"/>
      <c r="I1170" s="407"/>
      <c r="K1170" s="407"/>
      <c r="M1170" s="407"/>
      <c r="O1170" s="407"/>
      <c r="P1170" s="417"/>
      <c r="AD1170" s="400">
        <f>K1170-[25]Blocking1!O1170</f>
        <v>0</v>
      </c>
    </row>
    <row r="1171" spans="1:30">
      <c r="A1171" s="432" t="s">
        <v>190</v>
      </c>
      <c r="C1171" s="714">
        <f>'[25]Table 2'!J20</f>
        <v>-3</v>
      </c>
      <c r="E1171" s="717">
        <v>0</v>
      </c>
      <c r="G1171" s="523"/>
      <c r="I1171" s="497">
        <f>'[25]Table 3'!F20</f>
        <v>0</v>
      </c>
      <c r="K1171" s="497"/>
      <c r="M1171" s="407"/>
      <c r="O1171" s="497">
        <v>0</v>
      </c>
      <c r="P1171" s="417"/>
      <c r="AD1171" s="400">
        <f>K1171-[25]Blocking1!O1171</f>
        <v>0</v>
      </c>
    </row>
    <row r="1172" spans="1:30" ht="16.5" thickBot="1">
      <c r="A1172" s="432" t="s">
        <v>172</v>
      </c>
      <c r="C1172" s="715">
        <f>C1171+C1169</f>
        <v>1742.1880733945</v>
      </c>
      <c r="E1172" s="630">
        <f>[25]Energy!P12</f>
        <v>1740</v>
      </c>
      <c r="G1172" s="634"/>
      <c r="H1172" s="712"/>
      <c r="I1172" s="716">
        <f>I1171+I1168</f>
        <v>131</v>
      </c>
      <c r="K1172" s="716">
        <f>K1171+K1168</f>
        <v>131</v>
      </c>
      <c r="M1172" s="716"/>
      <c r="N1172" s="712"/>
      <c r="O1172" s="716">
        <f>O1171+O1168</f>
        <v>131</v>
      </c>
      <c r="P1172" s="417"/>
      <c r="Q1172" s="416" t="s">
        <v>601</v>
      </c>
      <c r="R1172" s="518">
        <f>O1172/K1172-1</f>
        <v>0</v>
      </c>
      <c r="AD1172" s="400">
        <f>K1172-[25]Blocking1!O1172</f>
        <v>0</v>
      </c>
    </row>
    <row r="1173" spans="1:30" ht="16.5" thickTop="1">
      <c r="C1173" s="406"/>
      <c r="E1173" s="406"/>
      <c r="P1173" s="417"/>
      <c r="AD1173" s="400">
        <f>K1173-[25]Blocking1!O1173</f>
        <v>0</v>
      </c>
    </row>
    <row r="1174" spans="1:30">
      <c r="A1174" s="696" t="s">
        <v>542</v>
      </c>
      <c r="B1174" s="407"/>
      <c r="G1174" s="547"/>
      <c r="H1174" s="572"/>
      <c r="M1174" s="558"/>
      <c r="N1174" s="572"/>
      <c r="P1174" s="497"/>
      <c r="S1174" s="719"/>
      <c r="AD1174" s="400">
        <f>K1174-[25]Blocking1!O1174</f>
        <v>0</v>
      </c>
    </row>
    <row r="1175" spans="1:30">
      <c r="A1175" s="499" t="s">
        <v>543</v>
      </c>
      <c r="B1175" s="407"/>
      <c r="C1175" s="720"/>
      <c r="E1175" s="720"/>
      <c r="G1175" s="547"/>
      <c r="H1175" s="572"/>
      <c r="I1175" s="417">
        <f>'[25]Table 3'!N34</f>
        <v>33040.269999999997</v>
      </c>
      <c r="K1175" s="417">
        <f t="shared" ref="K1175:K1180" si="522">I1175</f>
        <v>33040.269999999997</v>
      </c>
      <c r="M1175" s="558"/>
      <c r="N1175" s="572"/>
      <c r="O1175" s="417">
        <f t="shared" ref="O1175:O1180" si="523">I1175</f>
        <v>33040.269999999997</v>
      </c>
      <c r="P1175" s="417"/>
      <c r="AD1175" s="400">
        <f>K1175-[25]Blocking1!O1175</f>
        <v>0</v>
      </c>
    </row>
    <row r="1176" spans="1:30">
      <c r="A1176" s="499" t="s">
        <v>544</v>
      </c>
      <c r="B1176" s="407"/>
      <c r="C1176" s="720"/>
      <c r="E1176" s="720"/>
      <c r="G1176" s="547"/>
      <c r="H1176" s="572"/>
      <c r="I1176" s="417">
        <f>'[25]Table 3'!N64</f>
        <v>2726577.8500000006</v>
      </c>
      <c r="K1176" s="417">
        <f t="shared" si="522"/>
        <v>2726577.8500000006</v>
      </c>
      <c r="M1176" s="558"/>
      <c r="N1176" s="572"/>
      <c r="O1176" s="417">
        <f t="shared" si="523"/>
        <v>2726577.8500000006</v>
      </c>
      <c r="P1176" s="417"/>
      <c r="AD1176" s="400">
        <f>K1176-[25]Blocking1!O1176</f>
        <v>0</v>
      </c>
    </row>
    <row r="1177" spans="1:30">
      <c r="A1177" s="499" t="s">
        <v>545</v>
      </c>
      <c r="B1177" s="407"/>
      <c r="C1177" s="720"/>
      <c r="E1177" s="720"/>
      <c r="G1177" s="547"/>
      <c r="H1177" s="572"/>
      <c r="I1177" s="417">
        <f>'[25]Table 3'!N96</f>
        <v>-5447.4699999999866</v>
      </c>
      <c r="K1177" s="417">
        <f t="shared" si="522"/>
        <v>-5447.4699999999866</v>
      </c>
      <c r="M1177" s="558"/>
      <c r="N1177" s="572"/>
      <c r="O1177" s="417">
        <f t="shared" si="523"/>
        <v>-5447.4699999999866</v>
      </c>
      <c r="P1177" s="417"/>
      <c r="AD1177" s="400">
        <f>K1177-[25]Blocking1!O1177</f>
        <v>0</v>
      </c>
    </row>
    <row r="1178" spans="1:30">
      <c r="A1178" s="499" t="s">
        <v>546</v>
      </c>
      <c r="B1178" s="407"/>
      <c r="C1178" s="720"/>
      <c r="E1178" s="720"/>
      <c r="G1178" s="547"/>
      <c r="H1178" s="572"/>
      <c r="I1178" s="417">
        <f>'[25]Table 3'!N113</f>
        <v>206563.33000000002</v>
      </c>
      <c r="K1178" s="417">
        <f t="shared" si="522"/>
        <v>206563.33000000002</v>
      </c>
      <c r="M1178" s="558"/>
      <c r="N1178" s="572"/>
      <c r="O1178" s="417">
        <f t="shared" si="523"/>
        <v>206563.33000000002</v>
      </c>
      <c r="P1178" s="497"/>
      <c r="AD1178" s="400">
        <f>K1178-[25]Blocking1!O1178</f>
        <v>0</v>
      </c>
    </row>
    <row r="1179" spans="1:30">
      <c r="A1179" s="499" t="s">
        <v>547</v>
      </c>
      <c r="B1179" s="407"/>
      <c r="C1179" s="720"/>
      <c r="E1179" s="720"/>
      <c r="G1179" s="547"/>
      <c r="H1179" s="572"/>
      <c r="I1179" s="417">
        <f>'[25]Table 3'!N139</f>
        <v>4661.6400000000003</v>
      </c>
      <c r="K1179" s="417">
        <f t="shared" si="522"/>
        <v>4661.6400000000003</v>
      </c>
      <c r="M1179" s="558"/>
      <c r="N1179" s="572"/>
      <c r="O1179" s="417">
        <f t="shared" si="523"/>
        <v>4661.6400000000003</v>
      </c>
      <c r="T1179" s="719"/>
      <c r="AD1179" s="400">
        <f>K1179-[25]Blocking1!O1179</f>
        <v>0</v>
      </c>
    </row>
    <row r="1180" spans="1:30">
      <c r="A1180" s="499" t="s">
        <v>548</v>
      </c>
      <c r="B1180" s="407"/>
      <c r="C1180" s="720"/>
      <c r="E1180" s="720"/>
      <c r="G1180" s="547"/>
      <c r="H1180" s="572"/>
      <c r="I1180" s="417">
        <f>'[25]Table 3'!N158</f>
        <v>0</v>
      </c>
      <c r="K1180" s="417">
        <f t="shared" si="522"/>
        <v>0</v>
      </c>
      <c r="M1180" s="558"/>
      <c r="N1180" s="572"/>
      <c r="O1180" s="417">
        <f t="shared" si="523"/>
        <v>0</v>
      </c>
      <c r="AD1180" s="400">
        <f>K1180-[25]Blocking1!O1180</f>
        <v>0</v>
      </c>
    </row>
    <row r="1181" spans="1:30" ht="16.5" thickBot="1">
      <c r="A1181" s="499" t="s">
        <v>549</v>
      </c>
      <c r="B1181" s="407"/>
      <c r="C1181" s="721"/>
      <c r="E1181" s="721"/>
      <c r="G1181" s="702"/>
      <c r="H1181" s="572"/>
      <c r="I1181" s="511">
        <f>SUM(I1175:I1180)</f>
        <v>2965395.6200000006</v>
      </c>
      <c r="K1181" s="511">
        <f>SUM(K1175:K1180)</f>
        <v>2965395.6200000006</v>
      </c>
      <c r="M1181" s="704"/>
      <c r="N1181" s="572"/>
      <c r="O1181" s="511">
        <f>SUM(O1175:O1180)</f>
        <v>2965395.6200000006</v>
      </c>
      <c r="Q1181" s="416" t="s">
        <v>601</v>
      </c>
      <c r="R1181" s="518">
        <f>O1181/K1181-1</f>
        <v>0</v>
      </c>
      <c r="AD1181" s="400">
        <f>K1181-[25]Blocking1!O1181</f>
        <v>0</v>
      </c>
    </row>
    <row r="1182" spans="1:30" ht="16.5" thickTop="1">
      <c r="A1182" s="523"/>
      <c r="B1182" s="407"/>
      <c r="G1182" s="547"/>
      <c r="H1182" s="572"/>
      <c r="I1182" s="417"/>
      <c r="K1182" s="417"/>
      <c r="M1182" s="558"/>
      <c r="N1182" s="572"/>
      <c r="O1182" s="417"/>
      <c r="Q1182" s="558"/>
      <c r="R1182" s="722"/>
      <c r="AD1182" s="400">
        <f>K1182-[25]Blocking1!O1182</f>
        <v>0</v>
      </c>
    </row>
    <row r="1183" spans="1:30" ht="16.5" thickBot="1">
      <c r="A1183" s="510" t="s">
        <v>550</v>
      </c>
      <c r="B1183" s="512"/>
      <c r="C1183" s="721">
        <f>C28+C48+C70+C85+C145+C187+C263+C435+C470+C511+C543+C559+C611+C694+C703+C736+C771+C784+C884+C1074+C1079+C1101+C1154+C1181</f>
        <v>23682006292.051182</v>
      </c>
      <c r="E1183" s="721">
        <f>E28+E48+E70+E85+E145+E187+E263+E435+E470+E511+E543+E559+E611+E694+E703+E736+E771+E784+E884+E1074+E1079+E1101+E1154+E1181</f>
        <v>23244284921.518604</v>
      </c>
      <c r="G1183" s="510"/>
      <c r="I1183" s="511" t="e">
        <f>I28+I48+I70+I85+I145+I187+I263+I435+I470+I511+I543+I559+I611+I694+I703+I736+I771+I784+I884+I1074+I1079+I1101+I1154+I1181</f>
        <v>#VALUE!</v>
      </c>
      <c r="K1183" s="511" t="e">
        <f>K28+K48+K70+K85+K145+K187+K263+K435+K470+K511+K543+K559+K611+K694+K703+K736+K771+K784+K884+K1074+K1079+K1101+K1154+K1181</f>
        <v>#VALUE!</v>
      </c>
      <c r="M1183" s="512"/>
      <c r="O1183" s="511" t="e">
        <f>O28+O48+O70+O85+O145+O187+O263+O435+O470+O511+O543+O559+O611+O694+O703+O736+O771+O784+O884+O1074+O1079+O1101+O1154+O1181</f>
        <v>#VALUE!</v>
      </c>
      <c r="Q1183" s="416" t="s">
        <v>601</v>
      </c>
      <c r="R1183" s="518" t="e">
        <f>O1183/K1183-1</f>
        <v>#VALUE!</v>
      </c>
      <c r="AD1183" s="400" t="e">
        <f>K1183-[25]Blocking1!O1183</f>
        <v>#VALUE!</v>
      </c>
    </row>
    <row r="1184" spans="1:30" ht="16.5" thickTop="1"/>
    <row r="1185" spans="9:11">
      <c r="I1185" s="417"/>
      <c r="K1185" s="417"/>
    </row>
    <row r="1186" spans="9:11">
      <c r="I1186" s="417"/>
      <c r="K1186" s="417"/>
    </row>
    <row r="1187" spans="9:11">
      <c r="K1187" s="417"/>
    </row>
  </sheetData>
  <scenarios current="1" show="0">
    <scenario name="Present Basic" locked="1" count="14" user="Michael Reid" comment="Created by Michael Reid on 3/2/2001_x000a_Modified by Michael Reid on 3/13/2001">
      <inputCells r="G438" val="3.54" numFmtId="7"/>
      <inputCells r="G440" val="10.62" numFmtId="7"/>
      <inputCells r="G636" val="14.74" numFmtId="7"/>
      <inputCells r="G691" val="29.49" numFmtId="7"/>
      <inputCells r="G462" val="98.29" numFmtId="7"/>
      <inputCells r="G522" val="176.93" numFmtId="7"/>
      <inputCells r="G514" val="10.5" numFmtId="7"/>
      <inputCells r="G530" val="78.63" numFmtId="7"/>
      <inputCells r="G531" val="24.57" numFmtId="7"/>
      <inputCells r="G532" val="9.83" numFmtId="7"/>
      <inputCells r="G539" val="9.83" numFmtId="7"/>
      <inputCells r="G888" val="54.06" numFmtId="7"/>
      <inputCells r="G901" val="245.73" numFmtId="7"/>
      <inputCells r="G914" val="275.22" numFmtId="7"/>
    </scenario>
    <scenario name="Present Energy" locked="1" count="9" user="Michael Reid" comment="Created by Michael Reid on 3/2/2001">
      <inputCells r="G639" val="2.6294" numFmtId="164"/>
      <inputCells r="G524" val="4.4789" numFmtId="164"/>
      <inputCells r="G525" val="1.9244" numFmtId="164"/>
      <inputCells r="G535" val="3.9804" numFmtId="164"/>
      <inputCells r="G536" val="2.9319" numFmtId="164"/>
      <inputCells r="G540" val="2.7286" numFmtId="164"/>
      <inputCells r="G551" val="7.9366" numFmtId="167"/>
      <inputCells r="G552" val="2.2624" numFmtId="167"/>
      <inputCells r="J616" undone="1" val="2.0165" numFmtId="166"/>
    </scenario>
    <scenario name="Present Demand" locked="1" count="14" user="Michael Reid" comment="Created by Michael Reid on 3/2/2001">
      <inputCells r="G637" val="7.67" numFmtId="7"/>
      <inputCells r="G692" val="3.27" numFmtId="7"/>
      <inputCells r="G463" val="5.71" numFmtId="7"/>
      <inputCells r="G523" val="1.31" numFmtId="7"/>
      <inputCells r="G533" val="3.99" numFmtId="7"/>
      <inputCells r="G889" val="2.59" numFmtId="7"/>
      <inputCells r="G891" val="0.3511" numFmtId="174"/>
      <inputCells r="G897" val="33.22" numFmtId="7"/>
      <inputCells r="G902" val="2.08" numFmtId="7"/>
      <inputCells r="G904" val="0.3511" numFmtId="174"/>
      <inputCells r="G910" val="31.22" numFmtId="7"/>
      <inputCells r="G915" val="1.4" numFmtId="7"/>
      <inputCells r="G917" val="0.2684" numFmtId="174"/>
      <inputCells r="G923" val="23.08" numFmtId="7"/>
    </scenario>
    <scenario name="Present 7" locked="1" count="29" user="Michael Reid" comment="Created by Michael Reid on 3/5/2001">
      <inputCells r="G227" val="3.93" numFmtId="7"/>
      <inputCells r="G228" val="11.32" numFmtId="7"/>
      <inputCells r="G229" val="5.57" numFmtId="7"/>
      <inputCells r="G230" val="18.5" numFmtId="7"/>
      <inputCells r="G232" val="10.08" numFmtId="7"/>
      <inputCells r="G233" val="8.45" numFmtId="7"/>
      <inputCells r="G234" val="10.7" numFmtId="7"/>
      <inputCells r="G235" val="9.2" numFmtId="7"/>
      <inputCells r="G236" val="13.44" numFmtId="7"/>
      <inputCells r="G237" val="11.84" numFmtId="7"/>
      <inputCells r="G238" val="14.55" numFmtId="7"/>
      <inputCells r="G239" val="16.25" numFmtId="7"/>
      <inputCells r="G240" val="14.66" numFmtId="7"/>
      <inputCells r="G241" val="19.55" numFmtId="7"/>
      <inputCells r="G242" val="17.97" numFmtId="7"/>
      <inputCells r="G244" val="13.44" numFmtId="7"/>
      <inputCells r="G245" val="11.84" numFmtId="7"/>
      <inputCells r="G246" val="16.25" numFmtId="7"/>
      <inputCells r="G247" val="14.66" numFmtId="7"/>
      <inputCells r="G248" val="19.55" numFmtId="7"/>
      <inputCells r="G249" val="17.97" numFmtId="7"/>
      <inputCells r="G251" val="20.32" numFmtId="7"/>
      <inputCells r="G252" val="15.06" numFmtId="7"/>
      <inputCells r="G253" val="23.73" numFmtId="7"/>
      <inputCells r="G254" val="18.95" numFmtId="7"/>
      <inputCells r="G255" val="25.36" numFmtId="7"/>
      <inputCells r="G256" val="20.54" numFmtId="7"/>
      <inputCells r="G257" val="39.79" numFmtId="7"/>
      <inputCells r="G258" val="34.84" numFmtId="7"/>
    </scenario>
    <scenario name="Proposed Demand" locked="1" count="14" user="Michael Reid" comment="Created by Michael Reid on 3/5/2001_x000a_Modified by Michael Reid on 3/5/2001">
      <inputCells r="G637" val="9.07" numFmtId="7"/>
      <inputCells r="G692" val="3.89" numFmtId="7"/>
      <inputCells r="G463" val="6.75" numFmtId="7"/>
      <inputCells r="G523" val="2.02" numFmtId="7"/>
      <inputCells r="G533" val="4.73" numFmtId="7"/>
      <inputCells r="G889" val="3.08" numFmtId="7"/>
      <inputCells r="G891" val="0.4177" numFmtId="174"/>
      <inputCells r="G897" val="39.5" numFmtId="7"/>
      <inputCells r="G902" val="2.47" numFmtId="7"/>
      <inputCells r="G904" val="0.4175" numFmtId="174"/>
      <inputCells r="G910" val="37.11" numFmtId="7"/>
      <inputCells r="G915" val="1.66" numFmtId="7"/>
      <inputCells r="G917" val="0.3193" numFmtId="174"/>
      <inputCells r="G923" val="27.44" numFmtId="7"/>
    </scenario>
    <scenario name="Proposed Energy" locked="1" count="9" user="Michael Reid" comment="Created by Michael Reid on 3/5/2001_x000a_Modified by Michael Reid on 3/5/2001">
      <inputCells r="G639" val="3.1106" numFmtId="164"/>
      <inputCells r="G524" val="4.7317" numFmtId="164"/>
      <inputCells r="G525" val="2.3449" numFmtId="164"/>
      <inputCells r="G535" val="4.7233" numFmtId="164"/>
      <inputCells r="G536" val="3.4792" numFmtId="164"/>
      <inputCells r="G540" val="3.2379" numFmtId="164"/>
      <inputCells r="G551" val="9.418" numFmtId="167"/>
      <inputCells r="G552" val="2.6847" numFmtId="167"/>
      <inputCells r="J616" undone="1" val="2.3826" numFmtId="166"/>
    </scenario>
    <scenario name="Proposed 7" locked="1" count="29" user="Michael Reid" comment="Created by Michael Reid on 3/5/2001">
      <inputCells r="G227" val="4.64" numFmtId="7"/>
      <inputCells r="G228" val="13.35" numFmtId="7"/>
      <inputCells r="G229" val="6.57" numFmtId="7"/>
      <inputCells r="G230" val="21.82" numFmtId="7"/>
      <inputCells r="G232" val="11.89" numFmtId="7"/>
      <inputCells r="G233" val="9.97" numFmtId="7"/>
      <inputCells r="G234" val="12.62" numFmtId="7"/>
      <inputCells r="G235" val="10.85" numFmtId="7"/>
      <inputCells r="G236" val="15.85" numFmtId="7"/>
      <inputCells r="G237" val="13.96" numFmtId="7"/>
      <inputCells r="G238" val="17.16" numFmtId="7"/>
      <inputCells r="G239" val="19.17" numFmtId="7"/>
      <inputCells r="G240" val="17.29" numFmtId="7"/>
      <inputCells r="G241" val="23.06" numFmtId="7"/>
      <inputCells r="G242" val="21.19" numFmtId="7"/>
      <inputCells r="G244" val="15.85" numFmtId="7"/>
      <inputCells r="G245" val="13.96" numFmtId="7"/>
      <inputCells r="G246" val="19.17" numFmtId="7"/>
      <inputCells r="G247" val="17.29" numFmtId="7"/>
      <inputCells r="G248" val="23.06" numFmtId="7"/>
      <inputCells r="G249" val="21.19" numFmtId="7"/>
      <inputCells r="G251" val="23.97" numFmtId="7"/>
      <inputCells r="G252" val="17.76" numFmtId="7"/>
      <inputCells r="G253" val="27.99" numFmtId="7"/>
      <inputCells r="G254" val="22.35" numFmtId="7"/>
      <inputCells r="G255" val="29.91" numFmtId="7"/>
      <inputCells r="G256" val="24.23" numFmtId="7"/>
      <inputCells r="G257" val="46.93" numFmtId="7"/>
      <inputCells r="G258" val="41.09" numFmtId="7"/>
    </scenario>
  </scenarios>
  <printOptions horizontalCentered="1"/>
  <pageMargins left="1" right="0.5" top="1" bottom="0.55000000000000004" header="0.25" footer="0.25"/>
  <pageSetup scale="53" fitToHeight="88" orientation="portrait" r:id="rId1"/>
  <headerFooter alignWithMargins="0">
    <oddFooter>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view="pageBreakPreview" zoomScale="90" zoomScaleNormal="82" zoomScaleSheetLayoutView="90" workbookViewId="0">
      <selection activeCell="F159" sqref="F159"/>
    </sheetView>
  </sheetViews>
  <sheetFormatPr defaultRowHeight="12.75"/>
  <cols>
    <col min="1" max="1" width="6.28515625" style="758" bestFit="1" customWidth="1"/>
    <col min="2" max="2" width="6.140625" style="758" bestFit="1" customWidth="1"/>
    <col min="3" max="3" width="15.5703125" style="759" bestFit="1" customWidth="1"/>
    <col min="4" max="4" width="16.7109375" style="758" bestFit="1" customWidth="1"/>
    <col min="5" max="5" width="14.42578125" style="758" bestFit="1" customWidth="1"/>
    <col min="6" max="6" width="13.5703125" style="758" bestFit="1" customWidth="1"/>
    <col min="7" max="7" width="13" style="758" customWidth="1"/>
    <col min="8" max="8" width="17.7109375" style="758" bestFit="1" customWidth="1"/>
    <col min="9" max="9" width="14.5703125" style="758" bestFit="1" customWidth="1"/>
    <col min="10" max="10" width="16.28515625" style="758" bestFit="1" customWidth="1"/>
    <col min="11" max="11" width="2.7109375" style="758" customWidth="1"/>
    <col min="12" max="12" width="14" style="760" bestFit="1" customWidth="1"/>
    <col min="13" max="13" width="13.28515625" style="760" customWidth="1"/>
    <col min="14" max="14" width="2.5703125" style="758" customWidth="1"/>
    <col min="15" max="15" width="9.85546875" style="758" bestFit="1" customWidth="1"/>
    <col min="16" max="16384" width="9.140625" style="758"/>
  </cols>
  <sheetData>
    <row r="1" spans="1:14">
      <c r="A1" s="758" t="e">
        <f ca="1">CELL("filename")</f>
        <v>#N/A</v>
      </c>
      <c r="J1" s="758" t="s">
        <v>247</v>
      </c>
    </row>
    <row r="2" spans="1:14">
      <c r="A2" s="758" t="s">
        <v>692</v>
      </c>
      <c r="J2" s="758" t="s">
        <v>693</v>
      </c>
      <c r="L2" s="761" t="s">
        <v>694</v>
      </c>
      <c r="M2" s="762">
        <v>7.2309999999999999E-2</v>
      </c>
    </row>
    <row r="3" spans="1:14">
      <c r="L3" s="763" t="s">
        <v>693</v>
      </c>
      <c r="M3" s="764">
        <f>M2/12</f>
        <v>6.0258333333333336E-3</v>
      </c>
    </row>
    <row r="4" spans="1:14" s="772" customFormat="1" ht="87.75" customHeight="1">
      <c r="A4" s="765" t="s">
        <v>695</v>
      </c>
      <c r="B4" s="765" t="s">
        <v>83</v>
      </c>
      <c r="C4" s="765" t="s">
        <v>696</v>
      </c>
      <c r="D4" s="766" t="s">
        <v>697</v>
      </c>
      <c r="E4" s="766" t="s">
        <v>698</v>
      </c>
      <c r="F4" s="766" t="s">
        <v>699</v>
      </c>
      <c r="G4" s="766" t="s">
        <v>700</v>
      </c>
      <c r="H4" s="766" t="s">
        <v>701</v>
      </c>
      <c r="I4" s="767" t="s">
        <v>702</v>
      </c>
      <c r="J4" s="765" t="s">
        <v>703</v>
      </c>
      <c r="K4" s="768"/>
      <c r="L4" s="769" t="s">
        <v>704</v>
      </c>
      <c r="M4" s="770" t="s">
        <v>705</v>
      </c>
      <c r="N4" s="771"/>
    </row>
    <row r="5" spans="1:14" hidden="1">
      <c r="A5" s="773"/>
      <c r="B5" s="773"/>
      <c r="C5" s="774"/>
      <c r="D5" s="775"/>
      <c r="E5" s="775"/>
      <c r="F5" s="775"/>
      <c r="G5" s="775"/>
      <c r="H5" s="775"/>
      <c r="I5" s="775"/>
      <c r="J5" s="775">
        <v>0</v>
      </c>
      <c r="K5" s="776"/>
      <c r="L5" s="777"/>
    </row>
    <row r="6" spans="1:14" hidden="1">
      <c r="A6" s="773">
        <v>2000</v>
      </c>
      <c r="B6" s="773" t="s">
        <v>57</v>
      </c>
      <c r="C6" s="774">
        <v>0</v>
      </c>
      <c r="D6" s="775">
        <f>[26]Recap!C9</f>
        <v>-49746.62</v>
      </c>
      <c r="E6" s="775">
        <v>0</v>
      </c>
      <c r="F6" s="775">
        <v>7930.16</v>
      </c>
      <c r="G6" s="775">
        <v>0</v>
      </c>
      <c r="H6" s="775">
        <v>0</v>
      </c>
      <c r="I6" s="775">
        <f t="shared" ref="I6:I52" si="0">+M6</f>
        <v>-125.99299398000002</v>
      </c>
      <c r="J6" s="775">
        <f>SUM(C6:I6)</f>
        <v>-41942.452993980005</v>
      </c>
      <c r="K6" s="776"/>
      <c r="L6" s="777">
        <f>J5+(SUM(D6:H6)/2)</f>
        <v>-20908.230000000003</v>
      </c>
      <c r="M6" s="778">
        <f>+L6*0.006026</f>
        <v>-125.99299398000002</v>
      </c>
    </row>
    <row r="7" spans="1:14" hidden="1">
      <c r="A7" s="773">
        <v>2000</v>
      </c>
      <c r="B7" s="773" t="s">
        <v>58</v>
      </c>
      <c r="C7" s="774">
        <f t="shared" ref="C7:C70" si="1">J6</f>
        <v>-41942.452993980005</v>
      </c>
      <c r="D7" s="775">
        <f>[26]Recap!C10</f>
        <v>-155090.97</v>
      </c>
      <c r="E7" s="775">
        <v>0.32999999998719431</v>
      </c>
      <c r="F7" s="775">
        <v>120</v>
      </c>
      <c r="G7" s="775">
        <v>0</v>
      </c>
      <c r="H7" s="775">
        <f>[26]Recap!C247</f>
        <v>32</v>
      </c>
      <c r="I7" s="775">
        <f t="shared" si="0"/>
        <v>-719.57534406172351</v>
      </c>
      <c r="J7" s="775">
        <f t="shared" ref="J7:J70" si="2">SUM(C7:I7)</f>
        <v>-197600.66833804172</v>
      </c>
      <c r="K7" s="776"/>
      <c r="L7" s="777">
        <f t="shared" ref="L7:L70" si="3">J6+(SUM(D7:H7)/2)</f>
        <v>-119411.77299398</v>
      </c>
      <c r="M7" s="778">
        <f>+L7*0.006026</f>
        <v>-719.57534406172351</v>
      </c>
    </row>
    <row r="8" spans="1:14" hidden="1">
      <c r="A8" s="773">
        <v>2000</v>
      </c>
      <c r="B8" s="773" t="s">
        <v>59</v>
      </c>
      <c r="C8" s="774">
        <f t="shared" si="1"/>
        <v>-197600.66833804172</v>
      </c>
      <c r="D8" s="775">
        <f>[26]Recap!C11</f>
        <v>-164084.78</v>
      </c>
      <c r="E8" s="775">
        <v>2.9999999998835847E-2</v>
      </c>
      <c r="F8" s="775">
        <v>0</v>
      </c>
      <c r="G8" s="775">
        <v>0</v>
      </c>
      <c r="H8" s="775">
        <f>[26]Recap!C248</f>
        <v>1302.6099999999999</v>
      </c>
      <c r="I8" s="775">
        <f t="shared" si="0"/>
        <v>-1681.2042152250394</v>
      </c>
      <c r="J8" s="775">
        <f t="shared" si="2"/>
        <v>-362064.01255326683</v>
      </c>
      <c r="K8" s="776"/>
      <c r="L8" s="777">
        <f t="shared" si="3"/>
        <v>-278991.7383380417</v>
      </c>
      <c r="M8" s="778">
        <f t="shared" ref="M8:M66" si="4">+L8*0.006026</f>
        <v>-1681.2042152250394</v>
      </c>
    </row>
    <row r="9" spans="1:14" hidden="1">
      <c r="A9" s="773">
        <v>2000</v>
      </c>
      <c r="B9" s="773" t="s">
        <v>60</v>
      </c>
      <c r="C9" s="774">
        <f t="shared" si="1"/>
        <v>-362064.01255326683</v>
      </c>
      <c r="D9" s="775">
        <f>[26]Recap!C12</f>
        <v>-157134.47999999998</v>
      </c>
      <c r="E9" s="775">
        <v>0</v>
      </c>
      <c r="F9" s="775">
        <v>0</v>
      </c>
      <c r="G9" s="775">
        <v>0</v>
      </c>
      <c r="H9" s="775">
        <f>[26]Recap!C249</f>
        <v>7845.67</v>
      </c>
      <c r="I9" s="775">
        <f t="shared" si="0"/>
        <v>-2631.6049241759856</v>
      </c>
      <c r="J9" s="775">
        <f t="shared" si="2"/>
        <v>-513984.42747744283</v>
      </c>
      <c r="K9" s="776"/>
      <c r="L9" s="777">
        <f t="shared" si="3"/>
        <v>-436708.4175532668</v>
      </c>
      <c r="M9" s="778">
        <f t="shared" si="4"/>
        <v>-2631.6049241759856</v>
      </c>
    </row>
    <row r="10" spans="1:14" hidden="1">
      <c r="A10" s="773">
        <v>2001</v>
      </c>
      <c r="B10" s="773" t="s">
        <v>49</v>
      </c>
      <c r="C10" s="774">
        <f t="shared" si="1"/>
        <v>-513984.42747744283</v>
      </c>
      <c r="D10" s="775">
        <f>[26]Recap!C15</f>
        <v>-157395.98000000001</v>
      </c>
      <c r="E10" s="775">
        <v>0</v>
      </c>
      <c r="F10" s="775">
        <v>0</v>
      </c>
      <c r="G10" s="775">
        <v>0</v>
      </c>
      <c r="H10" s="775">
        <f>[26]Recap!C252</f>
        <v>36351.31</v>
      </c>
      <c r="I10" s="775">
        <f t="shared" si="0"/>
        <v>-3461.9777506890705</v>
      </c>
      <c r="J10" s="775">
        <f t="shared" si="2"/>
        <v>-638491.07522813184</v>
      </c>
      <c r="K10" s="776"/>
      <c r="L10" s="777">
        <f t="shared" si="3"/>
        <v>-574506.76247744286</v>
      </c>
      <c r="M10" s="778">
        <f t="shared" si="4"/>
        <v>-3461.9777506890705</v>
      </c>
    </row>
    <row r="11" spans="1:14" hidden="1">
      <c r="A11" s="773">
        <v>2001</v>
      </c>
      <c r="B11" s="773" t="s">
        <v>50</v>
      </c>
      <c r="C11" s="774">
        <f t="shared" si="1"/>
        <v>-638491.07522813184</v>
      </c>
      <c r="D11" s="775">
        <f>[26]Recap!C16</f>
        <v>-154513.18000000002</v>
      </c>
      <c r="E11" s="775">
        <v>0</v>
      </c>
      <c r="F11" s="775">
        <v>0</v>
      </c>
      <c r="G11" s="775">
        <v>13682.09</v>
      </c>
      <c r="H11" s="775">
        <f>[26]Recap!C253</f>
        <v>93482.89</v>
      </c>
      <c r="I11" s="775">
        <f t="shared" si="0"/>
        <v>-3990.2073459247226</v>
      </c>
      <c r="J11" s="775">
        <f t="shared" si="2"/>
        <v>-689829.4825740566</v>
      </c>
      <c r="K11" s="776"/>
      <c r="L11" s="777">
        <f t="shared" si="3"/>
        <v>-662165.17522813182</v>
      </c>
      <c r="M11" s="778">
        <f t="shared" si="4"/>
        <v>-3990.2073459247226</v>
      </c>
      <c r="N11" s="779"/>
    </row>
    <row r="12" spans="1:14" hidden="1">
      <c r="A12" s="773">
        <v>2001</v>
      </c>
      <c r="B12" s="773" t="s">
        <v>51</v>
      </c>
      <c r="C12" s="774">
        <f t="shared" si="1"/>
        <v>-689829.4825740566</v>
      </c>
      <c r="D12" s="775">
        <f>[26]Recap!C17</f>
        <v>-159380.24000000002</v>
      </c>
      <c r="E12" s="775">
        <v>0</v>
      </c>
      <c r="F12" s="775">
        <v>0</v>
      </c>
      <c r="G12" s="775">
        <v>0</v>
      </c>
      <c r="H12" s="775">
        <f>[26]Recap!C254</f>
        <v>118377.69</v>
      </c>
      <c r="I12" s="775">
        <f t="shared" si="0"/>
        <v>-4280.4531451412649</v>
      </c>
      <c r="J12" s="775">
        <f t="shared" si="2"/>
        <v>-735112.4857191979</v>
      </c>
      <c r="K12" s="776"/>
      <c r="L12" s="777">
        <f t="shared" si="3"/>
        <v>-710330.75757405662</v>
      </c>
      <c r="M12" s="778">
        <f t="shared" si="4"/>
        <v>-4280.4531451412649</v>
      </c>
    </row>
    <row r="13" spans="1:14" hidden="1">
      <c r="A13" s="773">
        <v>2001</v>
      </c>
      <c r="B13" s="773" t="s">
        <v>52</v>
      </c>
      <c r="C13" s="774">
        <f t="shared" si="1"/>
        <v>-735112.4857191979</v>
      </c>
      <c r="D13" s="775">
        <f>[26]Recap!C18</f>
        <v>-155632.22</v>
      </c>
      <c r="E13" s="775">
        <v>0</v>
      </c>
      <c r="F13" s="775">
        <v>70.94</v>
      </c>
      <c r="G13" s="775">
        <v>0</v>
      </c>
      <c r="H13" s="775">
        <f>[26]Recap!C255</f>
        <v>134926.39000000001</v>
      </c>
      <c r="I13" s="775">
        <f t="shared" si="0"/>
        <v>-4491.960762513886</v>
      </c>
      <c r="J13" s="775">
        <f t="shared" si="2"/>
        <v>-760239.33648171183</v>
      </c>
      <c r="K13" s="776"/>
      <c r="L13" s="777">
        <f t="shared" si="3"/>
        <v>-745429.93071919784</v>
      </c>
      <c r="M13" s="778">
        <f t="shared" si="4"/>
        <v>-4491.960762513886</v>
      </c>
    </row>
    <row r="14" spans="1:14" hidden="1">
      <c r="A14" s="773">
        <v>2001</v>
      </c>
      <c r="B14" s="773" t="s">
        <v>53</v>
      </c>
      <c r="C14" s="774">
        <f t="shared" si="1"/>
        <v>-760239.33648171183</v>
      </c>
      <c r="D14" s="775">
        <f>[26]Recap!C19</f>
        <v>-159152.26999999999</v>
      </c>
      <c r="E14" s="775">
        <v>110.22999999999229</v>
      </c>
      <c r="F14" s="775">
        <v>774.16</v>
      </c>
      <c r="G14" s="775">
        <v>0</v>
      </c>
      <c r="H14" s="775">
        <f>[26]Recap!C256</f>
        <v>139913.75</v>
      </c>
      <c r="I14" s="775">
        <f t="shared" si="0"/>
        <v>-4636.5032353287952</v>
      </c>
      <c r="J14" s="775">
        <f t="shared" si="2"/>
        <v>-783229.96971704066</v>
      </c>
      <c r="K14" s="776"/>
      <c r="L14" s="777">
        <f t="shared" si="3"/>
        <v>-769416.40148171177</v>
      </c>
      <c r="M14" s="778">
        <f t="shared" si="4"/>
        <v>-4636.5032353287952</v>
      </c>
    </row>
    <row r="15" spans="1:14" hidden="1">
      <c r="A15" s="773">
        <v>2001</v>
      </c>
      <c r="B15" s="773" t="s">
        <v>54</v>
      </c>
      <c r="C15" s="774">
        <f t="shared" si="1"/>
        <v>-783229.96971704066</v>
      </c>
      <c r="D15" s="775">
        <f>[26]Recap!C20</f>
        <v>-155511.50000000003</v>
      </c>
      <c r="E15" s="775">
        <v>74.540000000000873</v>
      </c>
      <c r="F15" s="775">
        <v>0</v>
      </c>
      <c r="G15" s="775">
        <v>51317.91</v>
      </c>
      <c r="H15" s="775">
        <f>[26]Recap!C257</f>
        <v>135652.12</v>
      </c>
      <c r="I15" s="775">
        <f t="shared" si="0"/>
        <v>-4624.7346576048867</v>
      </c>
      <c r="J15" s="775">
        <f t="shared" si="2"/>
        <v>-756321.63437464542</v>
      </c>
      <c r="K15" s="776"/>
      <c r="L15" s="777">
        <f t="shared" si="3"/>
        <v>-767463.43471704063</v>
      </c>
      <c r="M15" s="778">
        <f t="shared" si="4"/>
        <v>-4624.7346576048867</v>
      </c>
    </row>
    <row r="16" spans="1:14" hidden="1">
      <c r="A16" s="773">
        <v>2001</v>
      </c>
      <c r="B16" s="773" t="s">
        <v>55</v>
      </c>
      <c r="C16" s="774">
        <f t="shared" si="1"/>
        <v>-756321.63437464542</v>
      </c>
      <c r="D16" s="775">
        <f>[26]Recap!C21</f>
        <v>-150459.75</v>
      </c>
      <c r="E16" s="775">
        <v>0.69000000000232831</v>
      </c>
      <c r="F16" s="775">
        <v>0</v>
      </c>
      <c r="G16" s="775">
        <v>0</v>
      </c>
      <c r="H16" s="775">
        <f>[26]Recap!C258</f>
        <v>131372.34</v>
      </c>
      <c r="I16" s="775">
        <f t="shared" si="0"/>
        <v>-4615.1024561016129</v>
      </c>
      <c r="J16" s="775">
        <f t="shared" si="2"/>
        <v>-780023.45683074696</v>
      </c>
      <c r="K16" s="776"/>
      <c r="L16" s="777">
        <f t="shared" si="3"/>
        <v>-765864.99437464541</v>
      </c>
      <c r="M16" s="778">
        <f t="shared" si="4"/>
        <v>-4615.1024561016129</v>
      </c>
    </row>
    <row r="17" spans="1:13" hidden="1">
      <c r="A17" s="773">
        <v>2001</v>
      </c>
      <c r="B17" s="773" t="s">
        <v>56</v>
      </c>
      <c r="C17" s="774">
        <f t="shared" si="1"/>
        <v>-780023.45683074696</v>
      </c>
      <c r="D17" s="775">
        <f>[26]Recap!C22</f>
        <v>-159203.79999999999</v>
      </c>
      <c r="E17" s="775">
        <v>0</v>
      </c>
      <c r="F17" s="775">
        <v>332.32</v>
      </c>
      <c r="G17" s="775">
        <v>0</v>
      </c>
      <c r="H17" s="775">
        <f>[26]Recap!C259</f>
        <v>125204.29</v>
      </c>
      <c r="I17" s="775">
        <f t="shared" si="0"/>
        <v>-4801.8605943320808</v>
      </c>
      <c r="J17" s="775">
        <f t="shared" si="2"/>
        <v>-818492.50742507912</v>
      </c>
      <c r="K17" s="776"/>
      <c r="L17" s="777">
        <f t="shared" si="3"/>
        <v>-796857.05183074693</v>
      </c>
      <c r="M17" s="778">
        <f t="shared" si="4"/>
        <v>-4801.8605943320808</v>
      </c>
    </row>
    <row r="18" spans="1:13" hidden="1">
      <c r="A18" s="773">
        <v>2001</v>
      </c>
      <c r="B18" s="773" t="s">
        <v>57</v>
      </c>
      <c r="C18" s="774">
        <f t="shared" si="1"/>
        <v>-818492.50742507912</v>
      </c>
      <c r="D18" s="775">
        <f>[26]Recap!C23</f>
        <v>-159673.66999999998</v>
      </c>
      <c r="E18" s="775">
        <v>0</v>
      </c>
      <c r="F18" s="775">
        <v>1369.75</v>
      </c>
      <c r="G18" s="775">
        <v>0</v>
      </c>
      <c r="H18" s="775">
        <f>[26]Recap!C260</f>
        <v>119798.57</v>
      </c>
      <c r="I18" s="775">
        <f t="shared" si="0"/>
        <v>-5048.2524692935276</v>
      </c>
      <c r="J18" s="775">
        <f t="shared" si="2"/>
        <v>-862046.10989437252</v>
      </c>
      <c r="K18" s="776"/>
      <c r="L18" s="777">
        <f t="shared" si="3"/>
        <v>-837745.18242507917</v>
      </c>
      <c r="M18" s="778">
        <f t="shared" si="4"/>
        <v>-5048.2524692935276</v>
      </c>
    </row>
    <row r="19" spans="1:13" hidden="1">
      <c r="A19" s="773">
        <v>2001</v>
      </c>
      <c r="B19" s="773" t="s">
        <v>58</v>
      </c>
      <c r="C19" s="774">
        <f t="shared" si="1"/>
        <v>-862046.10989437252</v>
      </c>
      <c r="D19" s="775">
        <f>[26]Recap!C24</f>
        <v>-159560.14000000001</v>
      </c>
      <c r="E19" s="775">
        <v>-116.28999999997905</v>
      </c>
      <c r="F19" s="775">
        <v>333.56</v>
      </c>
      <c r="G19" s="775">
        <v>0</v>
      </c>
      <c r="H19" s="775">
        <f>[26]Recap!C261</f>
        <v>115325.4</v>
      </c>
      <c r="I19" s="775">
        <f t="shared" si="0"/>
        <v>-5327.3144953334886</v>
      </c>
      <c r="J19" s="775">
        <f t="shared" si="2"/>
        <v>-911390.89438970585</v>
      </c>
      <c r="K19" s="776"/>
      <c r="L19" s="777">
        <f t="shared" si="3"/>
        <v>-884054.84489437251</v>
      </c>
      <c r="M19" s="778">
        <f t="shared" si="4"/>
        <v>-5327.3144953334886</v>
      </c>
    </row>
    <row r="20" spans="1:13" hidden="1">
      <c r="A20" s="773">
        <v>2001</v>
      </c>
      <c r="B20" s="773" t="s">
        <v>59</v>
      </c>
      <c r="C20" s="774">
        <f t="shared" si="1"/>
        <v>-911390.89438970585</v>
      </c>
      <c r="D20" s="775">
        <f>[26]Recap!C25</f>
        <v>-160988.94</v>
      </c>
      <c r="E20" s="775">
        <v>0</v>
      </c>
      <c r="F20" s="775">
        <v>64.760000000000005</v>
      </c>
      <c r="G20" s="775"/>
      <c r="H20" s="775">
        <f>[26]Recap!C262</f>
        <v>109457.88</v>
      </c>
      <c r="I20" s="775">
        <f t="shared" si="0"/>
        <v>-5647.1094914923679</v>
      </c>
      <c r="J20" s="775">
        <f t="shared" si="2"/>
        <v>-968504.30388119828</v>
      </c>
      <c r="K20" s="776"/>
      <c r="L20" s="777">
        <f t="shared" si="3"/>
        <v>-937124.04438970587</v>
      </c>
      <c r="M20" s="778">
        <f t="shared" si="4"/>
        <v>-5647.1094914923679</v>
      </c>
    </row>
    <row r="21" spans="1:13" hidden="1">
      <c r="A21" s="773">
        <v>2001</v>
      </c>
      <c r="B21" s="773" t="s">
        <v>60</v>
      </c>
      <c r="C21" s="774">
        <f t="shared" si="1"/>
        <v>-968504.30388119828</v>
      </c>
      <c r="D21" s="775">
        <f>[26]Recap!C26</f>
        <v>-148605.51999999999</v>
      </c>
      <c r="E21" s="775">
        <v>271.74999999998545</v>
      </c>
      <c r="F21" s="775">
        <v>366.81</v>
      </c>
      <c r="G21" s="775">
        <v>0</v>
      </c>
      <c r="H21" s="775">
        <v>94708.41</v>
      </c>
      <c r="I21" s="775">
        <f t="shared" si="0"/>
        <v>-5996.6749463381011</v>
      </c>
      <c r="J21" s="775">
        <f t="shared" si="2"/>
        <v>-1027759.5288275362</v>
      </c>
      <c r="K21" s="776"/>
      <c r="L21" s="777">
        <f t="shared" si="3"/>
        <v>-995133.57888119831</v>
      </c>
      <c r="M21" s="778">
        <f t="shared" si="4"/>
        <v>-5996.6749463381011</v>
      </c>
    </row>
    <row r="22" spans="1:13" hidden="1">
      <c r="A22" s="773">
        <v>2002</v>
      </c>
      <c r="B22" s="773" t="s">
        <v>49</v>
      </c>
      <c r="C22" s="774">
        <f t="shared" si="1"/>
        <v>-1027759.5288275362</v>
      </c>
      <c r="D22" s="775">
        <f>[26]Recap!C29</f>
        <v>-167389.08999999997</v>
      </c>
      <c r="E22" s="775">
        <v>-7.2759576141834259E-12</v>
      </c>
      <c r="F22" s="775">
        <v>0</v>
      </c>
      <c r="G22" s="775">
        <v>0</v>
      </c>
      <c r="H22" s="775">
        <v>171074.91</v>
      </c>
      <c r="I22" s="775">
        <f t="shared" si="0"/>
        <v>-6182.173545054733</v>
      </c>
      <c r="J22" s="775">
        <f t="shared" si="2"/>
        <v>-1030255.8823725909</v>
      </c>
      <c r="K22" s="776"/>
      <c r="L22" s="777">
        <f t="shared" si="3"/>
        <v>-1025916.6188275361</v>
      </c>
      <c r="M22" s="778">
        <f t="shared" si="4"/>
        <v>-6182.173545054733</v>
      </c>
    </row>
    <row r="23" spans="1:13" hidden="1">
      <c r="A23" s="773">
        <v>2002</v>
      </c>
      <c r="B23" s="773" t="s">
        <v>50</v>
      </c>
      <c r="C23" s="774">
        <f t="shared" si="1"/>
        <v>-1030255.8823725909</v>
      </c>
      <c r="D23" s="775">
        <f>[26]Recap!C30</f>
        <v>-164721.43000000002</v>
      </c>
      <c r="E23" s="775">
        <v>-7.2759576141834259E-12</v>
      </c>
      <c r="F23" s="775">
        <v>129.52000000000001</v>
      </c>
      <c r="G23" s="775"/>
      <c r="H23" s="775">
        <v>159314.25</v>
      </c>
      <c r="I23" s="775">
        <f t="shared" si="0"/>
        <v>-6224.2235367572339</v>
      </c>
      <c r="J23" s="775">
        <f t="shared" si="2"/>
        <v>-1041757.7659093481</v>
      </c>
      <c r="K23" s="776"/>
      <c r="L23" s="777">
        <f t="shared" si="3"/>
        <v>-1032894.712372591</v>
      </c>
      <c r="M23" s="778">
        <f t="shared" si="4"/>
        <v>-6224.2235367572339</v>
      </c>
    </row>
    <row r="24" spans="1:13" hidden="1">
      <c r="A24" s="773">
        <v>2002</v>
      </c>
      <c r="B24" s="773" t="s">
        <v>51</v>
      </c>
      <c r="C24" s="774">
        <f t="shared" si="1"/>
        <v>-1041757.7659093481</v>
      </c>
      <c r="D24" s="775">
        <f>[26]Recap!C31</f>
        <v>-160253.21</v>
      </c>
      <c r="E24" s="775">
        <v>-1.1600000000216824</v>
      </c>
      <c r="F24" s="775"/>
      <c r="G24" s="775"/>
      <c r="H24" s="775">
        <v>178454.67</v>
      </c>
      <c r="I24" s="775">
        <f t="shared" si="0"/>
        <v>-6222.7947934697322</v>
      </c>
      <c r="J24" s="775">
        <f t="shared" si="2"/>
        <v>-1029780.2607028177</v>
      </c>
      <c r="K24" s="776"/>
      <c r="L24" s="777">
        <f t="shared" si="3"/>
        <v>-1032657.6159093481</v>
      </c>
      <c r="M24" s="778">
        <f t="shared" si="4"/>
        <v>-6222.7947934697322</v>
      </c>
    </row>
    <row r="25" spans="1:13" hidden="1">
      <c r="A25" s="773">
        <v>2002</v>
      </c>
      <c r="B25" s="773" t="s">
        <v>52</v>
      </c>
      <c r="C25" s="774">
        <f t="shared" si="1"/>
        <v>-1029780.2607028177</v>
      </c>
      <c r="D25" s="775">
        <f>[26]Recap!C32</f>
        <v>-159303.25000000003</v>
      </c>
      <c r="E25" s="775">
        <v>0</v>
      </c>
      <c r="F25" s="775">
        <v>943.44</v>
      </c>
      <c r="G25" s="775"/>
      <c r="H25" s="775">
        <v>205248.53</v>
      </c>
      <c r="I25" s="775">
        <f t="shared" si="0"/>
        <v>-6064.1801376351796</v>
      </c>
      <c r="J25" s="775">
        <f t="shared" si="2"/>
        <v>-988955.72084045294</v>
      </c>
      <c r="K25" s="776"/>
      <c r="L25" s="777">
        <f t="shared" si="3"/>
        <v>-1006335.9007028177</v>
      </c>
      <c r="M25" s="778">
        <f t="shared" si="4"/>
        <v>-6064.1801376351796</v>
      </c>
    </row>
    <row r="26" spans="1:13" hidden="1">
      <c r="A26" s="773">
        <v>2002</v>
      </c>
      <c r="B26" s="773" t="s">
        <v>53</v>
      </c>
      <c r="C26" s="774">
        <f t="shared" si="1"/>
        <v>-988955.72084045294</v>
      </c>
      <c r="D26" s="775">
        <f>[26]Recap!C33</f>
        <v>-162806.68999999997</v>
      </c>
      <c r="E26" s="775">
        <v>0</v>
      </c>
      <c r="F26" s="775">
        <v>78.62</v>
      </c>
      <c r="G26" s="775"/>
      <c r="H26" s="775">
        <v>214367.23</v>
      </c>
      <c r="I26" s="775">
        <f t="shared" si="0"/>
        <v>-5803.8583847045693</v>
      </c>
      <c r="J26" s="775">
        <f t="shared" si="2"/>
        <v>-943120.41922515735</v>
      </c>
      <c r="K26" s="776"/>
      <c r="L26" s="777">
        <f t="shared" si="3"/>
        <v>-963136.14084045286</v>
      </c>
      <c r="M26" s="778">
        <f t="shared" si="4"/>
        <v>-5803.8583847045693</v>
      </c>
    </row>
    <row r="27" spans="1:13" hidden="1">
      <c r="A27" s="773">
        <v>2002</v>
      </c>
      <c r="B27" s="773" t="s">
        <v>54</v>
      </c>
      <c r="C27" s="774">
        <f t="shared" si="1"/>
        <v>-943120.41922515735</v>
      </c>
      <c r="D27" s="775">
        <f>[26]Recap!C34</f>
        <v>-160707.19999999998</v>
      </c>
      <c r="E27" s="775">
        <v>2.3646862246096134E-11</v>
      </c>
      <c r="F27" s="775"/>
      <c r="G27" s="775"/>
      <c r="H27" s="775">
        <v>165250.54999999999</v>
      </c>
      <c r="I27" s="775">
        <f t="shared" si="0"/>
        <v>-5669.5545327007976</v>
      </c>
      <c r="J27" s="775">
        <f t="shared" si="2"/>
        <v>-944246.62375785818</v>
      </c>
      <c r="K27" s="776"/>
      <c r="L27" s="777">
        <f t="shared" si="3"/>
        <v>-940848.74422515731</v>
      </c>
      <c r="M27" s="778">
        <f t="shared" si="4"/>
        <v>-5669.5545327007976</v>
      </c>
    </row>
    <row r="28" spans="1:13" hidden="1">
      <c r="A28" s="773">
        <v>2002</v>
      </c>
      <c r="B28" s="773" t="s">
        <v>55</v>
      </c>
      <c r="C28" s="774">
        <f t="shared" si="1"/>
        <v>-944246.62375785818</v>
      </c>
      <c r="D28" s="775">
        <f>[26]Recap!C35</f>
        <v>-165340.01999999999</v>
      </c>
      <c r="E28" s="775">
        <v>0</v>
      </c>
      <c r="F28" s="775">
        <v>550.34</v>
      </c>
      <c r="G28" s="775"/>
      <c r="H28" s="775">
        <f>+[26]Recap!D272</f>
        <v>109918.64</v>
      </c>
      <c r="I28" s="775">
        <f t="shared" si="0"/>
        <v>-5855.356598284854</v>
      </c>
      <c r="J28" s="775">
        <f t="shared" si="2"/>
        <v>-1004973.0203561429</v>
      </c>
      <c r="K28" s="776"/>
      <c r="L28" s="777">
        <f t="shared" si="3"/>
        <v>-971682.1437578582</v>
      </c>
      <c r="M28" s="778">
        <f t="shared" si="4"/>
        <v>-5855.356598284854</v>
      </c>
    </row>
    <row r="29" spans="1:13" hidden="1">
      <c r="A29" s="773">
        <v>2002</v>
      </c>
      <c r="B29" s="773" t="s">
        <v>56</v>
      </c>
      <c r="C29" s="774">
        <f t="shared" si="1"/>
        <v>-1004973.0203561429</v>
      </c>
      <c r="D29" s="775">
        <f>[26]Recap!C36</f>
        <v>-145713.58999999997</v>
      </c>
      <c r="E29" s="775">
        <v>0</v>
      </c>
      <c r="F29" s="775">
        <v>235.86</v>
      </c>
      <c r="G29" s="775">
        <v>19120.2</v>
      </c>
      <c r="H29" s="775">
        <f>+[26]Recap!D273</f>
        <v>128490.13</v>
      </c>
      <c r="I29" s="775">
        <f t="shared" si="0"/>
        <v>-6049.541896866117</v>
      </c>
      <c r="J29" s="775">
        <f t="shared" si="2"/>
        <v>-1008889.9622530089</v>
      </c>
      <c r="K29" s="776"/>
      <c r="L29" s="777">
        <f t="shared" si="3"/>
        <v>-1003906.7203561428</v>
      </c>
      <c r="M29" s="778">
        <f t="shared" si="4"/>
        <v>-6049.541896866117</v>
      </c>
    </row>
    <row r="30" spans="1:13" hidden="1">
      <c r="A30" s="773">
        <v>2002</v>
      </c>
      <c r="B30" s="773" t="s">
        <v>57</v>
      </c>
      <c r="C30" s="774">
        <f t="shared" si="1"/>
        <v>-1008889.9622530089</v>
      </c>
      <c r="D30" s="775">
        <f>[26]Recap!C37</f>
        <v>-165301.5</v>
      </c>
      <c r="E30" s="775">
        <v>0</v>
      </c>
      <c r="F30" s="775">
        <v>0</v>
      </c>
      <c r="G30" s="775">
        <v>0</v>
      </c>
      <c r="H30" s="775">
        <f>+[26]Recap!D274</f>
        <v>130973.94</v>
      </c>
      <c r="I30" s="775">
        <f t="shared" si="0"/>
        <v>-6182.9998508166318</v>
      </c>
      <c r="J30" s="775">
        <f t="shared" si="2"/>
        <v>-1049400.5221038256</v>
      </c>
      <c r="K30" s="776"/>
      <c r="L30" s="777">
        <f t="shared" si="3"/>
        <v>-1026053.7422530089</v>
      </c>
      <c r="M30" s="778">
        <f t="shared" si="4"/>
        <v>-6182.9998508166318</v>
      </c>
    </row>
    <row r="31" spans="1:13" hidden="1">
      <c r="A31" s="773">
        <v>2002</v>
      </c>
      <c r="B31" s="773" t="s">
        <v>58</v>
      </c>
      <c r="C31" s="774">
        <f t="shared" si="1"/>
        <v>-1049400.5221038256</v>
      </c>
      <c r="D31" s="775">
        <f>[26]Recap!C38</f>
        <v>-163272.95999999999</v>
      </c>
      <c r="E31" s="775">
        <v>5.7299999999959255</v>
      </c>
      <c r="F31" s="775">
        <v>471.72</v>
      </c>
      <c r="G31" s="775"/>
      <c r="H31" s="775">
        <f>+[26]Recap!D275</f>
        <v>124574.76</v>
      </c>
      <c r="I31" s="775">
        <f t="shared" si="0"/>
        <v>-6438.8466659476535</v>
      </c>
      <c r="J31" s="775">
        <f t="shared" si="2"/>
        <v>-1094060.1187697733</v>
      </c>
      <c r="K31" s="776"/>
      <c r="L31" s="777">
        <f t="shared" si="3"/>
        <v>-1068510.8971038256</v>
      </c>
      <c r="M31" s="778">
        <f t="shared" si="4"/>
        <v>-6438.8466659476535</v>
      </c>
    </row>
    <row r="32" spans="1:13" hidden="1">
      <c r="A32" s="773">
        <v>2002</v>
      </c>
      <c r="B32" s="773" t="s">
        <v>59</v>
      </c>
      <c r="C32" s="774">
        <f t="shared" si="1"/>
        <v>-1094060.1187697733</v>
      </c>
      <c r="D32" s="775">
        <f>[26]Recap!C39</f>
        <v>-165975.41000000003</v>
      </c>
      <c r="E32" s="775">
        <v>0</v>
      </c>
      <c r="F32" s="775">
        <v>314.48</v>
      </c>
      <c r="G32" s="775"/>
      <c r="H32" s="775">
        <f>+[26]Recap!D276</f>
        <v>119891.86</v>
      </c>
      <c r="I32" s="775">
        <f t="shared" si="0"/>
        <v>-6730.7084836166532</v>
      </c>
      <c r="J32" s="775">
        <f t="shared" si="2"/>
        <v>-1146559.8972533899</v>
      </c>
      <c r="K32" s="776"/>
      <c r="L32" s="777">
        <f t="shared" si="3"/>
        <v>-1116944.6537697732</v>
      </c>
      <c r="M32" s="778">
        <f t="shared" si="4"/>
        <v>-6730.7084836166532</v>
      </c>
    </row>
    <row r="33" spans="1:15" hidden="1">
      <c r="A33" s="773">
        <v>2002</v>
      </c>
      <c r="B33" s="773" t="s">
        <v>60</v>
      </c>
      <c r="C33" s="774">
        <f t="shared" si="1"/>
        <v>-1146559.8972533899</v>
      </c>
      <c r="D33" s="775">
        <f>[26]Recap!C40</f>
        <v>-162213.44</v>
      </c>
      <c r="E33" s="775">
        <v>0</v>
      </c>
      <c r="F33" s="775">
        <v>235.86</v>
      </c>
      <c r="G33" s="775"/>
      <c r="H33" s="775">
        <f>+[26]Recap!D277</f>
        <v>125815.98</v>
      </c>
      <c r="I33" s="775">
        <f t="shared" si="0"/>
        <v>-7018.1248416489279</v>
      </c>
      <c r="J33" s="775">
        <f t="shared" si="2"/>
        <v>-1189739.6220950386</v>
      </c>
      <c r="K33" s="776"/>
      <c r="L33" s="777">
        <f t="shared" si="3"/>
        <v>-1164640.69725339</v>
      </c>
      <c r="M33" s="778">
        <f t="shared" si="4"/>
        <v>-7018.1248416489279</v>
      </c>
    </row>
    <row r="34" spans="1:15" hidden="1">
      <c r="A34" s="773">
        <v>2003</v>
      </c>
      <c r="B34" s="773" t="s">
        <v>49</v>
      </c>
      <c r="C34" s="774">
        <f t="shared" si="1"/>
        <v>-1189739.6220950386</v>
      </c>
      <c r="D34" s="775">
        <f>+[26]Recap!C43</f>
        <v>-165297.97</v>
      </c>
      <c r="E34" s="775">
        <v>2145.16</v>
      </c>
      <c r="F34" s="775">
        <v>235.86</v>
      </c>
      <c r="G34" s="775"/>
      <c r="H34" s="775">
        <f>+[26]Recap!D280</f>
        <v>143076.22</v>
      </c>
      <c r="I34" s="775">
        <f t="shared" si="0"/>
        <v>-7229.1510822347027</v>
      </c>
      <c r="J34" s="775">
        <f t="shared" si="2"/>
        <v>-1216809.5031772733</v>
      </c>
      <c r="K34" s="776"/>
      <c r="L34" s="777">
        <f t="shared" si="3"/>
        <v>-1199659.9870950386</v>
      </c>
      <c r="M34" s="778">
        <f t="shared" si="4"/>
        <v>-7229.1510822347027</v>
      </c>
    </row>
    <row r="35" spans="1:15" hidden="1">
      <c r="A35" s="773"/>
      <c r="B35" s="773" t="s">
        <v>50</v>
      </c>
      <c r="C35" s="774">
        <f t="shared" si="1"/>
        <v>-1216809.5031772733</v>
      </c>
      <c r="D35" s="775">
        <f>+[26]Recap!C44</f>
        <v>-164645.09</v>
      </c>
      <c r="E35" s="775">
        <v>9245.8700000000008</v>
      </c>
      <c r="F35" s="775">
        <v>235.86</v>
      </c>
      <c r="G35" s="775"/>
      <c r="H35" s="775">
        <f>+[26]Recap!D281</f>
        <v>159474.85999999999</v>
      </c>
      <c r="I35" s="775">
        <f t="shared" si="0"/>
        <v>-7319.5035166462494</v>
      </c>
      <c r="J35" s="775">
        <f t="shared" si="2"/>
        <v>-1219817.5066939194</v>
      </c>
      <c r="K35" s="776"/>
      <c r="L35" s="777">
        <f t="shared" si="3"/>
        <v>-1214653.7531772733</v>
      </c>
      <c r="M35" s="778">
        <f t="shared" si="4"/>
        <v>-7319.5035166462494</v>
      </c>
    </row>
    <row r="36" spans="1:15" hidden="1">
      <c r="A36" s="773"/>
      <c r="B36" s="773" t="s">
        <v>51</v>
      </c>
      <c r="C36" s="774">
        <f t="shared" si="1"/>
        <v>-1219817.5066939194</v>
      </c>
      <c r="D36" s="775">
        <f>+[26]Recap!C45</f>
        <v>-162639.47</v>
      </c>
      <c r="E36" s="775">
        <v>-11391.03</v>
      </c>
      <c r="F36" s="775">
        <v>0</v>
      </c>
      <c r="G36" s="775"/>
      <c r="H36" s="775">
        <f>+[26]Recap!D282</f>
        <v>170804.38</v>
      </c>
      <c r="I36" s="775">
        <f t="shared" si="0"/>
        <v>-7360.3405948975587</v>
      </c>
      <c r="J36" s="775">
        <f t="shared" si="2"/>
        <v>-1230403.9672888168</v>
      </c>
      <c r="K36" s="776"/>
      <c r="L36" s="777">
        <f t="shared" si="3"/>
        <v>-1221430.5666939195</v>
      </c>
      <c r="M36" s="778">
        <f t="shared" si="4"/>
        <v>-7360.3405948975587</v>
      </c>
    </row>
    <row r="37" spans="1:15" hidden="1">
      <c r="A37" s="773"/>
      <c r="B37" s="773" t="s">
        <v>52</v>
      </c>
      <c r="C37" s="774">
        <f t="shared" si="1"/>
        <v>-1230403.9672888168</v>
      </c>
      <c r="D37" s="775">
        <f>+[26]Recap!C46</f>
        <v>-162386.75999999998</v>
      </c>
      <c r="E37" s="775">
        <v>0</v>
      </c>
      <c r="F37" s="775">
        <v>126.6</v>
      </c>
      <c r="G37" s="775"/>
      <c r="H37" s="775">
        <f>+[26]Recap!D283</f>
        <v>181174.69</v>
      </c>
      <c r="I37" s="775">
        <f t="shared" si="0"/>
        <v>-7357.4248279924095</v>
      </c>
      <c r="J37" s="775">
        <f t="shared" si="2"/>
        <v>-1218846.8621168092</v>
      </c>
      <c r="K37" s="776"/>
      <c r="L37" s="777">
        <f t="shared" si="3"/>
        <v>-1220946.7022888167</v>
      </c>
      <c r="M37" s="778">
        <f t="shared" si="4"/>
        <v>-7357.4248279924095</v>
      </c>
    </row>
    <row r="38" spans="1:15" hidden="1">
      <c r="A38" s="773"/>
      <c r="B38" s="773" t="s">
        <v>53</v>
      </c>
      <c r="C38" s="774">
        <f t="shared" si="1"/>
        <v>-1218846.8621168092</v>
      </c>
      <c r="D38" s="775">
        <f>+[26]Recap!C47</f>
        <v>-162320.03</v>
      </c>
      <c r="E38" s="775">
        <v>1215.46</v>
      </c>
      <c r="F38" s="775">
        <v>126.6</v>
      </c>
      <c r="G38" s="775"/>
      <c r="H38" s="775">
        <f>+[26]Recap!D284</f>
        <v>186196.43</v>
      </c>
      <c r="I38" s="775">
        <f t="shared" si="0"/>
        <v>-7268.7879711358928</v>
      </c>
      <c r="J38" s="775">
        <f t="shared" si="2"/>
        <v>-1200897.1900879452</v>
      </c>
      <c r="K38" s="776"/>
      <c r="L38" s="777">
        <f t="shared" si="3"/>
        <v>-1206237.6321168093</v>
      </c>
      <c r="M38" s="778">
        <f t="shared" si="4"/>
        <v>-7268.7879711358928</v>
      </c>
    </row>
    <row r="39" spans="1:15" hidden="1">
      <c r="A39" s="773"/>
      <c r="B39" s="773" t="s">
        <v>54</v>
      </c>
      <c r="C39" s="774">
        <f t="shared" si="1"/>
        <v>-1200897.1900879452</v>
      </c>
      <c r="D39" s="775">
        <f>+[26]Recap!C48</f>
        <v>-164132.22</v>
      </c>
      <c r="E39" s="775">
        <v>672.81</v>
      </c>
      <c r="F39" s="775">
        <v>228.4</v>
      </c>
      <c r="G39" s="775"/>
      <c r="H39" s="775">
        <f>+[26]Recap!D285</f>
        <v>170378.1</v>
      </c>
      <c r="I39" s="775">
        <f t="shared" si="0"/>
        <v>-7215.0722852999579</v>
      </c>
      <c r="J39" s="775">
        <f t="shared" si="2"/>
        <v>-1200965.172373245</v>
      </c>
      <c r="K39" s="776"/>
      <c r="L39" s="777">
        <f t="shared" si="3"/>
        <v>-1197323.6450879453</v>
      </c>
      <c r="M39" s="778">
        <f t="shared" si="4"/>
        <v>-7215.0722852999579</v>
      </c>
    </row>
    <row r="40" spans="1:15" hidden="1">
      <c r="A40" s="773"/>
      <c r="B40" s="773" t="s">
        <v>55</v>
      </c>
      <c r="C40" s="774">
        <f t="shared" si="1"/>
        <v>-1200965.172373245</v>
      </c>
      <c r="D40" s="775">
        <f>+[26]Recap!C49</f>
        <v>-167563.44999999998</v>
      </c>
      <c r="E40" s="775"/>
      <c r="F40" s="775">
        <v>320.82</v>
      </c>
      <c r="G40" s="775"/>
      <c r="H40" s="775">
        <f>+[26]Recap!D286</f>
        <v>140299.42000000001</v>
      </c>
      <c r="I40" s="775">
        <f t="shared" si="0"/>
        <v>-7318.1960204511743</v>
      </c>
      <c r="J40" s="775">
        <f t="shared" si="2"/>
        <v>-1235226.5783936961</v>
      </c>
      <c r="K40" s="776"/>
      <c r="L40" s="777">
        <f t="shared" si="3"/>
        <v>-1214436.777373245</v>
      </c>
      <c r="M40" s="778">
        <f t="shared" si="4"/>
        <v>-7318.1960204511743</v>
      </c>
      <c r="O40" s="779"/>
    </row>
    <row r="41" spans="1:15" hidden="1">
      <c r="A41" s="773"/>
      <c r="B41" s="773" t="s">
        <v>56</v>
      </c>
      <c r="C41" s="774">
        <f t="shared" si="1"/>
        <v>-1235226.5783936961</v>
      </c>
      <c r="D41" s="775">
        <f>+[26]Recap!C50</f>
        <v>-163024.75999999998</v>
      </c>
      <c r="E41" s="775"/>
      <c r="F41" s="775">
        <v>142.6</v>
      </c>
      <c r="G41" s="775">
        <v>4165.09</v>
      </c>
      <c r="H41" s="775">
        <f>+[26]Recap!D287</f>
        <v>133100.70000000001</v>
      </c>
      <c r="I41" s="775">
        <f t="shared" si="0"/>
        <v>-7520.6574842104128</v>
      </c>
      <c r="J41" s="775">
        <f t="shared" si="2"/>
        <v>-1268363.6058779063</v>
      </c>
      <c r="K41" s="776"/>
      <c r="L41" s="777">
        <f t="shared" si="3"/>
        <v>-1248034.7633936962</v>
      </c>
      <c r="M41" s="778">
        <f t="shared" si="4"/>
        <v>-7520.6574842104128</v>
      </c>
      <c r="O41" s="779"/>
    </row>
    <row r="42" spans="1:15" hidden="1">
      <c r="A42" s="773"/>
      <c r="B42" s="773" t="s">
        <v>57</v>
      </c>
      <c r="C42" s="774">
        <f t="shared" si="1"/>
        <v>-1268363.6058779063</v>
      </c>
      <c r="D42" s="775">
        <f>+[26]Recap!C51</f>
        <v>-173356.6</v>
      </c>
      <c r="E42" s="775"/>
      <c r="F42" s="775">
        <v>126.6</v>
      </c>
      <c r="G42" s="775"/>
      <c r="H42" s="775">
        <f>+[26]Recap!D288</f>
        <v>128883.98</v>
      </c>
      <c r="I42" s="775">
        <f t="shared" si="0"/>
        <v>-7776.7736472802635</v>
      </c>
      <c r="J42" s="775">
        <f t="shared" si="2"/>
        <v>-1320486.3995251865</v>
      </c>
      <c r="K42" s="776"/>
      <c r="L42" s="777">
        <f t="shared" si="3"/>
        <v>-1290536.6158779063</v>
      </c>
      <c r="M42" s="778">
        <f t="shared" si="4"/>
        <v>-7776.7736472802635</v>
      </c>
      <c r="O42" s="779"/>
    </row>
    <row r="43" spans="1:15" hidden="1">
      <c r="A43" s="773"/>
      <c r="B43" s="773" t="s">
        <v>58</v>
      </c>
      <c r="C43" s="774">
        <f t="shared" si="1"/>
        <v>-1320486.3995251865</v>
      </c>
      <c r="D43" s="775">
        <f>+[26]Recap!C52</f>
        <v>-164424.14000000001</v>
      </c>
      <c r="E43" s="775"/>
      <c r="F43" s="775">
        <v>189.9</v>
      </c>
      <c r="G43" s="775"/>
      <c r="H43" s="775">
        <f>+[26]Recap!D289</f>
        <v>121799.77</v>
      </c>
      <c r="I43" s="775">
        <f t="shared" si="0"/>
        <v>-8085.1061016487747</v>
      </c>
      <c r="J43" s="775">
        <f t="shared" si="2"/>
        <v>-1371005.9756268356</v>
      </c>
      <c r="K43" s="776"/>
      <c r="L43" s="777">
        <f t="shared" si="3"/>
        <v>-1341703.6345251866</v>
      </c>
      <c r="M43" s="778">
        <f t="shared" si="4"/>
        <v>-8085.1061016487747</v>
      </c>
      <c r="O43" s="779"/>
    </row>
    <row r="44" spans="1:15" hidden="1">
      <c r="A44" s="773"/>
      <c r="B44" s="773" t="s">
        <v>59</v>
      </c>
      <c r="C44" s="774">
        <f t="shared" si="1"/>
        <v>-1371005.9756268356</v>
      </c>
      <c r="D44" s="775">
        <f>+[26]Recap!C53</f>
        <v>-167928.2</v>
      </c>
      <c r="E44" s="775">
        <v>2113.33</v>
      </c>
      <c r="F44" s="775">
        <v>316.5</v>
      </c>
      <c r="G44" s="775"/>
      <c r="H44" s="775">
        <f>+[26]Recap!D290</f>
        <v>122627.8</v>
      </c>
      <c r="I44" s="775">
        <f t="shared" si="0"/>
        <v>-8390.8510365373113</v>
      </c>
      <c r="J44" s="775">
        <f t="shared" si="2"/>
        <v>-1422267.3966633726</v>
      </c>
      <c r="K44" s="776"/>
      <c r="L44" s="777">
        <f t="shared" si="3"/>
        <v>-1392441.2606268355</v>
      </c>
      <c r="M44" s="778">
        <f t="shared" si="4"/>
        <v>-8390.8510365373113</v>
      </c>
      <c r="O44" s="779"/>
    </row>
    <row r="45" spans="1:15" hidden="1">
      <c r="A45" s="773"/>
      <c r="B45" s="773" t="s">
        <v>60</v>
      </c>
      <c r="C45" s="774">
        <f t="shared" si="1"/>
        <v>-1422267.3966633726</v>
      </c>
      <c r="D45" s="775">
        <f>+[26]Recap!C54</f>
        <v>-165253.16</v>
      </c>
      <c r="E45" s="775"/>
      <c r="F45" s="775">
        <v>569.70000000000005</v>
      </c>
      <c r="G45" s="775"/>
      <c r="H45" s="775">
        <f>+[26]Recap!D291</f>
        <v>128207.54</v>
      </c>
      <c r="I45" s="775">
        <f t="shared" si="0"/>
        <v>-8680.4852792534839</v>
      </c>
      <c r="J45" s="775">
        <f t="shared" si="2"/>
        <v>-1467423.801942626</v>
      </c>
      <c r="K45" s="776"/>
      <c r="L45" s="777">
        <f t="shared" si="3"/>
        <v>-1440505.3566633726</v>
      </c>
      <c r="M45" s="778">
        <f t="shared" si="4"/>
        <v>-8680.4852792534839</v>
      </c>
    </row>
    <row r="46" spans="1:15" hidden="1">
      <c r="A46" s="773">
        <v>2004</v>
      </c>
      <c r="B46" s="773" t="s">
        <v>49</v>
      </c>
      <c r="C46" s="774">
        <f t="shared" si="1"/>
        <v>-1467423.801942626</v>
      </c>
      <c r="D46" s="775">
        <f>+[26]Recap!C57</f>
        <v>-167262.65</v>
      </c>
      <c r="E46" s="775">
        <v>19015.3</v>
      </c>
      <c r="F46" s="775">
        <v>1266</v>
      </c>
      <c r="G46" s="775"/>
      <c r="H46" s="775">
        <f>+[26]Recap!D294</f>
        <v>138532.20000000001</v>
      </c>
      <c r="I46" s="775">
        <f t="shared" si="0"/>
        <v>-8868.1531194562649</v>
      </c>
      <c r="J46" s="775">
        <f t="shared" si="2"/>
        <v>-1484741.1050620822</v>
      </c>
      <c r="K46" s="776"/>
      <c r="L46" s="777">
        <f t="shared" si="3"/>
        <v>-1471648.376942626</v>
      </c>
      <c r="M46" s="778">
        <f t="shared" si="4"/>
        <v>-8868.1531194562649</v>
      </c>
    </row>
    <row r="47" spans="1:15" hidden="1">
      <c r="A47" s="773"/>
      <c r="B47" s="773" t="s">
        <v>50</v>
      </c>
      <c r="C47" s="774">
        <f t="shared" si="1"/>
        <v>-1484741.1050620822</v>
      </c>
      <c r="D47" s="775">
        <f>+[26]Recap!C58</f>
        <v>-169880.69000000003</v>
      </c>
      <c r="E47" s="775">
        <v>291.60000000000002</v>
      </c>
      <c r="F47" s="775">
        <v>3936.96</v>
      </c>
      <c r="G47" s="775"/>
      <c r="H47" s="775">
        <f>+[26]Recap!D295</f>
        <v>157770.76999999999</v>
      </c>
      <c r="I47" s="775">
        <f t="shared" si="0"/>
        <v>-8970.7964367841068</v>
      </c>
      <c r="J47" s="775">
        <f t="shared" si="2"/>
        <v>-1501593.2614988661</v>
      </c>
      <c r="K47" s="776"/>
      <c r="L47" s="777">
        <f t="shared" si="3"/>
        <v>-1488681.7850620821</v>
      </c>
      <c r="M47" s="778">
        <f t="shared" si="4"/>
        <v>-8970.7964367841068</v>
      </c>
    </row>
    <row r="48" spans="1:15" hidden="1">
      <c r="A48" s="773"/>
      <c r="B48" s="773" t="s">
        <v>51</v>
      </c>
      <c r="C48" s="774">
        <f t="shared" si="1"/>
        <v>-1501593.2614988661</v>
      </c>
      <c r="D48" s="775">
        <f>+[26]Recap!C59</f>
        <v>-168433.30000000002</v>
      </c>
      <c r="E48" s="775">
        <v>-23239.82</v>
      </c>
      <c r="F48" s="775">
        <v>1141.25</v>
      </c>
      <c r="G48" s="775"/>
      <c r="H48" s="775">
        <v>165251.6</v>
      </c>
      <c r="I48" s="775">
        <f t="shared" si="0"/>
        <v>-9124.7704473021677</v>
      </c>
      <c r="J48" s="775">
        <f t="shared" si="2"/>
        <v>-1535998.3019461683</v>
      </c>
      <c r="K48" s="776"/>
      <c r="L48" s="777">
        <f t="shared" si="3"/>
        <v>-1514233.3964988661</v>
      </c>
      <c r="M48" s="778">
        <f t="shared" si="4"/>
        <v>-9124.7704473021677</v>
      </c>
    </row>
    <row r="49" spans="1:13" hidden="1">
      <c r="A49" s="773"/>
      <c r="B49" s="773" t="s">
        <v>52</v>
      </c>
      <c r="C49" s="774">
        <f t="shared" si="1"/>
        <v>-1535998.3019461683</v>
      </c>
      <c r="D49" s="775">
        <f>+[26]Recap!C60</f>
        <v>-167989.27000000002</v>
      </c>
      <c r="E49" s="775"/>
      <c r="F49" s="775">
        <v>69.92</v>
      </c>
      <c r="G49" s="775"/>
      <c r="H49" s="775">
        <v>169437.8</v>
      </c>
      <c r="I49" s="775">
        <f t="shared" si="0"/>
        <v>-9251.3506776776103</v>
      </c>
      <c r="J49" s="775">
        <f t="shared" si="2"/>
        <v>-1543731.202623846</v>
      </c>
      <c r="K49" s="776"/>
      <c r="L49" s="777">
        <f t="shared" si="3"/>
        <v>-1535239.0769461682</v>
      </c>
      <c r="M49" s="778">
        <f t="shared" si="4"/>
        <v>-9251.3506776776103</v>
      </c>
    </row>
    <row r="50" spans="1:13" hidden="1">
      <c r="A50" s="773"/>
      <c r="B50" s="773" t="s">
        <v>53</v>
      </c>
      <c r="C50" s="774">
        <f t="shared" si="1"/>
        <v>-1543731.202623846</v>
      </c>
      <c r="D50" s="775">
        <v>-168561.82</v>
      </c>
      <c r="E50" s="775"/>
      <c r="F50" s="775">
        <v>0</v>
      </c>
      <c r="G50" s="775"/>
      <c r="H50" s="775">
        <v>170926.2</v>
      </c>
      <c r="I50" s="775">
        <f t="shared" si="0"/>
        <v>-9295.400350071297</v>
      </c>
      <c r="J50" s="775">
        <f t="shared" si="2"/>
        <v>-1550662.2229739174</v>
      </c>
      <c r="K50" s="776"/>
      <c r="L50" s="777">
        <f t="shared" si="3"/>
        <v>-1542549.0126238461</v>
      </c>
      <c r="M50" s="778">
        <f t="shared" si="4"/>
        <v>-9295.400350071297</v>
      </c>
    </row>
    <row r="51" spans="1:13" hidden="1">
      <c r="A51" s="773"/>
      <c r="B51" s="773" t="s">
        <v>54</v>
      </c>
      <c r="C51" s="774">
        <f t="shared" si="1"/>
        <v>-1550662.2229739174</v>
      </c>
      <c r="D51" s="775">
        <f>+[26]Recap!C62</f>
        <v>-171959.16</v>
      </c>
      <c r="E51" s="775"/>
      <c r="F51" s="775">
        <v>1048.8</v>
      </c>
      <c r="G51" s="775"/>
      <c r="H51" s="775">
        <v>166010.62</v>
      </c>
      <c r="I51" s="775">
        <f t="shared" si="0"/>
        <v>-9359.0534722608263</v>
      </c>
      <c r="J51" s="775">
        <f t="shared" si="2"/>
        <v>-1564921.0164461781</v>
      </c>
      <c r="K51" s="776"/>
      <c r="L51" s="777">
        <f t="shared" si="3"/>
        <v>-1553112.0929739175</v>
      </c>
      <c r="M51" s="778">
        <f t="shared" si="4"/>
        <v>-9359.0534722608263</v>
      </c>
    </row>
    <row r="52" spans="1:13" hidden="1">
      <c r="A52" s="773"/>
      <c r="B52" s="773" t="s">
        <v>55</v>
      </c>
      <c r="C52" s="774">
        <f t="shared" si="1"/>
        <v>-1564921.0164461781</v>
      </c>
      <c r="D52" s="775">
        <f>+[26]Recap!C63</f>
        <v>-171087.02000000002</v>
      </c>
      <c r="E52" s="775"/>
      <c r="F52" s="775">
        <v>1789.6</v>
      </c>
      <c r="G52" s="775"/>
      <c r="H52" s="775">
        <v>125500.34</v>
      </c>
      <c r="I52" s="775">
        <f t="shared" si="0"/>
        <v>-9562.1746471446695</v>
      </c>
      <c r="J52" s="775">
        <f t="shared" si="2"/>
        <v>-1618280.2710933227</v>
      </c>
      <c r="K52" s="776"/>
      <c r="L52" s="777">
        <f t="shared" si="3"/>
        <v>-1586819.5564461781</v>
      </c>
      <c r="M52" s="778">
        <f t="shared" si="4"/>
        <v>-9562.1746471446695</v>
      </c>
    </row>
    <row r="53" spans="1:13" hidden="1">
      <c r="A53" s="773"/>
      <c r="B53" s="773" t="s">
        <v>56</v>
      </c>
      <c r="C53" s="774">
        <f t="shared" si="1"/>
        <v>-1618280.2710933227</v>
      </c>
      <c r="D53" s="775">
        <f>+[26]Recap!C64</f>
        <v>-173840.59999999995</v>
      </c>
      <c r="E53" s="775"/>
      <c r="F53" s="775">
        <v>1722.9</v>
      </c>
      <c r="G53" s="775">
        <v>12552.87</v>
      </c>
      <c r="H53" s="775">
        <v>120429.78</v>
      </c>
      <c r="I53" s="780">
        <v>-9907.51</v>
      </c>
      <c r="J53" s="775">
        <f t="shared" si="2"/>
        <v>-1667322.8310933225</v>
      </c>
      <c r="K53" s="776"/>
      <c r="L53" s="777">
        <f t="shared" si="3"/>
        <v>-1637847.7960933226</v>
      </c>
      <c r="M53" s="781">
        <f t="shared" si="4"/>
        <v>-9869.6708192583628</v>
      </c>
    </row>
    <row r="54" spans="1:13" hidden="1">
      <c r="A54" s="773"/>
      <c r="B54" s="773" t="s">
        <v>57</v>
      </c>
      <c r="C54" s="774">
        <f t="shared" si="1"/>
        <v>-1667322.8310933225</v>
      </c>
      <c r="D54" s="775">
        <f>+[26]Recap!C65</f>
        <v>-171255.64999999997</v>
      </c>
      <c r="E54" s="775"/>
      <c r="F54" s="775">
        <v>3571.7</v>
      </c>
      <c r="G54" s="775"/>
      <c r="H54" s="775">
        <v>114263.2</v>
      </c>
      <c r="I54" s="780">
        <v>-10283.91</v>
      </c>
      <c r="J54" s="775">
        <f t="shared" si="2"/>
        <v>-1731027.4910933224</v>
      </c>
      <c r="K54" s="776"/>
      <c r="L54" s="777">
        <f t="shared" si="3"/>
        <v>-1694033.2060933225</v>
      </c>
      <c r="M54" s="781">
        <f t="shared" si="4"/>
        <v>-10208.244099918362</v>
      </c>
    </row>
    <row r="55" spans="1:13" hidden="1">
      <c r="A55" s="773"/>
      <c r="B55" s="773" t="s">
        <v>58</v>
      </c>
      <c r="C55" s="774">
        <f t="shared" si="1"/>
        <v>-1731027.4910933224</v>
      </c>
      <c r="D55" s="775">
        <f>+[26]Recap!C66</f>
        <v>-174612.00999999998</v>
      </c>
      <c r="E55" s="775">
        <v>3.15</v>
      </c>
      <c r="F55" s="775">
        <v>2644.52</v>
      </c>
      <c r="G55" s="775"/>
      <c r="H55" s="775">
        <v>110771.04</v>
      </c>
      <c r="I55" s="780">
        <f>-10615.55+113.51</f>
        <v>-10502.039999999999</v>
      </c>
      <c r="J55" s="775">
        <f t="shared" si="2"/>
        <v>-1802722.8310933225</v>
      </c>
      <c r="K55" s="776"/>
      <c r="L55" s="777">
        <f t="shared" si="3"/>
        <v>-1761624.1410933223</v>
      </c>
      <c r="M55" s="781">
        <f t="shared" si="4"/>
        <v>-10615.54707422836</v>
      </c>
    </row>
    <row r="56" spans="1:13" hidden="1">
      <c r="A56" s="773"/>
      <c r="B56" s="773" t="s">
        <v>59</v>
      </c>
      <c r="C56" s="774">
        <f t="shared" si="1"/>
        <v>-1802722.8310933225</v>
      </c>
      <c r="D56" s="775">
        <f>+[26]Recap!C67</f>
        <v>-174568.75</v>
      </c>
      <c r="E56" s="775"/>
      <c r="F56" s="775">
        <v>10082.34</v>
      </c>
      <c r="G56" s="775"/>
      <c r="H56" s="775">
        <v>102530.4</v>
      </c>
      <c r="I56" s="780">
        <v>-11049.88</v>
      </c>
      <c r="J56" s="775">
        <f t="shared" si="2"/>
        <v>-1875728.7210933224</v>
      </c>
      <c r="K56" s="776"/>
      <c r="L56" s="777">
        <f t="shared" si="3"/>
        <v>-1833700.8360933224</v>
      </c>
      <c r="M56" s="781">
        <f t="shared" si="4"/>
        <v>-11049.881238298361</v>
      </c>
    </row>
    <row r="57" spans="1:13" hidden="1">
      <c r="A57" s="773"/>
      <c r="B57" s="773" t="s">
        <v>60</v>
      </c>
      <c r="C57" s="774">
        <f t="shared" si="1"/>
        <v>-1875728.7210933224</v>
      </c>
      <c r="D57" s="775">
        <v>-170521.3</v>
      </c>
      <c r="E57" s="775"/>
      <c r="F57" s="775">
        <v>839.04</v>
      </c>
      <c r="G57" s="775">
        <v>26827.91</v>
      </c>
      <c r="H57" s="775">
        <v>115680.17</v>
      </c>
      <c r="I57" s="775">
        <v>-11385.02</v>
      </c>
      <c r="J57" s="775">
        <f t="shared" si="2"/>
        <v>-1914287.9210933226</v>
      </c>
      <c r="K57" s="776"/>
      <c r="L57" s="777">
        <f t="shared" si="3"/>
        <v>-1889315.8110933225</v>
      </c>
      <c r="M57" s="781">
        <f t="shared" si="4"/>
        <v>-11385.017077648361</v>
      </c>
    </row>
    <row r="58" spans="1:13" hidden="1">
      <c r="A58" s="773">
        <v>2005</v>
      </c>
      <c r="B58" s="773" t="s">
        <v>706</v>
      </c>
      <c r="C58" s="774">
        <f t="shared" si="1"/>
        <v>-1914287.9210933226</v>
      </c>
      <c r="D58" s="775">
        <v>-174269.9</v>
      </c>
      <c r="E58" s="775"/>
      <c r="F58" s="775">
        <v>1118.72</v>
      </c>
      <c r="G58" s="775"/>
      <c r="H58" s="775">
        <v>131206.18</v>
      </c>
      <c r="I58" s="775">
        <v>-11661.88</v>
      </c>
      <c r="J58" s="775">
        <f t="shared" si="2"/>
        <v>-1967894.8010933225</v>
      </c>
      <c r="K58" s="776"/>
      <c r="L58" s="777">
        <f t="shared" si="3"/>
        <v>-1935260.4210933226</v>
      </c>
      <c r="M58" s="781">
        <f t="shared" si="4"/>
        <v>-11661.879297508362</v>
      </c>
    </row>
    <row r="59" spans="1:13" hidden="1">
      <c r="A59" s="773"/>
      <c r="B59" s="773" t="s">
        <v>50</v>
      </c>
      <c r="C59" s="774">
        <f t="shared" si="1"/>
        <v>-1967894.8010933225</v>
      </c>
      <c r="D59" s="775">
        <v>-170424.01</v>
      </c>
      <c r="E59" s="775"/>
      <c r="F59" s="775">
        <v>14434.03</v>
      </c>
      <c r="G59" s="775"/>
      <c r="H59" s="775">
        <v>137950.5</v>
      </c>
      <c r="I59" s="775">
        <v>-11912.89</v>
      </c>
      <c r="J59" s="775">
        <f t="shared" si="2"/>
        <v>-1997847.1710933226</v>
      </c>
      <c r="K59" s="776"/>
      <c r="L59" s="777">
        <f t="shared" si="3"/>
        <v>-1976914.5410933224</v>
      </c>
      <c r="M59" s="781">
        <f t="shared" si="4"/>
        <v>-11912.88702462836</v>
      </c>
    </row>
    <row r="60" spans="1:13" hidden="1">
      <c r="A60" s="773"/>
      <c r="B60" s="773" t="s">
        <v>51</v>
      </c>
      <c r="C60" s="774">
        <f t="shared" si="1"/>
        <v>-1997847.1710933226</v>
      </c>
      <c r="D60" s="775">
        <v>-171351.7</v>
      </c>
      <c r="E60" s="775"/>
      <c r="F60" s="775">
        <f>139.84+209.76</f>
        <v>349.6</v>
      </c>
      <c r="G60" s="775"/>
      <c r="H60" s="775">
        <v>149845.49</v>
      </c>
      <c r="I60" s="775">
        <v>-12102.77</v>
      </c>
      <c r="J60" s="775">
        <f t="shared" si="2"/>
        <v>-2031106.5510933225</v>
      </c>
      <c r="K60" s="776"/>
      <c r="L60" s="777">
        <f t="shared" si="3"/>
        <v>-2008425.4760933225</v>
      </c>
      <c r="M60" s="781">
        <f t="shared" si="4"/>
        <v>-12102.771918938362</v>
      </c>
    </row>
    <row r="61" spans="1:13" hidden="1">
      <c r="A61" s="773"/>
      <c r="B61" s="773" t="s">
        <v>52</v>
      </c>
      <c r="C61" s="774">
        <f t="shared" si="1"/>
        <v>-2031106.5510933225</v>
      </c>
      <c r="D61" s="775">
        <v>-172644.14</v>
      </c>
      <c r="E61" s="775"/>
      <c r="F61" s="775">
        <f>154+693</f>
        <v>847</v>
      </c>
      <c r="G61" s="775"/>
      <c r="H61" s="775">
        <v>163033.39000000001</v>
      </c>
      <c r="I61" s="775">
        <v>-12265.85</v>
      </c>
      <c r="J61" s="775">
        <f t="shared" si="2"/>
        <v>-2052136.1510933223</v>
      </c>
      <c r="K61" s="776"/>
      <c r="L61" s="777">
        <f t="shared" si="3"/>
        <v>-2035488.4260933225</v>
      </c>
      <c r="M61" s="781">
        <f t="shared" si="4"/>
        <v>-12265.853255638362</v>
      </c>
    </row>
    <row r="62" spans="1:13" hidden="1">
      <c r="A62" s="773"/>
      <c r="B62" s="773" t="s">
        <v>53</v>
      </c>
      <c r="C62" s="774">
        <f t="shared" si="1"/>
        <v>-2052136.1510933223</v>
      </c>
      <c r="D62" s="775">
        <v>-172952.44</v>
      </c>
      <c r="E62" s="775"/>
      <c r="F62" s="775">
        <v>4476</v>
      </c>
      <c r="G62" s="775"/>
      <c r="H62" s="775">
        <v>168131.36</v>
      </c>
      <c r="I62" s="775">
        <f t="shared" ref="I62:I93" si="5">M62</f>
        <v>-12367.212172528361</v>
      </c>
      <c r="J62" s="775">
        <f t="shared" si="2"/>
        <v>-2064848.4432658507</v>
      </c>
      <c r="K62" s="776"/>
      <c r="L62" s="777">
        <f t="shared" si="3"/>
        <v>-2052308.6910933224</v>
      </c>
      <c r="M62" s="781">
        <f t="shared" si="4"/>
        <v>-12367.212172528361</v>
      </c>
    </row>
    <row r="63" spans="1:13" hidden="1">
      <c r="A63" s="773"/>
      <c r="B63" s="773" t="s">
        <v>245</v>
      </c>
      <c r="C63" s="774">
        <f t="shared" si="1"/>
        <v>-2064848.4432658507</v>
      </c>
      <c r="D63" s="775">
        <v>-174684.96</v>
      </c>
      <c r="E63" s="775"/>
      <c r="F63" s="775">
        <v>1502.5</v>
      </c>
      <c r="G63" s="775"/>
      <c r="H63" s="775">
        <v>166271.15</v>
      </c>
      <c r="I63" s="775">
        <f t="shared" si="5"/>
        <v>-12463.600496150017</v>
      </c>
      <c r="J63" s="775">
        <f t="shared" si="2"/>
        <v>-2084223.3537620008</v>
      </c>
      <c r="K63" s="776"/>
      <c r="L63" s="777">
        <f t="shared" si="3"/>
        <v>-2068304.0982658507</v>
      </c>
      <c r="M63" s="781">
        <f t="shared" si="4"/>
        <v>-12463.600496150017</v>
      </c>
    </row>
    <row r="64" spans="1:13" hidden="1">
      <c r="A64" s="773"/>
      <c r="B64" s="773" t="s">
        <v>246</v>
      </c>
      <c r="C64" s="774">
        <f t="shared" si="1"/>
        <v>-2084223.3537620008</v>
      </c>
      <c r="D64" s="775">
        <v>-174662.68</v>
      </c>
      <c r="E64" s="775"/>
      <c r="F64" s="775">
        <v>1694</v>
      </c>
      <c r="G64" s="775"/>
      <c r="H64" s="775">
        <v>161022.04999999999</v>
      </c>
      <c r="I64" s="775">
        <f t="shared" si="5"/>
        <v>-12595.525125959817</v>
      </c>
      <c r="J64" s="775">
        <f t="shared" si="2"/>
        <v>-2108765.5088879606</v>
      </c>
      <c r="K64" s="776"/>
      <c r="L64" s="777">
        <f t="shared" si="3"/>
        <v>-2090196.6687620007</v>
      </c>
      <c r="M64" s="781">
        <f t="shared" si="4"/>
        <v>-12595.525125959817</v>
      </c>
    </row>
    <row r="65" spans="1:13" hidden="1">
      <c r="A65" s="773"/>
      <c r="B65" s="773" t="s">
        <v>56</v>
      </c>
      <c r="C65" s="774">
        <f t="shared" si="1"/>
        <v>-2108765.5088879606</v>
      </c>
      <c r="D65" s="775">
        <v>-178174.79</v>
      </c>
      <c r="E65" s="775"/>
      <c r="F65" s="775">
        <v>462</v>
      </c>
      <c r="G65" s="775">
        <v>13851.65</v>
      </c>
      <c r="H65" s="775">
        <v>156368.42000000001</v>
      </c>
      <c r="I65" s="775">
        <f t="shared" si="5"/>
        <v>-12729.996521918851</v>
      </c>
      <c r="J65" s="775">
        <f t="shared" si="2"/>
        <v>-2128988.2254098798</v>
      </c>
      <c r="K65" s="776"/>
      <c r="L65" s="777">
        <f t="shared" si="3"/>
        <v>-2112511.8688879604</v>
      </c>
      <c r="M65" s="781">
        <f t="shared" si="4"/>
        <v>-12729.996521918851</v>
      </c>
    </row>
    <row r="66" spans="1:13" hidden="1">
      <c r="A66" s="773"/>
      <c r="B66" s="773" t="s">
        <v>57</v>
      </c>
      <c r="C66" s="774">
        <f t="shared" si="1"/>
        <v>-2128988.2254098798</v>
      </c>
      <c r="D66" s="775">
        <v>-174952.49</v>
      </c>
      <c r="E66" s="775"/>
      <c r="F66" s="775">
        <v>1156.5</v>
      </c>
      <c r="G66" s="775"/>
      <c r="H66" s="775">
        <v>152468.29</v>
      </c>
      <c r="I66" s="775">
        <f t="shared" si="5"/>
        <v>-12893.543406419936</v>
      </c>
      <c r="J66" s="775">
        <f t="shared" si="2"/>
        <v>-2163209.4688162995</v>
      </c>
      <c r="K66" s="776"/>
      <c r="L66" s="777">
        <f t="shared" si="3"/>
        <v>-2139652.0754098799</v>
      </c>
      <c r="M66" s="781">
        <f t="shared" si="4"/>
        <v>-12893.543406419936</v>
      </c>
    </row>
    <row r="67" spans="1:13" hidden="1">
      <c r="A67" s="773"/>
      <c r="B67" s="773" t="s">
        <v>58</v>
      </c>
      <c r="C67" s="774">
        <f t="shared" si="1"/>
        <v>-2163209.4688162995</v>
      </c>
      <c r="D67" s="775">
        <v>-178389.33</v>
      </c>
      <c r="E67" s="775">
        <v>33.76</v>
      </c>
      <c r="F67" s="775">
        <v>1714</v>
      </c>
      <c r="G67" s="775"/>
      <c r="H67" s="775">
        <v>145478.69</v>
      </c>
      <c r="I67" s="775">
        <f t="shared" si="5"/>
        <v>-13129.39401652702</v>
      </c>
      <c r="J67" s="775">
        <f t="shared" si="2"/>
        <v>-2207501.7428328269</v>
      </c>
      <c r="K67" s="776"/>
      <c r="L67" s="777">
        <f t="shared" si="3"/>
        <v>-2178790.9088162994</v>
      </c>
      <c r="M67" s="781">
        <f t="shared" ref="M67:M130" si="6">(+L67*0.006026)</f>
        <v>-13129.39401652702</v>
      </c>
    </row>
    <row r="68" spans="1:13" hidden="1">
      <c r="A68" s="773"/>
      <c r="B68" s="773" t="s">
        <v>59</v>
      </c>
      <c r="C68" s="774">
        <f t="shared" si="1"/>
        <v>-2207501.7428328269</v>
      </c>
      <c r="D68" s="775">
        <v>-179474.31</v>
      </c>
      <c r="E68" s="775">
        <v>-33.76</v>
      </c>
      <c r="F68" s="775">
        <v>5267.18</v>
      </c>
      <c r="G68" s="775"/>
      <c r="H68" s="775">
        <v>142064.84</v>
      </c>
      <c r="I68" s="775">
        <f t="shared" si="5"/>
        <v>-13399.351940960614</v>
      </c>
      <c r="J68" s="775">
        <f t="shared" si="2"/>
        <v>-2253077.1447737874</v>
      </c>
      <c r="K68" s="776"/>
      <c r="L68" s="777">
        <f t="shared" si="3"/>
        <v>-2223589.7678328268</v>
      </c>
      <c r="M68" s="781">
        <f t="shared" si="6"/>
        <v>-13399.351940960614</v>
      </c>
    </row>
    <row r="69" spans="1:13" hidden="1">
      <c r="A69" s="773"/>
      <c r="B69" s="773" t="s">
        <v>60</v>
      </c>
      <c r="C69" s="774">
        <f t="shared" si="1"/>
        <v>-2253077.1447737874</v>
      </c>
      <c r="D69" s="775">
        <v>-156105.29999999999</v>
      </c>
      <c r="E69" s="775">
        <v>1519537.07</v>
      </c>
      <c r="F69" s="775">
        <v>7940</v>
      </c>
      <c r="G69" s="775"/>
      <c r="H69" s="775">
        <v>146947.1</v>
      </c>
      <c r="I69" s="775">
        <f t="shared" si="5"/>
        <v>-9002.3481190968432</v>
      </c>
      <c r="J69" s="775">
        <f t="shared" si="2"/>
        <v>-743760.62289288396</v>
      </c>
      <c r="K69" s="776"/>
      <c r="L69" s="777">
        <f t="shared" si="3"/>
        <v>-1493917.7097737873</v>
      </c>
      <c r="M69" s="781">
        <f t="shared" si="6"/>
        <v>-9002.3481190968432</v>
      </c>
    </row>
    <row r="70" spans="1:13" hidden="1">
      <c r="A70" s="773">
        <v>2006</v>
      </c>
      <c r="B70" s="773" t="s">
        <v>49</v>
      </c>
      <c r="C70" s="774">
        <f t="shared" si="1"/>
        <v>-743760.62289288396</v>
      </c>
      <c r="D70" s="775">
        <v>-148679.51</v>
      </c>
      <c r="E70" s="775">
        <f>202880.2-12222.08</f>
        <v>190658.12000000002</v>
      </c>
      <c r="F70" s="775">
        <v>741.94</v>
      </c>
      <c r="G70" s="775"/>
      <c r="H70" s="775">
        <v>160901.59</v>
      </c>
      <c r="I70" s="775">
        <f t="shared" si="5"/>
        <v>-3868.3880057325191</v>
      </c>
      <c r="J70" s="775">
        <f t="shared" si="2"/>
        <v>-544006.87089861662</v>
      </c>
      <c r="K70" s="776"/>
      <c r="L70" s="777">
        <f t="shared" si="3"/>
        <v>-641949.55289288401</v>
      </c>
      <c r="M70" s="781">
        <f t="shared" si="6"/>
        <v>-3868.3880057325191</v>
      </c>
    </row>
    <row r="71" spans="1:13" hidden="1">
      <c r="A71" s="773"/>
      <c r="B71" s="773" t="s">
        <v>50</v>
      </c>
      <c r="C71" s="774">
        <f t="shared" ref="C71:C134" si="7">J70</f>
        <v>-544006.87089861662</v>
      </c>
      <c r="D71" s="775">
        <v>-144594.39000000001</v>
      </c>
      <c r="E71" s="775">
        <v>2237.1</v>
      </c>
      <c r="F71" s="775">
        <v>154</v>
      </c>
      <c r="G71" s="775"/>
      <c r="H71" s="775">
        <v>174830.03</v>
      </c>
      <c r="I71" s="775">
        <f t="shared" si="5"/>
        <v>-3179.8810364150636</v>
      </c>
      <c r="J71" s="775">
        <f t="shared" ref="J71:J110" si="8">SUM(C71:I71)</f>
        <v>-514560.01193503168</v>
      </c>
      <c r="K71" s="776"/>
      <c r="L71" s="777">
        <f t="shared" ref="L71:L134" si="9">J70+(SUM(D71:H71)/2)</f>
        <v>-527693.50089861662</v>
      </c>
      <c r="M71" s="781">
        <f t="shared" si="6"/>
        <v>-3179.8810364150636</v>
      </c>
    </row>
    <row r="72" spans="1:13" hidden="1">
      <c r="A72" s="773"/>
      <c r="B72" s="773" t="s">
        <v>51</v>
      </c>
      <c r="C72" s="774">
        <f t="shared" si="7"/>
        <v>-514560.01193503168</v>
      </c>
      <c r="D72" s="775">
        <v>-146148.39000000001</v>
      </c>
      <c r="E72" s="775">
        <v>86957.29</v>
      </c>
      <c r="F72" s="775">
        <v>231</v>
      </c>
      <c r="G72" s="775"/>
      <c r="H72" s="775">
        <v>192257.52</v>
      </c>
      <c r="I72" s="775">
        <f t="shared" si="5"/>
        <v>-2699.1135054605006</v>
      </c>
      <c r="J72" s="775">
        <f t="shared" si="8"/>
        <v>-383961.70544049208</v>
      </c>
      <c r="K72" s="776"/>
      <c r="L72" s="777">
        <f t="shared" si="9"/>
        <v>-447911.30193503166</v>
      </c>
      <c r="M72" s="781">
        <f t="shared" si="6"/>
        <v>-2699.1135054605006</v>
      </c>
    </row>
    <row r="73" spans="1:13" hidden="1">
      <c r="A73" s="773"/>
      <c r="B73" s="773" t="s">
        <v>52</v>
      </c>
      <c r="C73" s="774">
        <f t="shared" si="7"/>
        <v>-383961.70544049208</v>
      </c>
      <c r="D73" s="775">
        <v>-147678.95000000001</v>
      </c>
      <c r="E73" s="775">
        <v>733.49</v>
      </c>
      <c r="F73" s="775">
        <v>0</v>
      </c>
      <c r="G73" s="775"/>
      <c r="H73" s="775">
        <v>204672.11</v>
      </c>
      <c r="I73" s="775">
        <f t="shared" si="5"/>
        <v>-2139.8228405344053</v>
      </c>
      <c r="J73" s="775">
        <f t="shared" si="8"/>
        <v>-328374.8782810265</v>
      </c>
      <c r="K73" s="776"/>
      <c r="L73" s="777">
        <f t="shared" si="9"/>
        <v>-355098.38044049207</v>
      </c>
      <c r="M73" s="781">
        <f t="shared" si="6"/>
        <v>-2139.8228405344053</v>
      </c>
    </row>
    <row r="74" spans="1:13" hidden="1">
      <c r="A74" s="773"/>
      <c r="B74" s="773" t="s">
        <v>53</v>
      </c>
      <c r="C74" s="774">
        <f t="shared" si="7"/>
        <v>-328374.8782810265</v>
      </c>
      <c r="D74" s="775">
        <v>-149566.92000000001</v>
      </c>
      <c r="E74" s="775">
        <v>35.72</v>
      </c>
      <c r="F74" s="775">
        <v>143.58000000000001</v>
      </c>
      <c r="G74" s="775"/>
      <c r="H74" s="775">
        <v>208441.34</v>
      </c>
      <c r="I74" s="775">
        <f t="shared" si="5"/>
        <v>-1800.8581581614658</v>
      </c>
      <c r="J74" s="775">
        <f t="shared" si="8"/>
        <v>-271122.01643918798</v>
      </c>
      <c r="K74" s="776"/>
      <c r="L74" s="777">
        <f t="shared" si="9"/>
        <v>-298848.01828102651</v>
      </c>
      <c r="M74" s="781">
        <f t="shared" si="6"/>
        <v>-1800.8581581614658</v>
      </c>
    </row>
    <row r="75" spans="1:13" hidden="1">
      <c r="A75" s="773"/>
      <c r="B75" s="773" t="s">
        <v>245</v>
      </c>
      <c r="C75" s="774">
        <f t="shared" si="7"/>
        <v>-271122.01643918798</v>
      </c>
      <c r="D75" s="775">
        <v>-148363.35999999999</v>
      </c>
      <c r="E75" s="775">
        <v>-907.84</v>
      </c>
      <c r="F75" s="775">
        <v>71.790000000000006</v>
      </c>
      <c r="G75" s="775"/>
      <c r="H75" s="775">
        <v>210896.96</v>
      </c>
      <c r="I75" s="775">
        <f t="shared" si="5"/>
        <v>-1447.8865529125467</v>
      </c>
      <c r="J75" s="775">
        <f t="shared" si="8"/>
        <v>-210872.35299210055</v>
      </c>
      <c r="K75" s="776"/>
      <c r="L75" s="777">
        <f t="shared" si="9"/>
        <v>-240273.24143918796</v>
      </c>
      <c r="M75" s="781">
        <f t="shared" si="6"/>
        <v>-1447.8865529125467</v>
      </c>
    </row>
    <row r="76" spans="1:13" hidden="1">
      <c r="A76" s="773"/>
      <c r="B76" s="773" t="s">
        <v>246</v>
      </c>
      <c r="C76" s="774">
        <f t="shared" si="7"/>
        <v>-210872.35299210055</v>
      </c>
      <c r="D76" s="775">
        <v>-149509.35999999999</v>
      </c>
      <c r="E76" s="775">
        <v>-2151.85</v>
      </c>
      <c r="F76" s="775"/>
      <c r="G76" s="775"/>
      <c r="H76" s="775">
        <v>209191.5</v>
      </c>
      <c r="I76" s="775">
        <f t="shared" si="5"/>
        <v>-1097.3780353603979</v>
      </c>
      <c r="J76" s="775">
        <f t="shared" si="8"/>
        <v>-154439.44102746088</v>
      </c>
      <c r="K76" s="776"/>
      <c r="L76" s="777">
        <f t="shared" si="9"/>
        <v>-182107.20799210056</v>
      </c>
      <c r="M76" s="781">
        <f t="shared" si="6"/>
        <v>-1097.3780353603979</v>
      </c>
    </row>
    <row r="77" spans="1:13" hidden="1">
      <c r="A77" s="773"/>
      <c r="B77" s="773" t="s">
        <v>56</v>
      </c>
      <c r="C77" s="774">
        <f t="shared" si="7"/>
        <v>-154439.44102746088</v>
      </c>
      <c r="D77" s="775">
        <v>-151427.67000000001</v>
      </c>
      <c r="E77" s="775">
        <v>-1578.07</v>
      </c>
      <c r="F77" s="775">
        <v>574.32000000000005</v>
      </c>
      <c r="G77" s="775">
        <v>32357.75</v>
      </c>
      <c r="H77" s="775">
        <v>200658.26</v>
      </c>
      <c r="I77" s="775">
        <f t="shared" si="5"/>
        <v>-687.85070196147933</v>
      </c>
      <c r="J77" s="775">
        <f t="shared" si="8"/>
        <v>-74542.701729422362</v>
      </c>
      <c r="K77" s="776"/>
      <c r="L77" s="777">
        <f t="shared" si="9"/>
        <v>-114147.14602746088</v>
      </c>
      <c r="M77" s="781">
        <f t="shared" si="6"/>
        <v>-687.85070196147933</v>
      </c>
    </row>
    <row r="78" spans="1:13" hidden="1">
      <c r="A78" s="773"/>
      <c r="B78" s="773" t="s">
        <v>57</v>
      </c>
      <c r="C78" s="774">
        <f t="shared" si="7"/>
        <v>-74542.701729422362</v>
      </c>
      <c r="D78" s="775">
        <v>-149280.59</v>
      </c>
      <c r="E78" s="775">
        <v>-1219.1099999999999</v>
      </c>
      <c r="F78" s="775">
        <v>1292.22</v>
      </c>
      <c r="G78" s="775"/>
      <c r="H78" s="775">
        <v>187944.19</v>
      </c>
      <c r="I78" s="775">
        <f t="shared" si="5"/>
        <v>-332.48061339149911</v>
      </c>
      <c r="J78" s="775">
        <f t="shared" si="8"/>
        <v>-36138.472342813824</v>
      </c>
      <c r="K78" s="776"/>
      <c r="L78" s="777">
        <f t="shared" si="9"/>
        <v>-55174.346729422352</v>
      </c>
      <c r="M78" s="781">
        <f t="shared" si="6"/>
        <v>-332.48061339149911</v>
      </c>
    </row>
    <row r="79" spans="1:13" hidden="1">
      <c r="A79" s="773"/>
      <c r="B79" s="773" t="s">
        <v>58</v>
      </c>
      <c r="C79" s="774">
        <f t="shared" si="7"/>
        <v>-36138.472342813824</v>
      </c>
      <c r="D79" s="775">
        <v>-150532.82</v>
      </c>
      <c r="E79" s="775">
        <v>-831.24</v>
      </c>
      <c r="F79" s="775">
        <v>1015.37</v>
      </c>
      <c r="G79" s="775"/>
      <c r="H79" s="775">
        <v>174055.75</v>
      </c>
      <c r="I79" s="775">
        <f t="shared" si="5"/>
        <v>-146.34106255779611</v>
      </c>
      <c r="J79" s="775">
        <f t="shared" si="8"/>
        <v>-12577.753405371623</v>
      </c>
      <c r="K79" s="776"/>
      <c r="L79" s="777">
        <f t="shared" si="9"/>
        <v>-24284.942342813825</v>
      </c>
      <c r="M79" s="781">
        <f t="shared" si="6"/>
        <v>-146.34106255779611</v>
      </c>
    </row>
    <row r="80" spans="1:13" hidden="1">
      <c r="A80" s="773"/>
      <c r="B80" s="773" t="s">
        <v>59</v>
      </c>
      <c r="C80" s="774">
        <f t="shared" si="7"/>
        <v>-12577.753405371623</v>
      </c>
      <c r="D80" s="775">
        <v>-151565.64000000001</v>
      </c>
      <c r="E80" s="775">
        <v>-211.25</v>
      </c>
      <c r="F80" s="775"/>
      <c r="G80" s="775"/>
      <c r="H80" s="775">
        <v>172614.85</v>
      </c>
      <c r="I80" s="775">
        <f t="shared" si="5"/>
        <v>-13.008768540769422</v>
      </c>
      <c r="J80" s="775">
        <f t="shared" si="8"/>
        <v>8247.1978260876003</v>
      </c>
      <c r="K80" s="776"/>
      <c r="L80" s="777">
        <f t="shared" si="9"/>
        <v>-2158.7734053716267</v>
      </c>
      <c r="M80" s="781">
        <f t="shared" si="6"/>
        <v>-13.008768540769422</v>
      </c>
    </row>
    <row r="81" spans="1:13" hidden="1">
      <c r="A81" s="773"/>
      <c r="B81" s="773" t="s">
        <v>60</v>
      </c>
      <c r="C81" s="774">
        <f t="shared" si="7"/>
        <v>8247.1978260876003</v>
      </c>
      <c r="D81" s="775">
        <v>-177439.66</v>
      </c>
      <c r="E81" s="775">
        <v>460.98</v>
      </c>
      <c r="F81" s="775"/>
      <c r="G81" s="775"/>
      <c r="H81" s="775">
        <v>177167.08</v>
      </c>
      <c r="I81" s="775">
        <f t="shared" si="5"/>
        <v>50.265263300003866</v>
      </c>
      <c r="J81" s="775">
        <f t="shared" si="8"/>
        <v>8485.8630893875888</v>
      </c>
      <c r="K81" s="776"/>
      <c r="L81" s="777">
        <f t="shared" si="9"/>
        <v>8341.3978260875974</v>
      </c>
      <c r="M81" s="781">
        <f t="shared" si="6"/>
        <v>50.265263300003866</v>
      </c>
    </row>
    <row r="82" spans="1:13" hidden="1">
      <c r="A82" s="773">
        <v>2007</v>
      </c>
      <c r="B82" s="773" t="s">
        <v>49</v>
      </c>
      <c r="C82" s="774">
        <f t="shared" si="7"/>
        <v>8485.8630893875888</v>
      </c>
      <c r="D82" s="775">
        <v>-199703.77</v>
      </c>
      <c r="E82" s="775">
        <v>-51.34</v>
      </c>
      <c r="F82" s="775"/>
      <c r="G82" s="775"/>
      <c r="H82" s="775">
        <v>189594.33</v>
      </c>
      <c r="I82" s="775">
        <f t="shared" si="5"/>
        <v>20.521380836649616</v>
      </c>
      <c r="J82" s="775">
        <f t="shared" si="8"/>
        <v>-1654.3955297757532</v>
      </c>
      <c r="K82" s="776"/>
      <c r="L82" s="777">
        <f t="shared" si="9"/>
        <v>3405.4730893875894</v>
      </c>
      <c r="M82" s="781">
        <f t="shared" si="6"/>
        <v>20.521380836649616</v>
      </c>
    </row>
    <row r="83" spans="1:13" hidden="1">
      <c r="A83" s="782"/>
      <c r="B83" s="773" t="s">
        <v>50</v>
      </c>
      <c r="C83" s="774">
        <f t="shared" si="7"/>
        <v>-1654.3955297757532</v>
      </c>
      <c r="D83" s="775">
        <v>-201390.65</v>
      </c>
      <c r="E83" s="775">
        <v>-42.96</v>
      </c>
      <c r="F83" s="775">
        <v>140.97999999999999</v>
      </c>
      <c r="G83" s="775"/>
      <c r="H83" s="775">
        <v>201414.28</v>
      </c>
      <c r="I83" s="775">
        <f t="shared" si="5"/>
        <v>-9.6028560124286191</v>
      </c>
      <c r="J83" s="775">
        <f t="shared" si="8"/>
        <v>-1542.3483857881693</v>
      </c>
      <c r="K83" s="776"/>
      <c r="L83" s="777">
        <f t="shared" si="9"/>
        <v>-1593.5705297757415</v>
      </c>
      <c r="M83" s="781">
        <f t="shared" si="6"/>
        <v>-9.6028560124286191</v>
      </c>
    </row>
    <row r="84" spans="1:13" hidden="1">
      <c r="A84" s="782"/>
      <c r="B84" s="773" t="s">
        <v>51</v>
      </c>
      <c r="C84" s="774">
        <f t="shared" si="7"/>
        <v>-1542.3483857881693</v>
      </c>
      <c r="D84" s="775">
        <v>-200146.91</v>
      </c>
      <c r="E84" s="775">
        <v>-105.62</v>
      </c>
      <c r="F84" s="775"/>
      <c r="G84" s="775"/>
      <c r="H84" s="775">
        <v>210880.4</v>
      </c>
      <c r="I84" s="775">
        <f t="shared" si="5"/>
        <v>22.727580937240479</v>
      </c>
      <c r="J84" s="775">
        <f t="shared" si="8"/>
        <v>9108.2491951490556</v>
      </c>
      <c r="K84" s="776"/>
      <c r="L84" s="777">
        <f t="shared" si="9"/>
        <v>3771.5866142118284</v>
      </c>
      <c r="M84" s="781">
        <f t="shared" si="6"/>
        <v>22.727580937240479</v>
      </c>
    </row>
    <row r="85" spans="1:13" hidden="1">
      <c r="A85" s="782"/>
      <c r="B85" s="773" t="s">
        <v>52</v>
      </c>
      <c r="C85" s="774">
        <f t="shared" si="7"/>
        <v>9108.2491951490556</v>
      </c>
      <c r="D85" s="775">
        <v>-202821.07</v>
      </c>
      <c r="E85" s="775">
        <v>124.44</v>
      </c>
      <c r="F85" s="775">
        <v>70.489999999999995</v>
      </c>
      <c r="G85" s="775"/>
      <c r="H85" s="775">
        <v>216875.4</v>
      </c>
      <c r="I85" s="775">
        <f t="shared" si="5"/>
        <v>97.819330029968157</v>
      </c>
      <c r="J85" s="775">
        <f t="shared" si="8"/>
        <v>23455.328525179</v>
      </c>
      <c r="K85" s="776"/>
      <c r="L85" s="777">
        <f t="shared" si="9"/>
        <v>16232.879195149046</v>
      </c>
      <c r="M85" s="781">
        <f t="shared" si="6"/>
        <v>97.819330029968157</v>
      </c>
    </row>
    <row r="86" spans="1:13" hidden="1">
      <c r="A86" s="782"/>
      <c r="B86" s="773" t="s">
        <v>53</v>
      </c>
      <c r="C86" s="774">
        <f t="shared" si="7"/>
        <v>23455.328525179</v>
      </c>
      <c r="D86" s="775">
        <v>-203313.2</v>
      </c>
      <c r="E86" s="775">
        <v>-50.29</v>
      </c>
      <c r="F86" s="775"/>
      <c r="G86" s="775"/>
      <c r="H86" s="775">
        <v>218321.81</v>
      </c>
      <c r="I86" s="775">
        <f t="shared" si="5"/>
        <v>186.41122785272859</v>
      </c>
      <c r="J86" s="775">
        <f t="shared" si="8"/>
        <v>38600.059753031717</v>
      </c>
      <c r="K86" s="776"/>
      <c r="L86" s="777">
        <f t="shared" si="9"/>
        <v>30934.488525178989</v>
      </c>
      <c r="M86" s="781">
        <f t="shared" si="6"/>
        <v>186.41122785272859</v>
      </c>
    </row>
    <row r="87" spans="1:13" hidden="1">
      <c r="A87" s="782"/>
      <c r="B87" s="773" t="s">
        <v>245</v>
      </c>
      <c r="C87" s="774">
        <f t="shared" si="7"/>
        <v>38600.059753031717</v>
      </c>
      <c r="D87" s="775">
        <v>-203576.52</v>
      </c>
      <c r="E87" s="775">
        <v>-82.65</v>
      </c>
      <c r="F87" s="775">
        <v>70.489999999999995</v>
      </c>
      <c r="G87" s="775"/>
      <c r="H87" s="775">
        <v>190337.12</v>
      </c>
      <c r="I87" s="775">
        <f t="shared" si="5"/>
        <v>192.67700979176914</v>
      </c>
      <c r="J87" s="775">
        <f t="shared" si="8"/>
        <v>25541.176762823503</v>
      </c>
      <c r="K87" s="776"/>
      <c r="L87" s="777">
        <f t="shared" si="9"/>
        <v>31974.279753031718</v>
      </c>
      <c r="M87" s="781">
        <f t="shared" si="6"/>
        <v>192.67700979176914</v>
      </c>
    </row>
    <row r="88" spans="1:13" hidden="1">
      <c r="A88" s="782"/>
      <c r="B88" s="773" t="s">
        <v>246</v>
      </c>
      <c r="C88" s="774">
        <f t="shared" si="7"/>
        <v>25541.176762823503</v>
      </c>
      <c r="D88" s="775">
        <v>-205551.04</v>
      </c>
      <c r="E88" s="775">
        <v>-17.63</v>
      </c>
      <c r="F88" s="775"/>
      <c r="G88" s="775"/>
      <c r="H88" s="775">
        <v>178059.45</v>
      </c>
      <c r="I88" s="775">
        <f t="shared" si="5"/>
        <v>71.025851312774421</v>
      </c>
      <c r="J88" s="775">
        <f t="shared" si="8"/>
        <v>-1897.0173858637165</v>
      </c>
      <c r="K88" s="776"/>
      <c r="L88" s="777">
        <f t="shared" si="9"/>
        <v>11786.566762823502</v>
      </c>
      <c r="M88" s="781">
        <f t="shared" si="6"/>
        <v>71.025851312774421</v>
      </c>
    </row>
    <row r="89" spans="1:13" hidden="1">
      <c r="A89" s="782"/>
      <c r="B89" s="773" t="s">
        <v>56</v>
      </c>
      <c r="C89" s="774">
        <f t="shared" si="7"/>
        <v>-1897.0173858637165</v>
      </c>
      <c r="D89" s="775">
        <v>-202379.44</v>
      </c>
      <c r="E89" s="775">
        <v>26.7</v>
      </c>
      <c r="F89" s="775">
        <v>352.45</v>
      </c>
      <c r="G89" s="775">
        <v>37868.75</v>
      </c>
      <c r="H89" s="775">
        <v>174626.55</v>
      </c>
      <c r="I89" s="775">
        <f t="shared" si="5"/>
        <v>20.190038362785273</v>
      </c>
      <c r="J89" s="775">
        <f t="shared" si="8"/>
        <v>8618.1826524990665</v>
      </c>
      <c r="K89" s="776"/>
      <c r="L89" s="777">
        <f t="shared" si="9"/>
        <v>3350.4876141362884</v>
      </c>
      <c r="M89" s="781">
        <f t="shared" si="6"/>
        <v>20.190038362785273</v>
      </c>
    </row>
    <row r="90" spans="1:13" hidden="1">
      <c r="A90" s="782"/>
      <c r="B90" s="773" t="s">
        <v>707</v>
      </c>
      <c r="C90" s="774">
        <f t="shared" si="7"/>
        <v>8618.1826524990665</v>
      </c>
      <c r="D90" s="775">
        <v>-207769.47</v>
      </c>
      <c r="E90" s="775">
        <v>79.34</v>
      </c>
      <c r="F90" s="775">
        <v>845.88</v>
      </c>
      <c r="G90" s="775"/>
      <c r="H90" s="775">
        <v>171981.16</v>
      </c>
      <c r="I90" s="775">
        <f t="shared" si="5"/>
        <v>-53.109321506040615</v>
      </c>
      <c r="J90" s="775">
        <f t="shared" si="8"/>
        <v>-26298.016669006975</v>
      </c>
      <c r="K90" s="776"/>
      <c r="L90" s="777">
        <f t="shared" si="9"/>
        <v>-8813.3623475009317</v>
      </c>
      <c r="M90" s="781">
        <f t="shared" si="6"/>
        <v>-53.109321506040615</v>
      </c>
    </row>
    <row r="91" spans="1:13" hidden="1">
      <c r="A91" s="782"/>
      <c r="B91" s="773" t="s">
        <v>58</v>
      </c>
      <c r="C91" s="774">
        <f t="shared" si="7"/>
        <v>-26298.016669006975</v>
      </c>
      <c r="D91" s="775">
        <v>-205507.18</v>
      </c>
      <c r="E91" s="775">
        <v>-56.74</v>
      </c>
      <c r="F91" s="775">
        <v>493.43</v>
      </c>
      <c r="G91" s="775"/>
      <c r="H91" s="775">
        <v>169110.32</v>
      </c>
      <c r="I91" s="775">
        <f t="shared" si="5"/>
        <v>-266.81984065743598</v>
      </c>
      <c r="J91" s="775">
        <f t="shared" si="8"/>
        <v>-62525.006509664381</v>
      </c>
      <c r="K91" s="776"/>
      <c r="L91" s="777">
        <f t="shared" si="9"/>
        <v>-44278.101669006966</v>
      </c>
      <c r="M91" s="781">
        <f t="shared" si="6"/>
        <v>-266.81984065743598</v>
      </c>
    </row>
    <row r="92" spans="1:13" hidden="1">
      <c r="A92" s="782"/>
      <c r="B92" s="773" t="s">
        <v>59</v>
      </c>
      <c r="C92" s="774">
        <f t="shared" si="7"/>
        <v>-62525.006509664381</v>
      </c>
      <c r="D92" s="775">
        <v>-208700.96</v>
      </c>
      <c r="E92" s="775">
        <v>85.17</v>
      </c>
      <c r="F92" s="775">
        <v>422.94</v>
      </c>
      <c r="G92" s="775"/>
      <c r="H92" s="775">
        <v>165096.94</v>
      </c>
      <c r="I92" s="775">
        <f t="shared" si="5"/>
        <v>-506.62366605723747</v>
      </c>
      <c r="J92" s="775">
        <f t="shared" si="8"/>
        <v>-106127.54017572162</v>
      </c>
      <c r="K92" s="776"/>
      <c r="L92" s="777">
        <f t="shared" si="9"/>
        <v>-84072.961509664368</v>
      </c>
      <c r="M92" s="781">
        <f t="shared" si="6"/>
        <v>-506.62366605723747</v>
      </c>
    </row>
    <row r="93" spans="1:13" hidden="1">
      <c r="A93" s="782"/>
      <c r="B93" s="773" t="s">
        <v>60</v>
      </c>
      <c r="C93" s="774">
        <f t="shared" si="7"/>
        <v>-106127.54017572162</v>
      </c>
      <c r="D93" s="775">
        <v>-209528.32000000001</v>
      </c>
      <c r="E93" s="775">
        <v>-31.48</v>
      </c>
      <c r="F93" s="775">
        <v>0</v>
      </c>
      <c r="G93" s="775"/>
      <c r="H93" s="775">
        <v>168906.85</v>
      </c>
      <c r="I93" s="775">
        <f t="shared" si="5"/>
        <v>-762.01189544889849</v>
      </c>
      <c r="J93" s="775">
        <f t="shared" si="8"/>
        <v>-147542.50207117051</v>
      </c>
      <c r="K93" s="776"/>
      <c r="L93" s="777">
        <f t="shared" si="9"/>
        <v>-126454.01517572162</v>
      </c>
      <c r="M93" s="781">
        <f t="shared" si="6"/>
        <v>-762.01189544889849</v>
      </c>
    </row>
    <row r="94" spans="1:13" hidden="1">
      <c r="A94" s="782">
        <v>2008</v>
      </c>
      <c r="B94" s="773" t="s">
        <v>49</v>
      </c>
      <c r="C94" s="774">
        <f t="shared" si="7"/>
        <v>-147542.50207117051</v>
      </c>
      <c r="D94" s="775">
        <v>-205138.03</v>
      </c>
      <c r="E94" s="775">
        <v>17.48</v>
      </c>
      <c r="F94" s="775">
        <v>0</v>
      </c>
      <c r="G94" s="775"/>
      <c r="H94" s="775">
        <v>177008.88</v>
      </c>
      <c r="I94" s="775">
        <f t="shared" ref="I94:I125" si="10">M94</f>
        <v>-973.79157919087345</v>
      </c>
      <c r="J94" s="775">
        <f t="shared" si="8"/>
        <v>-176627.9636503614</v>
      </c>
      <c r="K94" s="776"/>
      <c r="L94" s="777">
        <f t="shared" si="9"/>
        <v>-161598.33707117051</v>
      </c>
      <c r="M94" s="781">
        <f t="shared" si="6"/>
        <v>-973.79157919087345</v>
      </c>
    </row>
    <row r="95" spans="1:13" hidden="1">
      <c r="A95" s="782"/>
      <c r="B95" s="773" t="s">
        <v>50</v>
      </c>
      <c r="C95" s="774">
        <f t="shared" si="7"/>
        <v>-176627.9636503614</v>
      </c>
      <c r="D95" s="775">
        <v>-207403.6</v>
      </c>
      <c r="E95" s="775">
        <v>26.45</v>
      </c>
      <c r="F95" s="775">
        <v>139.12</v>
      </c>
      <c r="G95" s="775"/>
      <c r="H95" s="775">
        <v>184436.54</v>
      </c>
      <c r="I95" s="775">
        <f t="shared" si="10"/>
        <v>-1133.0609983270779</v>
      </c>
      <c r="J95" s="775">
        <f t="shared" si="8"/>
        <v>-200562.51464868843</v>
      </c>
      <c r="K95" s="776"/>
      <c r="L95" s="777">
        <f t="shared" si="9"/>
        <v>-188028.7086503614</v>
      </c>
      <c r="M95" s="781">
        <f t="shared" si="6"/>
        <v>-1133.0609983270779</v>
      </c>
    </row>
    <row r="96" spans="1:13" hidden="1">
      <c r="A96" s="782"/>
      <c r="B96" s="773" t="s">
        <v>51</v>
      </c>
      <c r="C96" s="774">
        <f t="shared" si="7"/>
        <v>-200562.51464868843</v>
      </c>
      <c r="D96" s="775">
        <v>-208447.62</v>
      </c>
      <c r="E96" s="775">
        <v>29.18</v>
      </c>
      <c r="F96" s="775">
        <v>347.8</v>
      </c>
      <c r="G96" s="775"/>
      <c r="H96" s="775">
        <v>198379.17</v>
      </c>
      <c r="I96" s="775">
        <f t="shared" si="10"/>
        <v>-1237.7901123829965</v>
      </c>
      <c r="J96" s="775">
        <f t="shared" si="8"/>
        <v>-211491.77476107143</v>
      </c>
      <c r="K96" s="776"/>
      <c r="L96" s="777">
        <f t="shared" si="9"/>
        <v>-205408.24964868842</v>
      </c>
      <c r="M96" s="781">
        <f t="shared" si="6"/>
        <v>-1237.7901123829965</v>
      </c>
    </row>
    <row r="97" spans="1:13" hidden="1">
      <c r="A97" s="782"/>
      <c r="B97" s="773" t="s">
        <v>52</v>
      </c>
      <c r="C97" s="774">
        <f t="shared" si="7"/>
        <v>-211491.77476107143</v>
      </c>
      <c r="D97" s="775">
        <v>-207227.98</v>
      </c>
      <c r="E97" s="775">
        <v>16.489999999999998</v>
      </c>
      <c r="F97" s="775">
        <v>208.68</v>
      </c>
      <c r="G97" s="775"/>
      <c r="H97" s="775">
        <v>209021.15</v>
      </c>
      <c r="I97" s="775">
        <f t="shared" si="10"/>
        <v>-1268.3681762902165</v>
      </c>
      <c r="J97" s="775">
        <f t="shared" si="8"/>
        <v>-210741.80293736164</v>
      </c>
      <c r="K97" s="776"/>
      <c r="L97" s="777">
        <f t="shared" si="9"/>
        <v>-210482.60476107144</v>
      </c>
      <c r="M97" s="781">
        <f t="shared" si="6"/>
        <v>-1268.3681762902165</v>
      </c>
    </row>
    <row r="98" spans="1:13" hidden="1">
      <c r="A98" s="782"/>
      <c r="B98" s="773" t="s">
        <v>53</v>
      </c>
      <c r="C98" s="774">
        <f t="shared" si="7"/>
        <v>-210741.80293736164</v>
      </c>
      <c r="D98" s="775">
        <v>-205710.46</v>
      </c>
      <c r="E98" s="775">
        <v>-91.64</v>
      </c>
      <c r="F98" s="775">
        <v>684.73</v>
      </c>
      <c r="G98" s="775"/>
      <c r="H98" s="775">
        <v>214306.16</v>
      </c>
      <c r="I98" s="775">
        <f t="shared" si="10"/>
        <v>-1242.2442802305411</v>
      </c>
      <c r="J98" s="775">
        <f t="shared" si="8"/>
        <v>-202795.25721759218</v>
      </c>
      <c r="K98" s="776"/>
      <c r="L98" s="777">
        <f t="shared" si="9"/>
        <v>-206147.40793736163</v>
      </c>
      <c r="M98" s="781">
        <f t="shared" si="6"/>
        <v>-1242.2442802305411</v>
      </c>
    </row>
    <row r="99" spans="1:13" hidden="1">
      <c r="A99" s="782"/>
      <c r="B99" s="773" t="s">
        <v>245</v>
      </c>
      <c r="C99" s="774">
        <f t="shared" si="7"/>
        <v>-202795.25721759218</v>
      </c>
      <c r="D99" s="775">
        <v>-208475.05</v>
      </c>
      <c r="E99" s="775">
        <v>28.2</v>
      </c>
      <c r="F99" s="775">
        <v>732.72</v>
      </c>
      <c r="G99" s="775"/>
      <c r="H99" s="775">
        <v>209603.02</v>
      </c>
      <c r="I99" s="775">
        <f t="shared" si="10"/>
        <v>-1216.3529944232105</v>
      </c>
      <c r="J99" s="775">
        <f t="shared" si="8"/>
        <v>-202122.72021201538</v>
      </c>
      <c r="K99" s="776"/>
      <c r="L99" s="777">
        <f t="shared" si="9"/>
        <v>-201850.81221759217</v>
      </c>
      <c r="M99" s="781">
        <f t="shared" si="6"/>
        <v>-1216.3529944232105</v>
      </c>
    </row>
    <row r="100" spans="1:13" hidden="1">
      <c r="A100" s="782"/>
      <c r="B100" s="773" t="s">
        <v>246</v>
      </c>
      <c r="C100" s="774">
        <f t="shared" si="7"/>
        <v>-202122.72021201538</v>
      </c>
      <c r="D100" s="775">
        <v>-209808.62</v>
      </c>
      <c r="E100" s="775">
        <v>14.59</v>
      </c>
      <c r="F100" s="775">
        <v>69.56</v>
      </c>
      <c r="G100" s="775"/>
      <c r="H100" s="775">
        <v>180897.71</v>
      </c>
      <c r="I100" s="775">
        <f t="shared" si="10"/>
        <v>-1304.8465398776048</v>
      </c>
      <c r="J100" s="775">
        <f t="shared" si="8"/>
        <v>-232254.32675189298</v>
      </c>
      <c r="K100" s="776"/>
      <c r="L100" s="777">
        <f t="shared" si="9"/>
        <v>-216536.10021201539</v>
      </c>
      <c r="M100" s="781">
        <f t="shared" si="6"/>
        <v>-1304.8465398776048</v>
      </c>
    </row>
    <row r="101" spans="1:13" hidden="1">
      <c r="A101" s="782"/>
      <c r="B101" s="773" t="s">
        <v>56</v>
      </c>
      <c r="C101" s="774">
        <f t="shared" si="7"/>
        <v>-232254.32675189298</v>
      </c>
      <c r="D101" s="775">
        <v>-209497.88</v>
      </c>
      <c r="E101" s="775">
        <v>-35.97</v>
      </c>
      <c r="F101" s="775">
        <v>69.56</v>
      </c>
      <c r="G101" s="775"/>
      <c r="H101" s="775">
        <v>177026</v>
      </c>
      <c r="I101" s="775">
        <f t="shared" si="10"/>
        <v>-1497.3011407769072</v>
      </c>
      <c r="J101" s="775">
        <f t="shared" si="8"/>
        <v>-266189.91789266985</v>
      </c>
      <c r="K101" s="776"/>
      <c r="L101" s="777">
        <f t="shared" si="9"/>
        <v>-248473.471751893</v>
      </c>
      <c r="M101" s="781">
        <f t="shared" si="6"/>
        <v>-1497.3011407769072</v>
      </c>
    </row>
    <row r="102" spans="1:13" hidden="1">
      <c r="A102" s="782"/>
      <c r="B102" s="773" t="s">
        <v>57</v>
      </c>
      <c r="C102" s="774">
        <f t="shared" si="7"/>
        <v>-266189.91789266985</v>
      </c>
      <c r="D102" s="775">
        <v>-209110.69</v>
      </c>
      <c r="E102" s="775">
        <v>18.75</v>
      </c>
      <c r="F102" s="775">
        <v>208.68</v>
      </c>
      <c r="G102" s="775">
        <v>19178.099999999999</v>
      </c>
      <c r="H102" s="775">
        <v>173895.75</v>
      </c>
      <c r="I102" s="775">
        <f t="shared" si="10"/>
        <v>-1651.6941975512286</v>
      </c>
      <c r="J102" s="775">
        <f t="shared" si="8"/>
        <v>-283651.02209022111</v>
      </c>
      <c r="K102" s="776"/>
      <c r="L102" s="777">
        <f t="shared" si="9"/>
        <v>-274094.62289266987</v>
      </c>
      <c r="M102" s="781">
        <f t="shared" si="6"/>
        <v>-1651.6941975512286</v>
      </c>
    </row>
    <row r="103" spans="1:13" hidden="1">
      <c r="A103" s="782"/>
      <c r="B103" s="773" t="s">
        <v>58</v>
      </c>
      <c r="C103" s="774">
        <f t="shared" si="7"/>
        <v>-283651.02209022111</v>
      </c>
      <c r="D103" s="775">
        <v>-210717.72</v>
      </c>
      <c r="E103" s="775">
        <v>25.28</v>
      </c>
      <c r="F103" s="775">
        <v>278.24</v>
      </c>
      <c r="G103" s="775"/>
      <c r="H103" s="775">
        <v>171159.36</v>
      </c>
      <c r="I103" s="775">
        <f t="shared" si="10"/>
        <v>-1827.5558920356723</v>
      </c>
      <c r="J103" s="775">
        <f t="shared" si="8"/>
        <v>-324733.4179822568</v>
      </c>
      <c r="K103" s="776"/>
      <c r="L103" s="777">
        <f t="shared" si="9"/>
        <v>-303278.4420902211</v>
      </c>
      <c r="M103" s="781">
        <f t="shared" si="6"/>
        <v>-1827.5558920356723</v>
      </c>
    </row>
    <row r="104" spans="1:13" hidden="1">
      <c r="A104" s="782"/>
      <c r="B104" s="773" t="s">
        <v>59</v>
      </c>
      <c r="C104" s="774">
        <f t="shared" si="7"/>
        <v>-324733.4179822568</v>
      </c>
      <c r="D104" s="775">
        <v>-207556.79</v>
      </c>
      <c r="E104" s="775">
        <v>37.51</v>
      </c>
      <c r="F104" s="775">
        <v>69.56</v>
      </c>
      <c r="G104" s="775"/>
      <c r="H104" s="775">
        <v>169585.2</v>
      </c>
      <c r="I104" s="775">
        <f t="shared" si="10"/>
        <v>-2070.9293755210797</v>
      </c>
      <c r="J104" s="775">
        <f t="shared" si="8"/>
        <v>-364668.86735777778</v>
      </c>
      <c r="K104" s="776"/>
      <c r="L104" s="777">
        <f t="shared" si="9"/>
        <v>-343665.67798225681</v>
      </c>
      <c r="M104" s="781">
        <f t="shared" si="6"/>
        <v>-2070.9293755210797</v>
      </c>
    </row>
    <row r="105" spans="1:13" hidden="1">
      <c r="A105" s="782"/>
      <c r="B105" s="773" t="s">
        <v>60</v>
      </c>
      <c r="C105" s="774">
        <f t="shared" si="7"/>
        <v>-364668.86735777778</v>
      </c>
      <c r="D105" s="775">
        <v>-207649.09</v>
      </c>
      <c r="E105" s="775">
        <v>5.66</v>
      </c>
      <c r="F105" s="775"/>
      <c r="G105" s="775"/>
      <c r="H105" s="775">
        <v>174584.43</v>
      </c>
      <c r="I105" s="775">
        <f t="shared" si="10"/>
        <v>-2297.101361697969</v>
      </c>
      <c r="J105" s="775">
        <f t="shared" si="8"/>
        <v>-400024.96871947567</v>
      </c>
      <c r="K105" s="776"/>
      <c r="L105" s="777">
        <f t="shared" si="9"/>
        <v>-381198.36735777778</v>
      </c>
      <c r="M105" s="781">
        <f t="shared" si="6"/>
        <v>-2297.101361697969</v>
      </c>
    </row>
    <row r="106" spans="1:13" hidden="1">
      <c r="A106" s="782">
        <v>2009</v>
      </c>
      <c r="B106" s="773" t="s">
        <v>49</v>
      </c>
      <c r="C106" s="774">
        <f t="shared" si="7"/>
        <v>-400024.96871947567</v>
      </c>
      <c r="D106" s="775">
        <v>-206031.38</v>
      </c>
      <c r="E106" s="775">
        <v>21.58</v>
      </c>
      <c r="F106" s="775"/>
      <c r="G106" s="775"/>
      <c r="H106" s="775">
        <v>184430.48</v>
      </c>
      <c r="I106" s="775">
        <f t="shared" si="10"/>
        <v>-2475.5689526635606</v>
      </c>
      <c r="J106" s="783">
        <f t="shared" si="8"/>
        <v>-424079.8576721393</v>
      </c>
      <c r="K106" s="776"/>
      <c r="L106" s="777">
        <f t="shared" si="9"/>
        <v>-410814.6287194757</v>
      </c>
      <c r="M106" s="781">
        <f t="shared" si="6"/>
        <v>-2475.5689526635606</v>
      </c>
    </row>
    <row r="107" spans="1:13" hidden="1">
      <c r="A107" s="782"/>
      <c r="B107" s="773" t="s">
        <v>50</v>
      </c>
      <c r="C107" s="774">
        <f t="shared" si="7"/>
        <v>-424079.8576721393</v>
      </c>
      <c r="D107" s="775">
        <v>-205742.29</v>
      </c>
      <c r="E107" s="775">
        <v>33.71</v>
      </c>
      <c r="F107" s="775"/>
      <c r="G107" s="775"/>
      <c r="H107" s="775">
        <v>205507.28</v>
      </c>
      <c r="I107" s="775">
        <f t="shared" si="10"/>
        <v>-2556.1117392323117</v>
      </c>
      <c r="J107" s="783">
        <f t="shared" si="8"/>
        <v>-426837.26941137167</v>
      </c>
      <c r="K107" s="776"/>
      <c r="L107" s="777">
        <f t="shared" si="9"/>
        <v>-424180.50767213933</v>
      </c>
      <c r="M107" s="781">
        <f t="shared" si="6"/>
        <v>-2556.1117392323117</v>
      </c>
    </row>
    <row r="108" spans="1:13" hidden="1">
      <c r="A108" s="782"/>
      <c r="B108" s="773" t="s">
        <v>51</v>
      </c>
      <c r="C108" s="774">
        <f t="shared" si="7"/>
        <v>-426837.26941137167</v>
      </c>
      <c r="D108" s="775">
        <v>-206650.57</v>
      </c>
      <c r="E108" s="775">
        <v>20.63</v>
      </c>
      <c r="F108" s="775"/>
      <c r="G108" s="775"/>
      <c r="H108" s="775">
        <v>220698.81</v>
      </c>
      <c r="I108" s="775">
        <f t="shared" si="10"/>
        <v>-2529.7318801629258</v>
      </c>
      <c r="J108" s="783">
        <f t="shared" si="8"/>
        <v>-415298.13129153452</v>
      </c>
      <c r="K108" s="776"/>
      <c r="L108" s="777">
        <f t="shared" si="9"/>
        <v>-419802.83441137167</v>
      </c>
      <c r="M108" s="781">
        <f t="shared" si="6"/>
        <v>-2529.7318801629258</v>
      </c>
    </row>
    <row r="109" spans="1:13" hidden="1">
      <c r="A109" s="782"/>
      <c r="B109" s="773" t="s">
        <v>52</v>
      </c>
      <c r="C109" s="774">
        <f t="shared" si="7"/>
        <v>-415298.13129153452</v>
      </c>
      <c r="D109" s="775">
        <v>-206906.03</v>
      </c>
      <c r="E109" s="780">
        <v>14.46</v>
      </c>
      <c r="F109" s="775">
        <v>981.92</v>
      </c>
      <c r="G109" s="775"/>
      <c r="H109" s="775">
        <v>233031.34</v>
      </c>
      <c r="I109" s="775">
        <f t="shared" si="10"/>
        <v>-2420.868887192787</v>
      </c>
      <c r="J109" s="783">
        <f t="shared" si="8"/>
        <v>-390597.31017872738</v>
      </c>
      <c r="K109" s="776"/>
      <c r="L109" s="777">
        <f t="shared" si="9"/>
        <v>-401737.28629153455</v>
      </c>
      <c r="M109" s="781">
        <f t="shared" si="6"/>
        <v>-2420.868887192787</v>
      </c>
    </row>
    <row r="110" spans="1:13" hidden="1">
      <c r="A110" s="782"/>
      <c r="B110" s="773" t="s">
        <v>53</v>
      </c>
      <c r="C110" s="774">
        <f t="shared" si="7"/>
        <v>-390597.31017872738</v>
      </c>
      <c r="D110" s="775">
        <v>-207590.64</v>
      </c>
      <c r="E110" s="780">
        <v>27.81</v>
      </c>
      <c r="F110" s="775">
        <v>68.37</v>
      </c>
      <c r="G110" s="775"/>
      <c r="H110" s="775">
        <v>241060.83</v>
      </c>
      <c r="I110" s="775">
        <f t="shared" si="10"/>
        <v>-2252.6039183270113</v>
      </c>
      <c r="J110" s="783">
        <f t="shared" si="8"/>
        <v>-359283.5440970544</v>
      </c>
      <c r="K110" s="776"/>
      <c r="L110" s="777">
        <f t="shared" si="9"/>
        <v>-373814.12517872738</v>
      </c>
      <c r="M110" s="781">
        <f t="shared" si="6"/>
        <v>-2252.6039183270113</v>
      </c>
    </row>
    <row r="111" spans="1:13" hidden="1">
      <c r="A111" s="782"/>
      <c r="B111" s="773" t="s">
        <v>245</v>
      </c>
      <c r="C111" s="774">
        <f t="shared" si="7"/>
        <v>-359283.5440970544</v>
      </c>
      <c r="D111" s="775">
        <v>-206922</v>
      </c>
      <c r="E111" s="780">
        <v>7.1</v>
      </c>
      <c r="F111" s="775">
        <v>68.37</v>
      </c>
      <c r="G111" s="775"/>
      <c r="H111" s="775">
        <v>239979.39</v>
      </c>
      <c r="I111" s="775">
        <f t="shared" si="10"/>
        <v>-2065.2133295488497</v>
      </c>
      <c r="J111" s="783">
        <f>SUM(C111:I111)+0.01</f>
        <v>-328215.88742660324</v>
      </c>
      <c r="K111" s="776"/>
      <c r="L111" s="777">
        <f t="shared" si="9"/>
        <v>-342717.11409705441</v>
      </c>
      <c r="M111" s="781">
        <f t="shared" si="6"/>
        <v>-2065.2133295488497</v>
      </c>
    </row>
    <row r="112" spans="1:13" hidden="1">
      <c r="A112" s="782"/>
      <c r="B112" s="773" t="s">
        <v>246</v>
      </c>
      <c r="C112" s="774">
        <f t="shared" si="7"/>
        <v>-328215.88742660324</v>
      </c>
      <c r="D112" s="775">
        <v>-210241.91</v>
      </c>
      <c r="E112" s="780">
        <v>27.55</v>
      </c>
      <c r="F112" s="775">
        <v>1570.86</v>
      </c>
      <c r="G112" s="775"/>
      <c r="H112" s="775">
        <v>226134.94</v>
      </c>
      <c r="I112" s="775">
        <f t="shared" si="10"/>
        <v>-1925.1272289127114</v>
      </c>
      <c r="J112" s="783">
        <f>SUM(C112:I112)-0.01</f>
        <v>-312649.58465551597</v>
      </c>
      <c r="K112" s="776"/>
      <c r="L112" s="777">
        <f t="shared" si="9"/>
        <v>-319470.16742660326</v>
      </c>
      <c r="M112" s="781">
        <f t="shared" si="6"/>
        <v>-1925.1272289127114</v>
      </c>
    </row>
    <row r="113" spans="1:13" hidden="1">
      <c r="A113" s="782"/>
      <c r="B113" s="773" t="s">
        <v>56</v>
      </c>
      <c r="C113" s="774">
        <f t="shared" si="7"/>
        <v>-312649.58465551597</v>
      </c>
      <c r="D113" s="775">
        <v>-207234.42</v>
      </c>
      <c r="E113" s="780">
        <v>15.61</v>
      </c>
      <c r="F113" s="775">
        <v>410.22</v>
      </c>
      <c r="G113" s="775">
        <v>15858.8</v>
      </c>
      <c r="H113" s="775">
        <v>203282.36</v>
      </c>
      <c r="I113" s="775">
        <f t="shared" si="10"/>
        <v>-1846.8683637241395</v>
      </c>
      <c r="J113" s="783">
        <f t="shared" ref="J113:J118" si="11">SUM(C113:I113)</f>
        <v>-302163.88301924022</v>
      </c>
      <c r="K113" s="776"/>
      <c r="L113" s="777">
        <f t="shared" si="9"/>
        <v>-306483.29965551599</v>
      </c>
      <c r="M113" s="781">
        <f t="shared" si="6"/>
        <v>-1846.8683637241395</v>
      </c>
    </row>
    <row r="114" spans="1:13" hidden="1">
      <c r="A114" s="782"/>
      <c r="B114" s="773" t="s">
        <v>707</v>
      </c>
      <c r="C114" s="774">
        <f t="shared" si="7"/>
        <v>-302163.88301924022</v>
      </c>
      <c r="D114" s="775">
        <v>-209314.55</v>
      </c>
      <c r="E114" s="780">
        <v>20.74</v>
      </c>
      <c r="F114" s="775">
        <v>341.85</v>
      </c>
      <c r="G114" s="775"/>
      <c r="H114" s="775">
        <v>198526.4</v>
      </c>
      <c r="I114" s="775">
        <f t="shared" si="10"/>
        <v>-1852.2517713539419</v>
      </c>
      <c r="J114" s="783">
        <f t="shared" si="11"/>
        <v>-314441.69479059422</v>
      </c>
      <c r="K114" s="776"/>
      <c r="L114" s="777">
        <f t="shared" si="9"/>
        <v>-307376.66301924025</v>
      </c>
      <c r="M114" s="781">
        <f t="shared" si="6"/>
        <v>-1852.2517713539419</v>
      </c>
    </row>
    <row r="115" spans="1:13" hidden="1">
      <c r="A115" s="782"/>
      <c r="B115" s="784" t="s">
        <v>58</v>
      </c>
      <c r="C115" s="774">
        <f t="shared" si="7"/>
        <v>-314441.69479059422</v>
      </c>
      <c r="D115" s="775">
        <v>-207370.78</v>
      </c>
      <c r="E115" s="780">
        <v>-39.020000000000003</v>
      </c>
      <c r="F115" s="775">
        <v>136.74</v>
      </c>
      <c r="G115" s="775"/>
      <c r="H115" s="775">
        <v>196045.02</v>
      </c>
      <c r="I115" s="775">
        <f t="shared" si="10"/>
        <v>-1928.6557373281209</v>
      </c>
      <c r="J115" s="783">
        <f t="shared" si="11"/>
        <v>-327598.39052792231</v>
      </c>
      <c r="K115" s="776"/>
      <c r="L115" s="777">
        <f t="shared" si="9"/>
        <v>-320055.71479059424</v>
      </c>
      <c r="M115" s="781">
        <f t="shared" si="6"/>
        <v>-1928.6557373281209</v>
      </c>
    </row>
    <row r="116" spans="1:13" hidden="1">
      <c r="A116" s="782"/>
      <c r="B116" s="784" t="s">
        <v>59</v>
      </c>
      <c r="C116" s="774">
        <f t="shared" si="7"/>
        <v>-327598.39052792231</v>
      </c>
      <c r="D116" s="775">
        <v>-253638.78</v>
      </c>
      <c r="E116" s="780">
        <v>16.059999999999999</v>
      </c>
      <c r="F116" s="775">
        <v>205.11</v>
      </c>
      <c r="G116" s="775"/>
      <c r="H116" s="775">
        <v>222198.85</v>
      </c>
      <c r="I116" s="775">
        <f t="shared" si="10"/>
        <v>-2068.1700252012597</v>
      </c>
      <c r="J116" s="783">
        <f t="shared" si="11"/>
        <v>-360885.3205531236</v>
      </c>
      <c r="K116" s="776"/>
      <c r="L116" s="777">
        <f t="shared" si="9"/>
        <v>-343207.77052792232</v>
      </c>
      <c r="M116" s="781">
        <f t="shared" si="6"/>
        <v>-2068.1700252012597</v>
      </c>
    </row>
    <row r="117" spans="1:13" hidden="1">
      <c r="A117" s="782"/>
      <c r="B117" s="784" t="s">
        <v>60</v>
      </c>
      <c r="C117" s="774">
        <f t="shared" si="7"/>
        <v>-360885.3205531236</v>
      </c>
      <c r="D117" s="775">
        <v>-325873.21000000002</v>
      </c>
      <c r="E117" s="780">
        <v>11.17</v>
      </c>
      <c r="F117" s="775">
        <v>205.11</v>
      </c>
      <c r="G117" s="775"/>
      <c r="H117" s="775">
        <v>275014.53000000003</v>
      </c>
      <c r="I117" s="775">
        <f t="shared" si="10"/>
        <v>-2327.2804928531227</v>
      </c>
      <c r="J117" s="783">
        <f t="shared" si="11"/>
        <v>-413855.00104597677</v>
      </c>
      <c r="K117" s="776"/>
      <c r="L117" s="777">
        <f t="shared" si="9"/>
        <v>-386206.52055312361</v>
      </c>
      <c r="M117" s="781">
        <f t="shared" si="6"/>
        <v>-2327.2804928531227</v>
      </c>
    </row>
    <row r="118" spans="1:13" hidden="1">
      <c r="A118" s="782">
        <v>2010</v>
      </c>
      <c r="B118" s="784" t="s">
        <v>49</v>
      </c>
      <c r="C118" s="774">
        <f t="shared" si="7"/>
        <v>-413855.00104597677</v>
      </c>
      <c r="D118" s="775">
        <v>-327195.88</v>
      </c>
      <c r="E118" s="780">
        <v>16.7</v>
      </c>
      <c r="F118" s="775"/>
      <c r="G118" s="775"/>
      <c r="H118" s="775">
        <v>288919.01</v>
      </c>
      <c r="I118" s="775">
        <f t="shared" si="10"/>
        <v>-2609.1681285130558</v>
      </c>
      <c r="J118" s="783">
        <f t="shared" si="11"/>
        <v>-454724.33917448984</v>
      </c>
      <c r="K118" s="776"/>
      <c r="L118" s="777">
        <f t="shared" si="9"/>
        <v>-432985.08604597673</v>
      </c>
      <c r="M118" s="781">
        <f t="shared" si="6"/>
        <v>-2609.1681285130558</v>
      </c>
    </row>
    <row r="119" spans="1:13" hidden="1">
      <c r="A119" s="782"/>
      <c r="B119" s="784" t="s">
        <v>50</v>
      </c>
      <c r="C119" s="774">
        <f t="shared" si="7"/>
        <v>-454724.33917448984</v>
      </c>
      <c r="D119" s="775">
        <v>-324679.90000000002</v>
      </c>
      <c r="E119" s="780">
        <v>10</v>
      </c>
      <c r="F119" s="775">
        <v>71.400000000000006</v>
      </c>
      <c r="G119" s="775"/>
      <c r="H119" s="775">
        <v>309991.2</v>
      </c>
      <c r="I119" s="775">
        <f t="shared" si="10"/>
        <v>-2784.180662765476</v>
      </c>
      <c r="J119" s="783">
        <f>SUM(C119:I119)</f>
        <v>-472115.81983725529</v>
      </c>
      <c r="K119" s="776"/>
      <c r="L119" s="777">
        <f t="shared" si="9"/>
        <v>-462027.98917448986</v>
      </c>
      <c r="M119" s="781">
        <f t="shared" si="6"/>
        <v>-2784.180662765476</v>
      </c>
    </row>
    <row r="120" spans="1:13" hidden="1">
      <c r="A120" s="782"/>
      <c r="B120" s="784" t="s">
        <v>51</v>
      </c>
      <c r="C120" s="774">
        <f t="shared" si="7"/>
        <v>-472115.81983725529</v>
      </c>
      <c r="D120" s="775">
        <v>-326704.7</v>
      </c>
      <c r="E120" s="780">
        <v>8.57</v>
      </c>
      <c r="F120" s="775">
        <v>71.400000000000006</v>
      </c>
      <c r="G120" s="775"/>
      <c r="H120" s="775">
        <v>335732.04</v>
      </c>
      <c r="I120" s="775">
        <f t="shared" si="10"/>
        <v>-2817.5296053093002</v>
      </c>
      <c r="J120" s="783">
        <f>SUM(C120:I120)</f>
        <v>-465826.03944256471</v>
      </c>
      <c r="K120" s="776"/>
      <c r="L120" s="777">
        <f t="shared" si="9"/>
        <v>-467562.16483725526</v>
      </c>
      <c r="M120" s="781">
        <f t="shared" si="6"/>
        <v>-2817.5296053093002</v>
      </c>
    </row>
    <row r="121" spans="1:13" hidden="1">
      <c r="A121" s="782"/>
      <c r="B121" s="784" t="s">
        <v>52</v>
      </c>
      <c r="C121" s="774">
        <f t="shared" si="7"/>
        <v>-465826.03944256471</v>
      </c>
      <c r="D121" s="775">
        <v>-323708.73</v>
      </c>
      <c r="E121" s="780">
        <v>0.55000000000000004</v>
      </c>
      <c r="F121" s="775">
        <v>505.12</v>
      </c>
      <c r="G121" s="775"/>
      <c r="H121" s="775">
        <v>362317.63</v>
      </c>
      <c r="I121" s="775">
        <f t="shared" si="10"/>
        <v>-2689.2155142708948</v>
      </c>
      <c r="J121" s="783">
        <f>SUM(C121:I121)</f>
        <v>-429400.68495683552</v>
      </c>
      <c r="K121" s="776"/>
      <c r="L121" s="777">
        <f t="shared" si="9"/>
        <v>-446268.75444256468</v>
      </c>
      <c r="M121" s="781">
        <f t="shared" si="6"/>
        <v>-2689.2155142708948</v>
      </c>
    </row>
    <row r="122" spans="1:13" hidden="1">
      <c r="A122" s="782"/>
      <c r="B122" s="784" t="s">
        <v>53</v>
      </c>
      <c r="C122" s="774">
        <f t="shared" si="7"/>
        <v>-429400.68495683552</v>
      </c>
      <c r="D122" s="775">
        <v>-326937.18</v>
      </c>
      <c r="E122" s="780">
        <v>8.3699999999999992</v>
      </c>
      <c r="F122" s="775">
        <v>349.16</v>
      </c>
      <c r="G122" s="775"/>
      <c r="H122" s="775">
        <v>382497.02</v>
      </c>
      <c r="I122" s="775">
        <f t="shared" si="10"/>
        <v>-2419.0894917398909</v>
      </c>
      <c r="J122" s="783">
        <f>SUM(C122:I122)</f>
        <v>-375902.40444857534</v>
      </c>
      <c r="K122" s="776"/>
      <c r="L122" s="777">
        <f t="shared" si="9"/>
        <v>-401441.99995683553</v>
      </c>
      <c r="M122" s="781">
        <f t="shared" si="6"/>
        <v>-2419.0894917398909</v>
      </c>
    </row>
    <row r="123" spans="1:13" hidden="1">
      <c r="A123" s="782"/>
      <c r="B123" s="784" t="s">
        <v>245</v>
      </c>
      <c r="C123" s="774">
        <f t="shared" si="7"/>
        <v>-375902.40444857534</v>
      </c>
      <c r="D123" s="775">
        <v>-325764.82</v>
      </c>
      <c r="E123" s="780">
        <v>7.88</v>
      </c>
      <c r="F123" s="775">
        <v>1376.16</v>
      </c>
      <c r="G123" s="775"/>
      <c r="H123" s="775">
        <v>391979.74</v>
      </c>
      <c r="I123" s="775">
        <f t="shared" si="10"/>
        <v>-2061.5122227271149</v>
      </c>
      <c r="J123" s="783">
        <f>SUM(C123:I123)+0.01</f>
        <v>-310364.94667130249</v>
      </c>
      <c r="K123" s="776"/>
      <c r="L123" s="777">
        <f t="shared" si="9"/>
        <v>-342102.92444857536</v>
      </c>
      <c r="M123" s="781">
        <f t="shared" si="6"/>
        <v>-2061.5122227271149</v>
      </c>
    </row>
    <row r="124" spans="1:13" hidden="1">
      <c r="A124" s="782"/>
      <c r="B124" s="784" t="s">
        <v>246</v>
      </c>
      <c r="C124" s="774">
        <f t="shared" si="7"/>
        <v>-310364.94667130249</v>
      </c>
      <c r="D124" s="775">
        <v>-328174.11</v>
      </c>
      <c r="E124" s="780">
        <v>1.62</v>
      </c>
      <c r="F124" s="775">
        <v>72.16</v>
      </c>
      <c r="G124" s="775"/>
      <c r="H124" s="775">
        <v>387138.28</v>
      </c>
      <c r="I124" s="775">
        <f t="shared" si="10"/>
        <v>-1692.3778252912687</v>
      </c>
      <c r="J124" s="783">
        <f>SUM(C124:I124)-0.01</f>
        <v>-253019.38449659376</v>
      </c>
      <c r="K124" s="776"/>
      <c r="L124" s="777">
        <f t="shared" si="9"/>
        <v>-280845.97167130245</v>
      </c>
      <c r="M124" s="781">
        <f t="shared" si="6"/>
        <v>-1692.3778252912687</v>
      </c>
    </row>
    <row r="125" spans="1:13" hidden="1">
      <c r="A125" s="782"/>
      <c r="B125" s="784" t="s">
        <v>56</v>
      </c>
      <c r="C125" s="774">
        <f t="shared" si="7"/>
        <v>-253019.38449659376</v>
      </c>
      <c r="D125" s="775">
        <v>-329796.43</v>
      </c>
      <c r="E125" s="780">
        <v>-0.83</v>
      </c>
      <c r="F125" s="775">
        <v>72.16</v>
      </c>
      <c r="G125" s="775">
        <v>20110.099999999999</v>
      </c>
      <c r="H125" s="775">
        <v>369664.42</v>
      </c>
      <c r="I125" s="775">
        <f t="shared" si="10"/>
        <v>-1343.7659085164742</v>
      </c>
      <c r="J125" s="783">
        <f t="shared" ref="J125:J130" si="12">SUM(C125:I125)</f>
        <v>-194313.73040511023</v>
      </c>
      <c r="K125" s="776"/>
      <c r="L125" s="777">
        <f t="shared" si="9"/>
        <v>-222994.6744965938</v>
      </c>
      <c r="M125" s="781">
        <f t="shared" si="6"/>
        <v>-1343.7659085164742</v>
      </c>
    </row>
    <row r="126" spans="1:13" hidden="1">
      <c r="A126" s="782"/>
      <c r="B126" s="784" t="s">
        <v>707</v>
      </c>
      <c r="C126" s="774">
        <f t="shared" si="7"/>
        <v>-194313.73040511023</v>
      </c>
      <c r="D126" s="775">
        <v>-330065.36</v>
      </c>
      <c r="E126" s="780">
        <v>6.59</v>
      </c>
      <c r="F126" s="775">
        <v>72.16</v>
      </c>
      <c r="G126" s="775"/>
      <c r="H126" s="775">
        <v>336247.33</v>
      </c>
      <c r="I126" s="775">
        <f t="shared" ref="I126:I157" si="13">M126</f>
        <v>-1152.0709900611942</v>
      </c>
      <c r="J126" s="783">
        <f t="shared" si="12"/>
        <v>-189205.08139517144</v>
      </c>
      <c r="K126" s="776"/>
      <c r="L126" s="777">
        <f t="shared" si="9"/>
        <v>-191183.37040511021</v>
      </c>
      <c r="M126" s="781">
        <f t="shared" si="6"/>
        <v>-1152.0709900611942</v>
      </c>
    </row>
    <row r="127" spans="1:13" hidden="1">
      <c r="A127" s="782"/>
      <c r="B127" s="784" t="s">
        <v>58</v>
      </c>
      <c r="C127" s="774">
        <f t="shared" si="7"/>
        <v>-189205.08139517144</v>
      </c>
      <c r="D127" s="775">
        <v>-331864.28999999998</v>
      </c>
      <c r="E127" s="780">
        <v>2.5299999999999998</v>
      </c>
      <c r="F127" s="775"/>
      <c r="G127" s="775"/>
      <c r="H127" s="775">
        <v>333378.93</v>
      </c>
      <c r="I127" s="775">
        <f t="shared" si="13"/>
        <v>-1135.5785872773031</v>
      </c>
      <c r="J127" s="783">
        <f t="shared" si="12"/>
        <v>-188823.48998244866</v>
      </c>
      <c r="K127" s="776"/>
      <c r="L127" s="777">
        <f t="shared" si="9"/>
        <v>-188446.49639517142</v>
      </c>
      <c r="M127" s="781">
        <f t="shared" si="6"/>
        <v>-1135.5785872773031</v>
      </c>
    </row>
    <row r="128" spans="1:13" hidden="1">
      <c r="A128" s="782"/>
      <c r="B128" s="784" t="s">
        <v>59</v>
      </c>
      <c r="C128" s="774">
        <f t="shared" si="7"/>
        <v>-188823.48998244866</v>
      </c>
      <c r="D128" s="775">
        <v>-329629.07</v>
      </c>
      <c r="E128" s="780">
        <v>2.57</v>
      </c>
      <c r="F128" s="775">
        <v>72.16</v>
      </c>
      <c r="G128" s="775"/>
      <c r="H128" s="775">
        <v>326538.14</v>
      </c>
      <c r="I128" s="775">
        <f t="shared" si="13"/>
        <v>-1146.9381612342356</v>
      </c>
      <c r="J128" s="783">
        <f t="shared" si="12"/>
        <v>-192986.62814368293</v>
      </c>
      <c r="K128" s="776"/>
      <c r="L128" s="777">
        <f t="shared" si="9"/>
        <v>-190331.58998244867</v>
      </c>
      <c r="M128" s="781">
        <f t="shared" si="6"/>
        <v>-1146.9381612342356</v>
      </c>
    </row>
    <row r="129" spans="1:14" hidden="1">
      <c r="A129" s="782"/>
      <c r="B129" s="784" t="s">
        <v>60</v>
      </c>
      <c r="C129" s="774">
        <f t="shared" si="7"/>
        <v>-192986.62814368293</v>
      </c>
      <c r="D129" s="775">
        <v>-327004.63</v>
      </c>
      <c r="E129" s="780">
        <v>4.8</v>
      </c>
      <c r="F129" s="775">
        <v>72.16</v>
      </c>
      <c r="G129" s="775"/>
      <c r="H129" s="775">
        <v>317742.88</v>
      </c>
      <c r="I129" s="775">
        <f t="shared" si="13"/>
        <v>-1190.6111934638334</v>
      </c>
      <c r="J129" s="783">
        <f t="shared" si="12"/>
        <v>-203362.02933714684</v>
      </c>
      <c r="K129" s="776"/>
      <c r="L129" s="777">
        <f t="shared" si="9"/>
        <v>-197579.02314368295</v>
      </c>
      <c r="M129" s="781">
        <f t="shared" si="6"/>
        <v>-1190.6111934638334</v>
      </c>
    </row>
    <row r="130" spans="1:14" hidden="1">
      <c r="A130" s="782">
        <v>2011</v>
      </c>
      <c r="B130" s="784" t="s">
        <v>49</v>
      </c>
      <c r="C130" s="774">
        <f t="shared" si="7"/>
        <v>-203362.02933714684</v>
      </c>
      <c r="D130" s="775">
        <v>-329201.68</v>
      </c>
      <c r="E130" s="780">
        <v>-4.58</v>
      </c>
      <c r="F130" s="775"/>
      <c r="G130" s="775"/>
      <c r="H130" s="775">
        <v>312804.27</v>
      </c>
      <c r="I130" s="775">
        <f t="shared" si="13"/>
        <v>-1274.8787846556468</v>
      </c>
      <c r="J130" s="783">
        <f t="shared" si="12"/>
        <v>-221038.89812180243</v>
      </c>
      <c r="K130" s="776"/>
      <c r="L130" s="777">
        <f t="shared" si="9"/>
        <v>-211563.02433714684</v>
      </c>
      <c r="M130" s="781">
        <f t="shared" si="6"/>
        <v>-1274.8787846556468</v>
      </c>
    </row>
    <row r="131" spans="1:14" hidden="1">
      <c r="A131" s="782"/>
      <c r="B131" s="784" t="s">
        <v>50</v>
      </c>
      <c r="C131" s="774">
        <f t="shared" si="7"/>
        <v>-221038.89812180243</v>
      </c>
      <c r="D131" s="775">
        <v>-328921.36</v>
      </c>
      <c r="E131" s="780">
        <v>-2.36</v>
      </c>
      <c r="F131" s="775">
        <v>565.04</v>
      </c>
      <c r="G131" s="775"/>
      <c r="H131" s="775">
        <v>307682.03999999998</v>
      </c>
      <c r="I131" s="775">
        <f t="shared" si="13"/>
        <v>-1394.2791164019816</v>
      </c>
      <c r="J131" s="783">
        <f>SUM(C131:I131)</f>
        <v>-243109.81723820441</v>
      </c>
      <c r="K131" s="776"/>
      <c r="L131" s="777">
        <f t="shared" si="9"/>
        <v>-231377.21812180243</v>
      </c>
      <c r="M131" s="781">
        <f t="shared" ref="M131:M150" si="14">(+L131*0.006026)</f>
        <v>-1394.2791164019816</v>
      </c>
    </row>
    <row r="132" spans="1:14" hidden="1">
      <c r="A132" s="782"/>
      <c r="B132" s="784" t="s">
        <v>51</v>
      </c>
      <c r="C132" s="774">
        <f t="shared" si="7"/>
        <v>-243109.81723820441</v>
      </c>
      <c r="D132" s="775">
        <v>-327970.58</v>
      </c>
      <c r="E132" s="780">
        <v>7.01</v>
      </c>
      <c r="F132" s="775">
        <v>475.16</v>
      </c>
      <c r="G132" s="775"/>
      <c r="H132" s="775">
        <v>306473.95</v>
      </c>
      <c r="I132" s="775">
        <f t="shared" si="13"/>
        <v>-1528.29632665742</v>
      </c>
      <c r="J132" s="783">
        <f>SUM(C132:I132)-0.01</f>
        <v>-265652.58356486185</v>
      </c>
      <c r="K132" s="776"/>
      <c r="L132" s="777">
        <f t="shared" si="9"/>
        <v>-253617.04723820442</v>
      </c>
      <c r="M132" s="781">
        <f t="shared" si="14"/>
        <v>-1528.29632665742</v>
      </c>
    </row>
    <row r="133" spans="1:14" hidden="1">
      <c r="A133" s="782"/>
      <c r="B133" s="784" t="s">
        <v>52</v>
      </c>
      <c r="C133" s="774">
        <f t="shared" si="7"/>
        <v>-265652.58356486185</v>
      </c>
      <c r="D133" s="775">
        <v>-325293.75</v>
      </c>
      <c r="E133" s="780">
        <v>0.26</v>
      </c>
      <c r="F133" s="775">
        <v>950.25</v>
      </c>
      <c r="G133" s="775"/>
      <c r="H133" s="775">
        <v>390496.97</v>
      </c>
      <c r="I133" s="775">
        <f t="shared" si="13"/>
        <v>-1401.5012800718575</v>
      </c>
      <c r="J133" s="783">
        <f t="shared" ref="J133:J138" si="15">SUM(C133:I133)</f>
        <v>-200900.35484493378</v>
      </c>
      <c r="K133" s="776"/>
      <c r="L133" s="777">
        <f t="shared" si="9"/>
        <v>-232575.71856486186</v>
      </c>
      <c r="M133" s="781">
        <f t="shared" si="14"/>
        <v>-1401.5012800718575</v>
      </c>
    </row>
    <row r="134" spans="1:14" hidden="1">
      <c r="A134" s="782"/>
      <c r="B134" s="784" t="s">
        <v>53</v>
      </c>
      <c r="C134" s="774">
        <f t="shared" si="7"/>
        <v>-200900.35484493378</v>
      </c>
      <c r="D134" s="775">
        <v>-326157.73</v>
      </c>
      <c r="E134" s="780">
        <v>3.09</v>
      </c>
      <c r="F134" s="775">
        <v>330.72</v>
      </c>
      <c r="G134" s="775"/>
      <c r="H134" s="775">
        <v>427668.8</v>
      </c>
      <c r="I134" s="775">
        <f t="shared" si="13"/>
        <v>-903.76691485557103</v>
      </c>
      <c r="J134" s="783">
        <f t="shared" si="15"/>
        <v>-99959.241759789467</v>
      </c>
      <c r="K134" s="776"/>
      <c r="L134" s="777">
        <f t="shared" si="9"/>
        <v>-149977.91484493378</v>
      </c>
      <c r="M134" s="781">
        <f t="shared" si="14"/>
        <v>-903.76691485557103</v>
      </c>
    </row>
    <row r="135" spans="1:14" hidden="1">
      <c r="A135" s="782"/>
      <c r="B135" s="784" t="s">
        <v>245</v>
      </c>
      <c r="C135" s="774">
        <f t="shared" ref="C135:C170" si="16">J134</f>
        <v>-99959.241759789467</v>
      </c>
      <c r="D135" s="775">
        <v>-329344.94</v>
      </c>
      <c r="E135" s="780">
        <v>3.8</v>
      </c>
      <c r="F135" s="775">
        <v>484.32</v>
      </c>
      <c r="G135" s="775"/>
      <c r="H135" s="775">
        <v>421819.35</v>
      </c>
      <c r="I135" s="775">
        <f t="shared" si="13"/>
        <v>-322.25828795449144</v>
      </c>
      <c r="J135" s="783">
        <f t="shared" si="15"/>
        <v>-7318.9700477439892</v>
      </c>
      <c r="K135" s="776"/>
      <c r="L135" s="777">
        <f t="shared" ref="L135:L170" si="17">J134+(SUM(D135:H135)/2)</f>
        <v>-53477.976759789482</v>
      </c>
      <c r="M135" s="781">
        <f t="shared" si="14"/>
        <v>-322.25828795449144</v>
      </c>
    </row>
    <row r="136" spans="1:14" hidden="1">
      <c r="A136" s="782"/>
      <c r="B136" s="784" t="s">
        <v>246</v>
      </c>
      <c r="C136" s="774">
        <f t="shared" si="16"/>
        <v>-7318.9700477439892</v>
      </c>
      <c r="D136" s="775">
        <v>-329520.02</v>
      </c>
      <c r="E136" s="780">
        <v>4.29</v>
      </c>
      <c r="F136" s="775">
        <v>161.44</v>
      </c>
      <c r="G136" s="775"/>
      <c r="H136" s="775">
        <v>370949.45</v>
      </c>
      <c r="I136" s="775">
        <f t="shared" si="13"/>
        <v>81.222103572294643</v>
      </c>
      <c r="J136" s="783">
        <f t="shared" si="15"/>
        <v>34357.412055828281</v>
      </c>
      <c r="K136" s="776"/>
      <c r="L136" s="777">
        <f t="shared" si="17"/>
        <v>13478.609952255998</v>
      </c>
      <c r="M136" s="781">
        <f t="shared" si="14"/>
        <v>81.222103572294643</v>
      </c>
    </row>
    <row r="137" spans="1:14" hidden="1">
      <c r="B137" s="784" t="s">
        <v>56</v>
      </c>
      <c r="C137" s="774">
        <f t="shared" si="16"/>
        <v>34357.412055828281</v>
      </c>
      <c r="D137" s="775">
        <v>-331104.5</v>
      </c>
      <c r="E137" s="780">
        <v>11.9</v>
      </c>
      <c r="F137" s="775">
        <v>565.04</v>
      </c>
      <c r="G137" s="775">
        <v>29451.87</v>
      </c>
      <c r="H137" s="775">
        <v>330605.3</v>
      </c>
      <c r="I137" s="775">
        <f t="shared" si="13"/>
        <v>296.01047997842119</v>
      </c>
      <c r="J137" s="783">
        <f t="shared" si="15"/>
        <v>64183.032535806669</v>
      </c>
      <c r="K137" s="776"/>
      <c r="L137" s="777">
        <f t="shared" si="17"/>
        <v>49122.217055828274</v>
      </c>
      <c r="M137" s="781">
        <f t="shared" si="14"/>
        <v>296.01047997842119</v>
      </c>
    </row>
    <row r="138" spans="1:14" hidden="1">
      <c r="B138" s="784" t="s">
        <v>707</v>
      </c>
      <c r="C138" s="774">
        <f t="shared" si="16"/>
        <v>64183.032535806669</v>
      </c>
      <c r="D138" s="775">
        <v>-334649.63</v>
      </c>
      <c r="E138" s="780">
        <v>6.1</v>
      </c>
      <c r="F138" s="775">
        <v>322.88</v>
      </c>
      <c r="G138" s="775"/>
      <c r="H138" s="775">
        <v>327383.75</v>
      </c>
      <c r="I138" s="775">
        <f t="shared" si="13"/>
        <v>365.86607436077094</v>
      </c>
      <c r="J138" s="783">
        <f t="shared" si="15"/>
        <v>57611.998610167393</v>
      </c>
      <c r="K138" s="776"/>
      <c r="L138" s="777">
        <f t="shared" si="17"/>
        <v>60714.582535806658</v>
      </c>
      <c r="M138" s="781">
        <f t="shared" si="14"/>
        <v>365.86607436077094</v>
      </c>
    </row>
    <row r="139" spans="1:14" hidden="1">
      <c r="B139" s="784" t="s">
        <v>58</v>
      </c>
      <c r="C139" s="774">
        <f t="shared" si="16"/>
        <v>57611.998610167393</v>
      </c>
      <c r="D139" s="775">
        <v>-342465.14</v>
      </c>
      <c r="E139" s="780">
        <v>3.74</v>
      </c>
      <c r="F139" s="775">
        <v>19</v>
      </c>
      <c r="G139" s="775"/>
      <c r="H139" s="775">
        <v>321418.69</v>
      </c>
      <c r="I139" s="775">
        <f t="shared" si="13"/>
        <v>283.82546539486867</v>
      </c>
      <c r="J139" s="783">
        <f>SUM(C139:I139)+0.01</f>
        <v>36872.124075562264</v>
      </c>
      <c r="K139" s="776"/>
      <c r="L139" s="777">
        <f t="shared" si="17"/>
        <v>47100.143610167383</v>
      </c>
      <c r="M139" s="781">
        <f t="shared" si="14"/>
        <v>283.82546539486867</v>
      </c>
      <c r="N139" s="785"/>
    </row>
    <row r="140" spans="1:14" hidden="1">
      <c r="B140" s="784" t="s">
        <v>59</v>
      </c>
      <c r="C140" s="774">
        <f t="shared" si="16"/>
        <v>36872.124075562264</v>
      </c>
      <c r="D140" s="775">
        <v>-371021.01</v>
      </c>
      <c r="E140" s="780">
        <v>1233.6600000000001</v>
      </c>
      <c r="F140" s="775">
        <v>0</v>
      </c>
      <c r="G140" s="775"/>
      <c r="H140" s="775">
        <v>319093.14</v>
      </c>
      <c r="I140" s="775">
        <f t="shared" si="13"/>
        <v>69.449764949338146</v>
      </c>
      <c r="J140" s="783">
        <f>SUM(C140:I140)</f>
        <v>-13752.636159488397</v>
      </c>
      <c r="K140" s="776"/>
      <c r="L140" s="777">
        <f t="shared" si="17"/>
        <v>11525.019075562253</v>
      </c>
      <c r="M140" s="781">
        <f t="shared" si="14"/>
        <v>69.449764949338146</v>
      </c>
      <c r="N140" s="785"/>
    </row>
    <row r="141" spans="1:14" hidden="1">
      <c r="B141" s="784" t="s">
        <v>60</v>
      </c>
      <c r="C141" s="774">
        <f t="shared" si="16"/>
        <v>-13752.636159488397</v>
      </c>
      <c r="D141" s="775">
        <v>-372841.26</v>
      </c>
      <c r="E141" s="780">
        <f>1.85-1228.86</f>
        <v>-1227.01</v>
      </c>
      <c r="F141" s="775">
        <v>242.16</v>
      </c>
      <c r="G141" s="775"/>
      <c r="H141" s="775">
        <v>327262.90000000002</v>
      </c>
      <c r="I141" s="775">
        <f t="shared" si="13"/>
        <v>-223.16833722707713</v>
      </c>
      <c r="J141" s="783">
        <f>SUM(C141:I141)-0.01</f>
        <v>-60539.024496715509</v>
      </c>
      <c r="K141" s="776"/>
      <c r="L141" s="777">
        <f t="shared" si="17"/>
        <v>-37034.241159488403</v>
      </c>
      <c r="M141" s="781">
        <f t="shared" si="14"/>
        <v>-223.16833722707713</v>
      </c>
      <c r="N141" s="785"/>
    </row>
    <row r="142" spans="1:14" hidden="1">
      <c r="A142" s="758">
        <v>2012</v>
      </c>
      <c r="B142" s="784" t="s">
        <v>49</v>
      </c>
      <c r="C142" s="774">
        <f t="shared" si="16"/>
        <v>-60539.024496715509</v>
      </c>
      <c r="D142" s="783">
        <v>-369128.45</v>
      </c>
      <c r="E142" s="786">
        <v>4.46</v>
      </c>
      <c r="F142" s="783">
        <v>0</v>
      </c>
      <c r="G142" s="783"/>
      <c r="H142" s="783">
        <v>339748.88</v>
      </c>
      <c r="I142" s="775">
        <f t="shared" si="13"/>
        <v>-453.31536804720764</v>
      </c>
      <c r="J142" s="783">
        <f>SUM(C142:I142)</f>
        <v>-90367.449864762704</v>
      </c>
      <c r="K142" s="776"/>
      <c r="L142" s="777">
        <f t="shared" si="17"/>
        <v>-75226.579496715509</v>
      </c>
      <c r="M142" s="781">
        <f t="shared" si="14"/>
        <v>-453.31536804720764</v>
      </c>
      <c r="N142" s="785"/>
    </row>
    <row r="143" spans="1:14" hidden="1">
      <c r="B143" s="784" t="s">
        <v>50</v>
      </c>
      <c r="C143" s="774">
        <f t="shared" si="16"/>
        <v>-90367.449864762704</v>
      </c>
      <c r="D143" s="783">
        <v>-367259.77</v>
      </c>
      <c r="E143" s="786">
        <v>3.92</v>
      </c>
      <c r="F143" s="783">
        <v>0</v>
      </c>
      <c r="G143" s="783"/>
      <c r="H143" s="783">
        <v>358112.48</v>
      </c>
      <c r="I143" s="775">
        <f t="shared" si="13"/>
        <v>-572.10322669506024</v>
      </c>
      <c r="J143" s="783">
        <f>SUM(C143:I143)</f>
        <v>-100082.92309145784</v>
      </c>
      <c r="K143" s="776"/>
      <c r="L143" s="777">
        <f t="shared" si="17"/>
        <v>-94939.134864762731</v>
      </c>
      <c r="M143" s="781">
        <f t="shared" si="14"/>
        <v>-572.10322669506024</v>
      </c>
      <c r="N143" s="785"/>
    </row>
    <row r="144" spans="1:14" hidden="1">
      <c r="B144" s="784" t="s">
        <v>51</v>
      </c>
      <c r="C144" s="774">
        <f t="shared" si="16"/>
        <v>-100082.92309145784</v>
      </c>
      <c r="D144" s="783">
        <v>-364949.85</v>
      </c>
      <c r="E144" s="786">
        <v>4.84</v>
      </c>
      <c r="F144" s="783">
        <v>67.11</v>
      </c>
      <c r="G144" s="783"/>
      <c r="H144" s="783">
        <v>373398.3</v>
      </c>
      <c r="I144" s="775">
        <f t="shared" si="13"/>
        <v>-577.42772934912489</v>
      </c>
      <c r="J144" s="783">
        <f>SUM(C144:I144)</f>
        <v>-92139.950820806902</v>
      </c>
      <c r="K144" s="776"/>
      <c r="L144" s="777">
        <f t="shared" si="17"/>
        <v>-95822.723091457825</v>
      </c>
      <c r="M144" s="781">
        <f t="shared" si="14"/>
        <v>-577.42772934912489</v>
      </c>
      <c r="N144" s="785"/>
    </row>
    <row r="145" spans="1:14" hidden="1">
      <c r="B145" s="784" t="s">
        <v>52</v>
      </c>
      <c r="C145" s="774">
        <f t="shared" si="16"/>
        <v>-92139.950820806902</v>
      </c>
      <c r="D145" s="783">
        <v>-367810.53</v>
      </c>
      <c r="E145" s="786">
        <v>4.1399999999999997</v>
      </c>
      <c r="F145" s="783">
        <v>645.11</v>
      </c>
      <c r="G145" s="783"/>
      <c r="H145" s="783">
        <v>382605.71</v>
      </c>
      <c r="I145" s="775">
        <f t="shared" si="13"/>
        <v>-508.70127605618239</v>
      </c>
      <c r="J145" s="783">
        <f>SUM(C145:I145)</f>
        <v>-77204.222096863086</v>
      </c>
      <c r="K145" s="776"/>
      <c r="L145" s="777">
        <f t="shared" si="17"/>
        <v>-84417.735820806905</v>
      </c>
      <c r="M145" s="781">
        <f t="shared" si="14"/>
        <v>-508.70127605618239</v>
      </c>
      <c r="N145" s="785"/>
    </row>
    <row r="146" spans="1:14" hidden="1">
      <c r="B146" s="784" t="s">
        <v>53</v>
      </c>
      <c r="C146" s="774">
        <f t="shared" si="16"/>
        <v>-77204.222096863086</v>
      </c>
      <c r="D146" s="783">
        <v>-372690.67</v>
      </c>
      <c r="E146" s="786">
        <v>-1.39</v>
      </c>
      <c r="F146" s="783">
        <v>134.22</v>
      </c>
      <c r="G146" s="783"/>
      <c r="H146" s="783">
        <v>389502.41</v>
      </c>
      <c r="I146" s="775">
        <f t="shared" si="13"/>
        <v>-414.17865294569714</v>
      </c>
      <c r="J146" s="783">
        <f>SUM(C146:I146)</f>
        <v>-60673.830749808832</v>
      </c>
      <c r="K146" s="776"/>
      <c r="L146" s="777">
        <f t="shared" si="17"/>
        <v>-68731.937096863112</v>
      </c>
      <c r="M146" s="781">
        <f t="shared" si="14"/>
        <v>-414.17865294569714</v>
      </c>
      <c r="N146" s="785"/>
    </row>
    <row r="147" spans="1:14" hidden="1">
      <c r="B147" s="784" t="s">
        <v>245</v>
      </c>
      <c r="C147" s="774">
        <f t="shared" si="16"/>
        <v>-60673.830749808832</v>
      </c>
      <c r="D147" s="783">
        <v>-370193.53</v>
      </c>
      <c r="E147" s="786">
        <v>9.1199999999999992</v>
      </c>
      <c r="F147" s="783">
        <v>1192.99</v>
      </c>
      <c r="G147" s="783"/>
      <c r="H147" s="783">
        <v>388432.49</v>
      </c>
      <c r="I147" s="775">
        <f t="shared" si="13"/>
        <v>-307.04456018834816</v>
      </c>
      <c r="J147" s="783">
        <f>SUM(C147:I147)+0.01</f>
        <v>-41539.795309997207</v>
      </c>
      <c r="K147" s="776"/>
      <c r="L147" s="777">
        <f t="shared" si="17"/>
        <v>-50953.295749808858</v>
      </c>
      <c r="M147" s="781">
        <f t="shared" si="14"/>
        <v>-307.04456018834816</v>
      </c>
      <c r="N147" s="785"/>
    </row>
    <row r="148" spans="1:14">
      <c r="B148" s="784" t="s">
        <v>246</v>
      </c>
      <c r="C148" s="774">
        <f t="shared" si="16"/>
        <v>-41539.795309997207</v>
      </c>
      <c r="D148" s="783">
        <v>-373210.86</v>
      </c>
      <c r="E148" s="786">
        <v>6.01</v>
      </c>
      <c r="F148" s="783">
        <v>107.86</v>
      </c>
      <c r="G148" s="783"/>
      <c r="H148" s="783">
        <v>384022.97</v>
      </c>
      <c r="I148" s="775">
        <f t="shared" si="13"/>
        <v>-217.39882879804324</v>
      </c>
      <c r="J148" s="783">
        <f>SUM(C148:I148)-0.01</f>
        <v>-30831.224138795282</v>
      </c>
      <c r="K148" s="776"/>
      <c r="L148" s="777">
        <f t="shared" si="17"/>
        <v>-36076.805309997217</v>
      </c>
      <c r="M148" s="781">
        <f t="shared" si="14"/>
        <v>-217.39882879804324</v>
      </c>
      <c r="N148" s="785"/>
    </row>
    <row r="149" spans="1:14">
      <c r="B149" s="784" t="s">
        <v>56</v>
      </c>
      <c r="C149" s="774">
        <f t="shared" si="16"/>
        <v>-30831.224138795282</v>
      </c>
      <c r="D149" s="783">
        <v>-376559.14</v>
      </c>
      <c r="E149" s="786">
        <v>5.27</v>
      </c>
      <c r="F149" s="783">
        <v>1294.32</v>
      </c>
      <c r="G149" s="783">
        <v>28560.38</v>
      </c>
      <c r="H149" s="783">
        <v>315695.82</v>
      </c>
      <c r="I149" s="775">
        <f t="shared" si="13"/>
        <v>-279.20205021038032</v>
      </c>
      <c r="J149" s="783">
        <f>SUM(C149:I149)+0.01</f>
        <v>-62113.766189005633</v>
      </c>
      <c r="K149" s="776"/>
      <c r="L149" s="777">
        <f t="shared" si="17"/>
        <v>-46332.89913879527</v>
      </c>
      <c r="M149" s="781">
        <f t="shared" si="14"/>
        <v>-279.20205021038032</v>
      </c>
      <c r="N149" s="785"/>
    </row>
    <row r="150" spans="1:14" ht="13.5" thickBot="1">
      <c r="A150" s="787"/>
      <c r="B150" s="788" t="s">
        <v>707</v>
      </c>
      <c r="C150" s="789">
        <f t="shared" si="16"/>
        <v>-62113.766189005633</v>
      </c>
      <c r="D150" s="790">
        <v>-375673.95</v>
      </c>
      <c r="E150" s="791">
        <v>4.37</v>
      </c>
      <c r="F150" s="790">
        <v>215.72</v>
      </c>
      <c r="G150" s="790"/>
      <c r="H150" s="790">
        <v>283689.61</v>
      </c>
      <c r="I150" s="792">
        <f t="shared" si="13"/>
        <v>-650.78324030494809</v>
      </c>
      <c r="J150" s="790">
        <f>SUM(C150:I150)</f>
        <v>-154528.79942931063</v>
      </c>
      <c r="K150" s="793"/>
      <c r="L150" s="794">
        <f t="shared" si="17"/>
        <v>-107995.89118900566</v>
      </c>
      <c r="M150" s="795">
        <f t="shared" si="14"/>
        <v>-650.78324030494809</v>
      </c>
      <c r="N150" s="796"/>
    </row>
    <row r="151" spans="1:14">
      <c r="B151" s="797" t="s">
        <v>58</v>
      </c>
      <c r="C151" s="798">
        <f t="shared" si="16"/>
        <v>-154528.79942931063</v>
      </c>
      <c r="D151" s="799">
        <v>-378398.43</v>
      </c>
      <c r="E151" s="800">
        <v>3.33</v>
      </c>
      <c r="F151" s="799">
        <v>107.86</v>
      </c>
      <c r="G151" s="799"/>
      <c r="H151" s="799">
        <v>278826.40999999997</v>
      </c>
      <c r="I151" s="801">
        <f t="shared" si="13"/>
        <v>-914.05998457116505</v>
      </c>
      <c r="J151" s="799">
        <f>SUM(C151:I151)</f>
        <v>-254903.68941388189</v>
      </c>
      <c r="K151" s="776"/>
      <c r="L151" s="777">
        <f t="shared" si="17"/>
        <v>-204259.21442931064</v>
      </c>
      <c r="M151" s="781">
        <f>(+L151*0.004475)</f>
        <v>-914.05998457116505</v>
      </c>
      <c r="N151" s="785"/>
    </row>
    <row r="152" spans="1:14">
      <c r="B152" s="784" t="s">
        <v>59</v>
      </c>
      <c r="C152" s="774">
        <f t="shared" si="16"/>
        <v>-254903.68941388189</v>
      </c>
      <c r="D152" s="783">
        <v>-377183.38</v>
      </c>
      <c r="E152" s="786">
        <v>4.74</v>
      </c>
      <c r="F152" s="783">
        <v>323.58</v>
      </c>
      <c r="G152" s="783"/>
      <c r="H152" s="783">
        <v>277189.14</v>
      </c>
      <c r="I152" s="775">
        <f t="shared" si="13"/>
        <v>-1363.6965061271214</v>
      </c>
      <c r="J152" s="783">
        <f>SUM(C152:I152)</f>
        <v>-355933.30592000904</v>
      </c>
      <c r="K152" s="776"/>
      <c r="L152" s="777">
        <f t="shared" si="17"/>
        <v>-304736.64941388188</v>
      </c>
      <c r="M152" s="781">
        <f t="shared" ref="M152:M173" si="18">(+L152*0.004475)</f>
        <v>-1363.6965061271214</v>
      </c>
      <c r="N152" s="785"/>
    </row>
    <row r="153" spans="1:14">
      <c r="B153" s="784" t="s">
        <v>60</v>
      </c>
      <c r="C153" s="774">
        <f t="shared" si="16"/>
        <v>-355933.30592000904</v>
      </c>
      <c r="D153" s="783">
        <v>-373721.95</v>
      </c>
      <c r="E153" s="786">
        <v>4.8600000000000003</v>
      </c>
      <c r="F153" s="783">
        <v>323.58</v>
      </c>
      <c r="G153" s="783"/>
      <c r="H153" s="783">
        <v>281914.87</v>
      </c>
      <c r="I153" s="775">
        <f t="shared" si="13"/>
        <v>-1797.4850009920403</v>
      </c>
      <c r="J153" s="783">
        <f>SUM(C153:I153)</f>
        <v>-449209.43092100107</v>
      </c>
      <c r="K153" s="776"/>
      <c r="L153" s="777">
        <f t="shared" si="17"/>
        <v>-401672.62592000904</v>
      </c>
      <c r="M153" s="781">
        <f t="shared" si="18"/>
        <v>-1797.4850009920403</v>
      </c>
      <c r="N153" s="785"/>
    </row>
    <row r="154" spans="1:14">
      <c r="A154" s="758">
        <v>2013</v>
      </c>
      <c r="B154" s="784" t="s">
        <v>49</v>
      </c>
      <c r="C154" s="774">
        <f t="shared" si="16"/>
        <v>-449209.43092100107</v>
      </c>
      <c r="D154" s="783">
        <v>-372827.15</v>
      </c>
      <c r="E154" s="786">
        <v>2.84</v>
      </c>
      <c r="F154" s="783">
        <v>106.39</v>
      </c>
      <c r="G154" s="783"/>
      <c r="H154" s="783">
        <v>288062.31</v>
      </c>
      <c r="I154" s="775">
        <f t="shared" si="13"/>
        <v>-2199.6291307464799</v>
      </c>
      <c r="J154" s="783">
        <f>SUM(C154:I154)-0.01</f>
        <v>-536064.68005174748</v>
      </c>
      <c r="K154" s="776"/>
      <c r="L154" s="777">
        <f t="shared" si="17"/>
        <v>-491537.23592100106</v>
      </c>
      <c r="M154" s="781">
        <f t="shared" si="18"/>
        <v>-2199.6291307464799</v>
      </c>
      <c r="N154" s="785"/>
    </row>
    <row r="155" spans="1:14">
      <c r="B155" s="784" t="s">
        <v>50</v>
      </c>
      <c r="C155" s="774">
        <f t="shared" si="16"/>
        <v>-536064.68005174748</v>
      </c>
      <c r="D155" s="783">
        <v>-377464.56</v>
      </c>
      <c r="E155" s="786">
        <v>1.18</v>
      </c>
      <c r="F155" s="783">
        <v>425.56</v>
      </c>
      <c r="G155" s="783"/>
      <c r="H155" s="783">
        <v>305068.84999999998</v>
      </c>
      <c r="I155" s="775">
        <f t="shared" si="13"/>
        <v>-2559.9200136065697</v>
      </c>
      <c r="J155" s="783">
        <f t="shared" ref="J155:J160" si="19">SUM(C155:I155)</f>
        <v>-610593.570065354</v>
      </c>
      <c r="K155" s="776"/>
      <c r="L155" s="777">
        <f t="shared" si="17"/>
        <v>-572049.16505174746</v>
      </c>
      <c r="M155" s="781">
        <f t="shared" si="18"/>
        <v>-2559.9200136065697</v>
      </c>
      <c r="N155" s="785"/>
    </row>
    <row r="156" spans="1:14">
      <c r="B156" s="784" t="s">
        <v>51</v>
      </c>
      <c r="C156" s="774">
        <f t="shared" si="16"/>
        <v>-610593.570065354</v>
      </c>
      <c r="D156" s="783">
        <v>-375836.07</v>
      </c>
      <c r="E156" s="786">
        <v>4.57</v>
      </c>
      <c r="F156" s="783">
        <v>394.28</v>
      </c>
      <c r="G156" s="783"/>
      <c r="H156" s="783">
        <v>322921.02</v>
      </c>
      <c r="I156" s="775">
        <f t="shared" si="13"/>
        <v>-2849.9112235424591</v>
      </c>
      <c r="J156" s="783">
        <f t="shared" si="19"/>
        <v>-665959.68128889648</v>
      </c>
      <c r="K156" s="776"/>
      <c r="L156" s="777">
        <f t="shared" si="17"/>
        <v>-636851.67006535397</v>
      </c>
      <c r="M156" s="781">
        <f t="shared" si="18"/>
        <v>-2849.9112235424591</v>
      </c>
      <c r="N156" s="785"/>
    </row>
    <row r="157" spans="1:14">
      <c r="B157" s="784" t="s">
        <v>52</v>
      </c>
      <c r="C157" s="774">
        <f t="shared" si="16"/>
        <v>-665959.68128889648</v>
      </c>
      <c r="D157" s="783">
        <v>-373072.8</v>
      </c>
      <c r="E157" s="786">
        <v>4.8899999999999997</v>
      </c>
      <c r="F157" s="783">
        <v>106.39</v>
      </c>
      <c r="G157" s="783"/>
      <c r="H157" s="783">
        <v>339078.21</v>
      </c>
      <c r="I157" s="775">
        <f t="shared" si="13"/>
        <v>-3055.9834798928114</v>
      </c>
      <c r="J157" s="783">
        <f t="shared" si="19"/>
        <v>-702898.97476878925</v>
      </c>
      <c r="K157" s="776"/>
      <c r="L157" s="777">
        <f t="shared" si="17"/>
        <v>-682901.33628889639</v>
      </c>
      <c r="M157" s="781">
        <f t="shared" si="18"/>
        <v>-3055.9834798928114</v>
      </c>
      <c r="N157" s="785"/>
    </row>
    <row r="158" spans="1:14">
      <c r="B158" s="784" t="s">
        <v>53</v>
      </c>
      <c r="C158" s="774">
        <f t="shared" si="16"/>
        <v>-702898.97476878925</v>
      </c>
      <c r="D158" s="783">
        <v>-374188.65</v>
      </c>
      <c r="E158" s="786">
        <v>6.19</v>
      </c>
      <c r="F158" s="783">
        <v>855.72</v>
      </c>
      <c r="G158" s="783"/>
      <c r="H158" s="783">
        <v>346515.23</v>
      </c>
      <c r="I158" s="775">
        <f t="shared" ref="I158:I173" si="20">M158</f>
        <v>-3205.4636657153319</v>
      </c>
      <c r="J158" s="783">
        <f t="shared" si="19"/>
        <v>-732915.9484345048</v>
      </c>
      <c r="K158" s="776"/>
      <c r="L158" s="777">
        <f t="shared" si="17"/>
        <v>-716304.72976878926</v>
      </c>
      <c r="M158" s="781">
        <f t="shared" si="18"/>
        <v>-3205.4636657153319</v>
      </c>
      <c r="N158" s="785"/>
    </row>
    <row r="159" spans="1:14">
      <c r="B159" s="784" t="s">
        <v>245</v>
      </c>
      <c r="C159" s="774">
        <f t="shared" si="16"/>
        <v>-732915.9484345048</v>
      </c>
      <c r="D159" s="783">
        <v>-378722.82</v>
      </c>
      <c r="E159" s="786">
        <v>-7.19</v>
      </c>
      <c r="F159" s="783">
        <v>519.48</v>
      </c>
      <c r="G159" s="783"/>
      <c r="H159" s="783">
        <v>345240.43</v>
      </c>
      <c r="I159" s="775">
        <f t="shared" si="20"/>
        <v>-3353.569467994409</v>
      </c>
      <c r="J159" s="783">
        <f t="shared" si="19"/>
        <v>-769239.61790249916</v>
      </c>
      <c r="K159" s="776"/>
      <c r="L159" s="777">
        <f t="shared" si="17"/>
        <v>-749400.99843450484</v>
      </c>
      <c r="M159" s="781">
        <f t="shared" si="18"/>
        <v>-3353.569467994409</v>
      </c>
      <c r="N159" s="785"/>
    </row>
    <row r="160" spans="1:14">
      <c r="B160" s="784" t="s">
        <v>246</v>
      </c>
      <c r="C160" s="774">
        <f t="shared" si="16"/>
        <v>-769239.61790249916</v>
      </c>
      <c r="D160" s="783">
        <v>-379572.01</v>
      </c>
      <c r="E160" s="786">
        <v>1.67</v>
      </c>
      <c r="F160" s="783"/>
      <c r="G160" s="783"/>
      <c r="H160" s="783">
        <v>339658.67</v>
      </c>
      <c r="I160" s="775">
        <f t="shared" si="20"/>
        <v>-3531.6496517386836</v>
      </c>
      <c r="J160" s="783">
        <f t="shared" si="19"/>
        <v>-812682.93755423801</v>
      </c>
      <c r="K160" s="776"/>
      <c r="L160" s="777">
        <f t="shared" si="17"/>
        <v>-789195.45290249912</v>
      </c>
      <c r="M160" s="781">
        <f t="shared" si="18"/>
        <v>-3531.6496517386836</v>
      </c>
      <c r="N160" s="785"/>
    </row>
    <row r="161" spans="1:14">
      <c r="B161" s="784" t="s">
        <v>56</v>
      </c>
      <c r="C161" s="774">
        <f t="shared" si="16"/>
        <v>-812682.93755423801</v>
      </c>
      <c r="D161" s="783">
        <v>-382508.51</v>
      </c>
      <c r="E161" s="786">
        <v>-0.79</v>
      </c>
      <c r="F161" s="783">
        <v>744.73</v>
      </c>
      <c r="G161" s="783">
        <v>13545.59</v>
      </c>
      <c r="H161" s="783">
        <v>288872.78999999998</v>
      </c>
      <c r="I161" s="775">
        <f t="shared" si="20"/>
        <v>-3814.293245680215</v>
      </c>
      <c r="J161" s="783">
        <f>SUM(C161:I161)</f>
        <v>-895843.42079991824</v>
      </c>
      <c r="K161" s="776"/>
      <c r="L161" s="777">
        <f t="shared" si="17"/>
        <v>-852356.03255423799</v>
      </c>
      <c r="M161" s="781">
        <f t="shared" si="18"/>
        <v>-3814.293245680215</v>
      </c>
      <c r="N161" s="785"/>
    </row>
    <row r="162" spans="1:14">
      <c r="B162" s="784" t="s">
        <v>57</v>
      </c>
      <c r="C162" s="774">
        <f t="shared" si="16"/>
        <v>-895843.42079991824</v>
      </c>
      <c r="D162" s="783">
        <v>-380830.79</v>
      </c>
      <c r="E162" s="786">
        <v>2.63</v>
      </c>
      <c r="F162" s="783">
        <v>674.03</v>
      </c>
      <c r="G162" s="783"/>
      <c r="H162" s="783">
        <v>251362.82</v>
      </c>
      <c r="I162" s="775">
        <f t="shared" si="20"/>
        <v>-4297.0698642046336</v>
      </c>
      <c r="J162" s="783">
        <f>SUM(C162:I162)</f>
        <v>-1028931.8006641229</v>
      </c>
      <c r="K162" s="776"/>
      <c r="L162" s="777">
        <f t="shared" si="17"/>
        <v>-960239.07579991827</v>
      </c>
      <c r="M162" s="781">
        <f t="shared" si="18"/>
        <v>-4297.0698642046336</v>
      </c>
      <c r="N162" s="785"/>
    </row>
    <row r="163" spans="1:14">
      <c r="B163" s="784" t="s">
        <v>58</v>
      </c>
      <c r="C163" s="774">
        <f t="shared" si="16"/>
        <v>-1028931.8006641229</v>
      </c>
      <c r="D163" s="783">
        <v>-382916.74</v>
      </c>
      <c r="E163" s="786">
        <v>-0.73</v>
      </c>
      <c r="F163" s="783">
        <v>212.78</v>
      </c>
      <c r="G163" s="783"/>
      <c r="H163" s="783">
        <v>250253.3</v>
      </c>
      <c r="I163" s="775">
        <f t="shared" si="20"/>
        <v>-4900.8297930969502</v>
      </c>
      <c r="J163" s="783">
        <f>SUM(C163:I163)+0.01</f>
        <v>-1166284.0104572198</v>
      </c>
      <c r="K163" s="776"/>
      <c r="L163" s="777">
        <f t="shared" si="17"/>
        <v>-1095157.495664123</v>
      </c>
      <c r="M163" s="781">
        <f t="shared" si="18"/>
        <v>-4900.8297930969502</v>
      </c>
      <c r="N163" s="785"/>
    </row>
    <row r="164" spans="1:14">
      <c r="B164" s="784" t="s">
        <v>59</v>
      </c>
      <c r="C164" s="774">
        <f t="shared" si="16"/>
        <v>-1166284.0104572198</v>
      </c>
      <c r="D164" s="783">
        <v>-383310.88</v>
      </c>
      <c r="E164" s="786">
        <v>1.18</v>
      </c>
      <c r="F164" s="783">
        <v>106.39</v>
      </c>
      <c r="G164" s="783"/>
      <c r="H164" s="783">
        <v>250278.47</v>
      </c>
      <c r="I164" s="775">
        <f t="shared" si="20"/>
        <v>-5516.5402762960584</v>
      </c>
      <c r="J164" s="783">
        <f>SUM(C164:I164)-0.01</f>
        <v>-1304725.4007335161</v>
      </c>
      <c r="K164" s="776"/>
      <c r="L164" s="777">
        <f t="shared" si="17"/>
        <v>-1232746.4304572197</v>
      </c>
      <c r="M164" s="781">
        <f t="shared" si="18"/>
        <v>-5516.5402762960584</v>
      </c>
      <c r="N164" s="785"/>
    </row>
    <row r="165" spans="1:14">
      <c r="B165" s="784" t="s">
        <v>60</v>
      </c>
      <c r="C165" s="774">
        <f t="shared" si="16"/>
        <v>-1304725.4007335161</v>
      </c>
      <c r="D165" s="783">
        <v>-380618.86</v>
      </c>
      <c r="E165" s="786">
        <v>0.23</v>
      </c>
      <c r="F165" s="783">
        <v>3033.09</v>
      </c>
      <c r="G165" s="783"/>
      <c r="H165" s="783">
        <v>257425.48</v>
      </c>
      <c r="I165" s="775">
        <f t="shared" si="20"/>
        <v>-6107.504302532484</v>
      </c>
      <c r="J165" s="783">
        <f>SUM(C165:I165)+0.01</f>
        <v>-1430992.9550360483</v>
      </c>
      <c r="K165" s="776"/>
      <c r="L165" s="777">
        <f t="shared" si="17"/>
        <v>-1364805.4307335161</v>
      </c>
      <c r="M165" s="781">
        <f t="shared" si="18"/>
        <v>-6107.504302532484</v>
      </c>
      <c r="N165" s="785"/>
    </row>
    <row r="166" spans="1:14">
      <c r="A166" s="758">
        <v>2014</v>
      </c>
      <c r="B166" s="784" t="s">
        <v>49</v>
      </c>
      <c r="C166" s="774">
        <f t="shared" si="16"/>
        <v>-1430992.9550360483</v>
      </c>
      <c r="D166" s="783">
        <v>-383758.91</v>
      </c>
      <c r="E166" s="786">
        <v>0</v>
      </c>
      <c r="F166" s="783">
        <v>1057.8</v>
      </c>
      <c r="G166" s="783"/>
      <c r="H166" s="783">
        <v>276241.68</v>
      </c>
      <c r="I166" s="775">
        <f t="shared" si="20"/>
        <v>-6641.8964484113167</v>
      </c>
      <c r="J166" s="783">
        <f>SUM(C166:I166)</f>
        <v>-1544094.2814844595</v>
      </c>
      <c r="K166" s="776"/>
      <c r="L166" s="777">
        <f t="shared" si="17"/>
        <v>-1484222.6700360484</v>
      </c>
      <c r="M166" s="781">
        <f t="shared" si="18"/>
        <v>-6641.8964484113167</v>
      </c>
      <c r="N166" s="785"/>
    </row>
    <row r="167" spans="1:14">
      <c r="B167" s="784" t="s">
        <v>50</v>
      </c>
      <c r="C167" s="774">
        <f t="shared" si="16"/>
        <v>-1544094.2814844595</v>
      </c>
      <c r="D167" s="783">
        <v>-378286.98</v>
      </c>
      <c r="E167" s="786">
        <v>1.57</v>
      </c>
      <c r="F167" s="783">
        <v>105.78</v>
      </c>
      <c r="G167" s="783"/>
      <c r="H167" s="783">
        <v>286337.27</v>
      </c>
      <c r="I167" s="775">
        <f t="shared" si="20"/>
        <v>-7115.3191901429554</v>
      </c>
      <c r="J167" s="783">
        <f>SUM(C167:I167)</f>
        <v>-1643051.9606746023</v>
      </c>
      <c r="K167" s="776"/>
      <c r="L167" s="777">
        <f t="shared" si="17"/>
        <v>-1590015.4614844595</v>
      </c>
      <c r="M167" s="781">
        <f t="shared" si="18"/>
        <v>-7115.3191901429554</v>
      </c>
      <c r="N167" s="785"/>
    </row>
    <row r="168" spans="1:14">
      <c r="B168" s="784" t="s">
        <v>51</v>
      </c>
      <c r="C168" s="774">
        <f t="shared" si="16"/>
        <v>-1643051.9606746023</v>
      </c>
      <c r="D168" s="783">
        <v>-374499.02</v>
      </c>
      <c r="E168" s="786">
        <v>2.4500000000000002</v>
      </c>
      <c r="F168" s="783">
        <v>634.67999999999995</v>
      </c>
      <c r="G168" s="783"/>
      <c r="H168" s="783">
        <v>306299.28000000003</v>
      </c>
      <c r="I168" s="775">
        <f t="shared" si="20"/>
        <v>-7503.8288638938448</v>
      </c>
      <c r="J168" s="783">
        <f>SUM(C168:I168)</f>
        <v>-1718118.3995384963</v>
      </c>
      <c r="K168" s="776"/>
      <c r="L168" s="777">
        <f t="shared" si="17"/>
        <v>-1676833.2656746022</v>
      </c>
      <c r="M168" s="781">
        <f t="shared" si="18"/>
        <v>-7503.8288638938448</v>
      </c>
      <c r="N168" s="785"/>
    </row>
    <row r="169" spans="1:14">
      <c r="B169" s="784" t="s">
        <v>52</v>
      </c>
      <c r="C169" s="774">
        <f t="shared" si="16"/>
        <v>-1718118.3995384963</v>
      </c>
      <c r="D169" s="783">
        <v>-382687.42</v>
      </c>
      <c r="E169" s="786">
        <v>0.82</v>
      </c>
      <c r="F169" s="783">
        <v>530.15</v>
      </c>
      <c r="G169" s="783"/>
      <c r="H169" s="783">
        <v>326484.73</v>
      </c>
      <c r="I169" s="775">
        <f t="shared" si="20"/>
        <v>-7813.1453114347705</v>
      </c>
      <c r="J169" s="783">
        <f>SUM(C169:I169)</f>
        <v>-1781603.2648499315</v>
      </c>
      <c r="K169" s="776"/>
      <c r="L169" s="777">
        <f t="shared" si="17"/>
        <v>-1745954.2595384964</v>
      </c>
      <c r="M169" s="781">
        <f t="shared" si="18"/>
        <v>-7813.1453114347705</v>
      </c>
      <c r="N169" s="785"/>
    </row>
    <row r="170" spans="1:14">
      <c r="B170" s="784" t="s">
        <v>53</v>
      </c>
      <c r="C170" s="774">
        <f t="shared" si="16"/>
        <v>-1781603.2648499315</v>
      </c>
      <c r="D170" s="783">
        <v>-381843.96</v>
      </c>
      <c r="E170" s="786">
        <v>1.81</v>
      </c>
      <c r="F170" s="783">
        <v>846.24</v>
      </c>
      <c r="G170" s="783"/>
      <c r="H170" s="783">
        <v>333300.62</v>
      </c>
      <c r="I170" s="775">
        <f t="shared" si="20"/>
        <v>-8079.3928215784426</v>
      </c>
      <c r="J170" s="783">
        <f>SUM(C170:I170)-0.01</f>
        <v>-1837377.9576715096</v>
      </c>
      <c r="K170" s="776"/>
      <c r="L170" s="777">
        <f t="shared" si="17"/>
        <v>-1805450.9098499315</v>
      </c>
      <c r="M170" s="781">
        <f t="shared" si="18"/>
        <v>-8079.3928215784426</v>
      </c>
      <c r="N170" s="785"/>
    </row>
    <row r="171" spans="1:14">
      <c r="B171" s="784" t="s">
        <v>245</v>
      </c>
      <c r="C171" s="774">
        <f>J170</f>
        <v>-1837377.9576715096</v>
      </c>
      <c r="D171" s="783">
        <v>-384905.07</v>
      </c>
      <c r="E171" s="786">
        <v>3.63</v>
      </c>
      <c r="F171" s="783">
        <v>751.91</v>
      </c>
      <c r="G171" s="783"/>
      <c r="H171" s="783">
        <v>333614.74</v>
      </c>
      <c r="I171" s="775">
        <f t="shared" si="20"/>
        <v>-8335.3379532050058</v>
      </c>
      <c r="J171" s="783">
        <f>SUM(C171:I171)</f>
        <v>-1896248.0856247144</v>
      </c>
      <c r="K171" s="776"/>
      <c r="L171" s="777">
        <f>J170+(SUM(D171:H171)/2)</f>
        <v>-1862645.3526715096</v>
      </c>
      <c r="M171" s="781">
        <f t="shared" si="18"/>
        <v>-8335.3379532050058</v>
      </c>
      <c r="N171" s="785"/>
    </row>
    <row r="172" spans="1:14">
      <c r="B172" s="784" t="s">
        <v>246</v>
      </c>
      <c r="C172" s="774">
        <f>J171</f>
        <v>-1896248.0856247144</v>
      </c>
      <c r="D172" s="783">
        <v>-386103.09</v>
      </c>
      <c r="E172" s="786">
        <v>3.15</v>
      </c>
      <c r="F172" s="783">
        <v>634.67999999999995</v>
      </c>
      <c r="G172" s="783"/>
      <c r="H172" s="783">
        <v>312838.03999999998</v>
      </c>
      <c r="I172" s="775">
        <f t="shared" si="20"/>
        <v>-8648.2135879205962</v>
      </c>
      <c r="J172" s="783">
        <f>SUM(C172:I172)</f>
        <v>-1977523.5192126348</v>
      </c>
      <c r="K172" s="776"/>
      <c r="L172" s="777">
        <f>J171+(SUM(D172:H172)/2)</f>
        <v>-1932561.6956247145</v>
      </c>
      <c r="M172" s="781">
        <f t="shared" si="18"/>
        <v>-8648.2135879205962</v>
      </c>
      <c r="N172" s="785"/>
    </row>
    <row r="173" spans="1:14">
      <c r="B173" s="784" t="s">
        <v>56</v>
      </c>
      <c r="C173" s="774">
        <f>J172</f>
        <v>-1977523.5192126348</v>
      </c>
      <c r="D173" s="783">
        <v>-388419.47</v>
      </c>
      <c r="E173" s="786">
        <v>0.46</v>
      </c>
      <c r="F173" s="783">
        <v>596.92999999999995</v>
      </c>
      <c r="G173" s="783">
        <v>14358.15</v>
      </c>
      <c r="H173" s="783">
        <v>273890.06</v>
      </c>
      <c r="I173" s="775">
        <f t="shared" si="20"/>
        <v>-9072.2142826015406</v>
      </c>
      <c r="J173" s="783">
        <f>SUM(C173:I173)</f>
        <v>-2086169.6034952365</v>
      </c>
      <c r="K173" s="776"/>
      <c r="L173" s="777">
        <f>J172+(SUM(D173:H173)/2)</f>
        <v>-2027310.4542126348</v>
      </c>
      <c r="M173" s="781">
        <f t="shared" si="18"/>
        <v>-9072.2142826015406</v>
      </c>
      <c r="N173" s="785"/>
    </row>
    <row r="174" spans="1:14" ht="15.75">
      <c r="B174" s="784" t="s">
        <v>56</v>
      </c>
      <c r="C174" s="774">
        <f>J173</f>
        <v>-2086169.6034952365</v>
      </c>
      <c r="D174" s="783">
        <v>-387022.47</v>
      </c>
      <c r="E174" s="850">
        <f>1.32+211.56</f>
        <v>212.88</v>
      </c>
      <c r="F174" s="850">
        <v>0</v>
      </c>
      <c r="G174" s="850">
        <v>0</v>
      </c>
      <c r="H174" s="783">
        <v>286930.77</v>
      </c>
      <c r="I174" s="775">
        <v>-9559.09</v>
      </c>
      <c r="J174" s="802">
        <f>SUM(C174:I174)</f>
        <v>-2195607.5134952362</v>
      </c>
      <c r="K174" s="776"/>
      <c r="L174" s="777">
        <f>J173+(SUM(D174:H174)/2)</f>
        <v>-2136109.0134952366</v>
      </c>
      <c r="M174" s="781">
        <f t="shared" ref="M174" si="21">(+L174*0.004475)</f>
        <v>-9559.087835391183</v>
      </c>
      <c r="N174" s="785"/>
    </row>
    <row r="175" spans="1:14">
      <c r="N175" s="785"/>
    </row>
    <row r="176" spans="1:14">
      <c r="B176" s="773" t="s">
        <v>248</v>
      </c>
      <c r="C176" s="774"/>
      <c r="D176" s="775">
        <f t="shared" ref="D176:I176" si="22">SUM(D6:D175)</f>
        <v>-40311791.289999992</v>
      </c>
      <c r="E176" s="775">
        <f t="shared" si="22"/>
        <v>1794690.77</v>
      </c>
      <c r="F176" s="775">
        <f t="shared" si="22"/>
        <v>123033.78999999998</v>
      </c>
      <c r="G176" s="775">
        <f t="shared" si="22"/>
        <v>352807.21</v>
      </c>
      <c r="H176" s="775">
        <f t="shared" si="22"/>
        <v>36555310.719999999</v>
      </c>
      <c r="I176" s="775">
        <f t="shared" si="22"/>
        <v>-709658.70349523774</v>
      </c>
      <c r="J176" s="775"/>
      <c r="K176" s="776"/>
      <c r="L176" s="777"/>
      <c r="M176" s="775"/>
      <c r="N176" s="785"/>
    </row>
    <row r="177" spans="1:14">
      <c r="B177" s="803"/>
      <c r="C177" s="804"/>
      <c r="D177" s="776"/>
      <c r="E177" s="776"/>
      <c r="F177" s="776"/>
      <c r="G177" s="776"/>
      <c r="H177" s="776"/>
      <c r="I177" s="776"/>
      <c r="J177" s="776"/>
      <c r="K177" s="776"/>
      <c r="L177" s="777"/>
      <c r="M177" s="776"/>
      <c r="N177" s="785"/>
    </row>
    <row r="178" spans="1:14">
      <c r="B178" s="803"/>
      <c r="C178" s="804"/>
      <c r="D178" s="776"/>
      <c r="E178" s="776"/>
      <c r="F178" s="776"/>
      <c r="G178" s="776"/>
      <c r="H178" s="776"/>
      <c r="I178" s="776"/>
      <c r="J178" s="776"/>
      <c r="K178" s="776"/>
      <c r="L178" s="777"/>
      <c r="M178" s="776"/>
      <c r="N178" s="785"/>
    </row>
    <row r="179" spans="1:14">
      <c r="B179" s="803"/>
      <c r="C179" s="804"/>
      <c r="D179" s="776"/>
      <c r="E179" s="776"/>
      <c r="F179" s="776"/>
      <c r="G179" s="776"/>
      <c r="H179" s="776"/>
      <c r="I179" s="776"/>
      <c r="J179" s="776"/>
      <c r="K179" s="776"/>
      <c r="L179" s="777"/>
      <c r="M179" s="776"/>
      <c r="N179" s="785"/>
    </row>
    <row r="180" spans="1:14">
      <c r="B180" s="803"/>
      <c r="C180" s="804"/>
      <c r="D180" s="776"/>
      <c r="E180" s="776"/>
      <c r="F180" s="776"/>
      <c r="G180" s="776"/>
      <c r="H180" s="776"/>
      <c r="I180" s="776"/>
      <c r="J180" s="776"/>
      <c r="K180" s="776"/>
      <c r="L180" s="777"/>
      <c r="M180" s="776"/>
      <c r="N180" s="785"/>
    </row>
    <row r="181" spans="1:14">
      <c r="B181" s="803"/>
      <c r="C181" s="804"/>
      <c r="D181" s="776"/>
      <c r="E181" s="776"/>
      <c r="F181" s="776"/>
      <c r="G181" s="776"/>
      <c r="H181" s="776"/>
      <c r="I181" s="776"/>
      <c r="J181" s="776"/>
      <c r="K181" s="776"/>
      <c r="L181" s="777"/>
      <c r="M181" s="805">
        <v>8.3000000000000007</v>
      </c>
    </row>
    <row r="182" spans="1:14">
      <c r="A182" s="758" t="e">
        <f ca="1">CELL("filename")</f>
        <v>#N/A</v>
      </c>
      <c r="B182" s="803"/>
      <c r="C182" s="804"/>
      <c r="D182" s="776"/>
      <c r="E182" s="776"/>
      <c r="F182" s="776"/>
      <c r="G182" s="776"/>
      <c r="H182" s="776"/>
      <c r="I182" s="776"/>
      <c r="J182" s="776"/>
      <c r="K182" s="776"/>
      <c r="L182" s="777"/>
      <c r="M182" s="805">
        <v>8.5</v>
      </c>
      <c r="N182" s="785"/>
    </row>
    <row r="183" spans="1:14">
      <c r="B183" s="803"/>
      <c r="C183" s="804"/>
      <c r="D183" s="776"/>
      <c r="E183" s="776"/>
      <c r="F183" s="776"/>
      <c r="G183" s="776"/>
      <c r="H183" s="776"/>
      <c r="I183" s="776"/>
      <c r="J183" s="776"/>
      <c r="K183" s="776"/>
      <c r="L183" s="777"/>
      <c r="M183" s="776"/>
      <c r="N183" s="785"/>
    </row>
    <row r="184" spans="1:14">
      <c r="N184" s="785"/>
    </row>
    <row r="185" spans="1:14">
      <c r="B185" s="803"/>
      <c r="C185" s="804"/>
      <c r="D185" s="776"/>
      <c r="E185" s="776"/>
      <c r="F185" s="776"/>
      <c r="G185" s="776"/>
      <c r="H185" s="776"/>
      <c r="I185" s="776"/>
      <c r="J185" s="776"/>
      <c r="K185" s="776"/>
      <c r="L185" s="777"/>
      <c r="M185" s="776"/>
    </row>
    <row r="186" spans="1:14">
      <c r="B186" s="803"/>
      <c r="C186" s="804"/>
      <c r="D186" s="776"/>
      <c r="E186" s="776"/>
      <c r="F186" s="776"/>
      <c r="G186" s="776"/>
      <c r="H186" s="776"/>
      <c r="I186" s="776"/>
      <c r="J186" s="776"/>
      <c r="K186" s="776"/>
      <c r="L186" s="777"/>
      <c r="M186" s="776"/>
    </row>
    <row r="187" spans="1:14">
      <c r="I187" s="776"/>
      <c r="J187" s="776"/>
      <c r="K187" s="776"/>
      <c r="L187" s="777"/>
      <c r="M187" s="776"/>
    </row>
    <row r="188" spans="1:14">
      <c r="B188" s="803"/>
      <c r="C188" s="804"/>
      <c r="D188" s="776"/>
      <c r="E188" s="776"/>
      <c r="F188" s="776"/>
      <c r="G188" s="776"/>
      <c r="H188" s="776"/>
      <c r="I188" s="776"/>
      <c r="J188" s="776"/>
      <c r="K188" s="776"/>
      <c r="L188" s="777"/>
      <c r="M188" s="781"/>
      <c r="N188" s="785"/>
    </row>
    <row r="189" spans="1:14">
      <c r="C189" s="804"/>
      <c r="D189" s="776"/>
      <c r="E189" s="776"/>
      <c r="F189" s="776"/>
      <c r="G189" s="776"/>
      <c r="H189" s="776"/>
      <c r="I189" s="776"/>
      <c r="J189" s="776"/>
      <c r="K189" s="776"/>
      <c r="L189" s="777"/>
      <c r="M189" s="781"/>
      <c r="N189" s="785"/>
    </row>
    <row r="190" spans="1:14">
      <c r="B190" s="803"/>
      <c r="C190" s="804"/>
      <c r="D190" s="776"/>
      <c r="E190" s="776"/>
      <c r="F190" s="776"/>
      <c r="G190" s="776"/>
      <c r="H190" s="776"/>
      <c r="I190" s="776"/>
      <c r="J190" s="776"/>
      <c r="K190" s="776"/>
      <c r="L190" s="777"/>
      <c r="M190" s="781"/>
      <c r="N190" s="785"/>
    </row>
    <row r="191" spans="1:14">
      <c r="B191" s="803"/>
      <c r="C191" s="804"/>
      <c r="D191" s="776"/>
      <c r="E191" s="776"/>
      <c r="F191" s="776"/>
      <c r="G191" s="776"/>
      <c r="H191" s="776"/>
      <c r="I191" s="776"/>
      <c r="J191" s="776"/>
      <c r="K191" s="776"/>
      <c r="L191" s="777"/>
      <c r="M191" s="776"/>
    </row>
    <row r="192" spans="1:14">
      <c r="G192" s="779"/>
      <c r="H192" s="779"/>
      <c r="M192" s="778"/>
    </row>
    <row r="193" spans="1:13">
      <c r="A193" s="772"/>
      <c r="J193" s="806"/>
      <c r="M193" s="781"/>
    </row>
    <row r="195" spans="1:13">
      <c r="I195" s="807" t="s">
        <v>66</v>
      </c>
    </row>
    <row r="196" spans="1:13">
      <c r="I196" s="807"/>
    </row>
    <row r="197" spans="1:13">
      <c r="I197" s="807"/>
    </row>
    <row r="198" spans="1:13">
      <c r="I198" s="807"/>
    </row>
    <row r="199" spans="1:13">
      <c r="I199" s="807"/>
    </row>
    <row r="200" spans="1:13">
      <c r="I200" s="807"/>
    </row>
    <row r="201" spans="1:13">
      <c r="I201" s="807"/>
    </row>
    <row r="202" spans="1:13">
      <c r="I202" s="807"/>
    </row>
    <row r="203" spans="1:13">
      <c r="I203" s="807"/>
    </row>
    <row r="204" spans="1:13">
      <c r="I204" s="807"/>
    </row>
    <row r="205" spans="1:13">
      <c r="A205" s="808" t="s">
        <v>708</v>
      </c>
      <c r="I205" s="807"/>
    </row>
    <row r="206" spans="1:13">
      <c r="I206" s="807"/>
    </row>
    <row r="207" spans="1:13">
      <c r="I207" s="807"/>
    </row>
    <row r="208" spans="1:13">
      <c r="I208" s="807"/>
    </row>
    <row r="209" spans="1:9">
      <c r="A209" s="758">
        <v>2006</v>
      </c>
      <c r="I209" s="807"/>
    </row>
    <row r="210" spans="1:9">
      <c r="I210" s="807"/>
    </row>
    <row r="211" spans="1:9">
      <c r="D211" s="779" t="s">
        <v>66</v>
      </c>
      <c r="E211" s="779"/>
    </row>
    <row r="214" spans="1:9">
      <c r="C214" s="759" t="s">
        <v>66</v>
      </c>
    </row>
    <row r="215" spans="1:9">
      <c r="C215" s="759" t="s">
        <v>66</v>
      </c>
    </row>
    <row r="216" spans="1:9">
      <c r="C216" s="759" t="s">
        <v>66</v>
      </c>
    </row>
    <row r="217" spans="1:9">
      <c r="C217" s="759" t="s">
        <v>66</v>
      </c>
    </row>
    <row r="221" spans="1:9">
      <c r="A221" s="758">
        <v>2007</v>
      </c>
    </row>
    <row r="225" spans="2:13">
      <c r="B225" s="773" t="s">
        <v>59</v>
      </c>
      <c r="C225" s="774">
        <f>J67</f>
        <v>-2207501.7428328269</v>
      </c>
      <c r="D225" s="775">
        <v>-174000</v>
      </c>
      <c r="E225" s="773"/>
      <c r="F225" s="775">
        <v>6600</v>
      </c>
      <c r="G225" s="773"/>
      <c r="H225" s="775">
        <v>145000</v>
      </c>
      <c r="I225" s="775">
        <f t="shared" ref="I225:I247" si="23">M225</f>
        <v>-13369.896702310616</v>
      </c>
      <c r="J225" s="775">
        <f>SUM(C225:I225)</f>
        <v>-2243271.6395351375</v>
      </c>
      <c r="L225" s="777">
        <f>J67+(SUM(D225:H225)/2)</f>
        <v>-2218701.7428328269</v>
      </c>
      <c r="M225" s="781">
        <f>(+L225*0.006026)</f>
        <v>-13369.896702310616</v>
      </c>
    </row>
    <row r="226" spans="2:13">
      <c r="B226" s="773" t="s">
        <v>60</v>
      </c>
      <c r="C226" s="774">
        <f t="shared" ref="C226:C247" si="24">J225</f>
        <v>-2243271.6395351375</v>
      </c>
      <c r="D226" s="775">
        <v>-174000</v>
      </c>
      <c r="E226" s="773"/>
      <c r="F226" s="775">
        <v>6600</v>
      </c>
      <c r="G226" s="773"/>
      <c r="H226" s="775">
        <v>145000</v>
      </c>
      <c r="I226" s="775">
        <f t="shared" si="23"/>
        <v>-13585.446099838739</v>
      </c>
      <c r="J226" s="775">
        <f t="shared" ref="J226:J247" si="25">SUM(C226:I226)</f>
        <v>-2279257.0856349762</v>
      </c>
      <c r="L226" s="777">
        <f t="shared" ref="L226:L247" si="26">J225+(SUM(D226:H226)/2)</f>
        <v>-2254471.6395351375</v>
      </c>
      <c r="M226" s="781">
        <f t="shared" ref="M226:M247" si="27">(+L226*0.006026)</f>
        <v>-13585.446099838739</v>
      </c>
    </row>
    <row r="227" spans="2:13">
      <c r="B227" s="773" t="s">
        <v>49</v>
      </c>
      <c r="C227" s="774">
        <f t="shared" si="24"/>
        <v>-2279257.0856349762</v>
      </c>
      <c r="D227" s="775">
        <v>-174000</v>
      </c>
      <c r="E227" s="773"/>
      <c r="F227" s="775">
        <v>6600</v>
      </c>
      <c r="G227" s="773"/>
      <c r="H227" s="775">
        <v>145000</v>
      </c>
      <c r="I227" s="775">
        <f t="shared" si="23"/>
        <v>-13802.294398036367</v>
      </c>
      <c r="J227" s="775">
        <f t="shared" si="25"/>
        <v>-2315459.3800330125</v>
      </c>
      <c r="L227" s="777">
        <f t="shared" si="26"/>
        <v>-2290457.0856349762</v>
      </c>
      <c r="M227" s="781">
        <f t="shared" si="27"/>
        <v>-13802.294398036367</v>
      </c>
    </row>
    <row r="228" spans="2:13">
      <c r="B228" s="773" t="s">
        <v>50</v>
      </c>
      <c r="C228" s="774">
        <f t="shared" si="24"/>
        <v>-2315459.3800330125</v>
      </c>
      <c r="D228" s="775">
        <v>-174000</v>
      </c>
      <c r="E228" s="773"/>
      <c r="F228" s="775">
        <v>6600</v>
      </c>
      <c r="G228" s="773"/>
      <c r="H228" s="775">
        <v>145000</v>
      </c>
      <c r="I228" s="775">
        <f t="shared" si="23"/>
        <v>-14020.449424078934</v>
      </c>
      <c r="J228" s="775">
        <f t="shared" si="25"/>
        <v>-2351879.8294570916</v>
      </c>
      <c r="L228" s="777">
        <f t="shared" si="26"/>
        <v>-2326659.3800330125</v>
      </c>
      <c r="M228" s="781">
        <f t="shared" si="27"/>
        <v>-14020.449424078934</v>
      </c>
    </row>
    <row r="229" spans="2:13">
      <c r="B229" s="773" t="s">
        <v>51</v>
      </c>
      <c r="C229" s="774">
        <f t="shared" si="24"/>
        <v>-2351879.8294570916</v>
      </c>
      <c r="D229" s="775">
        <v>-174000</v>
      </c>
      <c r="E229" s="773"/>
      <c r="F229" s="775">
        <v>6600</v>
      </c>
      <c r="G229" s="773"/>
      <c r="H229" s="775">
        <v>145000</v>
      </c>
      <c r="I229" s="775">
        <f t="shared" si="23"/>
        <v>-14239.919052308434</v>
      </c>
      <c r="J229" s="775">
        <f t="shared" si="25"/>
        <v>-2388519.7485094001</v>
      </c>
      <c r="L229" s="777">
        <f t="shared" si="26"/>
        <v>-2363079.8294570916</v>
      </c>
      <c r="M229" s="781">
        <f t="shared" si="27"/>
        <v>-14239.919052308434</v>
      </c>
    </row>
    <row r="230" spans="2:13">
      <c r="B230" s="773" t="s">
        <v>52</v>
      </c>
      <c r="C230" s="774">
        <f t="shared" si="24"/>
        <v>-2388519.7485094001</v>
      </c>
      <c r="D230" s="775">
        <v>-174000</v>
      </c>
      <c r="E230" s="773"/>
      <c r="F230" s="775">
        <v>6600</v>
      </c>
      <c r="G230" s="773"/>
      <c r="H230" s="775">
        <v>145000</v>
      </c>
      <c r="I230" s="775">
        <f t="shared" si="23"/>
        <v>-14460.711204517645</v>
      </c>
      <c r="J230" s="775">
        <f t="shared" si="25"/>
        <v>-2425380.4597139177</v>
      </c>
      <c r="L230" s="777">
        <f t="shared" si="26"/>
        <v>-2399719.7485094001</v>
      </c>
      <c r="M230" s="781">
        <f t="shared" si="27"/>
        <v>-14460.711204517645</v>
      </c>
    </row>
    <row r="231" spans="2:13">
      <c r="B231" s="773" t="s">
        <v>53</v>
      </c>
      <c r="C231" s="774">
        <f t="shared" si="24"/>
        <v>-2425380.4597139177</v>
      </c>
      <c r="D231" s="775">
        <v>-174000</v>
      </c>
      <c r="E231" s="773"/>
      <c r="F231" s="775">
        <v>6600</v>
      </c>
      <c r="G231" s="773"/>
      <c r="H231" s="775">
        <v>145000</v>
      </c>
      <c r="I231" s="775">
        <f t="shared" si="23"/>
        <v>-14682.833850236068</v>
      </c>
      <c r="J231" s="775">
        <f t="shared" si="25"/>
        <v>-2462463.2935641538</v>
      </c>
      <c r="L231" s="777">
        <f t="shared" si="26"/>
        <v>-2436580.4597139177</v>
      </c>
      <c r="M231" s="781">
        <f t="shared" si="27"/>
        <v>-14682.833850236068</v>
      </c>
    </row>
    <row r="232" spans="2:13">
      <c r="B232" s="773" t="s">
        <v>54</v>
      </c>
      <c r="C232" s="774">
        <f t="shared" si="24"/>
        <v>-2462463.2935641538</v>
      </c>
      <c r="D232" s="775">
        <v>-174000</v>
      </c>
      <c r="E232" s="773"/>
      <c r="F232" s="775">
        <v>6600</v>
      </c>
      <c r="G232" s="773"/>
      <c r="H232" s="775">
        <v>145000</v>
      </c>
      <c r="I232" s="775">
        <f t="shared" si="23"/>
        <v>-14906.295007017592</v>
      </c>
      <c r="J232" s="775">
        <f t="shared" si="25"/>
        <v>-2499769.5885711713</v>
      </c>
      <c r="L232" s="777">
        <f t="shared" si="26"/>
        <v>-2473663.2935641538</v>
      </c>
      <c r="M232" s="781">
        <f t="shared" si="27"/>
        <v>-14906.295007017592</v>
      </c>
    </row>
    <row r="233" spans="2:13">
      <c r="B233" s="773" t="s">
        <v>55</v>
      </c>
      <c r="C233" s="774">
        <f t="shared" si="24"/>
        <v>-2499769.5885711713</v>
      </c>
      <c r="D233" s="775">
        <v>-174000</v>
      </c>
      <c r="E233" s="773"/>
      <c r="F233" s="775">
        <v>6600</v>
      </c>
      <c r="G233" s="773"/>
      <c r="H233" s="775">
        <v>145000</v>
      </c>
      <c r="I233" s="775">
        <f t="shared" si="23"/>
        <v>-15131.102740729879</v>
      </c>
      <c r="J233" s="775">
        <f t="shared" si="25"/>
        <v>-2537300.691311901</v>
      </c>
      <c r="L233" s="777">
        <f t="shared" si="26"/>
        <v>-2510969.5885711713</v>
      </c>
      <c r="M233" s="781">
        <f t="shared" si="27"/>
        <v>-15131.102740729879</v>
      </c>
    </row>
    <row r="234" spans="2:13">
      <c r="B234" s="773" t="s">
        <v>56</v>
      </c>
      <c r="C234" s="774">
        <f t="shared" si="24"/>
        <v>-2537300.691311901</v>
      </c>
      <c r="D234" s="775">
        <v>-174000</v>
      </c>
      <c r="E234" s="773"/>
      <c r="F234" s="775">
        <v>6600</v>
      </c>
      <c r="G234" s="773"/>
      <c r="H234" s="775">
        <v>145000</v>
      </c>
      <c r="I234" s="775">
        <f t="shared" si="23"/>
        <v>-15357.265165845516</v>
      </c>
      <c r="J234" s="775">
        <f t="shared" si="25"/>
        <v>-2575057.9564777464</v>
      </c>
      <c r="L234" s="777">
        <f t="shared" si="26"/>
        <v>-2548500.691311901</v>
      </c>
      <c r="M234" s="781">
        <f t="shared" si="27"/>
        <v>-15357.265165845516</v>
      </c>
    </row>
    <row r="235" spans="2:13">
      <c r="B235" s="773" t="s">
        <v>57</v>
      </c>
      <c r="C235" s="774">
        <f t="shared" si="24"/>
        <v>-2575057.9564777464</v>
      </c>
      <c r="D235" s="775">
        <v>-174000</v>
      </c>
      <c r="E235" s="773"/>
      <c r="F235" s="775">
        <v>6600</v>
      </c>
      <c r="G235" s="773"/>
      <c r="H235" s="775">
        <v>145000</v>
      </c>
      <c r="I235" s="775">
        <f t="shared" si="23"/>
        <v>-15584.7904457349</v>
      </c>
      <c r="J235" s="775">
        <f t="shared" si="25"/>
        <v>-2613042.7469234811</v>
      </c>
      <c r="L235" s="777">
        <f t="shared" si="26"/>
        <v>-2586257.9564777464</v>
      </c>
      <c r="M235" s="781">
        <f t="shared" si="27"/>
        <v>-15584.7904457349</v>
      </c>
    </row>
    <row r="236" spans="2:13">
      <c r="B236" s="773" t="s">
        <v>58</v>
      </c>
      <c r="C236" s="774">
        <f t="shared" si="24"/>
        <v>-2613042.7469234811</v>
      </c>
      <c r="D236" s="775">
        <v>-174000</v>
      </c>
      <c r="E236" s="773"/>
      <c r="F236" s="775">
        <v>6600</v>
      </c>
      <c r="G236" s="773"/>
      <c r="H236" s="775">
        <v>145000</v>
      </c>
      <c r="I236" s="775">
        <f t="shared" si="23"/>
        <v>-15813.686792960898</v>
      </c>
      <c r="J236" s="775">
        <f t="shared" si="25"/>
        <v>-2651256.433716442</v>
      </c>
      <c r="L236" s="777">
        <f t="shared" si="26"/>
        <v>-2624242.7469234811</v>
      </c>
      <c r="M236" s="781">
        <f t="shared" si="27"/>
        <v>-15813.686792960898</v>
      </c>
    </row>
    <row r="237" spans="2:13">
      <c r="B237" s="773" t="s">
        <v>59</v>
      </c>
      <c r="C237" s="774">
        <f t="shared" si="24"/>
        <v>-2651256.433716442</v>
      </c>
      <c r="D237" s="775">
        <v>-174000</v>
      </c>
      <c r="E237" s="773"/>
      <c r="F237" s="775">
        <v>6600</v>
      </c>
      <c r="G237" s="773"/>
      <c r="H237" s="775">
        <v>145000</v>
      </c>
      <c r="I237" s="775">
        <f t="shared" si="23"/>
        <v>-16043.962469575279</v>
      </c>
      <c r="J237" s="775">
        <f t="shared" si="25"/>
        <v>-2689700.3961860174</v>
      </c>
      <c r="L237" s="777">
        <f t="shared" si="26"/>
        <v>-2662456.433716442</v>
      </c>
      <c r="M237" s="781">
        <f t="shared" si="27"/>
        <v>-16043.962469575279</v>
      </c>
    </row>
    <row r="238" spans="2:13">
      <c r="B238" s="773" t="s">
        <v>60</v>
      </c>
      <c r="C238" s="774">
        <f t="shared" si="24"/>
        <v>-2689700.3961860174</v>
      </c>
      <c r="D238" s="775">
        <v>-174000</v>
      </c>
      <c r="E238" s="773"/>
      <c r="F238" s="775">
        <v>6600</v>
      </c>
      <c r="G238" s="773"/>
      <c r="H238" s="775">
        <v>145000</v>
      </c>
      <c r="I238" s="775">
        <f t="shared" si="23"/>
        <v>-16275.625787416941</v>
      </c>
      <c r="J238" s="775">
        <f t="shared" si="25"/>
        <v>-2728376.0219734344</v>
      </c>
      <c r="L238" s="777">
        <f t="shared" si="26"/>
        <v>-2700900.3961860174</v>
      </c>
      <c r="M238" s="781">
        <f t="shared" si="27"/>
        <v>-16275.625787416941</v>
      </c>
    </row>
    <row r="239" spans="2:13">
      <c r="B239" s="773" t="s">
        <v>49</v>
      </c>
      <c r="C239" s="774">
        <f t="shared" si="24"/>
        <v>-2728376.0219734344</v>
      </c>
      <c r="D239" s="775">
        <v>-174000</v>
      </c>
      <c r="E239" s="773"/>
      <c r="F239" s="775">
        <v>6600</v>
      </c>
      <c r="G239" s="773"/>
      <c r="H239" s="775">
        <v>145000</v>
      </c>
      <c r="I239" s="775">
        <f t="shared" si="23"/>
        <v>-16508.685108411915</v>
      </c>
      <c r="J239" s="775">
        <f t="shared" si="25"/>
        <v>-2767284.7070818464</v>
      </c>
      <c r="L239" s="777">
        <f t="shared" si="26"/>
        <v>-2739576.0219734344</v>
      </c>
      <c r="M239" s="781">
        <f t="shared" si="27"/>
        <v>-16508.685108411915</v>
      </c>
    </row>
    <row r="240" spans="2:13">
      <c r="B240" s="773" t="s">
        <v>50</v>
      </c>
      <c r="C240" s="774">
        <f t="shared" si="24"/>
        <v>-2767284.7070818464</v>
      </c>
      <c r="D240" s="775">
        <v>-174000</v>
      </c>
      <c r="E240" s="773"/>
      <c r="F240" s="775">
        <v>6600</v>
      </c>
      <c r="G240" s="773"/>
      <c r="H240" s="775">
        <v>145000</v>
      </c>
      <c r="I240" s="775">
        <f t="shared" si="23"/>
        <v>-16743.148844875206</v>
      </c>
      <c r="J240" s="775">
        <f t="shared" si="25"/>
        <v>-2806427.8559267218</v>
      </c>
      <c r="L240" s="777">
        <f t="shared" si="26"/>
        <v>-2778484.7070818464</v>
      </c>
      <c r="M240" s="781">
        <f t="shared" si="27"/>
        <v>-16743.148844875206</v>
      </c>
    </row>
    <row r="241" spans="2:13">
      <c r="B241" s="773" t="s">
        <v>51</v>
      </c>
      <c r="C241" s="774">
        <f t="shared" si="24"/>
        <v>-2806427.8559267218</v>
      </c>
      <c r="D241" s="775">
        <v>-174000</v>
      </c>
      <c r="E241" s="773"/>
      <c r="F241" s="775">
        <v>6600</v>
      </c>
      <c r="G241" s="773"/>
      <c r="H241" s="775">
        <v>145000</v>
      </c>
      <c r="I241" s="775">
        <f t="shared" si="23"/>
        <v>-16979.025459814427</v>
      </c>
      <c r="J241" s="775">
        <f t="shared" si="25"/>
        <v>-2845806.8813865362</v>
      </c>
      <c r="L241" s="777">
        <f t="shared" si="26"/>
        <v>-2817627.8559267218</v>
      </c>
      <c r="M241" s="781">
        <f t="shared" si="27"/>
        <v>-16979.025459814427</v>
      </c>
    </row>
    <row r="242" spans="2:13">
      <c r="B242" s="773" t="s">
        <v>52</v>
      </c>
      <c r="C242" s="774">
        <f t="shared" si="24"/>
        <v>-2845806.8813865362</v>
      </c>
      <c r="D242" s="775">
        <v>-174000</v>
      </c>
      <c r="E242" s="773"/>
      <c r="F242" s="775">
        <v>6600</v>
      </c>
      <c r="G242" s="773"/>
      <c r="H242" s="775">
        <v>145000</v>
      </c>
      <c r="I242" s="775">
        <f t="shared" si="23"/>
        <v>-17216.323467235266</v>
      </c>
      <c r="J242" s="775">
        <f t="shared" si="25"/>
        <v>-2885423.2048537713</v>
      </c>
      <c r="L242" s="777">
        <f t="shared" si="26"/>
        <v>-2857006.8813865362</v>
      </c>
      <c r="M242" s="781">
        <f t="shared" si="27"/>
        <v>-17216.323467235266</v>
      </c>
    </row>
    <row r="243" spans="2:13">
      <c r="B243" s="773" t="s">
        <v>53</v>
      </c>
      <c r="C243" s="774">
        <f t="shared" si="24"/>
        <v>-2885423.2048537713</v>
      </c>
      <c r="D243" s="775">
        <v>-174000</v>
      </c>
      <c r="E243" s="773"/>
      <c r="F243" s="775">
        <v>6600</v>
      </c>
      <c r="G243" s="773"/>
      <c r="H243" s="775">
        <v>145000</v>
      </c>
      <c r="I243" s="775">
        <f t="shared" si="23"/>
        <v>-17455.051432448825</v>
      </c>
      <c r="J243" s="775">
        <f t="shared" si="25"/>
        <v>-2925278.2562862202</v>
      </c>
      <c r="L243" s="777">
        <f t="shared" si="26"/>
        <v>-2896623.2048537713</v>
      </c>
      <c r="M243" s="781">
        <f t="shared" si="27"/>
        <v>-17455.051432448825</v>
      </c>
    </row>
    <row r="244" spans="2:13">
      <c r="B244" s="773" t="s">
        <v>54</v>
      </c>
      <c r="C244" s="774">
        <f t="shared" si="24"/>
        <v>-2925278.2562862202</v>
      </c>
      <c r="D244" s="775">
        <v>-174000</v>
      </c>
      <c r="E244" s="773"/>
      <c r="F244" s="775">
        <v>6600</v>
      </c>
      <c r="G244" s="773"/>
      <c r="H244" s="775">
        <v>145000</v>
      </c>
      <c r="I244" s="775">
        <f t="shared" si="23"/>
        <v>-17695.217972380764</v>
      </c>
      <c r="J244" s="775">
        <f t="shared" si="25"/>
        <v>-2965373.4742586007</v>
      </c>
      <c r="L244" s="777">
        <f t="shared" si="26"/>
        <v>-2936478.2562862202</v>
      </c>
      <c r="M244" s="781">
        <f t="shared" si="27"/>
        <v>-17695.217972380764</v>
      </c>
    </row>
    <row r="245" spans="2:13">
      <c r="B245" s="773" t="s">
        <v>55</v>
      </c>
      <c r="C245" s="774">
        <f t="shared" si="24"/>
        <v>-2965373.4742586007</v>
      </c>
      <c r="D245" s="775">
        <v>-174000</v>
      </c>
      <c r="E245" s="773"/>
      <c r="F245" s="775">
        <v>6600</v>
      </c>
      <c r="G245" s="773"/>
      <c r="H245" s="775">
        <v>145000</v>
      </c>
      <c r="I245" s="775">
        <f t="shared" si="23"/>
        <v>-17936.831755882329</v>
      </c>
      <c r="J245" s="775">
        <f t="shared" si="25"/>
        <v>-3005710.3060144829</v>
      </c>
      <c r="L245" s="777">
        <f t="shared" si="26"/>
        <v>-2976573.4742586007</v>
      </c>
      <c r="M245" s="781">
        <f t="shared" si="27"/>
        <v>-17936.831755882329</v>
      </c>
    </row>
    <row r="246" spans="2:13">
      <c r="B246" s="773" t="s">
        <v>56</v>
      </c>
      <c r="C246" s="774">
        <f t="shared" si="24"/>
        <v>-3005710.3060144829</v>
      </c>
      <c r="D246" s="775">
        <v>-174000</v>
      </c>
      <c r="E246" s="773"/>
      <c r="F246" s="775">
        <v>6600</v>
      </c>
      <c r="G246" s="773"/>
      <c r="H246" s="775">
        <v>145000</v>
      </c>
      <c r="I246" s="775">
        <f t="shared" si="23"/>
        <v>-18179.901504043275</v>
      </c>
      <c r="J246" s="775">
        <f t="shared" si="25"/>
        <v>-3046290.2075185264</v>
      </c>
      <c r="L246" s="777">
        <f t="shared" si="26"/>
        <v>-3016910.3060144829</v>
      </c>
      <c r="M246" s="781">
        <f t="shared" si="27"/>
        <v>-18179.901504043275</v>
      </c>
    </row>
    <row r="247" spans="2:13">
      <c r="B247" s="773" t="s">
        <v>57</v>
      </c>
      <c r="C247" s="774">
        <f t="shared" si="24"/>
        <v>-3046290.2075185264</v>
      </c>
      <c r="D247" s="775">
        <v>-174000</v>
      </c>
      <c r="E247" s="773"/>
      <c r="F247" s="775">
        <v>6600</v>
      </c>
      <c r="G247" s="773"/>
      <c r="H247" s="775">
        <v>145000</v>
      </c>
      <c r="I247" s="775">
        <f t="shared" si="23"/>
        <v>-18424.435990506641</v>
      </c>
      <c r="J247" s="775">
        <f t="shared" si="25"/>
        <v>-3087114.6435090331</v>
      </c>
      <c r="L247" s="777">
        <f t="shared" si="26"/>
        <v>-3057490.2075185264</v>
      </c>
      <c r="M247" s="781">
        <f t="shared" si="27"/>
        <v>-18424.435990506641</v>
      </c>
    </row>
  </sheetData>
  <pageMargins left="0.28000000000000003" right="0.24" top="0.38" bottom="0.4" header="0.25" footer="0.26"/>
  <pageSetup scale="81" orientation="landscape" r:id="rId1"/>
  <headerFooter alignWithMargins="0">
    <oddHeader>&amp;F&amp;RPage &amp;P</oddHeader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8"/>
  <sheetViews>
    <sheetView view="pageBreakPreview" zoomScale="94" zoomScaleNormal="100" zoomScaleSheetLayoutView="94" workbookViewId="0">
      <pane xSplit="2" ySplit="8" topLeftCell="C609" activePane="bottomRight" state="frozen"/>
      <selection activeCell="J178" sqref="J178"/>
      <selection pane="topRight" activeCell="J178" sqref="J178"/>
      <selection pane="bottomLeft" activeCell="J178" sqref="J178"/>
      <selection pane="bottomRight"/>
    </sheetView>
  </sheetViews>
  <sheetFormatPr defaultColWidth="8" defaultRowHeight="12.75"/>
  <cols>
    <col min="1" max="2" width="8" style="810" customWidth="1"/>
    <col min="3" max="3" width="22.28515625" style="811" bestFit="1" customWidth="1"/>
    <col min="4" max="4" width="21.28515625" style="811" bestFit="1" customWidth="1"/>
    <col min="5" max="5" width="18.28515625" style="811" bestFit="1" customWidth="1"/>
    <col min="6" max="6" width="18" style="811" customWidth="1"/>
    <col min="7" max="7" width="12.28515625" style="811" bestFit="1" customWidth="1"/>
    <col min="8" max="8" width="15.5703125" style="811" bestFit="1" customWidth="1"/>
    <col min="9" max="9" width="13.28515625" style="811" bestFit="1" customWidth="1"/>
    <col min="10" max="10" width="11.7109375" style="810" customWidth="1"/>
    <col min="11" max="16384" width="8" style="810"/>
  </cols>
  <sheetData>
    <row r="1" spans="1:10" ht="15.75">
      <c r="A1" s="809" t="s">
        <v>709</v>
      </c>
    </row>
    <row r="2" spans="1:10" ht="15.75">
      <c r="A2" s="809" t="s">
        <v>710</v>
      </c>
    </row>
    <row r="3" spans="1:10">
      <c r="A3" s="810" t="e">
        <f ca="1">CELL("filename")</f>
        <v>#N/A</v>
      </c>
    </row>
    <row r="4" spans="1:10">
      <c r="A4" s="810" t="s">
        <v>711</v>
      </c>
    </row>
    <row r="5" spans="1:10">
      <c r="D5" s="812" t="s">
        <v>712</v>
      </c>
      <c r="E5" s="812" t="s">
        <v>713</v>
      </c>
      <c r="F5" s="812" t="s">
        <v>714</v>
      </c>
      <c r="G5" s="812" t="s">
        <v>715</v>
      </c>
      <c r="H5" s="812" t="s">
        <v>716</v>
      </c>
      <c r="I5" s="812" t="s">
        <v>717</v>
      </c>
    </row>
    <row r="6" spans="1:10">
      <c r="A6" s="813" t="s">
        <v>695</v>
      </c>
      <c r="B6" s="813" t="s">
        <v>83</v>
      </c>
      <c r="C6" s="814" t="s">
        <v>172</v>
      </c>
      <c r="D6" s="814" t="s">
        <v>177</v>
      </c>
      <c r="E6" s="814" t="s">
        <v>192</v>
      </c>
      <c r="F6" s="814" t="s">
        <v>207</v>
      </c>
      <c r="G6" s="814" t="s">
        <v>244</v>
      </c>
      <c r="H6" s="814" t="s">
        <v>718</v>
      </c>
      <c r="I6" s="814" t="s">
        <v>719</v>
      </c>
      <c r="J6" s="813" t="s">
        <v>720</v>
      </c>
    </row>
    <row r="7" spans="1:10">
      <c r="A7" s="813"/>
      <c r="B7" s="813"/>
      <c r="C7" s="812" t="s">
        <v>721</v>
      </c>
      <c r="D7" s="812" t="s">
        <v>722</v>
      </c>
      <c r="E7" s="812" t="s">
        <v>723</v>
      </c>
      <c r="F7" s="812" t="s">
        <v>724</v>
      </c>
      <c r="G7" s="812" t="s">
        <v>725</v>
      </c>
      <c r="H7" s="812" t="s">
        <v>726</v>
      </c>
      <c r="I7" s="812" t="s">
        <v>727</v>
      </c>
    </row>
    <row r="8" spans="1:10">
      <c r="A8" s="815" t="s">
        <v>728</v>
      </c>
      <c r="B8" s="813"/>
      <c r="C8" s="814"/>
      <c r="D8" s="814"/>
      <c r="E8" s="814"/>
      <c r="F8" s="814"/>
      <c r="G8" s="814"/>
      <c r="H8" s="814"/>
      <c r="I8" s="814"/>
    </row>
    <row r="9" spans="1:10" hidden="1">
      <c r="A9" s="816">
        <v>2000</v>
      </c>
      <c r="B9" s="810" t="s">
        <v>57</v>
      </c>
      <c r="C9" s="817">
        <f>SUM(D9:I9)</f>
        <v>-49746.62</v>
      </c>
      <c r="D9" s="811">
        <f>-1862.71-21547.18</f>
        <v>-23409.89</v>
      </c>
      <c r="E9" s="811">
        <f>-1929.84-20496.64</f>
        <v>-22426.48</v>
      </c>
      <c r="F9" s="811">
        <f>-367.98-2574.68</f>
        <v>-2942.66</v>
      </c>
      <c r="G9" s="811">
        <f>-30.96-368.03</f>
        <v>-398.98999999999995</v>
      </c>
      <c r="H9" s="811">
        <v>-551.48</v>
      </c>
      <c r="I9" s="811">
        <v>-17.12</v>
      </c>
    </row>
    <row r="10" spans="1:10" hidden="1">
      <c r="B10" s="810" t="s">
        <v>58</v>
      </c>
      <c r="C10" s="817">
        <f>SUM(D10:I10)</f>
        <v>-155090.97</v>
      </c>
      <c r="D10" s="811">
        <v>-69731.13</v>
      </c>
      <c r="E10" s="811">
        <v>-72522.3</v>
      </c>
      <c r="F10" s="811">
        <v>-11038.74</v>
      </c>
      <c r="G10" s="811">
        <v>-1170.54</v>
      </c>
      <c r="H10" s="811">
        <v>-543.69000000000005</v>
      </c>
      <c r="I10" s="811">
        <v>-84.57</v>
      </c>
    </row>
    <row r="11" spans="1:10" hidden="1">
      <c r="B11" s="810" t="s">
        <v>59</v>
      </c>
      <c r="C11" s="817">
        <f>SUM(D11:I11)</f>
        <v>-164084.78</v>
      </c>
      <c r="D11" s="811">
        <v>-70901.7</v>
      </c>
      <c r="E11" s="811">
        <v>-80069.37</v>
      </c>
      <c r="F11" s="811">
        <v>-11593.89</v>
      </c>
      <c r="G11" s="811">
        <v>-816.3</v>
      </c>
      <c r="H11" s="811">
        <v>-611.36</v>
      </c>
      <c r="I11" s="811">
        <v>-92.16</v>
      </c>
    </row>
    <row r="12" spans="1:10" hidden="1">
      <c r="B12" s="810" t="s">
        <v>60</v>
      </c>
      <c r="C12" s="818">
        <f>SUM(D12:I12)</f>
        <v>-157134.47999999998</v>
      </c>
      <c r="D12" s="819">
        <v>-70209.149999999994</v>
      </c>
      <c r="E12" s="819">
        <v>-74943.899999999994</v>
      </c>
      <c r="F12" s="819">
        <v>-11203.39</v>
      </c>
      <c r="G12" s="819">
        <v>-62.59</v>
      </c>
      <c r="H12" s="819">
        <v>-634.83000000000004</v>
      </c>
      <c r="I12" s="819">
        <v>-80.62</v>
      </c>
    </row>
    <row r="13" spans="1:10" hidden="1">
      <c r="B13" s="810" t="s">
        <v>729</v>
      </c>
      <c r="C13" s="817">
        <f>SUM(D13:I13)</f>
        <v>-526056.85</v>
      </c>
      <c r="D13" s="811">
        <f t="shared" ref="D13:I13" si="0">SUM(D9:D12)</f>
        <v>-234251.87</v>
      </c>
      <c r="E13" s="811">
        <f t="shared" si="0"/>
        <v>-249962.05</v>
      </c>
      <c r="F13" s="811">
        <f t="shared" si="0"/>
        <v>-36778.68</v>
      </c>
      <c r="G13" s="811">
        <f t="shared" si="0"/>
        <v>-2448.42</v>
      </c>
      <c r="H13" s="811">
        <f t="shared" si="0"/>
        <v>-2341.36</v>
      </c>
      <c r="I13" s="811">
        <f t="shared" si="0"/>
        <v>-274.47000000000003</v>
      </c>
    </row>
    <row r="14" spans="1:10" hidden="1">
      <c r="C14" s="817"/>
    </row>
    <row r="15" spans="1:10" hidden="1">
      <c r="A15" s="816">
        <v>2001</v>
      </c>
      <c r="B15" s="810" t="s">
        <v>49</v>
      </c>
      <c r="C15" s="817">
        <f t="shared" ref="C15:C27" si="1">SUM(D15:I15)</f>
        <v>-157395.98000000001</v>
      </c>
      <c r="D15" s="811">
        <v>-69801.13</v>
      </c>
      <c r="E15" s="811">
        <v>-75698.95</v>
      </c>
      <c r="F15" s="811">
        <v>-11143.81</v>
      </c>
      <c r="G15" s="811">
        <v>-41.97</v>
      </c>
      <c r="H15" s="811">
        <v>-617.21</v>
      </c>
      <c r="I15" s="811">
        <v>-92.91</v>
      </c>
    </row>
    <row r="16" spans="1:10" hidden="1">
      <c r="B16" s="810" t="s">
        <v>50</v>
      </c>
      <c r="C16" s="817">
        <f t="shared" si="1"/>
        <v>-154513.18000000002</v>
      </c>
      <c r="D16" s="811">
        <v>-68321.37</v>
      </c>
      <c r="E16" s="811">
        <v>-74585.83</v>
      </c>
      <c r="F16" s="811">
        <v>-10890.97</v>
      </c>
      <c r="G16" s="811">
        <v>-43.95</v>
      </c>
      <c r="H16" s="811">
        <v>-584.98</v>
      </c>
      <c r="I16" s="811">
        <v>-86.08</v>
      </c>
    </row>
    <row r="17" spans="1:9" hidden="1">
      <c r="B17" s="810" t="s">
        <v>51</v>
      </c>
      <c r="C17" s="817">
        <f t="shared" si="1"/>
        <v>-159380.24000000002</v>
      </c>
      <c r="D17" s="811">
        <v>-69655.039999999994</v>
      </c>
      <c r="E17" s="811">
        <v>-77482.210000000006</v>
      </c>
      <c r="F17" s="811">
        <v>-11440.03</v>
      </c>
      <c r="G17" s="811">
        <v>-54.26</v>
      </c>
      <c r="H17" s="811">
        <v>-661.23</v>
      </c>
      <c r="I17" s="811">
        <v>-87.47</v>
      </c>
    </row>
    <row r="18" spans="1:9" hidden="1">
      <c r="B18" s="810" t="s">
        <v>52</v>
      </c>
      <c r="C18" s="817">
        <f t="shared" si="1"/>
        <v>-155632.22</v>
      </c>
      <c r="D18" s="811">
        <f>-68138.89</f>
        <v>-68138.89</v>
      </c>
      <c r="E18" s="811">
        <f>-75973.79+457.8</f>
        <v>-75515.989999999991</v>
      </c>
      <c r="F18" s="811">
        <f>-11212.76</f>
        <v>-11212.76</v>
      </c>
      <c r="G18" s="811">
        <f>-64.25</f>
        <v>-64.25</v>
      </c>
      <c r="H18" s="811">
        <f>-615.02</f>
        <v>-615.02</v>
      </c>
      <c r="I18" s="811">
        <f>-85.31</f>
        <v>-85.31</v>
      </c>
    </row>
    <row r="19" spans="1:9" hidden="1">
      <c r="B19" s="810" t="s">
        <v>53</v>
      </c>
      <c r="C19" s="817">
        <f t="shared" si="1"/>
        <v>-159152.26999999999</v>
      </c>
      <c r="D19" s="811">
        <f>-68359.34</f>
        <v>-68359.34</v>
      </c>
      <c r="E19" s="811">
        <f>-77884.63</f>
        <v>-77884.63</v>
      </c>
      <c r="F19" s="811">
        <f>-11751.66</f>
        <v>-11751.66</v>
      </c>
      <c r="G19" s="811">
        <f>-430.4</f>
        <v>-430.4</v>
      </c>
      <c r="H19" s="811">
        <f>-640.12</f>
        <v>-640.12</v>
      </c>
      <c r="I19" s="811">
        <f>-86.12</f>
        <v>-86.12</v>
      </c>
    </row>
    <row r="20" spans="1:9" hidden="1">
      <c r="B20" s="810" t="s">
        <v>54</v>
      </c>
      <c r="C20" s="817">
        <f t="shared" si="1"/>
        <v>-155511.50000000003</v>
      </c>
      <c r="D20" s="811">
        <f>-68151.52</f>
        <v>-68151.520000000004</v>
      </c>
      <c r="E20" s="811">
        <f>-74559.45</f>
        <v>-74559.45</v>
      </c>
      <c r="F20" s="811">
        <f>-10802.25</f>
        <v>-10802.25</v>
      </c>
      <c r="G20" s="811">
        <f>-1284.2</f>
        <v>-1284.2</v>
      </c>
      <c r="H20" s="811">
        <f>-622.19</f>
        <v>-622.19000000000005</v>
      </c>
      <c r="I20" s="811">
        <f>-91.89</f>
        <v>-91.89</v>
      </c>
    </row>
    <row r="21" spans="1:9" hidden="1">
      <c r="B21" s="810" t="s">
        <v>55</v>
      </c>
      <c r="C21" s="817">
        <f t="shared" si="1"/>
        <v>-150459.75</v>
      </c>
      <c r="D21" s="811">
        <f>-68056.29</f>
        <v>-68056.289999999994</v>
      </c>
      <c r="E21" s="811">
        <f>-78122.57</f>
        <v>-78122.570000000007</v>
      </c>
      <c r="F21" s="811">
        <f>-11525.31+9366.69</f>
        <v>-2158.619999999999</v>
      </c>
      <c r="G21" s="811">
        <f>-1382.65</f>
        <v>-1382.65</v>
      </c>
      <c r="H21" s="811">
        <f>-647.73</f>
        <v>-647.73</v>
      </c>
      <c r="I21" s="811">
        <f>-91.89</f>
        <v>-91.89</v>
      </c>
    </row>
    <row r="22" spans="1:9" hidden="1">
      <c r="B22" s="810" t="s">
        <v>56</v>
      </c>
      <c r="C22" s="817">
        <f t="shared" si="1"/>
        <v>-159203.79999999999</v>
      </c>
      <c r="D22" s="811">
        <f>-68678.04</f>
        <v>-68678.039999999994</v>
      </c>
      <c r="E22" s="811">
        <f>-76979.41</f>
        <v>-76979.41</v>
      </c>
      <c r="F22" s="811">
        <f>-11451.56</f>
        <v>-11451.56</v>
      </c>
      <c r="G22" s="811">
        <f>-1370.05</f>
        <v>-1370.05</v>
      </c>
      <c r="H22" s="811">
        <f>-631.77</f>
        <v>-631.77</v>
      </c>
      <c r="I22" s="811">
        <f>-92.97</f>
        <v>-92.97</v>
      </c>
    </row>
    <row r="23" spans="1:9" hidden="1">
      <c r="B23" s="810" t="s">
        <v>57</v>
      </c>
      <c r="C23" s="817">
        <f t="shared" si="1"/>
        <v>-159673.66999999998</v>
      </c>
      <c r="D23" s="811">
        <f>-68122.61</f>
        <v>-68122.61</v>
      </c>
      <c r="E23" s="811">
        <f>-78396.42+594.88</f>
        <v>-77801.539999999994</v>
      </c>
      <c r="F23" s="811">
        <f>-11632.99</f>
        <v>-11632.99</v>
      </c>
      <c r="G23" s="811">
        <f>-1362.26</f>
        <v>-1362.26</v>
      </c>
      <c r="H23" s="811">
        <f>-662.11</f>
        <v>-662.11</v>
      </c>
      <c r="I23" s="811">
        <f>-92.16</f>
        <v>-92.16</v>
      </c>
    </row>
    <row r="24" spans="1:9" hidden="1">
      <c r="B24" s="810" t="s">
        <v>58</v>
      </c>
      <c r="C24" s="817">
        <f t="shared" si="1"/>
        <v>-159560.14000000001</v>
      </c>
      <c r="D24" s="811">
        <f>-69025.97</f>
        <v>-69025.97</v>
      </c>
      <c r="E24" s="811">
        <f>-76729.66</f>
        <v>-76729.66</v>
      </c>
      <c r="F24" s="811">
        <f>-11617.76</f>
        <v>-11617.76</v>
      </c>
      <c r="G24" s="811">
        <f>-1242.8</f>
        <v>-1242.8</v>
      </c>
      <c r="H24" s="811">
        <f>-853.41</f>
        <v>-853.41</v>
      </c>
      <c r="I24" s="811">
        <f>-90.54</f>
        <v>-90.54</v>
      </c>
    </row>
    <row r="25" spans="1:9" hidden="1">
      <c r="B25" s="810" t="s">
        <v>59</v>
      </c>
      <c r="C25" s="817">
        <f t="shared" si="1"/>
        <v>-160988.94</v>
      </c>
      <c r="D25" s="811">
        <v>-68541.320000000007</v>
      </c>
      <c r="E25" s="811">
        <v>-78775.460000000006</v>
      </c>
      <c r="F25" s="811">
        <v>-11703.81</v>
      </c>
      <c r="G25" s="811">
        <v>-893.65</v>
      </c>
      <c r="H25" s="811">
        <v>-976.52</v>
      </c>
      <c r="I25" s="811">
        <v>-98.18</v>
      </c>
    </row>
    <row r="26" spans="1:9" hidden="1">
      <c r="B26" s="810" t="s">
        <v>60</v>
      </c>
      <c r="C26" s="818">
        <f t="shared" si="1"/>
        <v>-148605.51999999999</v>
      </c>
      <c r="D26" s="819">
        <v>-65061.66</v>
      </c>
      <c r="E26" s="819">
        <f>-71613.46+0.63</f>
        <v>-71612.83</v>
      </c>
      <c r="F26" s="819">
        <v>-10868.53</v>
      </c>
      <c r="G26" s="819">
        <v>-72.97</v>
      </c>
      <c r="H26" s="819">
        <v>-908.91</v>
      </c>
      <c r="I26" s="819">
        <v>-80.62</v>
      </c>
    </row>
    <row r="27" spans="1:9" hidden="1">
      <c r="B27" s="810" t="s">
        <v>729</v>
      </c>
      <c r="C27" s="817">
        <f t="shared" si="1"/>
        <v>-1880077.2099999997</v>
      </c>
      <c r="D27" s="811">
        <f t="shared" ref="D27:I27" si="2">SUM(D15:D26)</f>
        <v>-819913.18</v>
      </c>
      <c r="E27" s="811">
        <f t="shared" si="2"/>
        <v>-915748.53</v>
      </c>
      <c r="F27" s="811">
        <f t="shared" si="2"/>
        <v>-126674.74999999999</v>
      </c>
      <c r="G27" s="811">
        <f t="shared" si="2"/>
        <v>-8243.41</v>
      </c>
      <c r="H27" s="811">
        <f t="shared" si="2"/>
        <v>-8421.1999999999989</v>
      </c>
      <c r="I27" s="811">
        <f t="shared" si="2"/>
        <v>-1076.1399999999999</v>
      </c>
    </row>
    <row r="28" spans="1:9" hidden="1">
      <c r="C28" s="817"/>
    </row>
    <row r="29" spans="1:9" hidden="1">
      <c r="A29" s="816">
        <v>2002</v>
      </c>
      <c r="B29" s="810" t="s">
        <v>49</v>
      </c>
      <c r="C29" s="817">
        <f>SUM(D29:J29)</f>
        <v>-167389.08999999997</v>
      </c>
      <c r="D29" s="811">
        <v>-72031.64</v>
      </c>
      <c r="E29" s="811">
        <f>-82925.42+602.82</f>
        <v>-82322.599999999991</v>
      </c>
      <c r="F29" s="811">
        <v>-11844.84</v>
      </c>
      <c r="G29" s="811">
        <v>-41.5</v>
      </c>
      <c r="H29" s="811">
        <v>-1044.1500000000001</v>
      </c>
      <c r="I29" s="811">
        <v>-104.36</v>
      </c>
    </row>
    <row r="30" spans="1:9" hidden="1">
      <c r="B30" s="810" t="s">
        <v>50</v>
      </c>
      <c r="C30" s="817">
        <f t="shared" ref="C30:C40" si="3">SUM(D30:J30)</f>
        <v>-164721.43000000002</v>
      </c>
      <c r="D30" s="811">
        <v>-69443.37</v>
      </c>
      <c r="E30" s="811">
        <v>-81854.100000000006</v>
      </c>
      <c r="F30" s="811">
        <v>-12277.26</v>
      </c>
      <c r="G30" s="811">
        <v>-43.71</v>
      </c>
      <c r="H30" s="811">
        <v>-1010.51</v>
      </c>
      <c r="I30" s="811">
        <v>-92.48</v>
      </c>
    </row>
    <row r="31" spans="1:9" hidden="1">
      <c r="B31" s="810" t="s">
        <v>51</v>
      </c>
      <c r="C31" s="817">
        <f t="shared" si="3"/>
        <v>-160253.21</v>
      </c>
      <c r="D31" s="811">
        <v>-68539.92</v>
      </c>
      <c r="E31" s="811">
        <v>-78938.69</v>
      </c>
      <c r="F31" s="811">
        <v>-11597.68</v>
      </c>
      <c r="G31" s="811">
        <v>-63.17</v>
      </c>
      <c r="H31" s="811">
        <v>-1022.18</v>
      </c>
      <c r="I31" s="811">
        <v>-91.57</v>
      </c>
    </row>
    <row r="32" spans="1:9" hidden="1">
      <c r="B32" s="810" t="s">
        <v>52</v>
      </c>
      <c r="C32" s="817">
        <f t="shared" si="3"/>
        <v>-159303.25000000003</v>
      </c>
      <c r="D32" s="811">
        <v>-68705.91</v>
      </c>
      <c r="E32" s="811">
        <f>-77954.59-1.16</f>
        <v>-77955.75</v>
      </c>
      <c r="F32" s="811">
        <v>-11376.67</v>
      </c>
      <c r="G32" s="811">
        <v>-126.04</v>
      </c>
      <c r="H32" s="811">
        <v>-1047.68</v>
      </c>
      <c r="I32" s="811">
        <v>-91.2</v>
      </c>
    </row>
    <row r="33" spans="1:10" hidden="1">
      <c r="B33" s="810" t="s">
        <v>53</v>
      </c>
      <c r="C33" s="817">
        <f t="shared" si="3"/>
        <v>-162806.68999999997</v>
      </c>
      <c r="D33" s="811">
        <v>-69403.41</v>
      </c>
      <c r="E33" s="811">
        <f>-82420.37+2656.42</f>
        <v>-79763.95</v>
      </c>
      <c r="F33" s="811">
        <v>-11994.55</v>
      </c>
      <c r="G33" s="811">
        <v>-489.07</v>
      </c>
      <c r="H33" s="811">
        <v>-1064.4000000000001</v>
      </c>
      <c r="I33" s="811">
        <v>-91.19</v>
      </c>
      <c r="J33" s="811">
        <v>-0.12</v>
      </c>
    </row>
    <row r="34" spans="1:10" hidden="1">
      <c r="B34" s="810" t="s">
        <v>54</v>
      </c>
      <c r="C34" s="817">
        <f t="shared" si="3"/>
        <v>-160707.19999999998</v>
      </c>
      <c r="D34" s="811">
        <v>-68473.179999999993</v>
      </c>
      <c r="E34" s="811">
        <f>-78229.83+168.57</f>
        <v>-78061.259999999995</v>
      </c>
      <c r="F34" s="811">
        <v>-11791.8</v>
      </c>
      <c r="G34" s="811">
        <v>-1344.11</v>
      </c>
      <c r="H34" s="811">
        <v>-948.69</v>
      </c>
      <c r="I34" s="811">
        <v>-87.73</v>
      </c>
      <c r="J34" s="811">
        <v>-0.43</v>
      </c>
    </row>
    <row r="35" spans="1:10" hidden="1">
      <c r="B35" s="810" t="s">
        <v>55</v>
      </c>
      <c r="C35" s="817">
        <f t="shared" si="3"/>
        <v>-165340.01999999999</v>
      </c>
      <c r="D35" s="811">
        <v>-70364.350000000006</v>
      </c>
      <c r="E35" s="811">
        <f>-80943.77+156.18</f>
        <v>-80787.590000000011</v>
      </c>
      <c r="F35" s="811">
        <v>-11599.34</v>
      </c>
      <c r="G35" s="811">
        <v>-1443.28</v>
      </c>
      <c r="H35" s="811">
        <v>-1054.43</v>
      </c>
      <c r="I35" s="811">
        <v>-90.76</v>
      </c>
      <c r="J35" s="811">
        <v>-0.27</v>
      </c>
    </row>
    <row r="36" spans="1:10" hidden="1">
      <c r="B36" s="810" t="s">
        <v>56</v>
      </c>
      <c r="C36" s="817">
        <f t="shared" si="3"/>
        <v>-145713.58999999997</v>
      </c>
      <c r="D36" s="811">
        <v>-69941.78</v>
      </c>
      <c r="E36" s="811">
        <f>-79915.7+17869.89</f>
        <v>-62045.81</v>
      </c>
      <c r="F36" s="811">
        <v>-11258.68</v>
      </c>
      <c r="G36" s="811">
        <v>-1415.44</v>
      </c>
      <c r="H36" s="811">
        <v>-972.61</v>
      </c>
      <c r="I36" s="811">
        <v>-79.27</v>
      </c>
      <c r="J36" s="810">
        <v>0</v>
      </c>
    </row>
    <row r="37" spans="1:10" hidden="1">
      <c r="B37" s="810" t="s">
        <v>57</v>
      </c>
      <c r="C37" s="817">
        <f t="shared" si="3"/>
        <v>-165301.5</v>
      </c>
      <c r="D37" s="811">
        <v>-70007.78</v>
      </c>
      <c r="E37" s="811">
        <v>-81081.84</v>
      </c>
      <c r="F37" s="811">
        <v>-11711.7</v>
      </c>
      <c r="G37" s="811">
        <v>-1354.55</v>
      </c>
      <c r="H37" s="811">
        <v>-1041.81</v>
      </c>
      <c r="I37" s="811">
        <v>-103.38</v>
      </c>
      <c r="J37" s="811">
        <v>-0.44</v>
      </c>
    </row>
    <row r="38" spans="1:10" hidden="1">
      <c r="B38" s="810" t="s">
        <v>58</v>
      </c>
      <c r="C38" s="817">
        <f t="shared" si="3"/>
        <v>-163272.95999999999</v>
      </c>
      <c r="D38" s="811">
        <v>-69895.839999999997</v>
      </c>
      <c r="E38" s="811">
        <v>-79353.61</v>
      </c>
      <c r="F38" s="811">
        <v>-11560.37</v>
      </c>
      <c r="G38" s="811">
        <v>-1336.87</v>
      </c>
      <c r="H38" s="811">
        <v>-1039.8599999999999</v>
      </c>
      <c r="I38" s="811">
        <v>-86.14</v>
      </c>
      <c r="J38" s="811">
        <v>-0.27</v>
      </c>
    </row>
    <row r="39" spans="1:10" hidden="1">
      <c r="B39" s="810" t="s">
        <v>59</v>
      </c>
      <c r="C39" s="817">
        <f t="shared" si="3"/>
        <v>-165975.41000000003</v>
      </c>
      <c r="D39" s="811">
        <v>-70649.45</v>
      </c>
      <c r="E39" s="811">
        <v>-81316.63</v>
      </c>
      <c r="F39" s="811">
        <v>-11927.25</v>
      </c>
      <c r="G39" s="811">
        <v>-923.64</v>
      </c>
      <c r="H39" s="811">
        <v>-1060.94</v>
      </c>
      <c r="I39" s="811">
        <v>-97.61</v>
      </c>
      <c r="J39" s="810">
        <v>0.11</v>
      </c>
    </row>
    <row r="40" spans="1:10" hidden="1">
      <c r="B40" s="810" t="s">
        <v>60</v>
      </c>
      <c r="C40" s="818">
        <f t="shared" si="3"/>
        <v>-162213.44</v>
      </c>
      <c r="D40" s="819">
        <v>-70021.03</v>
      </c>
      <c r="E40" s="819">
        <v>-79521.14</v>
      </c>
      <c r="F40" s="819">
        <v>-11423.78</v>
      </c>
      <c r="G40" s="819">
        <v>-135.72999999999999</v>
      </c>
      <c r="H40" s="819">
        <v>-1019.6</v>
      </c>
      <c r="I40" s="819">
        <v>-91.89</v>
      </c>
      <c r="J40" s="820">
        <v>-0.27</v>
      </c>
    </row>
    <row r="41" spans="1:10" hidden="1">
      <c r="B41" s="810" t="s">
        <v>729</v>
      </c>
      <c r="C41" s="817">
        <f>SUM(D41:J41)</f>
        <v>-1942997.79</v>
      </c>
      <c r="D41" s="811">
        <f t="shared" ref="D41:J41" si="4">SUM(D29:D40)</f>
        <v>-837477.66</v>
      </c>
      <c r="E41" s="811">
        <f t="shared" si="4"/>
        <v>-943002.97</v>
      </c>
      <c r="F41" s="811">
        <f t="shared" si="4"/>
        <v>-140363.92000000001</v>
      </c>
      <c r="G41" s="811">
        <f t="shared" si="4"/>
        <v>-8717.1099999999988</v>
      </c>
      <c r="H41" s="811">
        <f t="shared" si="4"/>
        <v>-12326.860000000002</v>
      </c>
      <c r="I41" s="811">
        <f t="shared" si="4"/>
        <v>-1107.58</v>
      </c>
      <c r="J41" s="811">
        <f t="shared" si="4"/>
        <v>-1.69</v>
      </c>
    </row>
    <row r="42" spans="1:10" hidden="1">
      <c r="C42" s="817"/>
      <c r="J42" s="811"/>
    </row>
    <row r="43" spans="1:10" hidden="1">
      <c r="A43" s="810">
        <v>2003</v>
      </c>
      <c r="B43" s="810" t="s">
        <v>49</v>
      </c>
      <c r="C43" s="817">
        <f t="shared" ref="C43:C54" si="5">SUM(D43:J43)</f>
        <v>-165297.97</v>
      </c>
      <c r="D43" s="811">
        <v>-71429.77</v>
      </c>
      <c r="E43" s="811">
        <v>-81243.94</v>
      </c>
      <c r="F43" s="811">
        <v>-11350.69</v>
      </c>
      <c r="G43" s="811">
        <v>-51.11</v>
      </c>
      <c r="H43" s="811">
        <v>-1119.78</v>
      </c>
      <c r="I43" s="811">
        <v>-102.41</v>
      </c>
      <c r="J43" s="811">
        <v>-0.27</v>
      </c>
    </row>
    <row r="44" spans="1:10" hidden="1">
      <c r="B44" s="810" t="s">
        <v>50</v>
      </c>
      <c r="C44" s="817">
        <f t="shared" si="5"/>
        <v>-164645.09</v>
      </c>
      <c r="D44" s="811">
        <v>-70112.44</v>
      </c>
      <c r="E44" s="811">
        <v>-81391.839999999997</v>
      </c>
      <c r="F44" s="811">
        <f>-12031.7</f>
        <v>-12031.7</v>
      </c>
      <c r="G44" s="811">
        <v>-67.849999999999994</v>
      </c>
      <c r="H44" s="811">
        <v>-955.4</v>
      </c>
      <c r="I44" s="811">
        <v>-85.59</v>
      </c>
      <c r="J44" s="811">
        <v>-0.27</v>
      </c>
    </row>
    <row r="45" spans="1:10" hidden="1">
      <c r="B45" s="810" t="s">
        <v>51</v>
      </c>
      <c r="C45" s="817">
        <f t="shared" si="5"/>
        <v>-162639.47</v>
      </c>
      <c r="D45" s="811">
        <v>-70008.03</v>
      </c>
      <c r="E45" s="811">
        <v>-79853.37</v>
      </c>
      <c r="F45" s="811">
        <v>-11560.17</v>
      </c>
      <c r="G45" s="811">
        <v>-64.17</v>
      </c>
      <c r="H45" s="811">
        <v>-1055.5899999999999</v>
      </c>
      <c r="I45" s="811">
        <v>-97.87</v>
      </c>
      <c r="J45" s="811">
        <v>-0.27</v>
      </c>
    </row>
    <row r="46" spans="1:10" hidden="1">
      <c r="B46" s="810" t="s">
        <v>52</v>
      </c>
      <c r="C46" s="817">
        <f t="shared" si="5"/>
        <v>-162386.75999999998</v>
      </c>
      <c r="D46" s="811">
        <v>-69413.81</v>
      </c>
      <c r="E46" s="811">
        <v>-79877.66</v>
      </c>
      <c r="F46" s="811">
        <f>-11800.72</f>
        <v>-11800.72</v>
      </c>
      <c r="G46" s="811">
        <v>-157.69</v>
      </c>
      <c r="H46" s="811">
        <v>-1048.05</v>
      </c>
      <c r="I46" s="811">
        <v>-91.46</v>
      </c>
      <c r="J46" s="811">
        <v>2.63</v>
      </c>
    </row>
    <row r="47" spans="1:10" hidden="1">
      <c r="B47" s="810" t="s">
        <v>53</v>
      </c>
      <c r="C47" s="817">
        <f t="shared" si="5"/>
        <v>-162320.03</v>
      </c>
      <c r="D47" s="811">
        <v>-70058.77</v>
      </c>
      <c r="E47" s="811">
        <v>-79426.77</v>
      </c>
      <c r="F47" s="811">
        <v>-11206.72</v>
      </c>
      <c r="G47" s="811">
        <v>-542.73</v>
      </c>
      <c r="H47" s="811">
        <v>-987.43</v>
      </c>
      <c r="I47" s="811">
        <v>-97.61</v>
      </c>
      <c r="J47" s="811">
        <v>0</v>
      </c>
    </row>
    <row r="48" spans="1:10" hidden="1">
      <c r="B48" s="810" t="s">
        <v>54</v>
      </c>
      <c r="C48" s="817">
        <f t="shared" si="5"/>
        <v>-164132.22</v>
      </c>
      <c r="D48" s="811">
        <v>-70176.45</v>
      </c>
      <c r="E48" s="811">
        <v>-79741.119999999995</v>
      </c>
      <c r="F48" s="811">
        <v>-11676.01</v>
      </c>
      <c r="G48" s="811">
        <v>-1393.09</v>
      </c>
      <c r="H48" s="811">
        <v>-1041.05</v>
      </c>
      <c r="I48" s="811">
        <v>-104.5</v>
      </c>
      <c r="J48" s="811">
        <v>0</v>
      </c>
    </row>
    <row r="49" spans="1:10" hidden="1">
      <c r="B49" s="810" t="s">
        <v>55</v>
      </c>
      <c r="C49" s="817">
        <f t="shared" si="5"/>
        <v>-167563.44999999998</v>
      </c>
      <c r="D49" s="811">
        <v>-71896.75</v>
      </c>
      <c r="E49" s="811">
        <v>-81411.48</v>
      </c>
      <c r="F49" s="811">
        <v>-11643.99</v>
      </c>
      <c r="G49" s="811">
        <v>-1483.79</v>
      </c>
      <c r="H49" s="811">
        <v>-1023.9</v>
      </c>
      <c r="I49" s="811">
        <v>-103.54</v>
      </c>
      <c r="J49" s="811"/>
    </row>
    <row r="50" spans="1:10" hidden="1">
      <c r="B50" s="810" t="s">
        <v>56</v>
      </c>
      <c r="C50" s="817">
        <f t="shared" si="5"/>
        <v>-163024.75999999998</v>
      </c>
      <c r="D50" s="811">
        <v>-70752.92</v>
      </c>
      <c r="E50" s="811">
        <v>-78358</v>
      </c>
      <c r="F50" s="811">
        <v>-11264.28</v>
      </c>
      <c r="G50" s="811">
        <v>-1457.15</v>
      </c>
      <c r="H50" s="811">
        <v>-1094.7</v>
      </c>
      <c r="I50" s="811">
        <v>-97.71</v>
      </c>
      <c r="J50" s="811">
        <v>0</v>
      </c>
    </row>
    <row r="51" spans="1:10" hidden="1">
      <c r="B51" s="810" t="s">
        <v>57</v>
      </c>
      <c r="C51" s="817">
        <f t="shared" si="5"/>
        <v>-173356.6</v>
      </c>
      <c r="D51" s="811">
        <v>-72679.22</v>
      </c>
      <c r="E51" s="811">
        <v>-85530.07</v>
      </c>
      <c r="F51" s="811">
        <v>-12407.64</v>
      </c>
      <c r="G51" s="811">
        <v>-1459.47</v>
      </c>
      <c r="H51" s="811">
        <v>-1188.79</v>
      </c>
      <c r="I51" s="811">
        <v>-91.41</v>
      </c>
      <c r="J51" s="811"/>
    </row>
    <row r="52" spans="1:10" hidden="1">
      <c r="B52" s="810" t="s">
        <v>58</v>
      </c>
      <c r="C52" s="817">
        <f t="shared" si="5"/>
        <v>-164424.14000000001</v>
      </c>
      <c r="D52" s="811">
        <v>-70998.880000000005</v>
      </c>
      <c r="E52" s="811">
        <v>-79848.2</v>
      </c>
      <c r="F52" s="811">
        <f>-11143.3</f>
        <v>-11143.3</v>
      </c>
      <c r="G52" s="811">
        <v>-1346.98</v>
      </c>
      <c r="H52" s="811">
        <v>-996.45</v>
      </c>
      <c r="I52" s="811">
        <v>-90.87</v>
      </c>
      <c r="J52" s="811">
        <v>0.54</v>
      </c>
    </row>
    <row r="53" spans="1:10" hidden="1">
      <c r="B53" s="810" t="s">
        <v>59</v>
      </c>
      <c r="C53" s="817">
        <f t="shared" si="5"/>
        <v>-167928.2</v>
      </c>
      <c r="D53" s="811">
        <v>-72514.990000000005</v>
      </c>
      <c r="E53" s="811">
        <v>-81858.490000000005</v>
      </c>
      <c r="F53" s="811">
        <v>-11505.85</v>
      </c>
      <c r="G53" s="811">
        <v>-890.74</v>
      </c>
      <c r="H53" s="811">
        <v>-1042.26</v>
      </c>
      <c r="I53" s="811">
        <v>-115.87</v>
      </c>
      <c r="J53" s="811"/>
    </row>
    <row r="54" spans="1:10" hidden="1">
      <c r="B54" s="810" t="s">
        <v>60</v>
      </c>
      <c r="C54" s="817">
        <f t="shared" si="5"/>
        <v>-165253.16</v>
      </c>
      <c r="D54" s="811">
        <v>-71221.759999999995</v>
      </c>
      <c r="E54" s="811">
        <v>-81393.06</v>
      </c>
      <c r="F54" s="811">
        <v>-11447.24</v>
      </c>
      <c r="G54" s="811">
        <v>-91.14</v>
      </c>
      <c r="H54" s="811">
        <v>-1020.77</v>
      </c>
      <c r="I54" s="811">
        <v>-79.19</v>
      </c>
      <c r="J54" s="811"/>
    </row>
    <row r="55" spans="1:10" hidden="1">
      <c r="B55" s="810" t="s">
        <v>729</v>
      </c>
      <c r="C55" s="817">
        <f>SUM(D55:J55)</f>
        <v>-1982971.8499999999</v>
      </c>
      <c r="D55" s="811">
        <f t="shared" ref="D55:J55" si="6">SUM(D43:D54)</f>
        <v>-851263.79</v>
      </c>
      <c r="E55" s="811">
        <f t="shared" si="6"/>
        <v>-969934</v>
      </c>
      <c r="F55" s="811">
        <f t="shared" si="6"/>
        <v>-139038.31</v>
      </c>
      <c r="G55" s="811">
        <f t="shared" si="6"/>
        <v>-9005.91</v>
      </c>
      <c r="H55" s="811">
        <f t="shared" si="6"/>
        <v>-12574.17</v>
      </c>
      <c r="I55" s="811">
        <f t="shared" si="6"/>
        <v>-1158.0300000000002</v>
      </c>
      <c r="J55" s="811">
        <f t="shared" si="6"/>
        <v>2.36</v>
      </c>
    </row>
    <row r="56" spans="1:10" hidden="1">
      <c r="C56" s="817"/>
      <c r="J56" s="811"/>
    </row>
    <row r="57" spans="1:10" hidden="1">
      <c r="A57" s="810">
        <v>2004</v>
      </c>
      <c r="B57" s="810" t="s">
        <v>49</v>
      </c>
      <c r="C57" s="817">
        <f t="shared" ref="C57:C68" si="7">SUM(D57:J57)</f>
        <v>-167262.65</v>
      </c>
      <c r="D57" s="811">
        <v>-72248.259999999995</v>
      </c>
      <c r="E57" s="811">
        <v>-82206.3</v>
      </c>
      <c r="F57" s="811">
        <v>-11572.7</v>
      </c>
      <c r="G57" s="811">
        <v>-61.7</v>
      </c>
      <c r="H57" s="811">
        <v>-1069.83</v>
      </c>
      <c r="I57" s="811">
        <v>-103.86</v>
      </c>
      <c r="J57" s="811"/>
    </row>
    <row r="58" spans="1:10" hidden="1">
      <c r="B58" s="810" t="s">
        <v>50</v>
      </c>
      <c r="C58" s="817">
        <f t="shared" si="7"/>
        <v>-169880.69000000003</v>
      </c>
      <c r="D58" s="811">
        <v>-72401.429999999993</v>
      </c>
      <c r="E58" s="811">
        <v>-84298.33</v>
      </c>
      <c r="F58" s="811">
        <v>-11913.76</v>
      </c>
      <c r="G58" s="811">
        <v>-56.96</v>
      </c>
      <c r="H58" s="811">
        <v>-1112.23</v>
      </c>
      <c r="I58" s="811">
        <v>-97.98</v>
      </c>
      <c r="J58" s="811"/>
    </row>
    <row r="59" spans="1:10" hidden="1">
      <c r="B59" s="810" t="s">
        <v>51</v>
      </c>
      <c r="C59" s="817">
        <f t="shared" si="7"/>
        <v>-168433.30000000002</v>
      </c>
      <c r="D59" s="811">
        <v>-72123.8</v>
      </c>
      <c r="E59" s="811">
        <v>-83603.05</v>
      </c>
      <c r="F59" s="811">
        <v>-11487.64</v>
      </c>
      <c r="G59" s="811">
        <v>-61.97</v>
      </c>
      <c r="H59" s="811">
        <v>-1065.7</v>
      </c>
      <c r="I59" s="811">
        <v>-91.14</v>
      </c>
      <c r="J59" s="811"/>
    </row>
    <row r="60" spans="1:10" hidden="1">
      <c r="B60" s="810" t="s">
        <v>52</v>
      </c>
      <c r="C60" s="817">
        <f t="shared" si="7"/>
        <v>-167989.27000000002</v>
      </c>
      <c r="D60" s="811">
        <v>-71956.89</v>
      </c>
      <c r="E60" s="811">
        <v>-82975.31</v>
      </c>
      <c r="F60" s="811">
        <v>-11702.01</v>
      </c>
      <c r="G60" s="811">
        <v>-87.5</v>
      </c>
      <c r="H60" s="811">
        <v>-1163.3800000000001</v>
      </c>
      <c r="I60" s="811">
        <v>-104.18</v>
      </c>
      <c r="J60" s="811"/>
    </row>
    <row r="61" spans="1:10" hidden="1">
      <c r="B61" s="810" t="s">
        <v>53</v>
      </c>
      <c r="C61" s="817">
        <f t="shared" si="7"/>
        <v>-168561.82</v>
      </c>
      <c r="D61" s="811">
        <v>-72027.34</v>
      </c>
      <c r="E61" s="811">
        <v>-83159.53</v>
      </c>
      <c r="F61" s="811">
        <v>-11658.64</v>
      </c>
      <c r="G61" s="811">
        <v>-536.77</v>
      </c>
      <c r="H61" s="811">
        <v>-1081.3900000000001</v>
      </c>
      <c r="I61" s="811">
        <v>-98.15</v>
      </c>
      <c r="J61" s="811"/>
    </row>
    <row r="62" spans="1:10" hidden="1">
      <c r="B62" s="810" t="s">
        <v>54</v>
      </c>
      <c r="C62" s="817">
        <f t="shared" si="7"/>
        <v>-171959.16</v>
      </c>
      <c r="D62" s="811">
        <v>-72614.11</v>
      </c>
      <c r="E62" s="811">
        <v>-84979.55</v>
      </c>
      <c r="F62" s="811">
        <v>-11714.1</v>
      </c>
      <c r="G62" s="811">
        <v>-1490.21</v>
      </c>
      <c r="H62" s="811">
        <v>-1070.07</v>
      </c>
      <c r="I62" s="811">
        <v>-91.12</v>
      </c>
      <c r="J62" s="811"/>
    </row>
    <row r="63" spans="1:10" hidden="1">
      <c r="B63" s="810" t="s">
        <v>55</v>
      </c>
      <c r="C63" s="817">
        <f t="shared" si="7"/>
        <v>-171087.02000000002</v>
      </c>
      <c r="D63" s="811">
        <v>-73377.039999999994</v>
      </c>
      <c r="E63" s="811">
        <v>-83324.320000000007</v>
      </c>
      <c r="F63" s="811">
        <v>-11711.66</v>
      </c>
      <c r="G63" s="811">
        <v>-1530.35</v>
      </c>
      <c r="H63" s="811">
        <v>-1033.51</v>
      </c>
      <c r="I63" s="811">
        <v>-110.14</v>
      </c>
      <c r="J63" s="811"/>
    </row>
    <row r="64" spans="1:10" hidden="1">
      <c r="B64" s="810" t="s">
        <v>56</v>
      </c>
      <c r="C64" s="817">
        <f t="shared" si="7"/>
        <v>-173840.59999999995</v>
      </c>
      <c r="D64" s="811">
        <v>-73628.55</v>
      </c>
      <c r="E64" s="811">
        <v>-85635.06</v>
      </c>
      <c r="F64" s="811">
        <v>-11807.65</v>
      </c>
      <c r="G64" s="811">
        <v>-1514.12</v>
      </c>
      <c r="H64" s="811">
        <v>-1170.6099999999999</v>
      </c>
      <c r="I64" s="811">
        <v>-84.61</v>
      </c>
      <c r="J64" s="811"/>
    </row>
    <row r="65" spans="1:10" hidden="1">
      <c r="B65" s="810" t="s">
        <v>57</v>
      </c>
      <c r="C65" s="817">
        <f t="shared" si="7"/>
        <v>-171255.64999999997</v>
      </c>
      <c r="D65" s="811">
        <v>-73592.149999999994</v>
      </c>
      <c r="E65" s="811">
        <v>-83489.7</v>
      </c>
      <c r="F65" s="811">
        <v>-11659.42</v>
      </c>
      <c r="G65" s="811">
        <v>-1402.86</v>
      </c>
      <c r="H65" s="811">
        <v>-1015.58</v>
      </c>
      <c r="I65" s="811">
        <v>-95.94</v>
      </c>
      <c r="J65" s="811"/>
    </row>
    <row r="66" spans="1:10" hidden="1">
      <c r="B66" s="810" t="s">
        <v>58</v>
      </c>
      <c r="C66" s="817">
        <f t="shared" si="7"/>
        <v>-174612.00999999998</v>
      </c>
      <c r="D66" s="811">
        <v>-73822.350000000006</v>
      </c>
      <c r="E66" s="811">
        <v>-86113.9</v>
      </c>
      <c r="F66" s="811">
        <v>-12170.33</v>
      </c>
      <c r="G66" s="811">
        <v>-1411.11</v>
      </c>
      <c r="H66" s="811">
        <v>-997.84</v>
      </c>
      <c r="I66" s="811">
        <v>-96.48</v>
      </c>
      <c r="J66" s="811"/>
    </row>
    <row r="67" spans="1:10" hidden="1">
      <c r="B67" s="810" t="s">
        <v>59</v>
      </c>
      <c r="C67" s="817">
        <f t="shared" si="7"/>
        <v>-174568.75</v>
      </c>
      <c r="D67" s="811">
        <v>-74213.25</v>
      </c>
      <c r="E67" s="811">
        <v>-86120.91</v>
      </c>
      <c r="F67" s="811">
        <v>-12182.82</v>
      </c>
      <c r="G67" s="811">
        <v>-961.43</v>
      </c>
      <c r="H67" s="811">
        <v>-993.76</v>
      </c>
      <c r="I67" s="811">
        <v>-96.58</v>
      </c>
      <c r="J67" s="811"/>
    </row>
    <row r="68" spans="1:10" hidden="1">
      <c r="B68" s="810" t="s">
        <v>60</v>
      </c>
      <c r="C68" s="817">
        <f t="shared" si="7"/>
        <v>-170521.3</v>
      </c>
      <c r="D68" s="811">
        <v>-74005</v>
      </c>
      <c r="E68" s="811">
        <v>-83741.86</v>
      </c>
      <c r="F68" s="811">
        <v>-11526.96</v>
      </c>
      <c r="G68" s="811">
        <v>-118.3</v>
      </c>
      <c r="H68" s="811">
        <v>-1032.51</v>
      </c>
      <c r="I68" s="811">
        <v>-96.67</v>
      </c>
      <c r="J68" s="811"/>
    </row>
    <row r="69" spans="1:10" hidden="1">
      <c r="B69" s="810" t="s">
        <v>729</v>
      </c>
      <c r="C69" s="817">
        <f>SUM(D69:J69)</f>
        <v>-2049972.2199999997</v>
      </c>
      <c r="D69" s="811">
        <f t="shared" ref="D69:J69" si="8">SUM(D57:D68)</f>
        <v>-876010.16999999993</v>
      </c>
      <c r="E69" s="811">
        <f t="shared" si="8"/>
        <v>-1009647.82</v>
      </c>
      <c r="F69" s="811">
        <f t="shared" si="8"/>
        <v>-141107.69</v>
      </c>
      <c r="G69" s="811">
        <f t="shared" si="8"/>
        <v>-9233.2799999999988</v>
      </c>
      <c r="H69" s="811">
        <f t="shared" si="8"/>
        <v>-12806.410000000002</v>
      </c>
      <c r="I69" s="811">
        <f t="shared" si="8"/>
        <v>-1166.8500000000001</v>
      </c>
      <c r="J69" s="811">
        <f t="shared" si="8"/>
        <v>0</v>
      </c>
    </row>
    <row r="70" spans="1:10" hidden="1">
      <c r="C70" s="817"/>
      <c r="J70" s="811"/>
    </row>
    <row r="71" spans="1:10" hidden="1">
      <c r="A71" s="810">
        <v>2005</v>
      </c>
      <c r="B71" s="810" t="s">
        <v>49</v>
      </c>
      <c r="C71" s="817">
        <f t="shared" ref="C71:C82" si="9">SUM(D71:J71)</f>
        <v>-174269.90000000002</v>
      </c>
      <c r="D71" s="811">
        <v>-74910.38</v>
      </c>
      <c r="E71" s="811">
        <v>-86174.21</v>
      </c>
      <c r="F71" s="811">
        <v>-11967.49</v>
      </c>
      <c r="G71" s="811">
        <v>-58.84</v>
      </c>
      <c r="H71" s="811">
        <v>-1055.81</v>
      </c>
      <c r="I71" s="811">
        <v>-103.17</v>
      </c>
      <c r="J71" s="811">
        <v>0</v>
      </c>
    </row>
    <row r="72" spans="1:10" hidden="1">
      <c r="B72" s="810" t="s">
        <v>50</v>
      </c>
      <c r="C72" s="817">
        <f t="shared" si="9"/>
        <v>-170424.00999999998</v>
      </c>
      <c r="D72" s="811">
        <v>-73770.09</v>
      </c>
      <c r="E72" s="811">
        <v>-83760.539999999994</v>
      </c>
      <c r="F72" s="811">
        <v>-11727.58</v>
      </c>
      <c r="G72" s="811">
        <v>-57.87</v>
      </c>
      <c r="H72" s="811">
        <v>-1014.41</v>
      </c>
      <c r="I72" s="811">
        <v>-93.52</v>
      </c>
      <c r="J72" s="811">
        <v>0</v>
      </c>
    </row>
    <row r="73" spans="1:10" hidden="1">
      <c r="B73" s="810" t="s">
        <v>51</v>
      </c>
      <c r="C73" s="817">
        <f t="shared" si="9"/>
        <v>-171351.7</v>
      </c>
      <c r="D73" s="811">
        <v>-74241.490000000005</v>
      </c>
      <c r="E73" s="811">
        <v>-84871.27</v>
      </c>
      <c r="F73" s="811">
        <v>-11089.88</v>
      </c>
      <c r="G73" s="811">
        <v>-75.680000000000007</v>
      </c>
      <c r="H73" s="811">
        <v>-988.73</v>
      </c>
      <c r="I73" s="811">
        <v>-84.65</v>
      </c>
      <c r="J73" s="811"/>
    </row>
    <row r="74" spans="1:10" hidden="1">
      <c r="B74" s="810" t="s">
        <v>52</v>
      </c>
      <c r="C74" s="817">
        <f t="shared" si="9"/>
        <v>-172644.13999999998</v>
      </c>
      <c r="D74" s="811">
        <v>-74580.97</v>
      </c>
      <c r="E74" s="811">
        <v>-85705.87</v>
      </c>
      <c r="F74" s="811">
        <v>-11297.62</v>
      </c>
      <c r="G74" s="811">
        <v>-91.46</v>
      </c>
      <c r="H74" s="811">
        <v>-919.9</v>
      </c>
      <c r="I74" s="811">
        <v>-48.18</v>
      </c>
      <c r="J74" s="811">
        <v>-0.14000000000000001</v>
      </c>
    </row>
    <row r="75" spans="1:10" hidden="1">
      <c r="B75" s="810" t="s">
        <v>53</v>
      </c>
      <c r="C75" s="817">
        <f t="shared" si="9"/>
        <v>-172952.44</v>
      </c>
      <c r="D75" s="811">
        <v>-73899.509999999995</v>
      </c>
      <c r="E75" s="811">
        <v>-85579.6</v>
      </c>
      <c r="F75" s="811">
        <v>-11845.91</v>
      </c>
      <c r="G75" s="811">
        <v>-540.63</v>
      </c>
      <c r="H75" s="811">
        <v>-1050.6400000000001</v>
      </c>
      <c r="I75" s="811">
        <v>-36.29</v>
      </c>
      <c r="J75" s="811">
        <v>0.14000000000000001</v>
      </c>
    </row>
    <row r="76" spans="1:10" hidden="1">
      <c r="B76" s="810" t="s">
        <v>54</v>
      </c>
      <c r="C76" s="817">
        <f t="shared" si="9"/>
        <v>-174684.96000000002</v>
      </c>
      <c r="D76" s="811">
        <v>-75092.75</v>
      </c>
      <c r="E76" s="811">
        <v>-85635.25</v>
      </c>
      <c r="F76" s="811">
        <v>-11407.37</v>
      </c>
      <c r="G76" s="811">
        <v>-1474.04</v>
      </c>
      <c r="H76" s="811">
        <v>-1020.26</v>
      </c>
      <c r="I76" s="811">
        <v>-55.29</v>
      </c>
      <c r="J76" s="811"/>
    </row>
    <row r="77" spans="1:10" hidden="1">
      <c r="B77" s="810" t="s">
        <v>55</v>
      </c>
      <c r="C77" s="817">
        <f t="shared" si="9"/>
        <v>-174662.68</v>
      </c>
      <c r="D77" s="811">
        <v>-74736.5</v>
      </c>
      <c r="E77" s="811">
        <v>-86054.88</v>
      </c>
      <c r="F77" s="811">
        <v>-11386.53</v>
      </c>
      <c r="G77" s="811">
        <v>-1502.36</v>
      </c>
      <c r="H77" s="811">
        <v>-927.39</v>
      </c>
      <c r="I77" s="811">
        <v>-55.02</v>
      </c>
      <c r="J77" s="811"/>
    </row>
    <row r="78" spans="1:10" hidden="1">
      <c r="B78" s="810" t="s">
        <v>56</v>
      </c>
      <c r="C78" s="817">
        <f t="shared" si="9"/>
        <v>-178174.78999999998</v>
      </c>
      <c r="D78" s="811">
        <v>-75012.69</v>
      </c>
      <c r="E78" s="811">
        <v>-88515.06</v>
      </c>
      <c r="F78" s="811">
        <v>-11974.83</v>
      </c>
      <c r="G78" s="811">
        <v>-1503.52</v>
      </c>
      <c r="H78" s="811">
        <v>-1113.67</v>
      </c>
      <c r="I78" s="811">
        <v>-55.02</v>
      </c>
      <c r="J78" s="811"/>
    </row>
    <row r="79" spans="1:10" hidden="1">
      <c r="B79" s="810" t="s">
        <v>57</v>
      </c>
      <c r="C79" s="817">
        <f t="shared" si="9"/>
        <v>-174952.49</v>
      </c>
      <c r="D79" s="811">
        <v>-75702.97</v>
      </c>
      <c r="E79" s="811">
        <v>-85395.72</v>
      </c>
      <c r="F79" s="811">
        <v>-11484.62</v>
      </c>
      <c r="G79" s="811">
        <v>-1485.61</v>
      </c>
      <c r="H79" s="811">
        <v>-823.25</v>
      </c>
      <c r="I79" s="811">
        <v>-60.32</v>
      </c>
      <c r="J79" s="811"/>
    </row>
    <row r="80" spans="1:10" hidden="1">
      <c r="B80" s="810" t="s">
        <v>58</v>
      </c>
      <c r="C80" s="817">
        <f t="shared" si="9"/>
        <v>-178389.33000000002</v>
      </c>
      <c r="D80" s="811">
        <v>-75569.27</v>
      </c>
      <c r="E80" s="811">
        <v>-88449.52</v>
      </c>
      <c r="F80" s="811">
        <v>-11808.17</v>
      </c>
      <c r="G80" s="811">
        <v>-1402.43</v>
      </c>
      <c r="H80" s="811">
        <v>-1099.53</v>
      </c>
      <c r="I80" s="811">
        <v>-60.41</v>
      </c>
      <c r="J80" s="811"/>
    </row>
    <row r="81" spans="1:10" hidden="1">
      <c r="B81" s="810" t="s">
        <v>59</v>
      </c>
      <c r="C81" s="817">
        <f t="shared" si="9"/>
        <v>-179474.30999999997</v>
      </c>
      <c r="D81" s="811">
        <v>-75735.820000000007</v>
      </c>
      <c r="E81" s="811">
        <v>-89240.73</v>
      </c>
      <c r="F81" s="811">
        <v>-12382.28</v>
      </c>
      <c r="G81" s="811">
        <v>-1018.86</v>
      </c>
      <c r="H81" s="811">
        <v>-1036.21</v>
      </c>
      <c r="I81" s="811">
        <v>-60.41</v>
      </c>
      <c r="J81" s="811"/>
    </row>
    <row r="82" spans="1:10" hidden="1">
      <c r="B82" s="810" t="s">
        <v>60</v>
      </c>
      <c r="C82" s="818">
        <f t="shared" si="9"/>
        <v>-156105.30000000002</v>
      </c>
      <c r="D82" s="819">
        <v>-67864.3</v>
      </c>
      <c r="E82" s="819">
        <v>-77077.53</v>
      </c>
      <c r="F82" s="819">
        <v>-10175.51</v>
      </c>
      <c r="G82" s="819">
        <v>-102.1</v>
      </c>
      <c r="H82" s="819">
        <v>-830.03</v>
      </c>
      <c r="I82" s="819">
        <v>-55.83</v>
      </c>
      <c r="J82" s="811"/>
    </row>
    <row r="83" spans="1:10" hidden="1">
      <c r="B83" s="810" t="s">
        <v>729</v>
      </c>
      <c r="C83" s="817">
        <f>SUM(D83:J83)</f>
        <v>-2078086.0500000003</v>
      </c>
      <c r="D83" s="811">
        <f t="shared" ref="D83:J83" si="10">SUM(D71:D82)</f>
        <v>-891116.74000000022</v>
      </c>
      <c r="E83" s="811">
        <f t="shared" si="10"/>
        <v>-1026460.1799999999</v>
      </c>
      <c r="F83" s="811">
        <f t="shared" si="10"/>
        <v>-138547.78999999998</v>
      </c>
      <c r="G83" s="811">
        <f t="shared" si="10"/>
        <v>-9313.4</v>
      </c>
      <c r="H83" s="811">
        <f t="shared" si="10"/>
        <v>-11879.830000000004</v>
      </c>
      <c r="I83" s="811">
        <f t="shared" si="10"/>
        <v>-768.11000000000013</v>
      </c>
      <c r="J83" s="811">
        <f t="shared" si="10"/>
        <v>0</v>
      </c>
    </row>
    <row r="84" spans="1:10" hidden="1">
      <c r="C84" s="817"/>
      <c r="J84" s="811"/>
    </row>
    <row r="85" spans="1:10" hidden="1">
      <c r="A85" s="810">
        <v>2006</v>
      </c>
      <c r="B85" s="821" t="s">
        <v>49</v>
      </c>
      <c r="C85" s="817">
        <f t="shared" ref="C85:C96" si="11">SUM(D85:J85)</f>
        <v>-148679.51</v>
      </c>
      <c r="D85" s="811">
        <v>-63649.3</v>
      </c>
      <c r="E85" s="811">
        <v>-74018.61</v>
      </c>
      <c r="F85" s="811">
        <v>-10023.450000000001</v>
      </c>
      <c r="G85" s="811">
        <v>-65.34</v>
      </c>
      <c r="H85" s="811">
        <v>-872.51</v>
      </c>
      <c r="I85" s="811">
        <v>-50.3</v>
      </c>
      <c r="J85" s="811"/>
    </row>
    <row r="86" spans="1:10" hidden="1">
      <c r="B86" s="821" t="s">
        <v>50</v>
      </c>
      <c r="C86" s="817">
        <f t="shared" si="11"/>
        <v>-144594.4</v>
      </c>
      <c r="D86" s="811">
        <v>-62910.16</v>
      </c>
      <c r="E86" s="811">
        <v>-71561.64</v>
      </c>
      <c r="F86" s="811">
        <v>-9267.3799999999992</v>
      </c>
      <c r="G86" s="811">
        <v>-72.44</v>
      </c>
      <c r="H86" s="811">
        <v>-727.49</v>
      </c>
      <c r="I86" s="811">
        <v>-55.29</v>
      </c>
      <c r="J86" s="811"/>
    </row>
    <row r="87" spans="1:10" hidden="1">
      <c r="B87" s="821" t="s">
        <v>51</v>
      </c>
      <c r="C87" s="817">
        <f t="shared" si="11"/>
        <v>-146148.38999999998</v>
      </c>
      <c r="D87" s="811">
        <v>-63143.040000000001</v>
      </c>
      <c r="E87" s="811">
        <v>-72521.78</v>
      </c>
      <c r="F87" s="811">
        <v>-9588.4599999999991</v>
      </c>
      <c r="G87" s="811">
        <v>-56.09</v>
      </c>
      <c r="H87" s="811">
        <v>-798.9</v>
      </c>
      <c r="I87" s="811">
        <v>-40.119999999999997</v>
      </c>
      <c r="J87" s="811"/>
    </row>
    <row r="88" spans="1:10" hidden="1">
      <c r="B88" s="821" t="s">
        <v>52</v>
      </c>
      <c r="C88" s="817">
        <f t="shared" si="11"/>
        <v>-147678.95000000001</v>
      </c>
      <c r="D88" s="811">
        <v>-63219.58</v>
      </c>
      <c r="E88" s="811">
        <v>-73662.02</v>
      </c>
      <c r="F88" s="811">
        <v>-9832.7000000000007</v>
      </c>
      <c r="G88" s="811">
        <v>-77.83</v>
      </c>
      <c r="H88" s="811">
        <v>-841.51</v>
      </c>
      <c r="I88" s="811">
        <v>-45.31</v>
      </c>
      <c r="J88" s="811"/>
    </row>
    <row r="89" spans="1:10" hidden="1">
      <c r="B89" s="821" t="s">
        <v>53</v>
      </c>
      <c r="C89" s="817">
        <f t="shared" si="11"/>
        <v>-149566.91999999998</v>
      </c>
      <c r="D89" s="811">
        <v>-63150.16</v>
      </c>
      <c r="E89" s="811">
        <v>-74816.52</v>
      </c>
      <c r="F89" s="811">
        <v>-10177.459999999999</v>
      </c>
      <c r="G89" s="811">
        <v>-484.8</v>
      </c>
      <c r="H89" s="811">
        <v>-897.42</v>
      </c>
      <c r="I89" s="811">
        <v>-40.56</v>
      </c>
      <c r="J89" s="811"/>
    </row>
    <row r="90" spans="1:10" hidden="1">
      <c r="B90" s="821" t="s">
        <v>54</v>
      </c>
      <c r="C90" s="817">
        <f t="shared" si="11"/>
        <v>-148363.35999999999</v>
      </c>
      <c r="D90" s="811">
        <v>-63476.54</v>
      </c>
      <c r="E90" s="811">
        <v>-73199.289999999994</v>
      </c>
      <c r="F90" s="811">
        <v>-9655.73</v>
      </c>
      <c r="G90" s="811">
        <v>-1243.67</v>
      </c>
      <c r="H90" s="811">
        <v>-747.61</v>
      </c>
      <c r="I90" s="811">
        <v>-40.520000000000003</v>
      </c>
      <c r="J90" s="811"/>
    </row>
    <row r="91" spans="1:10" hidden="1">
      <c r="B91" s="821" t="s">
        <v>55</v>
      </c>
      <c r="C91" s="817">
        <f t="shared" si="11"/>
        <v>-149509.36000000002</v>
      </c>
      <c r="D91" s="811">
        <v>-63720.01</v>
      </c>
      <c r="E91" s="811">
        <v>-74112.22</v>
      </c>
      <c r="F91" s="811">
        <v>-9632.7000000000007</v>
      </c>
      <c r="G91" s="811">
        <v>-1275.53</v>
      </c>
      <c r="H91" s="811">
        <v>-728.38</v>
      </c>
      <c r="I91" s="811">
        <v>-40.520000000000003</v>
      </c>
      <c r="J91" s="811"/>
    </row>
    <row r="92" spans="1:10" hidden="1">
      <c r="B92" s="821" t="s">
        <v>56</v>
      </c>
      <c r="C92" s="817">
        <f t="shared" si="11"/>
        <v>-151427.67000000001</v>
      </c>
      <c r="D92" s="811">
        <v>-64175.29</v>
      </c>
      <c r="E92" s="811">
        <v>-74972.12</v>
      </c>
      <c r="F92" s="811">
        <v>-10186.700000000001</v>
      </c>
      <c r="G92" s="811">
        <v>-1270.18</v>
      </c>
      <c r="H92" s="811">
        <v>-782.94</v>
      </c>
      <c r="I92" s="811">
        <v>-40.44</v>
      </c>
      <c r="J92" s="811"/>
    </row>
    <row r="93" spans="1:10" hidden="1">
      <c r="B93" s="821" t="s">
        <v>57</v>
      </c>
      <c r="C93" s="817">
        <f t="shared" si="11"/>
        <v>-149280.58999999997</v>
      </c>
      <c r="D93" s="811">
        <v>-64213.59</v>
      </c>
      <c r="E93" s="811">
        <v>-73816.759999999995</v>
      </c>
      <c r="F93" s="811">
        <v>-9253.1299999999992</v>
      </c>
      <c r="G93" s="811">
        <v>-1227.24</v>
      </c>
      <c r="H93" s="811">
        <v>-729.35</v>
      </c>
      <c r="I93" s="811">
        <v>-40.520000000000003</v>
      </c>
      <c r="J93" s="811"/>
    </row>
    <row r="94" spans="1:10" hidden="1">
      <c r="B94" s="821" t="s">
        <v>58</v>
      </c>
      <c r="C94" s="817">
        <f t="shared" si="11"/>
        <v>-150532.82</v>
      </c>
      <c r="D94" s="811">
        <v>-64260.29</v>
      </c>
      <c r="E94" s="811">
        <v>-74206.87</v>
      </c>
      <c r="F94" s="811">
        <v>-9981.66</v>
      </c>
      <c r="G94" s="811">
        <v>-1240.48</v>
      </c>
      <c r="H94" s="811">
        <v>-802.96</v>
      </c>
      <c r="I94" s="811">
        <v>-40.56</v>
      </c>
      <c r="J94" s="811"/>
    </row>
    <row r="95" spans="1:10" hidden="1">
      <c r="B95" s="821" t="s">
        <v>59</v>
      </c>
      <c r="C95" s="817">
        <f t="shared" si="11"/>
        <v>-151565.63999999998</v>
      </c>
      <c r="D95" s="811">
        <v>-65148.2</v>
      </c>
      <c r="E95" s="811">
        <v>-74862.66</v>
      </c>
      <c r="F95" s="811">
        <v>-9847.26</v>
      </c>
      <c r="G95" s="811">
        <v>-818.95</v>
      </c>
      <c r="H95" s="811">
        <v>-848.05</v>
      </c>
      <c r="I95" s="811">
        <v>-40.520000000000003</v>
      </c>
      <c r="J95" s="811"/>
    </row>
    <row r="96" spans="1:10" hidden="1">
      <c r="B96" s="821" t="s">
        <v>60</v>
      </c>
      <c r="C96" s="818">
        <f t="shared" si="11"/>
        <v>-177439.65999999997</v>
      </c>
      <c r="D96" s="819">
        <v>-75059.929999999993</v>
      </c>
      <c r="E96" s="819">
        <v>-89655.1</v>
      </c>
      <c r="F96" s="819">
        <v>-11664.49</v>
      </c>
      <c r="G96" s="819">
        <v>-87.65</v>
      </c>
      <c r="H96" s="819">
        <v>-929.28</v>
      </c>
      <c r="I96" s="819">
        <v>-43.21</v>
      </c>
      <c r="J96" s="811"/>
    </row>
    <row r="97" spans="1:10" hidden="1">
      <c r="B97" s="810" t="s">
        <v>729</v>
      </c>
      <c r="C97" s="817">
        <f t="shared" ref="C97:I97" si="12">SUM(C85:C96)</f>
        <v>-1814787.2699999998</v>
      </c>
      <c r="D97" s="811">
        <f t="shared" si="12"/>
        <v>-776126.08999999985</v>
      </c>
      <c r="E97" s="811">
        <f t="shared" si="12"/>
        <v>-901405.59</v>
      </c>
      <c r="F97" s="811">
        <f t="shared" si="12"/>
        <v>-119111.12000000001</v>
      </c>
      <c r="G97" s="811">
        <f t="shared" si="12"/>
        <v>-7920.2</v>
      </c>
      <c r="H97" s="811">
        <f t="shared" si="12"/>
        <v>-9706.4000000000015</v>
      </c>
      <c r="I97" s="811">
        <f t="shared" si="12"/>
        <v>-517.87</v>
      </c>
      <c r="J97" s="811"/>
    </row>
    <row r="98" spans="1:10" hidden="1">
      <c r="C98" s="817"/>
      <c r="J98" s="811"/>
    </row>
    <row r="99" spans="1:10" hidden="1">
      <c r="A99" s="810">
        <v>2007</v>
      </c>
      <c r="B99" s="821" t="s">
        <v>49</v>
      </c>
      <c r="C99" s="822">
        <f t="shared" ref="C99:C110" si="13">SUM(D99:J99)</f>
        <v>-199703.77000000002</v>
      </c>
      <c r="D99" s="823">
        <v>-85213.61</v>
      </c>
      <c r="E99" s="823">
        <v>-100830.34</v>
      </c>
      <c r="F99" s="823">
        <v>-12463.67</v>
      </c>
      <c r="G99" s="823">
        <v>-88.28</v>
      </c>
      <c r="H99" s="823">
        <v>-1057.9100000000001</v>
      </c>
      <c r="I99" s="823">
        <v>-49.96</v>
      </c>
      <c r="J99" s="811"/>
    </row>
    <row r="100" spans="1:10" hidden="1">
      <c r="B100" s="821" t="s">
        <v>50</v>
      </c>
      <c r="C100" s="822">
        <f t="shared" si="13"/>
        <v>-201390.65</v>
      </c>
      <c r="D100" s="823">
        <v>-84629.13</v>
      </c>
      <c r="E100" s="823">
        <v>-102378.69</v>
      </c>
      <c r="F100" s="823">
        <v>-13175.22</v>
      </c>
      <c r="G100" s="823">
        <v>-95.56</v>
      </c>
      <c r="H100" s="823">
        <v>-1061.22</v>
      </c>
      <c r="I100" s="823">
        <v>-50.83</v>
      </c>
      <c r="J100" s="811"/>
    </row>
    <row r="101" spans="1:10" hidden="1">
      <c r="B101" s="821" t="s">
        <v>51</v>
      </c>
      <c r="C101" s="822">
        <f t="shared" si="13"/>
        <v>-200146.91</v>
      </c>
      <c r="D101" s="823">
        <v>-84673.08</v>
      </c>
      <c r="E101" s="823">
        <v>-101297.51</v>
      </c>
      <c r="F101" s="823">
        <v>-13000.35</v>
      </c>
      <c r="G101" s="823">
        <v>-79.13</v>
      </c>
      <c r="H101" s="823">
        <v>-1046.58</v>
      </c>
      <c r="I101" s="823">
        <v>-50.26</v>
      </c>
      <c r="J101" s="811"/>
    </row>
    <row r="102" spans="1:10" hidden="1">
      <c r="B102" s="821" t="s">
        <v>52</v>
      </c>
      <c r="C102" s="822">
        <f t="shared" si="13"/>
        <v>-202821.06999999998</v>
      </c>
      <c r="D102" s="823">
        <v>-84874.559999999998</v>
      </c>
      <c r="E102" s="823">
        <v>-103490.77</v>
      </c>
      <c r="F102" s="823">
        <v>-13130.47</v>
      </c>
      <c r="G102" s="823">
        <v>-136.58000000000001</v>
      </c>
      <c r="H102" s="823">
        <v>-1137.8599999999999</v>
      </c>
      <c r="I102" s="823">
        <v>-50.83</v>
      </c>
      <c r="J102" s="811"/>
    </row>
    <row r="103" spans="1:10" hidden="1">
      <c r="B103" s="821" t="s">
        <v>53</v>
      </c>
      <c r="C103" s="822">
        <f t="shared" si="13"/>
        <v>-203313.2</v>
      </c>
      <c r="D103" s="823">
        <v>-84648.6</v>
      </c>
      <c r="E103" s="823">
        <v>-103550.86</v>
      </c>
      <c r="F103" s="823">
        <v>-13169.17</v>
      </c>
      <c r="G103" s="823">
        <v>-743.27</v>
      </c>
      <c r="H103" s="823">
        <v>-1150.52</v>
      </c>
      <c r="I103" s="823">
        <v>-50.78</v>
      </c>
      <c r="J103" s="811"/>
    </row>
    <row r="104" spans="1:10" hidden="1">
      <c r="A104" s="821"/>
      <c r="B104" s="821" t="s">
        <v>245</v>
      </c>
      <c r="C104" s="822">
        <f t="shared" si="13"/>
        <v>-203576.52</v>
      </c>
      <c r="D104" s="823">
        <v>-85525.52</v>
      </c>
      <c r="E104" s="823">
        <v>-102221.42</v>
      </c>
      <c r="F104" s="823">
        <v>-12966.56</v>
      </c>
      <c r="G104" s="823">
        <v>-1775.87</v>
      </c>
      <c r="H104" s="823">
        <v>-1036.27</v>
      </c>
      <c r="I104" s="823">
        <v>-50.88</v>
      </c>
      <c r="J104" s="823"/>
    </row>
    <row r="105" spans="1:10" hidden="1">
      <c r="A105" s="821"/>
      <c r="B105" s="821" t="s">
        <v>246</v>
      </c>
      <c r="C105" s="822">
        <f t="shared" si="13"/>
        <v>-205551.03999999998</v>
      </c>
      <c r="D105" s="823">
        <v>-85820.27</v>
      </c>
      <c r="E105" s="823">
        <v>-103922.98</v>
      </c>
      <c r="F105" s="823">
        <v>-12913.67</v>
      </c>
      <c r="G105" s="823">
        <v>-1760.02</v>
      </c>
      <c r="H105" s="823">
        <v>-1083.27</v>
      </c>
      <c r="I105" s="823">
        <v>-50.83</v>
      </c>
      <c r="J105" s="823"/>
    </row>
    <row r="106" spans="1:10" hidden="1">
      <c r="A106" s="821"/>
      <c r="B106" s="821" t="s">
        <v>56</v>
      </c>
      <c r="C106" s="822">
        <f t="shared" si="13"/>
        <v>-202379.44</v>
      </c>
      <c r="D106" s="823">
        <v>-85536.75</v>
      </c>
      <c r="E106" s="823">
        <v>-101743.67999999999</v>
      </c>
      <c r="F106" s="823">
        <v>-12309.2</v>
      </c>
      <c r="G106" s="823">
        <v>-1808.92</v>
      </c>
      <c r="H106" s="823">
        <v>-930.11</v>
      </c>
      <c r="I106" s="823">
        <v>-50.78</v>
      </c>
      <c r="J106" s="823"/>
    </row>
    <row r="107" spans="1:10" hidden="1">
      <c r="A107" s="821"/>
      <c r="B107" s="821" t="s">
        <v>707</v>
      </c>
      <c r="C107" s="822">
        <f t="shared" si="13"/>
        <v>-207769.46999999997</v>
      </c>
      <c r="D107" s="823">
        <v>-86244.71</v>
      </c>
      <c r="E107" s="823">
        <v>-105538.71</v>
      </c>
      <c r="F107" s="823">
        <v>-13007.33</v>
      </c>
      <c r="G107" s="823">
        <v>-1789.27</v>
      </c>
      <c r="H107" s="823">
        <v>-1138.6199999999999</v>
      </c>
      <c r="I107" s="823">
        <v>-50.83</v>
      </c>
      <c r="J107" s="823"/>
    </row>
    <row r="108" spans="1:10" hidden="1">
      <c r="A108" s="821"/>
      <c r="B108" s="821" t="s">
        <v>58</v>
      </c>
      <c r="C108" s="822">
        <f t="shared" si="13"/>
        <v>-205507.18</v>
      </c>
      <c r="D108" s="823">
        <v>-85197.64</v>
      </c>
      <c r="E108" s="823">
        <v>-104625.12</v>
      </c>
      <c r="F108" s="823">
        <v>-12770.33</v>
      </c>
      <c r="G108" s="823">
        <v>-1761.68</v>
      </c>
      <c r="H108" s="823">
        <v>-1101.54</v>
      </c>
      <c r="I108" s="823">
        <v>-50.87</v>
      </c>
      <c r="J108" s="823"/>
    </row>
    <row r="109" spans="1:10" hidden="1">
      <c r="A109" s="821"/>
      <c r="B109" s="821" t="s">
        <v>59</v>
      </c>
      <c r="C109" s="822">
        <f t="shared" si="13"/>
        <v>-208700.95999999996</v>
      </c>
      <c r="D109" s="823">
        <v>-86857.74</v>
      </c>
      <c r="E109" s="823">
        <v>-106568.82</v>
      </c>
      <c r="F109" s="823">
        <v>-13060.8</v>
      </c>
      <c r="G109" s="823">
        <v>-1139.74</v>
      </c>
      <c r="H109" s="823">
        <v>-1022.65</v>
      </c>
      <c r="I109" s="823">
        <v>-51.21</v>
      </c>
      <c r="J109" s="823"/>
    </row>
    <row r="110" spans="1:10" hidden="1">
      <c r="A110" s="821"/>
      <c r="B110" s="821" t="s">
        <v>60</v>
      </c>
      <c r="C110" s="818">
        <f t="shared" si="13"/>
        <v>-209528.32000000001</v>
      </c>
      <c r="D110" s="819">
        <v>-86684.66</v>
      </c>
      <c r="E110" s="819">
        <v>-108467.46</v>
      </c>
      <c r="F110" s="819">
        <v>-13103.57</v>
      </c>
      <c r="G110" s="819">
        <v>-119.67</v>
      </c>
      <c r="H110" s="819">
        <v>-1101.83</v>
      </c>
      <c r="I110" s="819">
        <v>-51.13</v>
      </c>
      <c r="J110" s="811"/>
    </row>
    <row r="111" spans="1:10" hidden="1">
      <c r="A111" s="821"/>
      <c r="B111" s="821" t="s">
        <v>729</v>
      </c>
      <c r="C111" s="822">
        <f t="shared" ref="C111:I111" si="14">SUM(C99:C110)</f>
        <v>-2450388.5299999998</v>
      </c>
      <c r="D111" s="823">
        <f t="shared" si="14"/>
        <v>-1025906.27</v>
      </c>
      <c r="E111" s="823">
        <f t="shared" si="14"/>
        <v>-1244636.3599999999</v>
      </c>
      <c r="F111" s="823">
        <f t="shared" si="14"/>
        <v>-155070.34</v>
      </c>
      <c r="G111" s="823">
        <f t="shared" si="14"/>
        <v>-11297.99</v>
      </c>
      <c r="H111" s="823">
        <f t="shared" si="14"/>
        <v>-12868.380000000001</v>
      </c>
      <c r="I111" s="823">
        <f t="shared" si="14"/>
        <v>-609.18999999999994</v>
      </c>
      <c r="J111" s="811"/>
    </row>
    <row r="112" spans="1:10" hidden="1">
      <c r="A112" s="821"/>
      <c r="B112" s="821"/>
      <c r="C112" s="822"/>
      <c r="D112" s="823"/>
      <c r="E112" s="823"/>
      <c r="F112" s="823"/>
      <c r="G112" s="823"/>
      <c r="H112" s="823"/>
      <c r="I112" s="823"/>
      <c r="J112" s="811"/>
    </row>
    <row r="113" spans="1:10" hidden="1">
      <c r="A113" s="821">
        <v>2008</v>
      </c>
      <c r="B113" s="821" t="s">
        <v>49</v>
      </c>
      <c r="C113" s="822">
        <f t="shared" ref="C113:C124" si="15">SUM(D113:J113)</f>
        <v>-205138.03000000003</v>
      </c>
      <c r="D113" s="823">
        <v>-86635.1</v>
      </c>
      <c r="E113" s="823">
        <v>-104375.36</v>
      </c>
      <c r="F113" s="823">
        <v>-12908.62</v>
      </c>
      <c r="G113" s="823">
        <v>-85.79</v>
      </c>
      <c r="H113" s="823">
        <v>-1082.0899999999999</v>
      </c>
      <c r="I113" s="823">
        <v>-51.07</v>
      </c>
      <c r="J113" s="811"/>
    </row>
    <row r="114" spans="1:10" hidden="1">
      <c r="A114" s="821"/>
      <c r="B114" s="821" t="s">
        <v>50</v>
      </c>
      <c r="C114" s="822">
        <f t="shared" si="15"/>
        <v>-207403.6</v>
      </c>
      <c r="D114" s="823">
        <v>-86037.29</v>
      </c>
      <c r="E114" s="823">
        <v>-107378.34</v>
      </c>
      <c r="F114" s="823">
        <v>-12825.04</v>
      </c>
      <c r="G114" s="823">
        <v>-87.05</v>
      </c>
      <c r="H114" s="823">
        <v>-1024.72</v>
      </c>
      <c r="I114" s="823">
        <v>-51.16</v>
      </c>
      <c r="J114" s="811"/>
    </row>
    <row r="115" spans="1:10" hidden="1">
      <c r="A115" s="821"/>
      <c r="B115" s="821" t="s">
        <v>51</v>
      </c>
      <c r="C115" s="822">
        <f t="shared" si="15"/>
        <v>-208447.62000000002</v>
      </c>
      <c r="D115" s="823">
        <v>-86289.98</v>
      </c>
      <c r="E115" s="823">
        <v>-107626.91</v>
      </c>
      <c r="F115" s="823">
        <v>-13231.67</v>
      </c>
      <c r="G115" s="823">
        <v>-98.28</v>
      </c>
      <c r="H115" s="823">
        <v>-1149.6600000000001</v>
      </c>
      <c r="I115" s="823">
        <v>-51.12</v>
      </c>
      <c r="J115" s="811"/>
    </row>
    <row r="116" spans="1:10" hidden="1">
      <c r="A116" s="821"/>
      <c r="B116" s="821" t="s">
        <v>52</v>
      </c>
      <c r="C116" s="822">
        <f t="shared" si="15"/>
        <v>-207227.97999999998</v>
      </c>
      <c r="D116" s="823">
        <v>-85908.69</v>
      </c>
      <c r="E116" s="823">
        <v>-107178.32</v>
      </c>
      <c r="F116" s="823">
        <v>-12959.18</v>
      </c>
      <c r="G116" s="823">
        <v>-120.02</v>
      </c>
      <c r="H116" s="823">
        <v>-1016.9</v>
      </c>
      <c r="I116" s="823">
        <v>-44.87</v>
      </c>
      <c r="J116" s="811"/>
    </row>
    <row r="117" spans="1:10" hidden="1">
      <c r="A117" s="821"/>
      <c r="B117" s="821" t="s">
        <v>53</v>
      </c>
      <c r="C117" s="822">
        <f t="shared" si="15"/>
        <v>-205710.46</v>
      </c>
      <c r="D117" s="823">
        <v>-85498.77</v>
      </c>
      <c r="E117" s="823">
        <v>-105544.89</v>
      </c>
      <c r="F117" s="823">
        <v>-12882.12</v>
      </c>
      <c r="G117" s="823">
        <v>-723.13</v>
      </c>
      <c r="H117" s="823">
        <v>-1004.18</v>
      </c>
      <c r="I117" s="823">
        <v>-57.37</v>
      </c>
      <c r="J117" s="811"/>
    </row>
    <row r="118" spans="1:10" hidden="1">
      <c r="A118" s="821"/>
      <c r="B118" s="821" t="s">
        <v>245</v>
      </c>
      <c r="C118" s="822">
        <f t="shared" si="15"/>
        <v>-208475.05000000002</v>
      </c>
      <c r="D118" s="823">
        <v>-86569.03</v>
      </c>
      <c r="E118" s="823">
        <v>-106330.07</v>
      </c>
      <c r="F118" s="823">
        <v>-12581.67</v>
      </c>
      <c r="G118" s="823">
        <v>-1848.63</v>
      </c>
      <c r="H118" s="823">
        <v>-1094.53</v>
      </c>
      <c r="I118" s="823">
        <v>-51.12</v>
      </c>
      <c r="J118" s="811"/>
    </row>
    <row r="119" spans="1:10" hidden="1">
      <c r="A119" s="821"/>
      <c r="B119" s="821" t="s">
        <v>246</v>
      </c>
      <c r="C119" s="822">
        <f t="shared" si="15"/>
        <v>-209808.62</v>
      </c>
      <c r="D119" s="823">
        <v>-86699.56</v>
      </c>
      <c r="E119" s="823">
        <v>-107253.32</v>
      </c>
      <c r="F119" s="823">
        <v>-12921.96</v>
      </c>
      <c r="G119" s="823">
        <v>-1873.84</v>
      </c>
      <c r="H119" s="823">
        <v>-1008.82</v>
      </c>
      <c r="I119" s="823">
        <v>-51.12</v>
      </c>
      <c r="J119" s="811"/>
    </row>
    <row r="120" spans="1:10" hidden="1">
      <c r="A120" s="821"/>
      <c r="B120" s="821" t="s">
        <v>56</v>
      </c>
      <c r="C120" s="822">
        <f t="shared" si="15"/>
        <v>-209497.88</v>
      </c>
      <c r="D120" s="823">
        <v>-86616.44</v>
      </c>
      <c r="E120" s="823">
        <v>-107233.97</v>
      </c>
      <c r="F120" s="823">
        <v>-12653.72</v>
      </c>
      <c r="G120" s="823">
        <v>-1855.35</v>
      </c>
      <c r="H120" s="823">
        <v>-1087.28</v>
      </c>
      <c r="I120" s="823">
        <v>-51.12</v>
      </c>
      <c r="J120" s="811"/>
    </row>
    <row r="121" spans="1:10" hidden="1">
      <c r="A121" s="821"/>
      <c r="B121" s="821" t="s">
        <v>707</v>
      </c>
      <c r="C121" s="822">
        <f t="shared" si="15"/>
        <v>-209110.69</v>
      </c>
      <c r="D121" s="823">
        <v>-86798.34</v>
      </c>
      <c r="E121" s="823">
        <v>-106519.79</v>
      </c>
      <c r="F121" s="823">
        <v>-12789.24</v>
      </c>
      <c r="G121" s="823">
        <v>-1873.29</v>
      </c>
      <c r="H121" s="823">
        <v>-1078.9100000000001</v>
      </c>
      <c r="I121" s="823">
        <v>-51.12</v>
      </c>
      <c r="J121" s="811"/>
    </row>
    <row r="122" spans="1:10" hidden="1">
      <c r="A122" s="821"/>
      <c r="B122" s="821" t="s">
        <v>58</v>
      </c>
      <c r="C122" s="822">
        <f t="shared" si="15"/>
        <v>-210717.72</v>
      </c>
      <c r="D122" s="823">
        <v>-86906.16</v>
      </c>
      <c r="E122" s="823">
        <v>-107966.28</v>
      </c>
      <c r="F122" s="823">
        <v>-12850.15</v>
      </c>
      <c r="G122" s="823">
        <v>-1871.13</v>
      </c>
      <c r="H122" s="823">
        <v>-1072.8800000000001</v>
      </c>
      <c r="I122" s="823">
        <v>-51.12</v>
      </c>
      <c r="J122" s="811"/>
    </row>
    <row r="123" spans="1:10" hidden="1">
      <c r="A123" s="821"/>
      <c r="B123" s="821" t="s">
        <v>59</v>
      </c>
      <c r="C123" s="822">
        <f t="shared" si="15"/>
        <v>-207556.79</v>
      </c>
      <c r="D123" s="823">
        <v>-87228.78</v>
      </c>
      <c r="E123" s="823">
        <v>-105336.44</v>
      </c>
      <c r="F123" s="823">
        <v>-12733.57</v>
      </c>
      <c r="G123" s="823">
        <v>-1169.43</v>
      </c>
      <c r="H123" s="823">
        <v>-1037.45</v>
      </c>
      <c r="I123" s="823">
        <v>-51.12</v>
      </c>
      <c r="J123" s="811"/>
    </row>
    <row r="124" spans="1:10" hidden="1">
      <c r="A124" s="821"/>
      <c r="B124" s="821" t="s">
        <v>60</v>
      </c>
      <c r="C124" s="818">
        <f t="shared" si="15"/>
        <v>-207649.09000000003</v>
      </c>
      <c r="D124" s="819">
        <v>-87134.57</v>
      </c>
      <c r="E124" s="819">
        <v>-106862.45</v>
      </c>
      <c r="F124" s="819">
        <v>-12372.79</v>
      </c>
      <c r="G124" s="819">
        <v>-125.92</v>
      </c>
      <c r="H124" s="819">
        <v>-1102.24</v>
      </c>
      <c r="I124" s="819">
        <v>-51.12</v>
      </c>
      <c r="J124" s="811"/>
    </row>
    <row r="125" spans="1:10" hidden="1">
      <c r="B125" s="821" t="s">
        <v>729</v>
      </c>
      <c r="C125" s="822">
        <f t="shared" ref="C125:I125" si="16">SUM(C113:C124)</f>
        <v>-2496743.5299999993</v>
      </c>
      <c r="D125" s="824">
        <f t="shared" si="16"/>
        <v>-1038322.71</v>
      </c>
      <c r="E125" s="824">
        <f t="shared" si="16"/>
        <v>-1279606.1399999999</v>
      </c>
      <c r="F125" s="824">
        <f t="shared" si="16"/>
        <v>-153709.73000000001</v>
      </c>
      <c r="G125" s="824">
        <f t="shared" si="16"/>
        <v>-11731.860000000002</v>
      </c>
      <c r="H125" s="824">
        <f t="shared" si="16"/>
        <v>-12759.660000000002</v>
      </c>
      <c r="I125" s="824">
        <f t="shared" si="16"/>
        <v>-613.42999999999995</v>
      </c>
      <c r="J125" s="811"/>
    </row>
    <row r="126" spans="1:10" hidden="1">
      <c r="C126" s="821"/>
      <c r="D126" s="822"/>
      <c r="E126" s="823"/>
      <c r="F126" s="823"/>
      <c r="G126" s="823"/>
      <c r="H126" s="823"/>
      <c r="I126" s="823"/>
    </row>
    <row r="127" spans="1:10" hidden="1">
      <c r="A127" s="821">
        <v>2009</v>
      </c>
      <c r="B127" s="821" t="s">
        <v>49</v>
      </c>
      <c r="C127" s="822">
        <f>SUM(D127:J127)</f>
        <v>-206031.37999999998</v>
      </c>
      <c r="D127" s="823">
        <v>-86967.69</v>
      </c>
      <c r="E127" s="823">
        <v>-105265.65</v>
      </c>
      <c r="F127" s="823">
        <v>-12632.75</v>
      </c>
      <c r="G127" s="823">
        <v>-104.27</v>
      </c>
      <c r="H127" s="823">
        <v>-1009.9</v>
      </c>
      <c r="I127" s="823">
        <v>-51.12</v>
      </c>
    </row>
    <row r="128" spans="1:10" hidden="1">
      <c r="B128" s="821" t="s">
        <v>50</v>
      </c>
      <c r="C128" s="822">
        <f>SUM(D128:J128)</f>
        <v>-205742.28999999998</v>
      </c>
      <c r="D128" s="823">
        <v>-86794.81</v>
      </c>
      <c r="E128" s="823">
        <v>-105636.68</v>
      </c>
      <c r="F128" s="823">
        <v>-12258.98</v>
      </c>
      <c r="G128" s="823">
        <v>-129.11000000000001</v>
      </c>
      <c r="H128" s="823">
        <v>-871.59</v>
      </c>
      <c r="I128" s="823">
        <v>-51.12</v>
      </c>
    </row>
    <row r="129" spans="1:9" hidden="1">
      <c r="B129" s="821" t="s">
        <v>51</v>
      </c>
      <c r="C129" s="822">
        <f t="shared" ref="C129:C138" si="17">SUM(D129:J129)</f>
        <v>-206650.56999999998</v>
      </c>
      <c r="D129" s="823">
        <v>-86162.38</v>
      </c>
      <c r="E129" s="823">
        <v>-106555.37</v>
      </c>
      <c r="F129" s="823">
        <v>-12732.32</v>
      </c>
      <c r="G129" s="823">
        <v>-123.8</v>
      </c>
      <c r="H129" s="823">
        <v>-1025.58</v>
      </c>
      <c r="I129" s="823">
        <v>-51.12</v>
      </c>
    </row>
    <row r="130" spans="1:9" hidden="1">
      <c r="B130" s="821" t="s">
        <v>52</v>
      </c>
      <c r="C130" s="822">
        <f t="shared" si="17"/>
        <v>-206906.03000000003</v>
      </c>
      <c r="D130" s="823">
        <v>-86191.97</v>
      </c>
      <c r="E130" s="823">
        <v>-106958.67</v>
      </c>
      <c r="F130" s="823">
        <v>-12608.5</v>
      </c>
      <c r="G130" s="823">
        <v>-103.45</v>
      </c>
      <c r="H130" s="823">
        <v>-992.32</v>
      </c>
      <c r="I130" s="823">
        <v>-51.12</v>
      </c>
    </row>
    <row r="131" spans="1:9" hidden="1">
      <c r="B131" s="821" t="s">
        <v>53</v>
      </c>
      <c r="C131" s="822">
        <f t="shared" si="17"/>
        <v>-206033.91999999998</v>
      </c>
      <c r="D131" s="823">
        <v>-85776.23</v>
      </c>
      <c r="E131" s="823">
        <v>-107509.27</v>
      </c>
      <c r="F131" s="823">
        <v>-12361.33</v>
      </c>
      <c r="G131" s="823">
        <f>--778.36</f>
        <v>778.36</v>
      </c>
      <c r="H131" s="823">
        <v>-1114.33</v>
      </c>
      <c r="I131" s="823">
        <v>-51.12</v>
      </c>
    </row>
    <row r="132" spans="1:9" hidden="1">
      <c r="B132" s="821" t="s">
        <v>245</v>
      </c>
      <c r="C132" s="822">
        <f t="shared" si="17"/>
        <v>-206922</v>
      </c>
      <c r="D132" s="823">
        <v>-86257.94</v>
      </c>
      <c r="E132" s="823">
        <v>-105133.83</v>
      </c>
      <c r="F132" s="823">
        <v>-12583.96</v>
      </c>
      <c r="G132" s="823">
        <v>-1890.18</v>
      </c>
      <c r="H132" s="823">
        <v>-1004.97</v>
      </c>
      <c r="I132" s="823">
        <v>-51.12</v>
      </c>
    </row>
    <row r="133" spans="1:9" hidden="1">
      <c r="B133" s="821" t="s">
        <v>246</v>
      </c>
      <c r="C133" s="822">
        <f t="shared" si="17"/>
        <v>-210241.90999999997</v>
      </c>
      <c r="D133" s="823">
        <v>-86423.62</v>
      </c>
      <c r="E133" s="823">
        <v>-108363.28</v>
      </c>
      <c r="F133" s="823">
        <v>-12456.89</v>
      </c>
      <c r="G133" s="823">
        <v>-1891.16</v>
      </c>
      <c r="H133" s="823">
        <v>-1062.0899999999999</v>
      </c>
      <c r="I133" s="823">
        <v>-44.87</v>
      </c>
    </row>
    <row r="134" spans="1:9" hidden="1">
      <c r="B134" s="821" t="s">
        <v>56</v>
      </c>
      <c r="C134" s="822">
        <f t="shared" si="17"/>
        <v>-207234.42</v>
      </c>
      <c r="D134" s="823">
        <v>-86725.55</v>
      </c>
      <c r="E134" s="823">
        <v>-105366.57</v>
      </c>
      <c r="F134" s="823">
        <v>-12216.56</v>
      </c>
      <c r="G134" s="823">
        <v>-1934.73</v>
      </c>
      <c r="H134" s="823">
        <v>-933.64</v>
      </c>
      <c r="I134" s="823">
        <v>-57.37</v>
      </c>
    </row>
    <row r="135" spans="1:9" hidden="1">
      <c r="B135" s="821" t="s">
        <v>707</v>
      </c>
      <c r="C135" s="822">
        <f t="shared" si="17"/>
        <v>-209314.55000000002</v>
      </c>
      <c r="D135" s="823">
        <v>-86829.440000000002</v>
      </c>
      <c r="E135" s="823">
        <v>-107033.85</v>
      </c>
      <c r="F135" s="823">
        <v>-12452</v>
      </c>
      <c r="G135" s="823">
        <v>-1854.04</v>
      </c>
      <c r="H135" s="823">
        <v>-1094.0999999999999</v>
      </c>
      <c r="I135" s="823">
        <v>-51.12</v>
      </c>
    </row>
    <row r="136" spans="1:9" hidden="1">
      <c r="B136" s="821" t="s">
        <v>58</v>
      </c>
      <c r="C136" s="822">
        <f t="shared" si="17"/>
        <v>-207370.78</v>
      </c>
      <c r="D136" s="823">
        <v>-86986.34</v>
      </c>
      <c r="E136" s="823">
        <v>-105496</v>
      </c>
      <c r="F136" s="823">
        <v>-11981.41</v>
      </c>
      <c r="G136" s="823">
        <v>-1847.73</v>
      </c>
      <c r="H136" s="823">
        <v>-1008.18</v>
      </c>
      <c r="I136" s="823">
        <v>-51.12</v>
      </c>
    </row>
    <row r="137" spans="1:9" hidden="1">
      <c r="B137" s="821" t="s">
        <v>59</v>
      </c>
      <c r="C137" s="822">
        <f t="shared" si="17"/>
        <v>-253638.78000000003</v>
      </c>
      <c r="D137" s="823">
        <v>-113029.31</v>
      </c>
      <c r="E137" s="823">
        <v>-120825.22</v>
      </c>
      <c r="F137" s="823">
        <v>-16117.92</v>
      </c>
      <c r="G137" s="823">
        <v>-1232.48</v>
      </c>
      <c r="H137" s="823">
        <v>-2381.39</v>
      </c>
      <c r="I137" s="823">
        <v>-52.46</v>
      </c>
    </row>
    <row r="138" spans="1:9" hidden="1">
      <c r="B138" s="821" t="s">
        <v>60</v>
      </c>
      <c r="C138" s="818">
        <f t="shared" si="17"/>
        <v>-325873.21000000008</v>
      </c>
      <c r="D138" s="819">
        <v>-154337.5</v>
      </c>
      <c r="E138" s="819">
        <v>-141686.42000000001</v>
      </c>
      <c r="F138" s="819">
        <f>-25630.83</f>
        <v>-25630.83</v>
      </c>
      <c r="G138" s="819">
        <v>-192.94</v>
      </c>
      <c r="H138" s="819">
        <v>-3792.49</v>
      </c>
      <c r="I138" s="819">
        <v>-233.03</v>
      </c>
    </row>
    <row r="139" spans="1:9" hidden="1">
      <c r="B139" s="821" t="s">
        <v>729</v>
      </c>
      <c r="C139" s="822">
        <f t="shared" ref="C139:I139" si="18">SUM(C127:C138)</f>
        <v>-2651959.84</v>
      </c>
      <c r="D139" s="823">
        <f t="shared" si="18"/>
        <v>-1132482.7799999998</v>
      </c>
      <c r="E139" s="823">
        <f t="shared" si="18"/>
        <v>-1325830.8099999998</v>
      </c>
      <c r="F139" s="823">
        <f t="shared" si="18"/>
        <v>-166033.45000000001</v>
      </c>
      <c r="G139" s="823">
        <f t="shared" si="18"/>
        <v>-10525.53</v>
      </c>
      <c r="H139" s="823">
        <f t="shared" si="18"/>
        <v>-16290.58</v>
      </c>
      <c r="I139" s="823">
        <f t="shared" si="18"/>
        <v>-796.68999999999994</v>
      </c>
    </row>
    <row r="140" spans="1:9" hidden="1">
      <c r="B140" s="821"/>
      <c r="C140" s="822"/>
      <c r="D140" s="823"/>
      <c r="E140" s="823"/>
      <c r="F140" s="823"/>
      <c r="G140" s="823"/>
      <c r="H140" s="823"/>
      <c r="I140" s="823"/>
    </row>
    <row r="141" spans="1:9" hidden="1">
      <c r="A141" s="810">
        <v>2010</v>
      </c>
      <c r="B141" s="821" t="s">
        <v>49</v>
      </c>
      <c r="C141" s="822">
        <f>SUM(D141:J141)</f>
        <v>-327195.88</v>
      </c>
      <c r="D141" s="823">
        <v>-155179.63</v>
      </c>
      <c r="E141" s="823">
        <v>-141914.32</v>
      </c>
      <c r="F141" s="823">
        <v>-25930.23</v>
      </c>
      <c r="G141" s="823">
        <v>-170.23</v>
      </c>
      <c r="H141" s="823">
        <v>-3768.71</v>
      </c>
      <c r="I141" s="823">
        <v>-232.76</v>
      </c>
    </row>
    <row r="142" spans="1:9" hidden="1">
      <c r="B142" s="821" t="s">
        <v>50</v>
      </c>
      <c r="C142" s="822">
        <f>SUM(D142:J142)</f>
        <v>-324679.90000000008</v>
      </c>
      <c r="D142" s="823">
        <v>-154090.91</v>
      </c>
      <c r="E142" s="823">
        <v>-141220.74</v>
      </c>
      <c r="F142" s="823">
        <v>-25403.27</v>
      </c>
      <c r="G142" s="823">
        <v>-161.26</v>
      </c>
      <c r="H142" s="823">
        <v>-3570.96</v>
      </c>
      <c r="I142" s="823">
        <v>-232.76</v>
      </c>
    </row>
    <row r="143" spans="1:9" hidden="1">
      <c r="B143" s="821" t="s">
        <v>51</v>
      </c>
      <c r="C143" s="822">
        <f t="shared" ref="C143:C152" si="19">SUM(D143:J143)</f>
        <v>-326704.7</v>
      </c>
      <c r="D143" s="823">
        <v>-153389.54</v>
      </c>
      <c r="E143" s="823">
        <v>-143037.85999999999</v>
      </c>
      <c r="F143" s="823">
        <v>-26117.1</v>
      </c>
      <c r="G143" s="823">
        <v>-187.79</v>
      </c>
      <c r="H143" s="823">
        <v>-3739.65</v>
      </c>
      <c r="I143" s="823">
        <v>-232.76</v>
      </c>
    </row>
    <row r="144" spans="1:9" hidden="1">
      <c r="B144" s="821" t="s">
        <v>52</v>
      </c>
      <c r="C144" s="822">
        <f t="shared" si="19"/>
        <v>-323708.72999999992</v>
      </c>
      <c r="D144" s="823">
        <v>-152831.64000000001</v>
      </c>
      <c r="E144" s="823">
        <v>-141151.96</v>
      </c>
      <c r="F144" s="823">
        <v>-25651.29</v>
      </c>
      <c r="G144" s="823">
        <v>-189.67</v>
      </c>
      <c r="H144" s="823">
        <v>-3651.41</v>
      </c>
      <c r="I144" s="823">
        <v>-232.76</v>
      </c>
    </row>
    <row r="145" spans="1:9" hidden="1">
      <c r="B145" s="821" t="s">
        <v>53</v>
      </c>
      <c r="C145" s="822">
        <f t="shared" si="19"/>
        <v>-326937.18000000005</v>
      </c>
      <c r="D145" s="823">
        <v>-152223.67999999999</v>
      </c>
      <c r="E145" s="823">
        <v>-143300.96</v>
      </c>
      <c r="F145" s="823">
        <v>-26154.43</v>
      </c>
      <c r="G145" s="823">
        <v>-1322.53</v>
      </c>
      <c r="H145" s="823">
        <v>-3702.82</v>
      </c>
      <c r="I145" s="823">
        <v>-232.76</v>
      </c>
    </row>
    <row r="146" spans="1:9" hidden="1">
      <c r="B146" s="821" t="s">
        <v>245</v>
      </c>
      <c r="C146" s="822">
        <f t="shared" si="19"/>
        <v>-325764.82</v>
      </c>
      <c r="D146" s="823">
        <v>-152798.56</v>
      </c>
      <c r="E146" s="823">
        <v>-141084.13</v>
      </c>
      <c r="F146" s="823">
        <v>-24883.45</v>
      </c>
      <c r="G146" s="823">
        <v>-3092</v>
      </c>
      <c r="H146" s="823">
        <v>-3673.92</v>
      </c>
      <c r="I146" s="823">
        <v>-232.76</v>
      </c>
    </row>
    <row r="147" spans="1:9" hidden="1">
      <c r="B147" s="821" t="s">
        <v>246</v>
      </c>
      <c r="C147" s="822">
        <f t="shared" si="19"/>
        <v>-328174.11</v>
      </c>
      <c r="D147" s="823">
        <v>-152590.29999999999</v>
      </c>
      <c r="E147" s="823">
        <v>-142804.85999999999</v>
      </c>
      <c r="F147" s="823">
        <v>-25956.36</v>
      </c>
      <c r="G147" s="823">
        <v>-3230.68</v>
      </c>
      <c r="H147" s="823">
        <v>-3359.26</v>
      </c>
      <c r="I147" s="823">
        <v>-232.65</v>
      </c>
    </row>
    <row r="148" spans="1:9" hidden="1">
      <c r="B148" s="821" t="s">
        <v>56</v>
      </c>
      <c r="C148" s="822">
        <f t="shared" si="19"/>
        <v>-329796.43</v>
      </c>
      <c r="D148" s="823">
        <v>-152386.93</v>
      </c>
      <c r="E148" s="823">
        <v>-144732.34</v>
      </c>
      <c r="F148" s="823">
        <v>-25700.46</v>
      </c>
      <c r="G148" s="823">
        <v>-3177.47</v>
      </c>
      <c r="H148" s="823">
        <v>-3566.36</v>
      </c>
      <c r="I148" s="823">
        <v>-232.87</v>
      </c>
    </row>
    <row r="149" spans="1:9" hidden="1">
      <c r="B149" s="821" t="s">
        <v>707</v>
      </c>
      <c r="C149" s="822">
        <f t="shared" si="19"/>
        <v>-330065.36</v>
      </c>
      <c r="D149" s="823">
        <v>-154196.56</v>
      </c>
      <c r="E149" s="823">
        <v>-143647.93</v>
      </c>
      <c r="F149" s="823">
        <v>-25385.64</v>
      </c>
      <c r="G149" s="823">
        <v>-3167.36</v>
      </c>
      <c r="H149" s="823">
        <v>-3435.11</v>
      </c>
      <c r="I149" s="823">
        <v>-232.76</v>
      </c>
    </row>
    <row r="150" spans="1:9" hidden="1">
      <c r="B150" s="821" t="s">
        <v>58</v>
      </c>
      <c r="C150" s="822">
        <f t="shared" si="19"/>
        <v>-331864.29000000004</v>
      </c>
      <c r="D150" s="823">
        <v>-153669.23000000001</v>
      </c>
      <c r="E150" s="823">
        <v>-145333.46</v>
      </c>
      <c r="F150" s="823">
        <v>-25811.439999999999</v>
      </c>
      <c r="G150" s="823">
        <v>-3227.24</v>
      </c>
      <c r="H150" s="823">
        <v>-3590.27</v>
      </c>
      <c r="I150" s="823">
        <v>-232.65</v>
      </c>
    </row>
    <row r="151" spans="1:9" hidden="1">
      <c r="B151" s="821" t="s">
        <v>59</v>
      </c>
      <c r="C151" s="822">
        <f t="shared" si="19"/>
        <v>-329629.07</v>
      </c>
      <c r="D151" s="823">
        <v>-154392.39000000001</v>
      </c>
      <c r="E151" s="823">
        <v>-144143.73000000001</v>
      </c>
      <c r="F151" s="823">
        <v>-25351.32</v>
      </c>
      <c r="G151" s="823">
        <v>-1893.74</v>
      </c>
      <c r="H151" s="823">
        <v>-3615.02</v>
      </c>
      <c r="I151" s="823">
        <v>-232.87</v>
      </c>
    </row>
    <row r="152" spans="1:9" hidden="1">
      <c r="B152" s="821" t="s">
        <v>60</v>
      </c>
      <c r="C152" s="818">
        <f t="shared" si="19"/>
        <v>-327004.63000000006</v>
      </c>
      <c r="D152" s="819">
        <v>-154475.78</v>
      </c>
      <c r="E152" s="819">
        <v>-143331.76</v>
      </c>
      <c r="F152" s="819">
        <v>-25054.43</v>
      </c>
      <c r="G152" s="819">
        <v>-272.94</v>
      </c>
      <c r="H152" s="819">
        <v>-3636.96</v>
      </c>
      <c r="I152" s="819">
        <v>-232.76</v>
      </c>
    </row>
    <row r="153" spans="1:9" hidden="1">
      <c r="B153" s="821" t="s">
        <v>729</v>
      </c>
      <c r="C153" s="822">
        <f t="shared" ref="C153:I153" si="20">SUM(C141:C152)</f>
        <v>-3931525.1</v>
      </c>
      <c r="D153" s="823">
        <f t="shared" si="20"/>
        <v>-1842225.1500000001</v>
      </c>
      <c r="E153" s="823">
        <f t="shared" si="20"/>
        <v>-1715704.0499999998</v>
      </c>
      <c r="F153" s="823">
        <f t="shared" si="20"/>
        <v>-307399.42</v>
      </c>
      <c r="G153" s="823">
        <f t="shared" si="20"/>
        <v>-20092.91</v>
      </c>
      <c r="H153" s="823">
        <f t="shared" si="20"/>
        <v>-43310.45</v>
      </c>
      <c r="I153" s="823">
        <f t="shared" si="20"/>
        <v>-2793.12</v>
      </c>
    </row>
    <row r="154" spans="1:9" ht="15.75">
      <c r="A154" s="809" t="s">
        <v>709</v>
      </c>
    </row>
    <row r="155" spans="1:9" ht="15.75">
      <c r="A155" s="809" t="s">
        <v>710</v>
      </c>
    </row>
    <row r="156" spans="1:9">
      <c r="A156" s="810" t="e">
        <f ca="1">CELL("filename")</f>
        <v>#N/A</v>
      </c>
    </row>
    <row r="157" spans="1:9">
      <c r="A157" s="810" t="s">
        <v>711</v>
      </c>
    </row>
    <row r="158" spans="1:9">
      <c r="D158" s="812" t="s">
        <v>712</v>
      </c>
      <c r="E158" s="812" t="s">
        <v>713</v>
      </c>
      <c r="F158" s="812" t="s">
        <v>714</v>
      </c>
      <c r="G158" s="812" t="s">
        <v>715</v>
      </c>
      <c r="H158" s="812" t="s">
        <v>716</v>
      </c>
      <c r="I158" s="812" t="s">
        <v>717</v>
      </c>
    </row>
    <row r="159" spans="1:9">
      <c r="A159" s="813" t="s">
        <v>695</v>
      </c>
      <c r="B159" s="813" t="s">
        <v>83</v>
      </c>
      <c r="C159" s="814" t="s">
        <v>172</v>
      </c>
      <c r="D159" s="814" t="s">
        <v>177</v>
      </c>
      <c r="E159" s="814" t="s">
        <v>192</v>
      </c>
      <c r="F159" s="814" t="s">
        <v>207</v>
      </c>
      <c r="G159" s="814" t="s">
        <v>244</v>
      </c>
      <c r="H159" s="814" t="s">
        <v>718</v>
      </c>
      <c r="I159" s="814" t="s">
        <v>719</v>
      </c>
    </row>
    <row r="160" spans="1:9">
      <c r="A160" s="813"/>
      <c r="B160" s="813"/>
      <c r="C160" s="812" t="s">
        <v>721</v>
      </c>
      <c r="D160" s="812" t="s">
        <v>722</v>
      </c>
      <c r="E160" s="812" t="s">
        <v>723</v>
      </c>
      <c r="F160" s="812" t="s">
        <v>724</v>
      </c>
      <c r="G160" s="812" t="s">
        <v>725</v>
      </c>
      <c r="H160" s="812" t="s">
        <v>726</v>
      </c>
      <c r="I160" s="812" t="s">
        <v>727</v>
      </c>
    </row>
    <row r="161" spans="1:9">
      <c r="A161" s="815" t="s">
        <v>728</v>
      </c>
      <c r="B161" s="813"/>
      <c r="C161" s="814"/>
      <c r="D161" s="814"/>
      <c r="E161" s="814"/>
      <c r="F161" s="814"/>
      <c r="G161" s="814"/>
      <c r="H161" s="814"/>
      <c r="I161" s="814"/>
    </row>
    <row r="162" spans="1:9">
      <c r="B162" s="821"/>
      <c r="C162" s="822"/>
      <c r="D162" s="823"/>
      <c r="E162" s="823"/>
      <c r="F162" s="823"/>
      <c r="G162" s="823"/>
      <c r="H162" s="823"/>
      <c r="I162" s="823"/>
    </row>
    <row r="163" spans="1:9">
      <c r="A163" s="810">
        <v>2011</v>
      </c>
      <c r="B163" s="821" t="s">
        <v>49</v>
      </c>
      <c r="C163" s="822">
        <f>SUM(D163:J163)</f>
        <v>-329201.68</v>
      </c>
      <c r="D163" s="823">
        <v>-155121.69</v>
      </c>
      <c r="E163" s="823">
        <v>-144648.19</v>
      </c>
      <c r="F163" s="823">
        <v>-25345.58</v>
      </c>
      <c r="G163" s="823">
        <v>-297.66000000000003</v>
      </c>
      <c r="H163" s="823">
        <v>-3555.8</v>
      </c>
      <c r="I163" s="823">
        <v>-232.76</v>
      </c>
    </row>
    <row r="164" spans="1:9">
      <c r="B164" s="821" t="s">
        <v>50</v>
      </c>
      <c r="C164" s="822">
        <f t="shared" ref="C164:C174" si="21">SUM(D164:J164)</f>
        <v>-328921.36</v>
      </c>
      <c r="D164" s="823">
        <v>-154901.04999999999</v>
      </c>
      <c r="E164" s="823">
        <v>-144706.59</v>
      </c>
      <c r="F164" s="823">
        <v>-25296.92</v>
      </c>
      <c r="G164" s="823">
        <v>-263.26</v>
      </c>
      <c r="H164" s="823">
        <v>-3528.6</v>
      </c>
      <c r="I164" s="823">
        <v>-224.94</v>
      </c>
    </row>
    <row r="165" spans="1:9">
      <c r="B165" s="821" t="s">
        <v>51</v>
      </c>
      <c r="C165" s="822">
        <f t="shared" si="21"/>
        <v>-327970.57999999996</v>
      </c>
      <c r="D165" s="823">
        <v>-154900.06</v>
      </c>
      <c r="E165" s="823">
        <v>-144046.85999999999</v>
      </c>
      <c r="F165" s="823">
        <v>-25065.38</v>
      </c>
      <c r="G165" s="823">
        <v>-228.79</v>
      </c>
      <c r="H165" s="823">
        <v>-3488.91</v>
      </c>
      <c r="I165" s="823">
        <v>-240.58</v>
      </c>
    </row>
    <row r="166" spans="1:9">
      <c r="B166" s="821" t="s">
        <v>52</v>
      </c>
      <c r="C166" s="822">
        <f t="shared" si="21"/>
        <v>-325293.75000000006</v>
      </c>
      <c r="D166" s="823">
        <v>-152853.44</v>
      </c>
      <c r="E166" s="823">
        <v>-143548.70000000001</v>
      </c>
      <c r="F166" s="823">
        <v>-24887.74</v>
      </c>
      <c r="G166" s="823">
        <v>-237.28</v>
      </c>
      <c r="H166" s="823">
        <v>-3533.83</v>
      </c>
      <c r="I166" s="823">
        <v>-232.76</v>
      </c>
    </row>
    <row r="167" spans="1:9">
      <c r="B167" s="821" t="s">
        <v>53</v>
      </c>
      <c r="C167" s="822">
        <f t="shared" si="21"/>
        <v>-326157.72999999992</v>
      </c>
      <c r="D167" s="823">
        <v>-151977.60999999999</v>
      </c>
      <c r="E167" s="823">
        <v>-144194.57999999999</v>
      </c>
      <c r="F167" s="823">
        <v>-24836.98</v>
      </c>
      <c r="G167" s="823">
        <v>-1351.81</v>
      </c>
      <c r="H167" s="823">
        <v>-3563.99</v>
      </c>
      <c r="I167" s="823">
        <v>-232.76</v>
      </c>
    </row>
    <row r="168" spans="1:9">
      <c r="B168" s="821" t="s">
        <v>54</v>
      </c>
      <c r="C168" s="822">
        <f t="shared" si="21"/>
        <v>-329344.94</v>
      </c>
      <c r="D168" s="823">
        <v>-152072.19</v>
      </c>
      <c r="E168" s="823">
        <v>-144943.41</v>
      </c>
      <c r="F168" s="823">
        <v>-25250.28</v>
      </c>
      <c r="G168" s="823">
        <v>-3244.17</v>
      </c>
      <c r="H168" s="823">
        <v>-3602.13</v>
      </c>
      <c r="I168" s="823">
        <v>-232.76</v>
      </c>
    </row>
    <row r="169" spans="1:9">
      <c r="B169" s="821" t="s">
        <v>55</v>
      </c>
      <c r="C169" s="822">
        <f t="shared" si="21"/>
        <v>-329520.02</v>
      </c>
      <c r="D169" s="823">
        <v>-153808.9</v>
      </c>
      <c r="E169" s="823">
        <v>-144203.01999999999</v>
      </c>
      <c r="F169" s="823">
        <v>-24588.02</v>
      </c>
      <c r="G169" s="823">
        <v>-3217.87</v>
      </c>
      <c r="H169" s="823">
        <v>-3519.45</v>
      </c>
      <c r="I169" s="823">
        <v>-182.76</v>
      </c>
    </row>
    <row r="170" spans="1:9">
      <c r="B170" s="821" t="s">
        <v>56</v>
      </c>
      <c r="C170" s="822">
        <f t="shared" si="21"/>
        <v>-331104.5</v>
      </c>
      <c r="D170" s="823">
        <v>-154145.93</v>
      </c>
      <c r="E170" s="823">
        <v>-144996.76</v>
      </c>
      <c r="F170" s="823">
        <v>-24969.69</v>
      </c>
      <c r="G170" s="823">
        <v>-3291.2</v>
      </c>
      <c r="H170" s="823">
        <v>-3518.16</v>
      </c>
      <c r="I170" s="823">
        <v>-182.76</v>
      </c>
    </row>
    <row r="171" spans="1:9">
      <c r="B171" s="821" t="s">
        <v>57</v>
      </c>
      <c r="C171" s="822">
        <f t="shared" si="21"/>
        <v>-334649.63</v>
      </c>
      <c r="D171" s="823">
        <v>-154662.26</v>
      </c>
      <c r="E171" s="823">
        <v>-147201.46</v>
      </c>
      <c r="F171" s="823">
        <v>-25651.53</v>
      </c>
      <c r="G171" s="823">
        <v>-3315.5</v>
      </c>
      <c r="H171" s="823">
        <v>-3586.12</v>
      </c>
      <c r="I171" s="823">
        <v>-232.76</v>
      </c>
    </row>
    <row r="172" spans="1:9">
      <c r="B172" s="821" t="s">
        <v>58</v>
      </c>
      <c r="C172" s="822">
        <f t="shared" si="21"/>
        <v>-342465.13999999996</v>
      </c>
      <c r="D172" s="823">
        <v>-164986.78</v>
      </c>
      <c r="E172" s="823">
        <v>-145791.66</v>
      </c>
      <c r="F172" s="823">
        <v>-25138.02</v>
      </c>
      <c r="G172" s="823">
        <v>-3101.91</v>
      </c>
      <c r="H172" s="823">
        <v>-3212.97</v>
      </c>
      <c r="I172" s="823">
        <v>-233.8</v>
      </c>
    </row>
    <row r="173" spans="1:9">
      <c r="B173" s="821" t="s">
        <v>730</v>
      </c>
      <c r="C173" s="822">
        <f t="shared" si="21"/>
        <v>-371021.01000000007</v>
      </c>
      <c r="D173" s="823">
        <v>-178716.01</v>
      </c>
      <c r="E173" s="823">
        <v>-159550.26999999999</v>
      </c>
      <c r="F173" s="823">
        <v>-26708.19</v>
      </c>
      <c r="G173" s="823">
        <v>-2377.39</v>
      </c>
      <c r="H173" s="823">
        <v>-3432</v>
      </c>
      <c r="I173" s="823">
        <v>-237.15</v>
      </c>
    </row>
    <row r="174" spans="1:9">
      <c r="B174" s="821" t="s">
        <v>60</v>
      </c>
      <c r="C174" s="818">
        <f t="shared" si="21"/>
        <v>-372841.26</v>
      </c>
      <c r="D174" s="819">
        <v>-180841.46</v>
      </c>
      <c r="E174" s="819">
        <v>-161004.79</v>
      </c>
      <c r="F174" s="819">
        <v>-27061.74</v>
      </c>
      <c r="G174" s="819">
        <v>-308.08999999999997</v>
      </c>
      <c r="H174" s="819">
        <v>-3397.55</v>
      </c>
      <c r="I174" s="819">
        <v>-227.63</v>
      </c>
    </row>
    <row r="175" spans="1:9">
      <c r="B175" s="821" t="s">
        <v>729</v>
      </c>
      <c r="C175" s="825">
        <f t="shared" ref="C175:I175" si="22">SUM(C163:C174)</f>
        <v>-4048491.6000000006</v>
      </c>
      <c r="D175" s="825">
        <f t="shared" si="22"/>
        <v>-1908987.38</v>
      </c>
      <c r="E175" s="825">
        <f t="shared" si="22"/>
        <v>-1768836.29</v>
      </c>
      <c r="F175" s="825">
        <f t="shared" si="22"/>
        <v>-304800.06999999995</v>
      </c>
      <c r="G175" s="825">
        <f t="shared" si="22"/>
        <v>-21234.93</v>
      </c>
      <c r="H175" s="825">
        <f t="shared" si="22"/>
        <v>-41939.51</v>
      </c>
      <c r="I175" s="825">
        <f t="shared" si="22"/>
        <v>-2693.42</v>
      </c>
    </row>
    <row r="176" spans="1:9">
      <c r="B176" s="821"/>
      <c r="C176" s="825"/>
      <c r="D176" s="825"/>
      <c r="E176" s="825"/>
      <c r="F176" s="825"/>
      <c r="G176" s="825"/>
      <c r="H176" s="825"/>
      <c r="I176" s="825"/>
    </row>
    <row r="177" spans="1:10">
      <c r="A177" s="810">
        <v>2012</v>
      </c>
      <c r="B177" s="821" t="s">
        <v>49</v>
      </c>
      <c r="C177" s="822">
        <f>SUM(D177:J177)</f>
        <v>-369128.44999999995</v>
      </c>
      <c r="D177" s="826">
        <v>-181153.92000000001</v>
      </c>
      <c r="E177" s="826">
        <v>-157520.28</v>
      </c>
      <c r="F177" s="826">
        <v>-26547.41</v>
      </c>
      <c r="G177" s="826">
        <v>-340.47</v>
      </c>
      <c r="H177" s="826">
        <v>-3416.37</v>
      </c>
      <c r="I177" s="826">
        <v>-150</v>
      </c>
    </row>
    <row r="178" spans="1:10">
      <c r="B178" s="821" t="s">
        <v>50</v>
      </c>
      <c r="C178" s="822">
        <f t="shared" ref="C178:C188" si="23">SUM(D178:J178)</f>
        <v>-367259.77</v>
      </c>
      <c r="D178" s="826">
        <v>-180353.47</v>
      </c>
      <c r="E178" s="826">
        <v>-156402.14000000001</v>
      </c>
      <c r="F178" s="826">
        <v>-26730.38</v>
      </c>
      <c r="G178" s="826">
        <v>-307.45</v>
      </c>
      <c r="H178" s="826">
        <v>-3316.33</v>
      </c>
      <c r="I178" s="826">
        <v>-150</v>
      </c>
    </row>
    <row r="179" spans="1:10">
      <c r="B179" s="821" t="s">
        <v>51</v>
      </c>
      <c r="C179" s="822">
        <f t="shared" si="23"/>
        <v>-364949.85000000003</v>
      </c>
      <c r="D179" s="826">
        <v>-179873.25</v>
      </c>
      <c r="E179" s="826">
        <v>-155143.82</v>
      </c>
      <c r="F179" s="826">
        <v>-26171.01</v>
      </c>
      <c r="G179" s="826">
        <v>-297.45999999999998</v>
      </c>
      <c r="H179" s="826">
        <v>-3314.31</v>
      </c>
      <c r="I179" s="826">
        <v>-150</v>
      </c>
    </row>
    <row r="180" spans="1:10">
      <c r="B180" s="821" t="s">
        <v>52</v>
      </c>
      <c r="C180" s="822">
        <f t="shared" si="23"/>
        <v>-367810.52999999997</v>
      </c>
      <c r="D180" s="826">
        <v>-180085.35</v>
      </c>
      <c r="E180" s="826">
        <v>-157191.04000000001</v>
      </c>
      <c r="F180" s="826">
        <v>-26598.61</v>
      </c>
      <c r="G180" s="826">
        <v>-497.66</v>
      </c>
      <c r="H180" s="826">
        <v>-3287.87</v>
      </c>
      <c r="I180" s="826">
        <v>-150</v>
      </c>
    </row>
    <row r="181" spans="1:10">
      <c r="B181" s="821" t="s">
        <v>53</v>
      </c>
      <c r="C181" s="822">
        <f t="shared" si="23"/>
        <v>-372690.67</v>
      </c>
      <c r="D181" s="826">
        <v>-180842.07</v>
      </c>
      <c r="E181" s="826">
        <v>-159129.44</v>
      </c>
      <c r="F181" s="826">
        <v>-27313.18</v>
      </c>
      <c r="G181" s="826">
        <v>-1664.57</v>
      </c>
      <c r="H181" s="826">
        <v>-3591.41</v>
      </c>
      <c r="I181" s="826">
        <v>-150</v>
      </c>
    </row>
    <row r="182" spans="1:10">
      <c r="B182" s="821" t="s">
        <v>54</v>
      </c>
      <c r="C182" s="822">
        <f t="shared" si="23"/>
        <v>-370193.52999999997</v>
      </c>
      <c r="D182" s="826">
        <v>-181980.5</v>
      </c>
      <c r="E182" s="826">
        <v>-154887.48000000001</v>
      </c>
      <c r="F182" s="826">
        <v>-26289.99</v>
      </c>
      <c r="G182" s="826">
        <v>-3645</v>
      </c>
      <c r="H182" s="826">
        <v>-3240.56</v>
      </c>
      <c r="I182" s="826">
        <v>-150</v>
      </c>
    </row>
    <row r="183" spans="1:10">
      <c r="B183" s="821" t="s">
        <v>55</v>
      </c>
      <c r="C183" s="822">
        <f t="shared" si="23"/>
        <v>-373210.85999999993</v>
      </c>
      <c r="D183" s="826">
        <v>-182288.4</v>
      </c>
      <c r="E183" s="826">
        <v>-157090.68</v>
      </c>
      <c r="F183" s="826">
        <v>-26678.41</v>
      </c>
      <c r="G183" s="826">
        <v>-3707.15</v>
      </c>
      <c r="H183" s="826">
        <v>-3296.22</v>
      </c>
      <c r="I183" s="826">
        <v>-150</v>
      </c>
    </row>
    <row r="184" spans="1:10">
      <c r="B184" s="821" t="s">
        <v>56</v>
      </c>
      <c r="C184" s="822">
        <f t="shared" si="23"/>
        <v>-376559.14</v>
      </c>
      <c r="D184" s="826">
        <v>-184243.86</v>
      </c>
      <c r="E184" s="826">
        <v>-158528.29</v>
      </c>
      <c r="F184" s="826">
        <v>-26644.12</v>
      </c>
      <c r="G184" s="826">
        <v>-3683.73</v>
      </c>
      <c r="H184" s="826">
        <v>-3359.14</v>
      </c>
      <c r="I184" s="826">
        <v>-100</v>
      </c>
    </row>
    <row r="185" spans="1:10">
      <c r="B185" s="821" t="s">
        <v>57</v>
      </c>
      <c r="C185" s="822">
        <f t="shared" si="23"/>
        <v>-375673.95</v>
      </c>
      <c r="D185" s="826">
        <v>-185160.45</v>
      </c>
      <c r="E185" s="826">
        <v>-157358.54999999999</v>
      </c>
      <c r="F185" s="826">
        <v>-26121.75</v>
      </c>
      <c r="G185" s="826">
        <v>-3661.86</v>
      </c>
      <c r="H185" s="826">
        <v>-3221.34</v>
      </c>
      <c r="I185" s="826">
        <v>-150</v>
      </c>
    </row>
    <row r="186" spans="1:10">
      <c r="B186" s="821" t="s">
        <v>58</v>
      </c>
      <c r="C186" s="822">
        <f t="shared" si="23"/>
        <v>-378398.43000000005</v>
      </c>
      <c r="D186" s="826">
        <v>-185317.85</v>
      </c>
      <c r="E186" s="826">
        <v>-158931.04999999999</v>
      </c>
      <c r="F186" s="826">
        <v>-26990.52</v>
      </c>
      <c r="G186" s="826">
        <v>-3598.46</v>
      </c>
      <c r="H186" s="826">
        <v>-3410.55</v>
      </c>
      <c r="I186" s="826">
        <v>-150</v>
      </c>
    </row>
    <row r="187" spans="1:10">
      <c r="B187" s="821" t="s">
        <v>730</v>
      </c>
      <c r="C187" s="822">
        <f t="shared" si="23"/>
        <v>-377183.38000000006</v>
      </c>
      <c r="D187" s="826">
        <v>-185818.68</v>
      </c>
      <c r="E187" s="826">
        <v>-159106.48000000001</v>
      </c>
      <c r="F187" s="826">
        <v>-26328.65</v>
      </c>
      <c r="G187" s="826">
        <v>-2405.59</v>
      </c>
      <c r="H187" s="826">
        <v>-3373.98</v>
      </c>
      <c r="I187" s="826">
        <v>-150</v>
      </c>
    </row>
    <row r="188" spans="1:10">
      <c r="B188" s="821" t="s">
        <v>60</v>
      </c>
      <c r="C188" s="818">
        <f t="shared" si="23"/>
        <v>-373721.95</v>
      </c>
      <c r="D188" s="827">
        <v>-186564.19</v>
      </c>
      <c r="E188" s="828">
        <v>-157269.67000000001</v>
      </c>
      <c r="F188" s="828">
        <v>-26187.58</v>
      </c>
      <c r="G188" s="828">
        <v>-317.64</v>
      </c>
      <c r="H188" s="828">
        <v>-3232.87</v>
      </c>
      <c r="I188" s="828">
        <v>-150</v>
      </c>
      <c r="J188" s="829"/>
    </row>
    <row r="189" spans="1:10">
      <c r="B189" s="821" t="s">
        <v>729</v>
      </c>
      <c r="C189" s="825">
        <f t="shared" ref="C189:I189" si="24">SUM(C177:C188)</f>
        <v>-4466780.51</v>
      </c>
      <c r="D189" s="823">
        <f t="shared" si="24"/>
        <v>-2193681.9899999998</v>
      </c>
      <c r="E189" s="823">
        <f t="shared" si="24"/>
        <v>-1888558.92</v>
      </c>
      <c r="F189" s="823">
        <f t="shared" si="24"/>
        <v>-318601.61000000004</v>
      </c>
      <c r="G189" s="823">
        <f t="shared" si="24"/>
        <v>-24127.039999999997</v>
      </c>
      <c r="H189" s="823">
        <f t="shared" si="24"/>
        <v>-40060.950000000012</v>
      </c>
      <c r="I189" s="823">
        <f t="shared" si="24"/>
        <v>-1750</v>
      </c>
    </row>
    <row r="190" spans="1:10">
      <c r="B190" s="821"/>
      <c r="C190" s="825"/>
      <c r="D190" s="823"/>
      <c r="E190" s="823"/>
      <c r="F190" s="823"/>
      <c r="G190" s="823"/>
      <c r="H190" s="823"/>
      <c r="I190" s="823"/>
    </row>
    <row r="191" spans="1:10">
      <c r="A191" s="810">
        <v>2013</v>
      </c>
      <c r="B191" s="821" t="s">
        <v>49</v>
      </c>
      <c r="C191" s="822">
        <f>SUM(D191:J191)</f>
        <v>-372827.15</v>
      </c>
      <c r="D191" s="826">
        <v>-186076.7</v>
      </c>
      <c r="E191" s="826">
        <v>-156939.46</v>
      </c>
      <c r="F191" s="826">
        <v>-26006.73</v>
      </c>
      <c r="G191" s="826">
        <v>-320.98</v>
      </c>
      <c r="H191" s="826">
        <v>-3333.28</v>
      </c>
      <c r="I191" s="826">
        <v>-150</v>
      </c>
    </row>
    <row r="192" spans="1:10">
      <c r="B192" s="821" t="s">
        <v>50</v>
      </c>
      <c r="C192" s="822">
        <f t="shared" ref="C192:C202" si="25">SUM(D192:J192)</f>
        <v>-377464.56</v>
      </c>
      <c r="D192" s="826">
        <v>-186583.43</v>
      </c>
      <c r="E192" s="826">
        <v>-160334.21</v>
      </c>
      <c r="F192" s="826">
        <v>-26661.73</v>
      </c>
      <c r="G192" s="826">
        <v>-357.7</v>
      </c>
      <c r="H192" s="826">
        <v>-3377.49</v>
      </c>
      <c r="I192" s="826">
        <v>-150</v>
      </c>
    </row>
    <row r="193" spans="1:9">
      <c r="B193" s="821" t="s">
        <v>51</v>
      </c>
      <c r="C193" s="822">
        <f t="shared" si="25"/>
        <v>-375836.07000000007</v>
      </c>
      <c r="D193" s="826">
        <v>-186084.9</v>
      </c>
      <c r="E193" s="826">
        <v>-159653.67000000001</v>
      </c>
      <c r="F193" s="826">
        <v>-26323.64</v>
      </c>
      <c r="G193" s="826">
        <v>-401.71</v>
      </c>
      <c r="H193" s="826">
        <v>-3222.15</v>
      </c>
      <c r="I193" s="826">
        <v>-150</v>
      </c>
    </row>
    <row r="194" spans="1:9">
      <c r="B194" s="821" t="s">
        <v>52</v>
      </c>
      <c r="C194" s="822">
        <f t="shared" si="25"/>
        <v>-373072.8</v>
      </c>
      <c r="D194" s="826">
        <v>-185364.42</v>
      </c>
      <c r="E194" s="826">
        <v>-157962.43</v>
      </c>
      <c r="F194" s="826">
        <v>-25792.46</v>
      </c>
      <c r="G194" s="826">
        <v>-620.04999999999995</v>
      </c>
      <c r="H194" s="826">
        <v>-3183.44</v>
      </c>
      <c r="I194" s="826">
        <v>-150</v>
      </c>
    </row>
    <row r="195" spans="1:9">
      <c r="B195" s="821" t="s">
        <v>53</v>
      </c>
      <c r="C195" s="822">
        <f t="shared" si="25"/>
        <v>-374188.64999999997</v>
      </c>
      <c r="D195" s="826">
        <v>-185119.28</v>
      </c>
      <c r="E195" s="826">
        <v>-158226.22</v>
      </c>
      <c r="F195" s="826">
        <v>-25680.5</v>
      </c>
      <c r="G195" s="826">
        <v>-1698.23</v>
      </c>
      <c r="H195" s="826">
        <v>-3314.42</v>
      </c>
      <c r="I195" s="826">
        <v>-150</v>
      </c>
    </row>
    <row r="196" spans="1:9">
      <c r="B196" s="821" t="s">
        <v>54</v>
      </c>
      <c r="C196" s="822">
        <f t="shared" si="25"/>
        <v>-378722.81999999995</v>
      </c>
      <c r="D196" s="826">
        <v>-186281.75</v>
      </c>
      <c r="E196" s="826">
        <v>-158686.5</v>
      </c>
      <c r="F196" s="826">
        <v>-26636.41</v>
      </c>
      <c r="G196" s="826">
        <v>-3725.16</v>
      </c>
      <c r="H196" s="826">
        <v>-3243</v>
      </c>
      <c r="I196" s="826">
        <v>-150</v>
      </c>
    </row>
    <row r="197" spans="1:9">
      <c r="B197" s="821" t="s">
        <v>55</v>
      </c>
      <c r="C197" s="822">
        <f t="shared" si="25"/>
        <v>-379572.00999999995</v>
      </c>
      <c r="D197" s="826">
        <v>-186814.3</v>
      </c>
      <c r="E197" s="826">
        <v>-159857.15</v>
      </c>
      <c r="F197" s="826">
        <v>-25793.73</v>
      </c>
      <c r="G197" s="826">
        <v>-3738.05</v>
      </c>
      <c r="H197" s="826">
        <v>-3218.78</v>
      </c>
      <c r="I197" s="826">
        <v>-150</v>
      </c>
    </row>
    <row r="198" spans="1:9">
      <c r="B198" s="821" t="s">
        <v>56</v>
      </c>
      <c r="C198" s="822">
        <f t="shared" si="25"/>
        <v>-382508.51</v>
      </c>
      <c r="D198" s="826">
        <v>-187792.57</v>
      </c>
      <c r="E198" s="826">
        <v>-160943.65</v>
      </c>
      <c r="F198" s="826">
        <v>-26533.62</v>
      </c>
      <c r="G198" s="826">
        <v>-3794.34</v>
      </c>
      <c r="H198" s="826">
        <v>-3294.33</v>
      </c>
      <c r="I198" s="826">
        <v>-150</v>
      </c>
    </row>
    <row r="199" spans="1:9">
      <c r="B199" s="821" t="s">
        <v>57</v>
      </c>
      <c r="C199" s="822">
        <f t="shared" si="25"/>
        <v>-380830.79000000004</v>
      </c>
      <c r="D199" s="826">
        <v>-189118.95</v>
      </c>
      <c r="E199" s="826">
        <v>-158819.97</v>
      </c>
      <c r="F199" s="826">
        <v>-25805.75</v>
      </c>
      <c r="G199" s="826">
        <v>-3547.61</v>
      </c>
      <c r="H199" s="826">
        <v>-3388.51</v>
      </c>
      <c r="I199" s="826">
        <v>-150</v>
      </c>
    </row>
    <row r="200" spans="1:9">
      <c r="B200" s="821" t="s">
        <v>58</v>
      </c>
      <c r="C200" s="822">
        <f t="shared" si="25"/>
        <v>-382916.73999999993</v>
      </c>
      <c r="D200" s="826">
        <v>-189016.8</v>
      </c>
      <c r="E200" s="826">
        <v>-160774.68</v>
      </c>
      <c r="F200" s="826">
        <v>-25931.73</v>
      </c>
      <c r="G200" s="826">
        <v>-3854.56</v>
      </c>
      <c r="H200" s="826">
        <v>-3188.97</v>
      </c>
      <c r="I200" s="826">
        <v>-150</v>
      </c>
    </row>
    <row r="201" spans="1:9">
      <c r="B201" s="821" t="s">
        <v>730</v>
      </c>
      <c r="C201" s="822">
        <f t="shared" si="25"/>
        <v>-383310.88</v>
      </c>
      <c r="D201" s="826">
        <v>-190535.33</v>
      </c>
      <c r="E201" s="826">
        <v>-160073.93</v>
      </c>
      <c r="F201" s="826">
        <v>-26702.93</v>
      </c>
      <c r="G201" s="826">
        <v>-2479.36</v>
      </c>
      <c r="H201" s="826">
        <v>-3369.33</v>
      </c>
      <c r="I201" s="826">
        <v>-150</v>
      </c>
    </row>
    <row r="202" spans="1:9">
      <c r="B202" s="821" t="s">
        <v>60</v>
      </c>
      <c r="C202" s="818">
        <f t="shared" si="25"/>
        <v>-380618.86</v>
      </c>
      <c r="D202" s="828">
        <v>-190564.72</v>
      </c>
      <c r="E202" s="828">
        <v>-160824.56</v>
      </c>
      <c r="F202" s="828">
        <v>-25378.98</v>
      </c>
      <c r="G202" s="828">
        <v>-324.25</v>
      </c>
      <c r="H202" s="828">
        <v>-3376.35</v>
      </c>
      <c r="I202" s="828">
        <v>-150</v>
      </c>
    </row>
    <row r="203" spans="1:9">
      <c r="B203" s="821" t="s">
        <v>729</v>
      </c>
      <c r="C203" s="822">
        <f>SUM(C191:C202)</f>
        <v>-4541869.8399999989</v>
      </c>
      <c r="D203" s="822">
        <f t="shared" ref="D203:I203" si="26">SUM(D191:D202)</f>
        <v>-2249353.1500000004</v>
      </c>
      <c r="E203" s="822">
        <f t="shared" si="26"/>
        <v>-1913096.4299999997</v>
      </c>
      <c r="F203" s="822">
        <f t="shared" si="26"/>
        <v>-313248.21000000002</v>
      </c>
      <c r="G203" s="822">
        <f t="shared" si="26"/>
        <v>-24862.000000000004</v>
      </c>
      <c r="H203" s="822">
        <f t="shared" si="26"/>
        <v>-39510.050000000003</v>
      </c>
      <c r="I203" s="822">
        <f t="shared" si="26"/>
        <v>-1800</v>
      </c>
    </row>
    <row r="204" spans="1:9">
      <c r="B204" s="821"/>
      <c r="C204" s="822"/>
      <c r="D204" s="822"/>
      <c r="E204" s="822"/>
      <c r="F204" s="822"/>
      <c r="G204" s="822"/>
      <c r="H204" s="822"/>
      <c r="I204" s="822"/>
    </row>
    <row r="205" spans="1:9">
      <c r="A205" s="810">
        <v>2014</v>
      </c>
      <c r="B205" s="821" t="s">
        <v>49</v>
      </c>
      <c r="C205" s="822">
        <f>SUM(D205:J205)</f>
        <v>-383758.91</v>
      </c>
      <c r="D205" s="826">
        <v>-190532.09</v>
      </c>
      <c r="E205" s="826">
        <v>-161850.26</v>
      </c>
      <c r="F205" s="826">
        <v>-27536.01</v>
      </c>
      <c r="G205" s="826">
        <v>-310.48</v>
      </c>
      <c r="H205" s="826">
        <v>-3380.07</v>
      </c>
      <c r="I205" s="826">
        <v>-150</v>
      </c>
    </row>
    <row r="206" spans="1:9">
      <c r="B206" s="821" t="s">
        <v>50</v>
      </c>
      <c r="C206" s="822">
        <f t="shared" ref="C206:C216" si="27">SUM(D206:J206)</f>
        <v>-378286.98</v>
      </c>
      <c r="D206" s="826">
        <v>-191548.97</v>
      </c>
      <c r="E206" s="826">
        <v>-156933.1</v>
      </c>
      <c r="F206" s="826">
        <v>-26073.119999999999</v>
      </c>
      <c r="G206" s="826">
        <v>-341.35</v>
      </c>
      <c r="H206" s="826">
        <v>-3240.44</v>
      </c>
      <c r="I206" s="826">
        <v>-150</v>
      </c>
    </row>
    <row r="207" spans="1:9">
      <c r="B207" s="821" t="s">
        <v>51</v>
      </c>
      <c r="C207" s="822">
        <f t="shared" si="27"/>
        <v>-374499.02</v>
      </c>
      <c r="D207" s="826">
        <v>-190219.53</v>
      </c>
      <c r="E207" s="826">
        <v>-157369.79</v>
      </c>
      <c r="F207" s="826">
        <v>-23070.81</v>
      </c>
      <c r="G207" s="826">
        <v>-396.89</v>
      </c>
      <c r="H207" s="826">
        <v>-3292</v>
      </c>
      <c r="I207" s="826">
        <v>-150</v>
      </c>
    </row>
    <row r="208" spans="1:9">
      <c r="B208" s="821" t="s">
        <v>52</v>
      </c>
      <c r="C208" s="822">
        <f t="shared" si="27"/>
        <v>-382687.72</v>
      </c>
      <c r="D208" s="826">
        <v>-189579.4</v>
      </c>
      <c r="E208" s="826">
        <v>-161367.66</v>
      </c>
      <c r="F208" s="826">
        <v>-27546.53</v>
      </c>
      <c r="G208" s="826">
        <v>-773.68</v>
      </c>
      <c r="H208" s="826">
        <v>-3270.45</v>
      </c>
      <c r="I208" s="826">
        <v>-150</v>
      </c>
    </row>
    <row r="209" spans="1:9">
      <c r="B209" s="821" t="s">
        <v>53</v>
      </c>
      <c r="C209" s="822">
        <f t="shared" si="27"/>
        <v>-381843.95999999996</v>
      </c>
      <c r="D209" s="826">
        <v>-189540.08</v>
      </c>
      <c r="E209" s="826">
        <v>-160593.51999999999</v>
      </c>
      <c r="F209" s="826">
        <v>-26142.61</v>
      </c>
      <c r="G209" s="826">
        <v>-2016.4</v>
      </c>
      <c r="H209" s="826">
        <v>-3401.35</v>
      </c>
      <c r="I209" s="826">
        <v>-150</v>
      </c>
    </row>
    <row r="210" spans="1:9">
      <c r="B210" s="821" t="s">
        <v>54</v>
      </c>
      <c r="C210" s="822">
        <f t="shared" si="27"/>
        <v>-384905.07</v>
      </c>
      <c r="D210" s="826">
        <v>-190460.37</v>
      </c>
      <c r="E210" s="826">
        <v>-160857.71</v>
      </c>
      <c r="F210" s="826">
        <v>-26303.34</v>
      </c>
      <c r="G210" s="826">
        <v>-3871.13</v>
      </c>
      <c r="H210" s="826">
        <v>-3262.52</v>
      </c>
      <c r="I210" s="826">
        <v>-150</v>
      </c>
    </row>
    <row r="211" spans="1:9">
      <c r="B211" s="821" t="s">
        <v>55</v>
      </c>
      <c r="C211" s="822">
        <f t="shared" si="27"/>
        <v>-386103.08999999997</v>
      </c>
      <c r="D211" s="826">
        <v>-190902.13</v>
      </c>
      <c r="E211" s="826">
        <v>-161567.6</v>
      </c>
      <c r="F211" s="826">
        <v>-26473.49</v>
      </c>
      <c r="G211" s="826">
        <v>-3713.56</v>
      </c>
      <c r="H211" s="826">
        <v>-3296.31</v>
      </c>
      <c r="I211" s="826">
        <v>-150</v>
      </c>
    </row>
    <row r="212" spans="1:9">
      <c r="B212" s="821" t="s">
        <v>56</v>
      </c>
      <c r="C212" s="822">
        <f t="shared" si="27"/>
        <v>-388419.47</v>
      </c>
      <c r="D212" s="826">
        <v>-191283.49</v>
      </c>
      <c r="E212" s="826">
        <v>-163259.06</v>
      </c>
      <c r="F212" s="826">
        <v>-26474.73</v>
      </c>
      <c r="G212" s="826">
        <v>-4003.36</v>
      </c>
      <c r="H212" s="826">
        <v>-3248.83</v>
      </c>
      <c r="I212" s="826">
        <v>-150</v>
      </c>
    </row>
    <row r="213" spans="1:9">
      <c r="B213" s="821" t="s">
        <v>57</v>
      </c>
      <c r="C213" s="822">
        <f t="shared" si="27"/>
        <v>0</v>
      </c>
      <c r="D213" s="826"/>
      <c r="E213" s="826"/>
      <c r="F213" s="826"/>
      <c r="G213" s="826"/>
      <c r="H213" s="826"/>
      <c r="I213" s="826"/>
    </row>
    <row r="214" spans="1:9">
      <c r="B214" s="821" t="s">
        <v>58</v>
      </c>
      <c r="C214" s="822">
        <f t="shared" si="27"/>
        <v>0</v>
      </c>
      <c r="D214" s="826"/>
      <c r="E214" s="826"/>
      <c r="F214" s="826"/>
      <c r="G214" s="826"/>
      <c r="H214" s="826"/>
      <c r="I214" s="826"/>
    </row>
    <row r="215" spans="1:9">
      <c r="B215" s="821" t="s">
        <v>730</v>
      </c>
      <c r="C215" s="822">
        <f t="shared" si="27"/>
        <v>0</v>
      </c>
      <c r="D215" s="826"/>
      <c r="E215" s="826"/>
      <c r="F215" s="826"/>
      <c r="G215" s="826"/>
      <c r="H215" s="826"/>
      <c r="I215" s="826"/>
    </row>
    <row r="216" spans="1:9">
      <c r="B216" s="821" t="s">
        <v>60</v>
      </c>
      <c r="C216" s="818">
        <f t="shared" si="27"/>
        <v>0</v>
      </c>
      <c r="D216" s="828"/>
      <c r="E216" s="828"/>
      <c r="F216" s="828"/>
      <c r="G216" s="828"/>
      <c r="H216" s="828"/>
      <c r="I216" s="828"/>
    </row>
    <row r="217" spans="1:9">
      <c r="B217" s="821" t="s">
        <v>729</v>
      </c>
      <c r="C217" s="822">
        <f>SUM(C205:C216)</f>
        <v>-3060504.2199999997</v>
      </c>
      <c r="D217" s="822">
        <f t="shared" ref="D217:I217" si="28">SUM(D205:D216)</f>
        <v>-1524066.0599999998</v>
      </c>
      <c r="E217" s="822">
        <f t="shared" si="28"/>
        <v>-1283798.7000000002</v>
      </c>
      <c r="F217" s="822">
        <f t="shared" si="28"/>
        <v>-209620.64</v>
      </c>
      <c r="G217" s="822">
        <f t="shared" si="28"/>
        <v>-15426.85</v>
      </c>
      <c r="H217" s="822">
        <f t="shared" si="28"/>
        <v>-26391.97</v>
      </c>
      <c r="I217" s="822">
        <f t="shared" si="28"/>
        <v>-1200</v>
      </c>
    </row>
    <row r="218" spans="1:9">
      <c r="B218" s="821"/>
      <c r="C218" s="822"/>
      <c r="D218" s="823"/>
      <c r="E218" s="823"/>
      <c r="F218" s="823"/>
      <c r="G218" s="823"/>
      <c r="H218" s="823"/>
      <c r="I218" s="823"/>
    </row>
    <row r="219" spans="1:9">
      <c r="A219" s="815" t="s">
        <v>731</v>
      </c>
      <c r="C219" s="817">
        <f>SUM(D219:I219)</f>
        <v>-39923213.079999998</v>
      </c>
      <c r="D219" s="811">
        <f t="shared" ref="D219:I219" si="29">+D41+D27+D13+D55+D69+D83+D97+D111+D125+D139+D153+D175+D189+D203+D217</f>
        <v>-18201184.989999998</v>
      </c>
      <c r="E219" s="811">
        <f t="shared" si="29"/>
        <v>-18436228.84</v>
      </c>
      <c r="F219" s="811">
        <f t="shared" si="29"/>
        <v>-2770105.7299999995</v>
      </c>
      <c r="G219" s="811">
        <f t="shared" si="29"/>
        <v>-194180.84</v>
      </c>
      <c r="H219" s="811">
        <f t="shared" si="29"/>
        <v>-303187.78000000003</v>
      </c>
      <c r="I219" s="811">
        <f t="shared" si="29"/>
        <v>-18324.900000000001</v>
      </c>
    </row>
    <row r="220" spans="1:9">
      <c r="C220" s="817"/>
    </row>
    <row r="221" spans="1:9" hidden="1"/>
    <row r="222" spans="1:9" hidden="1"/>
    <row r="223" spans="1:9" hidden="1">
      <c r="A223" s="816">
        <v>2000</v>
      </c>
      <c r="B223" s="810" t="s">
        <v>57</v>
      </c>
      <c r="C223" s="814" t="s">
        <v>172</v>
      </c>
      <c r="D223" s="814" t="s">
        <v>177</v>
      </c>
      <c r="E223" s="814" t="s">
        <v>192</v>
      </c>
      <c r="F223" s="814" t="s">
        <v>207</v>
      </c>
      <c r="G223" s="814" t="s">
        <v>244</v>
      </c>
      <c r="H223" s="814" t="s">
        <v>718</v>
      </c>
      <c r="I223" s="814" t="s">
        <v>719</v>
      </c>
    </row>
    <row r="224" spans="1:9" hidden="1">
      <c r="B224" s="810" t="s">
        <v>58</v>
      </c>
      <c r="C224" s="817">
        <f>SUM(D224:I224)</f>
        <v>1.69</v>
      </c>
      <c r="D224" s="811">
        <f>0.54-0.02</f>
        <v>0.52</v>
      </c>
      <c r="E224" s="811">
        <f>0.02+1.15</f>
        <v>1.17</v>
      </c>
      <c r="F224" s="811">
        <v>0</v>
      </c>
      <c r="G224" s="811">
        <v>0</v>
      </c>
      <c r="H224" s="811">
        <v>0</v>
      </c>
      <c r="I224" s="811">
        <v>0</v>
      </c>
    </row>
    <row r="225" spans="1:9" hidden="1">
      <c r="B225" s="810" t="s">
        <v>59</v>
      </c>
      <c r="C225" s="817">
        <f>SUM(D225:I225)</f>
        <v>17.330000000000002</v>
      </c>
      <c r="D225" s="811">
        <f>8.31-0.11</f>
        <v>8.2000000000000011</v>
      </c>
      <c r="E225" s="811">
        <v>5.1100000000000003</v>
      </c>
      <c r="F225" s="811">
        <f>4.03-0.01</f>
        <v>4.0200000000000005</v>
      </c>
      <c r="G225" s="811">
        <v>0</v>
      </c>
      <c r="H225" s="811">
        <v>0</v>
      </c>
      <c r="I225" s="811">
        <v>0</v>
      </c>
    </row>
    <row r="226" spans="1:9" hidden="1">
      <c r="B226" s="810" t="s">
        <v>60</v>
      </c>
      <c r="C226" s="817">
        <f>SUM(D226:I226)</f>
        <v>18.52</v>
      </c>
      <c r="D226" s="811">
        <f>16.48-1.41</f>
        <v>15.07</v>
      </c>
      <c r="E226" s="811">
        <f>3.17-0.02</f>
        <v>3.15</v>
      </c>
      <c r="F226" s="811">
        <v>0.3</v>
      </c>
    </row>
    <row r="227" spans="1:9" hidden="1">
      <c r="B227" s="810" t="s">
        <v>729</v>
      </c>
      <c r="C227" s="818">
        <f>SUM(D227:I227)</f>
        <v>94.11</v>
      </c>
      <c r="D227" s="819">
        <f>35.5-3.18+1.68-3.2</f>
        <v>30.8</v>
      </c>
      <c r="E227" s="819">
        <f>87.55-24.55</f>
        <v>63</v>
      </c>
      <c r="F227" s="819">
        <v>0.31</v>
      </c>
      <c r="G227" s="819"/>
      <c r="H227" s="819"/>
      <c r="I227" s="819"/>
    </row>
    <row r="228" spans="1:9" hidden="1">
      <c r="C228" s="822">
        <f>SUM(D228:I228)</f>
        <v>131.65</v>
      </c>
      <c r="D228" s="823">
        <f t="shared" ref="D228:I228" si="30">SUM(D224:D227)</f>
        <v>54.59</v>
      </c>
      <c r="E228" s="823">
        <f t="shared" si="30"/>
        <v>72.430000000000007</v>
      </c>
      <c r="F228" s="823">
        <f t="shared" si="30"/>
        <v>4.63</v>
      </c>
      <c r="G228" s="823">
        <f t="shared" si="30"/>
        <v>0</v>
      </c>
      <c r="H228" s="823">
        <f t="shared" si="30"/>
        <v>0</v>
      </c>
      <c r="I228" s="823">
        <f t="shared" si="30"/>
        <v>0</v>
      </c>
    </row>
    <row r="229" spans="1:9" hidden="1">
      <c r="A229" s="816">
        <v>2001</v>
      </c>
      <c r="B229" s="810" t="s">
        <v>49</v>
      </c>
      <c r="C229" s="810"/>
      <c r="D229" s="810"/>
      <c r="E229" s="810"/>
      <c r="F229" s="810"/>
      <c r="G229" s="810"/>
      <c r="H229" s="810"/>
      <c r="I229" s="810"/>
    </row>
    <row r="230" spans="1:9" hidden="1">
      <c r="B230" s="810" t="s">
        <v>50</v>
      </c>
      <c r="C230" s="817">
        <f t="shared" ref="C230:C242" si="31">SUM(D230:I230)</f>
        <v>54.129999999999995</v>
      </c>
      <c r="D230" s="811">
        <f>33.47-5.71-11.2</f>
        <v>16.559999999999999</v>
      </c>
      <c r="E230" s="811">
        <f>38.71-1.14</f>
        <v>37.57</v>
      </c>
    </row>
    <row r="231" spans="1:9" hidden="1">
      <c r="B231" s="810" t="s">
        <v>51</v>
      </c>
      <c r="C231" s="817">
        <f t="shared" si="31"/>
        <v>70.960000000000008</v>
      </c>
      <c r="D231" s="811">
        <f>6.93+57.6-46.13-8.2</f>
        <v>10.199999999999999</v>
      </c>
      <c r="E231" s="811">
        <f>60.77-1.24</f>
        <v>59.53</v>
      </c>
      <c r="F231" s="811">
        <v>1.23</v>
      </c>
    </row>
    <row r="232" spans="1:9" hidden="1">
      <c r="B232" s="810" t="s">
        <v>52</v>
      </c>
      <c r="C232" s="817">
        <f t="shared" si="31"/>
        <v>33.770000000000024</v>
      </c>
      <c r="D232" s="811">
        <f>102.9-9.25+8.73-113.07</f>
        <v>-10.689999999999984</v>
      </c>
      <c r="E232" s="811">
        <f>139.46-97.25</f>
        <v>42.210000000000008</v>
      </c>
      <c r="F232" s="811">
        <v>1.76</v>
      </c>
      <c r="G232" s="811">
        <v>0.49</v>
      </c>
    </row>
    <row r="233" spans="1:9" hidden="1">
      <c r="B233" s="810" t="s">
        <v>53</v>
      </c>
      <c r="C233" s="817">
        <f t="shared" si="31"/>
        <v>109.57</v>
      </c>
      <c r="D233" s="811">
        <f>96.88-10.85+19.1-85.8</f>
        <v>19.329999999999998</v>
      </c>
      <c r="E233" s="811">
        <f>77.69-6.84</f>
        <v>70.849999999999994</v>
      </c>
      <c r="F233" s="811">
        <f>20.2-0.81</f>
        <v>19.39</v>
      </c>
    </row>
    <row r="234" spans="1:9" hidden="1">
      <c r="B234" s="810" t="s">
        <v>54</v>
      </c>
      <c r="C234" s="817">
        <f t="shared" si="31"/>
        <v>2.98</v>
      </c>
      <c r="D234" s="811">
        <f>1.88-0.18</f>
        <v>1.7</v>
      </c>
      <c r="E234" s="811">
        <f>1.43</f>
        <v>1.43</v>
      </c>
      <c r="F234" s="811">
        <f>0.04-0.19</f>
        <v>-0.15</v>
      </c>
    </row>
    <row r="235" spans="1:9" hidden="1">
      <c r="B235" s="810" t="s">
        <v>55</v>
      </c>
      <c r="C235" s="817">
        <f t="shared" si="31"/>
        <v>2.57</v>
      </c>
      <c r="D235" s="811">
        <f>1.42-0.14</f>
        <v>1.2799999999999998</v>
      </c>
      <c r="E235" s="811">
        <f>0.14</f>
        <v>0.14000000000000001</v>
      </c>
      <c r="F235" s="811">
        <f>1.15</f>
        <v>1.1499999999999999</v>
      </c>
    </row>
    <row r="236" spans="1:9" hidden="1">
      <c r="B236" s="810" t="s">
        <v>56</v>
      </c>
      <c r="C236" s="817">
        <f t="shared" si="31"/>
        <v>0.89999999999999991</v>
      </c>
      <c r="D236" s="811">
        <f>0.85-0.04</f>
        <v>0.80999999999999994</v>
      </c>
      <c r="E236" s="811">
        <v>0.09</v>
      </c>
      <c r="F236" s="811">
        <v>0</v>
      </c>
      <c r="G236" s="811">
        <v>0</v>
      </c>
      <c r="H236" s="811">
        <v>0</v>
      </c>
      <c r="I236" s="811">
        <v>0</v>
      </c>
    </row>
    <row r="237" spans="1:9" hidden="1">
      <c r="B237" s="810" t="s">
        <v>57</v>
      </c>
      <c r="C237" s="817">
        <f t="shared" si="31"/>
        <v>0</v>
      </c>
      <c r="D237" s="811">
        <v>0</v>
      </c>
      <c r="E237" s="811">
        <v>0</v>
      </c>
      <c r="F237" s="811">
        <v>0</v>
      </c>
      <c r="G237" s="811">
        <v>0</v>
      </c>
      <c r="H237" s="811">
        <v>0</v>
      </c>
      <c r="I237" s="811">
        <v>0</v>
      </c>
    </row>
    <row r="238" spans="1:9" hidden="1">
      <c r="B238" s="810" t="s">
        <v>58</v>
      </c>
      <c r="C238" s="817">
        <f t="shared" si="31"/>
        <v>0</v>
      </c>
      <c r="D238" s="811">
        <v>0</v>
      </c>
      <c r="E238" s="811">
        <v>0</v>
      </c>
      <c r="F238" s="811">
        <v>0</v>
      </c>
      <c r="G238" s="811">
        <v>0</v>
      </c>
      <c r="H238" s="811">
        <v>0</v>
      </c>
      <c r="I238" s="811">
        <v>0</v>
      </c>
    </row>
    <row r="239" spans="1:9" hidden="1">
      <c r="B239" s="810" t="s">
        <v>59</v>
      </c>
      <c r="C239" s="817">
        <f t="shared" si="31"/>
        <v>0</v>
      </c>
      <c r="D239" s="811">
        <v>0</v>
      </c>
      <c r="E239" s="811">
        <v>0</v>
      </c>
      <c r="F239" s="811">
        <v>0</v>
      </c>
      <c r="G239" s="811">
        <v>0</v>
      </c>
      <c r="H239" s="811">
        <v>0</v>
      </c>
      <c r="I239" s="811">
        <v>0</v>
      </c>
    </row>
    <row r="240" spans="1:9" hidden="1">
      <c r="B240" s="810" t="s">
        <v>60</v>
      </c>
      <c r="C240" s="817">
        <f t="shared" si="31"/>
        <v>0</v>
      </c>
    </row>
    <row r="241" spans="1:9" hidden="1">
      <c r="B241" s="810" t="s">
        <v>729</v>
      </c>
      <c r="C241" s="818">
        <f t="shared" si="31"/>
        <v>0</v>
      </c>
      <c r="D241" s="819"/>
      <c r="E241" s="819"/>
      <c r="F241" s="819"/>
      <c r="G241" s="819"/>
      <c r="H241" s="819"/>
      <c r="I241" s="819"/>
    </row>
    <row r="242" spans="1:9" hidden="1">
      <c r="C242" s="817">
        <f t="shared" si="31"/>
        <v>274.88000000000005</v>
      </c>
      <c r="D242" s="811">
        <f t="shared" ref="D242:I242" si="32">SUM(D230:D241)</f>
        <v>39.190000000000019</v>
      </c>
      <c r="E242" s="811">
        <f t="shared" si="32"/>
        <v>211.82</v>
      </c>
      <c r="F242" s="811">
        <f t="shared" si="32"/>
        <v>23.380000000000003</v>
      </c>
      <c r="G242" s="811">
        <f t="shared" si="32"/>
        <v>0.49</v>
      </c>
      <c r="H242" s="811">
        <f t="shared" si="32"/>
        <v>0</v>
      </c>
      <c r="I242" s="811">
        <f t="shared" si="32"/>
        <v>0</v>
      </c>
    </row>
    <row r="243" spans="1:9" hidden="1">
      <c r="A243" s="815" t="s">
        <v>732</v>
      </c>
      <c r="C243" s="822"/>
      <c r="D243" s="823"/>
      <c r="E243" s="823"/>
      <c r="F243" s="823"/>
      <c r="G243" s="823"/>
      <c r="H243" s="823"/>
      <c r="I243" s="823"/>
    </row>
    <row r="244" spans="1:9" hidden="1">
      <c r="C244" s="810"/>
      <c r="D244" s="823"/>
      <c r="E244" s="823"/>
      <c r="F244" s="823"/>
      <c r="G244" s="823"/>
      <c r="H244" s="823"/>
      <c r="I244" s="823"/>
    </row>
    <row r="245" spans="1:9" hidden="1">
      <c r="C245" s="817"/>
    </row>
    <row r="246" spans="1:9" hidden="1">
      <c r="A246" s="810">
        <v>2000</v>
      </c>
      <c r="B246" s="810" t="s">
        <v>57</v>
      </c>
      <c r="C246" s="817">
        <f>SUM(D246:I246)</f>
        <v>0</v>
      </c>
      <c r="D246" s="811">
        <v>0</v>
      </c>
      <c r="E246" s="811">
        <v>0</v>
      </c>
      <c r="F246" s="811">
        <v>0</v>
      </c>
      <c r="G246" s="811">
        <v>0</v>
      </c>
      <c r="H246" s="811">
        <v>0</v>
      </c>
      <c r="I246" s="811">
        <v>0</v>
      </c>
    </row>
    <row r="247" spans="1:9" hidden="1">
      <c r="B247" s="810" t="s">
        <v>58</v>
      </c>
      <c r="C247" s="817">
        <f>SUM(D247:I247)</f>
        <v>32</v>
      </c>
      <c r="D247" s="811">
        <v>32</v>
      </c>
    </row>
    <row r="248" spans="1:9" hidden="1">
      <c r="B248" s="810" t="s">
        <v>59</v>
      </c>
      <c r="C248" s="817">
        <f>SUM(D248:I248)</f>
        <v>1302.6099999999999</v>
      </c>
      <c r="D248" s="811">
        <v>1302.6099999999999</v>
      </c>
    </row>
    <row r="249" spans="1:9" hidden="1">
      <c r="B249" s="810" t="s">
        <v>60</v>
      </c>
      <c r="C249" s="822">
        <f>SUM(D249:I249)</f>
        <v>7845.67</v>
      </c>
      <c r="D249" s="823">
        <v>7845.67</v>
      </c>
      <c r="E249" s="823"/>
      <c r="F249" s="823"/>
      <c r="G249" s="823"/>
      <c r="H249" s="823"/>
      <c r="I249" s="823"/>
    </row>
    <row r="250" spans="1:9" hidden="1">
      <c r="B250" s="810" t="s">
        <v>729</v>
      </c>
      <c r="C250" s="822">
        <f>SUM(D250:I250)</f>
        <v>9180.2800000000007</v>
      </c>
      <c r="D250" s="823">
        <f t="shared" ref="D250:I250" si="33">SUM(D246:D249)</f>
        <v>9180.2800000000007</v>
      </c>
      <c r="E250" s="823">
        <f t="shared" si="33"/>
        <v>0</v>
      </c>
      <c r="F250" s="823">
        <f t="shared" si="33"/>
        <v>0</v>
      </c>
      <c r="G250" s="823">
        <f t="shared" si="33"/>
        <v>0</v>
      </c>
      <c r="H250" s="823">
        <f t="shared" si="33"/>
        <v>0</v>
      </c>
      <c r="I250" s="823">
        <f t="shared" si="33"/>
        <v>0</v>
      </c>
    </row>
    <row r="251" spans="1:9" hidden="1"/>
    <row r="252" spans="1:9" hidden="1">
      <c r="A252" s="810">
        <v>2001</v>
      </c>
      <c r="B252" s="810" t="s">
        <v>49</v>
      </c>
      <c r="C252" s="817">
        <f t="shared" ref="C252:C264" si="34">SUM(D252:I252)</f>
        <v>36351.31</v>
      </c>
      <c r="D252" s="811">
        <v>36351.31</v>
      </c>
    </row>
    <row r="253" spans="1:9" hidden="1">
      <c r="B253" s="810" t="s">
        <v>50</v>
      </c>
      <c r="C253" s="817">
        <f t="shared" si="34"/>
        <v>93482.89</v>
      </c>
      <c r="D253" s="811">
        <v>93482.89</v>
      </c>
    </row>
    <row r="254" spans="1:9" hidden="1">
      <c r="B254" s="810" t="s">
        <v>51</v>
      </c>
      <c r="C254" s="817">
        <f t="shared" si="34"/>
        <v>118377.69</v>
      </c>
      <c r="D254" s="811">
        <v>118377.69</v>
      </c>
    </row>
    <row r="255" spans="1:9" hidden="1">
      <c r="B255" s="810" t="s">
        <v>52</v>
      </c>
      <c r="C255" s="817">
        <f t="shared" si="34"/>
        <v>134926.39000000001</v>
      </c>
      <c r="D255" s="811">
        <f>134926.39</f>
        <v>134926.39000000001</v>
      </c>
    </row>
    <row r="256" spans="1:9" hidden="1">
      <c r="B256" s="810" t="s">
        <v>53</v>
      </c>
      <c r="C256" s="817">
        <f t="shared" si="34"/>
        <v>139913.75</v>
      </c>
      <c r="D256" s="811">
        <v>139913.75</v>
      </c>
    </row>
    <row r="257" spans="1:9" hidden="1">
      <c r="B257" s="810" t="s">
        <v>54</v>
      </c>
      <c r="C257" s="817">
        <f t="shared" si="34"/>
        <v>135652.12</v>
      </c>
      <c r="D257" s="811">
        <v>135652.12</v>
      </c>
    </row>
    <row r="258" spans="1:9" hidden="1">
      <c r="A258" s="816"/>
      <c r="B258" s="810" t="s">
        <v>55</v>
      </c>
      <c r="C258" s="817">
        <f t="shared" si="34"/>
        <v>131372.34</v>
      </c>
      <c r="D258" s="811">
        <f>131372.34</f>
        <v>131372.34</v>
      </c>
    </row>
    <row r="259" spans="1:9" hidden="1">
      <c r="B259" s="810" t="s">
        <v>56</v>
      </c>
      <c r="C259" s="817">
        <f t="shared" si="34"/>
        <v>125204.29</v>
      </c>
      <c r="D259" s="811">
        <f>125204.29</f>
        <v>125204.29</v>
      </c>
    </row>
    <row r="260" spans="1:9" hidden="1">
      <c r="B260" s="810" t="s">
        <v>57</v>
      </c>
      <c r="C260" s="817">
        <f t="shared" si="34"/>
        <v>119798.57</v>
      </c>
      <c r="D260" s="811">
        <v>119798.57</v>
      </c>
    </row>
    <row r="261" spans="1:9" hidden="1">
      <c r="B261" s="810" t="s">
        <v>58</v>
      </c>
      <c r="C261" s="817">
        <f t="shared" si="34"/>
        <v>115325.4</v>
      </c>
      <c r="D261" s="811">
        <f>115325.4</f>
        <v>115325.4</v>
      </c>
    </row>
    <row r="262" spans="1:9" hidden="1">
      <c r="B262" s="810" t="s">
        <v>59</v>
      </c>
      <c r="C262" s="817">
        <f t="shared" si="34"/>
        <v>109457.88</v>
      </c>
      <c r="D262" s="811">
        <v>109457.88</v>
      </c>
    </row>
    <row r="263" spans="1:9" hidden="1">
      <c r="B263" s="810" t="s">
        <v>60</v>
      </c>
      <c r="C263" s="818">
        <f t="shared" si="34"/>
        <v>94708.41</v>
      </c>
      <c r="D263" s="819">
        <v>94708.41</v>
      </c>
      <c r="E263" s="819"/>
      <c r="F263" s="819"/>
      <c r="G263" s="819"/>
      <c r="H263" s="819"/>
      <c r="I263" s="819"/>
    </row>
    <row r="264" spans="1:9" hidden="1">
      <c r="B264" s="810" t="s">
        <v>729</v>
      </c>
      <c r="C264" s="817">
        <f t="shared" si="34"/>
        <v>1354571.0399999998</v>
      </c>
      <c r="D264" s="811">
        <f t="shared" ref="D264:I264" si="35">SUM(D252:D263)</f>
        <v>1354571.0399999998</v>
      </c>
      <c r="E264" s="811">
        <f t="shared" si="35"/>
        <v>0</v>
      </c>
      <c r="F264" s="811">
        <f t="shared" si="35"/>
        <v>0</v>
      </c>
      <c r="G264" s="811">
        <f t="shared" si="35"/>
        <v>0</v>
      </c>
      <c r="H264" s="811">
        <f t="shared" si="35"/>
        <v>0</v>
      </c>
      <c r="I264" s="811">
        <f t="shared" si="35"/>
        <v>0</v>
      </c>
    </row>
    <row r="265" spans="1:9" hidden="1">
      <c r="C265" s="817"/>
    </row>
    <row r="266" spans="1:9" hidden="1">
      <c r="A266" s="810">
        <v>2002</v>
      </c>
      <c r="B266" s="810" t="s">
        <v>49</v>
      </c>
      <c r="C266" s="817">
        <f t="shared" ref="C266:C278" si="36">SUM(D266:I266)</f>
        <v>171074.91</v>
      </c>
      <c r="D266" s="811">
        <v>171074.91</v>
      </c>
    </row>
    <row r="267" spans="1:9" hidden="1">
      <c r="B267" s="810" t="s">
        <v>50</v>
      </c>
      <c r="C267" s="817">
        <f t="shared" si="36"/>
        <v>159314.25</v>
      </c>
      <c r="D267" s="811">
        <v>159314.25</v>
      </c>
    </row>
    <row r="268" spans="1:9" hidden="1">
      <c r="B268" s="810" t="s">
        <v>51</v>
      </c>
      <c r="C268" s="817">
        <f t="shared" si="36"/>
        <v>178454.67</v>
      </c>
      <c r="D268" s="811">
        <v>178454.67</v>
      </c>
    </row>
    <row r="269" spans="1:9" hidden="1">
      <c r="B269" s="810" t="s">
        <v>52</v>
      </c>
      <c r="C269" s="817">
        <f t="shared" si="36"/>
        <v>205248.53</v>
      </c>
      <c r="D269" s="811">
        <v>205248.53</v>
      </c>
    </row>
    <row r="270" spans="1:9" hidden="1">
      <c r="B270" s="810" t="s">
        <v>53</v>
      </c>
      <c r="C270" s="817">
        <f t="shared" si="36"/>
        <v>214367.23</v>
      </c>
      <c r="D270" s="811">
        <v>214367.23</v>
      </c>
    </row>
    <row r="271" spans="1:9" hidden="1">
      <c r="B271" s="810" t="s">
        <v>54</v>
      </c>
      <c r="C271" s="817">
        <f t="shared" si="36"/>
        <v>165250.54999999999</v>
      </c>
      <c r="D271" s="811">
        <v>165250.54999999999</v>
      </c>
    </row>
    <row r="272" spans="1:9" hidden="1">
      <c r="B272" s="810" t="s">
        <v>55</v>
      </c>
      <c r="C272" s="817">
        <f t="shared" si="36"/>
        <v>109918.64</v>
      </c>
      <c r="D272" s="811">
        <v>109918.64</v>
      </c>
    </row>
    <row r="273" spans="1:4" hidden="1">
      <c r="B273" s="810" t="s">
        <v>56</v>
      </c>
      <c r="C273" s="817">
        <f t="shared" si="36"/>
        <v>128490.13</v>
      </c>
      <c r="D273" s="811">
        <v>128490.13</v>
      </c>
    </row>
    <row r="274" spans="1:4" hidden="1">
      <c r="B274" s="810" t="s">
        <v>57</v>
      </c>
      <c r="C274" s="817">
        <f t="shared" si="36"/>
        <v>130973.94</v>
      </c>
      <c r="D274" s="811">
        <v>130973.94</v>
      </c>
    </row>
    <row r="275" spans="1:4" hidden="1">
      <c r="B275" s="810" t="s">
        <v>58</v>
      </c>
      <c r="C275" s="817">
        <f t="shared" si="36"/>
        <v>124574.76</v>
      </c>
      <c r="D275" s="811">
        <v>124574.76</v>
      </c>
    </row>
    <row r="276" spans="1:4" hidden="1">
      <c r="B276" s="810" t="s">
        <v>59</v>
      </c>
      <c r="C276" s="817">
        <f t="shared" si="36"/>
        <v>119891.86</v>
      </c>
      <c r="D276" s="811">
        <v>119891.86</v>
      </c>
    </row>
    <row r="277" spans="1:4" hidden="1">
      <c r="B277" s="810" t="s">
        <v>60</v>
      </c>
      <c r="C277" s="818">
        <f t="shared" si="36"/>
        <v>125815.98</v>
      </c>
      <c r="D277" s="819">
        <v>125815.98</v>
      </c>
    </row>
    <row r="278" spans="1:4" hidden="1">
      <c r="B278" s="810" t="s">
        <v>729</v>
      </c>
      <c r="C278" s="817">
        <f t="shared" si="36"/>
        <v>1833375.4500000002</v>
      </c>
      <c r="D278" s="811">
        <f>SUM(D266:D277)</f>
        <v>1833375.4500000002</v>
      </c>
    </row>
    <row r="279" spans="1:4" hidden="1">
      <c r="C279" s="817"/>
    </row>
    <row r="280" spans="1:4" hidden="1">
      <c r="A280" s="816">
        <v>2003</v>
      </c>
      <c r="B280" s="810" t="s">
        <v>49</v>
      </c>
      <c r="C280" s="817">
        <f t="shared" ref="C280:C291" si="37">SUM(D280:I280)</f>
        <v>143076.22</v>
      </c>
      <c r="D280" s="811">
        <v>143076.22</v>
      </c>
    </row>
    <row r="281" spans="1:4" hidden="1">
      <c r="B281" s="810" t="s">
        <v>50</v>
      </c>
      <c r="C281" s="817">
        <f t="shared" si="37"/>
        <v>159474.85999999999</v>
      </c>
      <c r="D281" s="811">
        <v>159474.85999999999</v>
      </c>
    </row>
    <row r="282" spans="1:4" hidden="1">
      <c r="B282" s="810" t="s">
        <v>51</v>
      </c>
      <c r="C282" s="817">
        <f t="shared" si="37"/>
        <v>170804.38</v>
      </c>
      <c r="D282" s="811">
        <v>170804.38</v>
      </c>
    </row>
    <row r="283" spans="1:4" hidden="1">
      <c r="B283" s="810" t="s">
        <v>52</v>
      </c>
      <c r="C283" s="817">
        <f t="shared" si="37"/>
        <v>181174.69</v>
      </c>
      <c r="D283" s="811">
        <v>181174.69</v>
      </c>
    </row>
    <row r="284" spans="1:4" hidden="1">
      <c r="B284" s="810" t="s">
        <v>53</v>
      </c>
      <c r="C284" s="817">
        <f t="shared" si="37"/>
        <v>186196.43</v>
      </c>
      <c r="D284" s="811">
        <v>186196.43</v>
      </c>
    </row>
    <row r="285" spans="1:4" hidden="1">
      <c r="B285" s="810" t="s">
        <v>54</v>
      </c>
      <c r="C285" s="817">
        <f t="shared" si="37"/>
        <v>170378.1</v>
      </c>
      <c r="D285" s="811">
        <v>170378.1</v>
      </c>
    </row>
    <row r="286" spans="1:4" hidden="1">
      <c r="B286" s="810" t="s">
        <v>55</v>
      </c>
      <c r="C286" s="817">
        <f t="shared" si="37"/>
        <v>140299.42000000001</v>
      </c>
      <c r="D286" s="811">
        <v>140299.42000000001</v>
      </c>
    </row>
    <row r="287" spans="1:4" hidden="1">
      <c r="B287" s="810" t="s">
        <v>56</v>
      </c>
      <c r="C287" s="817">
        <f t="shared" si="37"/>
        <v>133100.70000000001</v>
      </c>
      <c r="D287" s="811">
        <v>133100.70000000001</v>
      </c>
    </row>
    <row r="288" spans="1:4" hidden="1">
      <c r="B288" s="810" t="s">
        <v>57</v>
      </c>
      <c r="C288" s="817">
        <f t="shared" si="37"/>
        <v>128883.98</v>
      </c>
      <c r="D288" s="811">
        <v>128883.98</v>
      </c>
    </row>
    <row r="289" spans="1:4" hidden="1">
      <c r="B289" s="810" t="s">
        <v>58</v>
      </c>
      <c r="C289" s="817">
        <f t="shared" si="37"/>
        <v>121799.77</v>
      </c>
      <c r="D289" s="811">
        <v>121799.77</v>
      </c>
    </row>
    <row r="290" spans="1:4" hidden="1">
      <c r="B290" s="810" t="s">
        <v>59</v>
      </c>
      <c r="C290" s="817">
        <f t="shared" si="37"/>
        <v>122627.8</v>
      </c>
      <c r="D290" s="811">
        <v>122627.8</v>
      </c>
    </row>
    <row r="291" spans="1:4" hidden="1">
      <c r="B291" s="810" t="s">
        <v>60</v>
      </c>
      <c r="C291" s="818">
        <f t="shared" si="37"/>
        <v>128207.54</v>
      </c>
      <c r="D291" s="819">
        <v>128207.54</v>
      </c>
    </row>
    <row r="292" spans="1:4" hidden="1">
      <c r="B292" s="810" t="s">
        <v>729</v>
      </c>
      <c r="C292" s="817">
        <f>SUM(C280:C291)</f>
        <v>1786023.89</v>
      </c>
      <c r="D292" s="811">
        <f>SUM(D280:D291)</f>
        <v>1786023.89</v>
      </c>
    </row>
    <row r="293" spans="1:4" hidden="1">
      <c r="C293" s="817"/>
    </row>
    <row r="294" spans="1:4" hidden="1">
      <c r="A294" s="810">
        <v>2004</v>
      </c>
      <c r="B294" s="810" t="s">
        <v>49</v>
      </c>
      <c r="C294" s="817">
        <f t="shared" ref="C294:C305" si="38">SUM(D294:I294)</f>
        <v>138532.20000000001</v>
      </c>
      <c r="D294" s="811">
        <v>138532.20000000001</v>
      </c>
    </row>
    <row r="295" spans="1:4" hidden="1">
      <c r="B295" s="810" t="s">
        <v>50</v>
      </c>
      <c r="C295" s="817">
        <f t="shared" si="38"/>
        <v>157770.76999999999</v>
      </c>
      <c r="D295" s="811">
        <v>157770.76999999999</v>
      </c>
    </row>
    <row r="296" spans="1:4" hidden="1">
      <c r="B296" s="810" t="s">
        <v>51</v>
      </c>
      <c r="C296" s="817">
        <f t="shared" si="38"/>
        <v>165251.6</v>
      </c>
      <c r="D296" s="811">
        <v>165251.6</v>
      </c>
    </row>
    <row r="297" spans="1:4" hidden="1">
      <c r="B297" s="810" t="s">
        <v>52</v>
      </c>
      <c r="C297" s="817">
        <f t="shared" si="38"/>
        <v>169437.8</v>
      </c>
      <c r="D297" s="811">
        <v>169437.8</v>
      </c>
    </row>
    <row r="298" spans="1:4" hidden="1">
      <c r="B298" s="810" t="s">
        <v>53</v>
      </c>
      <c r="C298" s="817">
        <f t="shared" si="38"/>
        <v>170926.2</v>
      </c>
      <c r="D298" s="811">
        <v>170926.2</v>
      </c>
    </row>
    <row r="299" spans="1:4" hidden="1">
      <c r="B299" s="810" t="s">
        <v>54</v>
      </c>
      <c r="C299" s="817">
        <f t="shared" si="38"/>
        <v>166010.62</v>
      </c>
      <c r="D299" s="811">
        <v>166010.62</v>
      </c>
    </row>
    <row r="300" spans="1:4" hidden="1">
      <c r="B300" s="810" t="s">
        <v>55</v>
      </c>
      <c r="C300" s="817">
        <f t="shared" si="38"/>
        <v>125500.34</v>
      </c>
      <c r="D300" s="811">
        <v>125500.34</v>
      </c>
    </row>
    <row r="301" spans="1:4" hidden="1">
      <c r="B301" s="810" t="s">
        <v>56</v>
      </c>
      <c r="C301" s="817">
        <f t="shared" si="38"/>
        <v>120429.78</v>
      </c>
      <c r="D301" s="811">
        <v>120429.78</v>
      </c>
    </row>
    <row r="302" spans="1:4" hidden="1">
      <c r="B302" s="810" t="s">
        <v>57</v>
      </c>
      <c r="C302" s="817">
        <f t="shared" si="38"/>
        <v>114263.2</v>
      </c>
      <c r="D302" s="811">
        <v>114263.2</v>
      </c>
    </row>
    <row r="303" spans="1:4" hidden="1">
      <c r="B303" s="810" t="s">
        <v>58</v>
      </c>
      <c r="C303" s="817">
        <f t="shared" si="38"/>
        <v>110771.04</v>
      </c>
      <c r="D303" s="811">
        <v>110771.04</v>
      </c>
    </row>
    <row r="304" spans="1:4" hidden="1">
      <c r="B304" s="810" t="s">
        <v>59</v>
      </c>
      <c r="C304" s="817">
        <f t="shared" si="38"/>
        <v>102530.4</v>
      </c>
      <c r="D304" s="811">
        <v>102530.4</v>
      </c>
    </row>
    <row r="305" spans="1:4" hidden="1">
      <c r="B305" s="810" t="s">
        <v>60</v>
      </c>
      <c r="C305" s="818">
        <f t="shared" si="38"/>
        <v>115680.17</v>
      </c>
      <c r="D305" s="819">
        <v>115680.17</v>
      </c>
    </row>
    <row r="306" spans="1:4" hidden="1">
      <c r="B306" s="810" t="s">
        <v>729</v>
      </c>
      <c r="C306" s="817">
        <f>SUM(C294:C305)</f>
        <v>1657104.1199999996</v>
      </c>
      <c r="D306" s="811">
        <f>SUM(D294:D305)</f>
        <v>1657104.1199999996</v>
      </c>
    </row>
    <row r="307" spans="1:4" hidden="1">
      <c r="C307" s="817"/>
    </row>
    <row r="308" spans="1:4" hidden="1">
      <c r="A308" s="810">
        <v>2005</v>
      </c>
      <c r="B308" s="810" t="s">
        <v>49</v>
      </c>
      <c r="C308" s="817">
        <f t="shared" ref="C308:C319" si="39">SUM(D308:I308)</f>
        <v>131206.18</v>
      </c>
      <c r="D308" s="811">
        <v>131206.18</v>
      </c>
    </row>
    <row r="309" spans="1:4" hidden="1">
      <c r="B309" s="810" t="s">
        <v>50</v>
      </c>
      <c r="C309" s="817">
        <f t="shared" si="39"/>
        <v>137950.5</v>
      </c>
      <c r="D309" s="811">
        <v>137950.5</v>
      </c>
    </row>
    <row r="310" spans="1:4" hidden="1">
      <c r="B310" s="810" t="s">
        <v>51</v>
      </c>
      <c r="C310" s="817">
        <f t="shared" si="39"/>
        <v>149845.49</v>
      </c>
      <c r="D310" s="811">
        <v>149845.49</v>
      </c>
    </row>
    <row r="311" spans="1:4" hidden="1">
      <c r="B311" s="810" t="s">
        <v>52</v>
      </c>
      <c r="C311" s="817">
        <f t="shared" si="39"/>
        <v>163033.39000000001</v>
      </c>
      <c r="D311" s="811">
        <v>163033.39000000001</v>
      </c>
    </row>
    <row r="312" spans="1:4" hidden="1">
      <c r="B312" s="810" t="s">
        <v>53</v>
      </c>
      <c r="C312" s="817">
        <f t="shared" si="39"/>
        <v>168131.36</v>
      </c>
      <c r="D312" s="811">
        <v>168131.36</v>
      </c>
    </row>
    <row r="313" spans="1:4" hidden="1">
      <c r="B313" s="810" t="s">
        <v>54</v>
      </c>
      <c r="C313" s="817">
        <f t="shared" si="39"/>
        <v>166271.15</v>
      </c>
      <c r="D313" s="811">
        <v>166271.15</v>
      </c>
    </row>
    <row r="314" spans="1:4" hidden="1">
      <c r="B314" s="810" t="s">
        <v>55</v>
      </c>
      <c r="C314" s="817">
        <f t="shared" si="39"/>
        <v>161022.04999999999</v>
      </c>
      <c r="D314" s="811">
        <v>161022.04999999999</v>
      </c>
    </row>
    <row r="315" spans="1:4" hidden="1">
      <c r="B315" s="810" t="s">
        <v>56</v>
      </c>
      <c r="C315" s="817">
        <f t="shared" si="39"/>
        <v>156368.42000000001</v>
      </c>
      <c r="D315" s="811">
        <v>156368.42000000001</v>
      </c>
    </row>
    <row r="316" spans="1:4" hidden="1">
      <c r="B316" s="810" t="s">
        <v>57</v>
      </c>
      <c r="C316" s="817">
        <f t="shared" si="39"/>
        <v>152468.29</v>
      </c>
      <c r="D316" s="811">
        <v>152468.29</v>
      </c>
    </row>
    <row r="317" spans="1:4" hidden="1">
      <c r="B317" s="810" t="s">
        <v>58</v>
      </c>
      <c r="C317" s="817">
        <f t="shared" si="39"/>
        <v>145478.69</v>
      </c>
      <c r="D317" s="811">
        <v>145478.69</v>
      </c>
    </row>
    <row r="318" spans="1:4" hidden="1">
      <c r="B318" s="810" t="s">
        <v>59</v>
      </c>
      <c r="C318" s="817">
        <f t="shared" si="39"/>
        <v>142064.84</v>
      </c>
      <c r="D318" s="811">
        <v>142064.84</v>
      </c>
    </row>
    <row r="319" spans="1:4" hidden="1">
      <c r="B319" s="810" t="s">
        <v>60</v>
      </c>
      <c r="C319" s="818">
        <f t="shared" si="39"/>
        <v>146947.1</v>
      </c>
      <c r="D319" s="819">
        <v>146947.1</v>
      </c>
    </row>
    <row r="320" spans="1:4" hidden="1">
      <c r="B320" s="810" t="s">
        <v>729</v>
      </c>
      <c r="C320" s="817">
        <f>SUM(C308:C319)</f>
        <v>1820787.4600000002</v>
      </c>
      <c r="D320" s="811">
        <f>SUM(D308:D319)</f>
        <v>1820787.4600000002</v>
      </c>
    </row>
    <row r="321" spans="1:4" hidden="1">
      <c r="C321" s="817"/>
    </row>
    <row r="322" spans="1:4" hidden="1">
      <c r="A322" s="810">
        <v>2006</v>
      </c>
      <c r="B322" s="821" t="s">
        <v>49</v>
      </c>
      <c r="C322" s="822">
        <f t="shared" ref="C322:C333" si="40">SUM(D322:I322)</f>
        <v>160901.59</v>
      </c>
      <c r="D322" s="811">
        <v>160901.59</v>
      </c>
    </row>
    <row r="323" spans="1:4" hidden="1">
      <c r="B323" s="821" t="s">
        <v>50</v>
      </c>
      <c r="C323" s="822">
        <f t="shared" si="40"/>
        <v>174830.03</v>
      </c>
      <c r="D323" s="811">
        <v>174830.03</v>
      </c>
    </row>
    <row r="324" spans="1:4" hidden="1">
      <c r="B324" s="821" t="s">
        <v>51</v>
      </c>
      <c r="C324" s="822">
        <f t="shared" si="40"/>
        <v>192257.52</v>
      </c>
      <c r="D324" s="811">
        <v>192257.52</v>
      </c>
    </row>
    <row r="325" spans="1:4" hidden="1">
      <c r="B325" s="810" t="s">
        <v>52</v>
      </c>
      <c r="C325" s="822">
        <f t="shared" si="40"/>
        <v>204672.11</v>
      </c>
      <c r="D325" s="811">
        <v>204672.11</v>
      </c>
    </row>
    <row r="326" spans="1:4" hidden="1">
      <c r="B326" s="810" t="s">
        <v>53</v>
      </c>
      <c r="C326" s="822">
        <f t="shared" si="40"/>
        <v>208441.34</v>
      </c>
      <c r="D326" s="811">
        <v>208441.34</v>
      </c>
    </row>
    <row r="327" spans="1:4" hidden="1">
      <c r="B327" s="810" t="s">
        <v>54</v>
      </c>
      <c r="C327" s="822">
        <f t="shared" si="40"/>
        <v>210896.96</v>
      </c>
      <c r="D327" s="811">
        <v>210896.96</v>
      </c>
    </row>
    <row r="328" spans="1:4" hidden="1">
      <c r="B328" s="810" t="s">
        <v>55</v>
      </c>
      <c r="C328" s="822">
        <f t="shared" si="40"/>
        <v>209191.5</v>
      </c>
      <c r="D328" s="811">
        <v>209191.5</v>
      </c>
    </row>
    <row r="329" spans="1:4" hidden="1">
      <c r="B329" s="810" t="s">
        <v>56</v>
      </c>
      <c r="C329" s="822">
        <f t="shared" si="40"/>
        <v>200658.26</v>
      </c>
      <c r="D329" s="811">
        <v>200658.26</v>
      </c>
    </row>
    <row r="330" spans="1:4" hidden="1">
      <c r="B330" s="810" t="s">
        <v>57</v>
      </c>
      <c r="C330" s="822">
        <f t="shared" si="40"/>
        <v>187944.19</v>
      </c>
      <c r="D330" s="811">
        <v>187944.19</v>
      </c>
    </row>
    <row r="331" spans="1:4" hidden="1">
      <c r="B331" s="810" t="s">
        <v>58</v>
      </c>
      <c r="C331" s="822">
        <f t="shared" si="40"/>
        <v>174055.75</v>
      </c>
      <c r="D331" s="811">
        <v>174055.75</v>
      </c>
    </row>
    <row r="332" spans="1:4" hidden="1">
      <c r="B332" s="810" t="s">
        <v>59</v>
      </c>
      <c r="C332" s="822">
        <f t="shared" si="40"/>
        <v>172614.85</v>
      </c>
      <c r="D332" s="811">
        <v>172614.85</v>
      </c>
    </row>
    <row r="333" spans="1:4" hidden="1">
      <c r="B333" s="810" t="s">
        <v>60</v>
      </c>
      <c r="C333" s="818">
        <f t="shared" si="40"/>
        <v>177167.08</v>
      </c>
      <c r="D333" s="819">
        <v>177167.08</v>
      </c>
    </row>
    <row r="334" spans="1:4" hidden="1">
      <c r="B334" s="810" t="s">
        <v>729</v>
      </c>
      <c r="C334" s="822">
        <f>SUM(C322:C333)</f>
        <v>2273631.1800000002</v>
      </c>
      <c r="D334" s="811">
        <f>SUM(D322:D333)</f>
        <v>2273631.1800000002</v>
      </c>
    </row>
    <row r="335" spans="1:4" hidden="1">
      <c r="C335" s="822"/>
    </row>
    <row r="336" spans="1:4" hidden="1">
      <c r="A336" s="810">
        <v>2007</v>
      </c>
      <c r="B336" s="821" t="s">
        <v>49</v>
      </c>
      <c r="C336" s="822">
        <f t="shared" ref="C336:C347" si="41">SUM(D336:I336)</f>
        <v>189594.33</v>
      </c>
      <c r="D336" s="823">
        <v>189594.33</v>
      </c>
    </row>
    <row r="337" spans="1:4" hidden="1">
      <c r="B337" s="821" t="s">
        <v>50</v>
      </c>
      <c r="C337" s="822">
        <f t="shared" si="41"/>
        <v>201414.28</v>
      </c>
      <c r="D337" s="823">
        <v>201414.28</v>
      </c>
    </row>
    <row r="338" spans="1:4" hidden="1">
      <c r="B338" s="821" t="s">
        <v>51</v>
      </c>
      <c r="C338" s="822">
        <f t="shared" si="41"/>
        <v>210880.4</v>
      </c>
      <c r="D338" s="823">
        <v>210880.4</v>
      </c>
    </row>
    <row r="339" spans="1:4" hidden="1">
      <c r="B339" s="821" t="s">
        <v>52</v>
      </c>
      <c r="C339" s="822">
        <f t="shared" si="41"/>
        <v>216875.4</v>
      </c>
      <c r="D339" s="823">
        <v>216875.4</v>
      </c>
    </row>
    <row r="340" spans="1:4" hidden="1">
      <c r="B340" s="821" t="s">
        <v>53</v>
      </c>
      <c r="C340" s="822">
        <f t="shared" si="41"/>
        <v>218321.81</v>
      </c>
      <c r="D340" s="823">
        <v>218321.81</v>
      </c>
    </row>
    <row r="341" spans="1:4" hidden="1">
      <c r="B341" s="821" t="s">
        <v>245</v>
      </c>
      <c r="C341" s="822">
        <f t="shared" si="41"/>
        <v>190337.12</v>
      </c>
      <c r="D341" s="823">
        <v>190337.12</v>
      </c>
    </row>
    <row r="342" spans="1:4" hidden="1">
      <c r="B342" s="821" t="s">
        <v>246</v>
      </c>
      <c r="C342" s="822">
        <f t="shared" si="41"/>
        <v>178059.45</v>
      </c>
      <c r="D342" s="823">
        <v>178059.45</v>
      </c>
    </row>
    <row r="343" spans="1:4" hidden="1">
      <c r="B343" s="821" t="s">
        <v>56</v>
      </c>
      <c r="C343" s="822">
        <f t="shared" si="41"/>
        <v>174626.55</v>
      </c>
      <c r="D343" s="823">
        <v>174626.55</v>
      </c>
    </row>
    <row r="344" spans="1:4" hidden="1">
      <c r="B344" s="821" t="s">
        <v>707</v>
      </c>
      <c r="C344" s="822">
        <f t="shared" si="41"/>
        <v>171981.16</v>
      </c>
      <c r="D344" s="823">
        <v>171981.16</v>
      </c>
    </row>
    <row r="345" spans="1:4" hidden="1">
      <c r="B345" s="821" t="s">
        <v>58</v>
      </c>
      <c r="C345" s="822">
        <f t="shared" si="41"/>
        <v>169110.32</v>
      </c>
      <c r="D345" s="823">
        <v>169110.32</v>
      </c>
    </row>
    <row r="346" spans="1:4" hidden="1">
      <c r="A346" s="821"/>
      <c r="B346" s="821" t="s">
        <v>59</v>
      </c>
      <c r="C346" s="822">
        <f t="shared" si="41"/>
        <v>165096.94</v>
      </c>
      <c r="D346" s="823">
        <v>165096.94</v>
      </c>
    </row>
    <row r="347" spans="1:4" hidden="1">
      <c r="A347" s="821"/>
      <c r="B347" s="821" t="s">
        <v>60</v>
      </c>
      <c r="C347" s="818">
        <f t="shared" si="41"/>
        <v>168906.85</v>
      </c>
      <c r="D347" s="819">
        <v>168906.85</v>
      </c>
    </row>
    <row r="348" spans="1:4" hidden="1">
      <c r="A348" s="821"/>
      <c r="B348" s="810" t="s">
        <v>729</v>
      </c>
      <c r="C348" s="822">
        <f>SUM(C336:C347)</f>
        <v>2255204.61</v>
      </c>
      <c r="D348" s="811">
        <f>SUM(D336:D347)</f>
        <v>2255204.61</v>
      </c>
    </row>
    <row r="349" spans="1:4" hidden="1">
      <c r="C349" s="822"/>
    </row>
    <row r="350" spans="1:4" hidden="1">
      <c r="A350" s="821">
        <v>2008</v>
      </c>
      <c r="B350" s="821" t="s">
        <v>49</v>
      </c>
      <c r="C350" s="822">
        <f>SUM(D350:J350)</f>
        <v>177008.88</v>
      </c>
      <c r="D350" s="823">
        <v>177008.88</v>
      </c>
    </row>
    <row r="351" spans="1:4" hidden="1">
      <c r="A351" s="821"/>
      <c r="B351" s="821" t="s">
        <v>50</v>
      </c>
      <c r="C351" s="822">
        <f t="shared" ref="C351:C361" si="42">SUM(D351:J351)</f>
        <v>184436.54</v>
      </c>
      <c r="D351" s="823">
        <v>184436.54</v>
      </c>
    </row>
    <row r="352" spans="1:4" hidden="1">
      <c r="A352" s="821"/>
      <c r="B352" s="821" t="s">
        <v>51</v>
      </c>
      <c r="C352" s="822">
        <f t="shared" si="42"/>
        <v>198379.17</v>
      </c>
      <c r="D352" s="823">
        <v>198379.17</v>
      </c>
    </row>
    <row r="353" spans="1:4" hidden="1">
      <c r="A353" s="821"/>
      <c r="B353" s="821" t="s">
        <v>52</v>
      </c>
      <c r="C353" s="822">
        <f t="shared" si="42"/>
        <v>209021.15</v>
      </c>
      <c r="D353" s="823">
        <v>209021.15</v>
      </c>
    </row>
    <row r="354" spans="1:4" hidden="1">
      <c r="A354" s="821"/>
      <c r="B354" s="821" t="s">
        <v>53</v>
      </c>
      <c r="C354" s="822">
        <f t="shared" si="42"/>
        <v>214306.16</v>
      </c>
      <c r="D354" s="823">
        <v>214306.16</v>
      </c>
    </row>
    <row r="355" spans="1:4" hidden="1">
      <c r="A355" s="821"/>
      <c r="B355" s="821" t="s">
        <v>245</v>
      </c>
      <c r="C355" s="822">
        <f t="shared" si="42"/>
        <v>209603.02</v>
      </c>
      <c r="D355" s="823">
        <v>209603.02</v>
      </c>
    </row>
    <row r="356" spans="1:4" hidden="1">
      <c r="A356" s="821"/>
      <c r="B356" s="821" t="s">
        <v>246</v>
      </c>
      <c r="C356" s="822">
        <f t="shared" si="42"/>
        <v>180897.71</v>
      </c>
      <c r="D356" s="823">
        <v>180897.71</v>
      </c>
    </row>
    <row r="357" spans="1:4" hidden="1">
      <c r="A357" s="821"/>
      <c r="B357" s="821" t="s">
        <v>56</v>
      </c>
      <c r="C357" s="822">
        <f t="shared" si="42"/>
        <v>177026</v>
      </c>
      <c r="D357" s="823">
        <v>177026</v>
      </c>
    </row>
    <row r="358" spans="1:4" hidden="1">
      <c r="A358" s="821"/>
      <c r="B358" s="821" t="s">
        <v>707</v>
      </c>
      <c r="C358" s="822">
        <f t="shared" si="42"/>
        <v>173895.75</v>
      </c>
      <c r="D358" s="823">
        <v>173895.75</v>
      </c>
    </row>
    <row r="359" spans="1:4" hidden="1">
      <c r="A359" s="821"/>
      <c r="B359" s="821" t="s">
        <v>58</v>
      </c>
      <c r="C359" s="822">
        <f t="shared" si="42"/>
        <v>171159.36</v>
      </c>
      <c r="D359" s="823">
        <v>171159.36</v>
      </c>
    </row>
    <row r="360" spans="1:4" hidden="1">
      <c r="A360" s="821"/>
      <c r="B360" s="821" t="s">
        <v>59</v>
      </c>
      <c r="C360" s="822">
        <f t="shared" si="42"/>
        <v>169585.2</v>
      </c>
      <c r="D360" s="823">
        <v>169585.2</v>
      </c>
    </row>
    <row r="361" spans="1:4" hidden="1">
      <c r="A361" s="821"/>
      <c r="B361" s="821" t="s">
        <v>60</v>
      </c>
      <c r="C361" s="822">
        <f t="shared" si="42"/>
        <v>174584.43</v>
      </c>
      <c r="D361" s="819">
        <v>174584.43</v>
      </c>
    </row>
    <row r="362" spans="1:4" hidden="1">
      <c r="A362" s="821"/>
      <c r="B362" s="810" t="s">
        <v>729</v>
      </c>
      <c r="C362" s="822">
        <f>SUM(C350:C361)</f>
        <v>2239903.37</v>
      </c>
      <c r="D362" s="823">
        <f>SUM(D350:D361)</f>
        <v>2239903.37</v>
      </c>
    </row>
    <row r="363" spans="1:4" hidden="1">
      <c r="C363" s="822"/>
      <c r="D363" s="823"/>
    </row>
    <row r="364" spans="1:4" ht="14.25" hidden="1" customHeight="1">
      <c r="A364" s="821">
        <v>2009</v>
      </c>
      <c r="B364" s="821" t="s">
        <v>49</v>
      </c>
      <c r="C364" s="822">
        <f t="shared" ref="C364:C376" si="43">SUM(D364:J364)</f>
        <v>184430.48</v>
      </c>
      <c r="D364" s="823">
        <v>184430.48</v>
      </c>
    </row>
    <row r="365" spans="1:4" ht="14.25" hidden="1" customHeight="1">
      <c r="B365" s="821" t="s">
        <v>50</v>
      </c>
      <c r="C365" s="822">
        <f t="shared" si="43"/>
        <v>205507.28</v>
      </c>
      <c r="D365" s="823">
        <v>205507.28</v>
      </c>
    </row>
    <row r="366" spans="1:4" ht="14.25" hidden="1" customHeight="1">
      <c r="B366" s="821" t="s">
        <v>51</v>
      </c>
      <c r="C366" s="822">
        <f t="shared" si="43"/>
        <v>220698.81</v>
      </c>
      <c r="D366" s="823">
        <v>220698.81</v>
      </c>
    </row>
    <row r="367" spans="1:4" ht="14.25" hidden="1" customHeight="1">
      <c r="B367" s="821" t="s">
        <v>52</v>
      </c>
      <c r="C367" s="822">
        <f t="shared" si="43"/>
        <v>233031.34</v>
      </c>
      <c r="D367" s="823">
        <v>233031.34</v>
      </c>
    </row>
    <row r="368" spans="1:4" ht="14.25" hidden="1" customHeight="1">
      <c r="B368" s="821" t="s">
        <v>53</v>
      </c>
      <c r="C368" s="822">
        <f t="shared" si="43"/>
        <v>241060.83</v>
      </c>
      <c r="D368" s="823">
        <v>241060.83</v>
      </c>
    </row>
    <row r="369" spans="1:4" ht="14.25" hidden="1" customHeight="1">
      <c r="B369" s="821" t="s">
        <v>245</v>
      </c>
      <c r="C369" s="822">
        <f t="shared" si="43"/>
        <v>239979.39</v>
      </c>
      <c r="D369" s="823">
        <v>239979.39</v>
      </c>
    </row>
    <row r="370" spans="1:4" ht="14.25" hidden="1" customHeight="1">
      <c r="B370" s="821" t="s">
        <v>246</v>
      </c>
      <c r="C370" s="822">
        <f t="shared" si="43"/>
        <v>226134.94</v>
      </c>
      <c r="D370" s="823">
        <v>226134.94</v>
      </c>
    </row>
    <row r="371" spans="1:4" ht="14.25" hidden="1" customHeight="1">
      <c r="B371" s="821" t="s">
        <v>56</v>
      </c>
      <c r="C371" s="822">
        <f t="shared" si="43"/>
        <v>203282.36</v>
      </c>
      <c r="D371" s="823">
        <v>203282.36</v>
      </c>
    </row>
    <row r="372" spans="1:4" ht="14.25" hidden="1" customHeight="1">
      <c r="B372" s="821" t="s">
        <v>707</v>
      </c>
      <c r="C372" s="822">
        <f t="shared" si="43"/>
        <v>198526.4</v>
      </c>
      <c r="D372" s="823">
        <v>198526.4</v>
      </c>
    </row>
    <row r="373" spans="1:4" ht="14.25" hidden="1" customHeight="1">
      <c r="B373" s="821" t="s">
        <v>58</v>
      </c>
      <c r="C373" s="822">
        <f t="shared" si="43"/>
        <v>196045.02</v>
      </c>
      <c r="D373" s="823">
        <v>196045.02</v>
      </c>
    </row>
    <row r="374" spans="1:4" ht="14.25" hidden="1" customHeight="1">
      <c r="B374" s="821" t="s">
        <v>59</v>
      </c>
      <c r="C374" s="822">
        <f t="shared" si="43"/>
        <v>222198.85</v>
      </c>
      <c r="D374" s="823">
        <v>222198.85</v>
      </c>
    </row>
    <row r="375" spans="1:4" ht="14.25" hidden="1" customHeight="1">
      <c r="B375" s="821" t="s">
        <v>60</v>
      </c>
      <c r="C375" s="818">
        <f t="shared" si="43"/>
        <v>275014.53000000003</v>
      </c>
      <c r="D375" s="819">
        <v>275014.53000000003</v>
      </c>
    </row>
    <row r="376" spans="1:4" ht="14.25" hidden="1" customHeight="1">
      <c r="B376" s="810" t="s">
        <v>729</v>
      </c>
      <c r="C376" s="818">
        <f t="shared" si="43"/>
        <v>2645910.2299999995</v>
      </c>
      <c r="D376" s="823">
        <f>SUM(D364:D375)</f>
        <v>2645910.2299999995</v>
      </c>
    </row>
    <row r="377" spans="1:4" ht="14.25" hidden="1" customHeight="1">
      <c r="C377" s="822"/>
      <c r="D377" s="823"/>
    </row>
    <row r="378" spans="1:4" ht="14.25" hidden="1" customHeight="1">
      <c r="A378" s="821">
        <v>2010</v>
      </c>
      <c r="B378" s="821" t="s">
        <v>49</v>
      </c>
      <c r="C378" s="822">
        <f t="shared" ref="C378:C389" si="44">SUM(D378:J378)</f>
        <v>288919.01</v>
      </c>
      <c r="D378" s="823">
        <v>288919.01</v>
      </c>
    </row>
    <row r="379" spans="1:4" ht="14.25" hidden="1" customHeight="1">
      <c r="B379" s="821" t="s">
        <v>50</v>
      </c>
      <c r="C379" s="822">
        <f t="shared" si="44"/>
        <v>309991.2</v>
      </c>
      <c r="D379" s="823">
        <v>309991.2</v>
      </c>
    </row>
    <row r="380" spans="1:4" ht="14.25" hidden="1" customHeight="1">
      <c r="B380" s="821" t="s">
        <v>51</v>
      </c>
      <c r="C380" s="822">
        <f t="shared" si="44"/>
        <v>335732.04</v>
      </c>
      <c r="D380" s="823">
        <v>335732.04</v>
      </c>
    </row>
    <row r="381" spans="1:4" ht="14.25" hidden="1" customHeight="1">
      <c r="B381" s="821" t="s">
        <v>52</v>
      </c>
      <c r="C381" s="822">
        <f t="shared" si="44"/>
        <v>362317.63</v>
      </c>
      <c r="D381" s="823">
        <v>362317.63</v>
      </c>
    </row>
    <row r="382" spans="1:4" ht="14.25" hidden="1" customHeight="1">
      <c r="B382" s="821" t="s">
        <v>53</v>
      </c>
      <c r="C382" s="822">
        <f t="shared" si="44"/>
        <v>382497.02</v>
      </c>
      <c r="D382" s="823">
        <v>382497.02</v>
      </c>
    </row>
    <row r="383" spans="1:4" ht="14.25" hidden="1" customHeight="1">
      <c r="B383" s="821" t="s">
        <v>245</v>
      </c>
      <c r="C383" s="822">
        <f t="shared" si="44"/>
        <v>391979.74</v>
      </c>
      <c r="D383" s="823">
        <v>391979.74</v>
      </c>
    </row>
    <row r="384" spans="1:4" ht="14.25" hidden="1" customHeight="1">
      <c r="B384" s="821" t="s">
        <v>246</v>
      </c>
      <c r="C384" s="822">
        <f t="shared" si="44"/>
        <v>387138.28</v>
      </c>
      <c r="D384" s="823">
        <v>387138.28</v>
      </c>
    </row>
    <row r="385" spans="1:4" ht="14.25" hidden="1" customHeight="1">
      <c r="B385" s="821" t="s">
        <v>56</v>
      </c>
      <c r="C385" s="822">
        <f t="shared" si="44"/>
        <v>369664.42</v>
      </c>
      <c r="D385" s="823">
        <v>369664.42</v>
      </c>
    </row>
    <row r="386" spans="1:4" ht="14.25" hidden="1" customHeight="1">
      <c r="B386" s="821" t="s">
        <v>707</v>
      </c>
      <c r="C386" s="822">
        <f t="shared" si="44"/>
        <v>336247.33</v>
      </c>
      <c r="D386" s="823">
        <v>336247.33</v>
      </c>
    </row>
    <row r="387" spans="1:4" ht="14.25" hidden="1" customHeight="1">
      <c r="B387" s="821" t="s">
        <v>58</v>
      </c>
      <c r="C387" s="822">
        <f t="shared" si="44"/>
        <v>333378.93</v>
      </c>
      <c r="D387" s="823">
        <v>333378.93</v>
      </c>
    </row>
    <row r="388" spans="1:4" ht="14.25" hidden="1" customHeight="1">
      <c r="B388" s="821" t="s">
        <v>59</v>
      </c>
      <c r="C388" s="822">
        <f t="shared" si="44"/>
        <v>326538.14</v>
      </c>
      <c r="D388" s="823">
        <v>326538.14</v>
      </c>
    </row>
    <row r="389" spans="1:4" ht="14.25" hidden="1" customHeight="1">
      <c r="B389" s="821" t="s">
        <v>60</v>
      </c>
      <c r="C389" s="818">
        <f t="shared" si="44"/>
        <v>317742.88</v>
      </c>
      <c r="D389" s="819">
        <v>317742.88</v>
      </c>
    </row>
    <row r="390" spans="1:4" ht="14.25" hidden="1" customHeight="1">
      <c r="B390" s="810" t="s">
        <v>729</v>
      </c>
      <c r="C390" s="818">
        <f>SUM(C378:C389)</f>
        <v>4142146.62</v>
      </c>
      <c r="D390" s="823">
        <f>SUM(D378:D389)</f>
        <v>4142146.62</v>
      </c>
    </row>
    <row r="391" spans="1:4" ht="14.25" customHeight="1">
      <c r="C391" s="822"/>
      <c r="D391" s="823"/>
    </row>
    <row r="392" spans="1:4" ht="14.25" customHeight="1">
      <c r="A392" s="821">
        <v>2011</v>
      </c>
      <c r="B392" s="821" t="s">
        <v>49</v>
      </c>
      <c r="C392" s="822">
        <f>SUM(D392:J392)</f>
        <v>312804.27</v>
      </c>
      <c r="D392" s="823">
        <v>312804.27</v>
      </c>
    </row>
    <row r="393" spans="1:4" ht="14.25" customHeight="1">
      <c r="A393" s="821"/>
      <c r="B393" s="821" t="s">
        <v>50</v>
      </c>
      <c r="C393" s="822">
        <f t="shared" ref="C393:C403" si="45">SUM(D393:J393)</f>
        <v>307682.03999999998</v>
      </c>
      <c r="D393" s="823">
        <v>307682.03999999998</v>
      </c>
    </row>
    <row r="394" spans="1:4" ht="14.25" customHeight="1">
      <c r="A394" s="821"/>
      <c r="B394" s="821" t="s">
        <v>51</v>
      </c>
      <c r="C394" s="822">
        <f t="shared" si="45"/>
        <v>306473.95</v>
      </c>
      <c r="D394" s="823">
        <v>306473.95</v>
      </c>
    </row>
    <row r="395" spans="1:4" ht="14.25" customHeight="1">
      <c r="A395" s="821"/>
      <c r="B395" s="821" t="s">
        <v>52</v>
      </c>
      <c r="C395" s="822">
        <f t="shared" si="45"/>
        <v>390496.97</v>
      </c>
      <c r="D395" s="823">
        <v>390496.97</v>
      </c>
    </row>
    <row r="396" spans="1:4" ht="14.25" customHeight="1">
      <c r="A396" s="821"/>
      <c r="B396" s="821" t="s">
        <v>53</v>
      </c>
      <c r="C396" s="822">
        <f t="shared" si="45"/>
        <v>427668.8</v>
      </c>
      <c r="D396" s="823">
        <v>427668.8</v>
      </c>
    </row>
    <row r="397" spans="1:4" ht="14.25" customHeight="1">
      <c r="A397" s="821"/>
      <c r="B397" s="821" t="s">
        <v>54</v>
      </c>
      <c r="C397" s="822">
        <f t="shared" si="45"/>
        <v>421819.35</v>
      </c>
      <c r="D397" s="823">
        <v>421819.35</v>
      </c>
    </row>
    <row r="398" spans="1:4" ht="14.25" customHeight="1">
      <c r="A398" s="821"/>
      <c r="B398" s="821" t="s">
        <v>55</v>
      </c>
      <c r="C398" s="822">
        <f t="shared" si="45"/>
        <v>370949.45</v>
      </c>
      <c r="D398" s="823">
        <v>370949.45</v>
      </c>
    </row>
    <row r="399" spans="1:4" ht="14.25" customHeight="1">
      <c r="A399" s="821"/>
      <c r="B399" s="821" t="s">
        <v>56</v>
      </c>
      <c r="C399" s="822">
        <f t="shared" si="45"/>
        <v>330605.3</v>
      </c>
      <c r="D399" s="823">
        <v>330605.3</v>
      </c>
    </row>
    <row r="400" spans="1:4" ht="14.25" customHeight="1">
      <c r="A400" s="821"/>
      <c r="B400" s="821" t="s">
        <v>57</v>
      </c>
      <c r="C400" s="822">
        <f t="shared" si="45"/>
        <v>327383.75</v>
      </c>
      <c r="D400" s="823">
        <v>327383.75</v>
      </c>
    </row>
    <row r="401" spans="1:6" ht="14.25" customHeight="1">
      <c r="B401" s="810" t="s">
        <v>58</v>
      </c>
      <c r="C401" s="822">
        <f t="shared" si="45"/>
        <v>321418.69</v>
      </c>
      <c r="D401" s="823">
        <v>321418.69</v>
      </c>
    </row>
    <row r="402" spans="1:6" ht="14.25" customHeight="1">
      <c r="B402" s="810" t="s">
        <v>59</v>
      </c>
      <c r="C402" s="822">
        <f t="shared" si="45"/>
        <v>319093.14</v>
      </c>
      <c r="D402" s="823">
        <v>319093.14</v>
      </c>
    </row>
    <row r="403" spans="1:6" ht="14.25" customHeight="1">
      <c r="B403" s="830" t="s">
        <v>60</v>
      </c>
      <c r="C403" s="831">
        <f t="shared" si="45"/>
        <v>327262.90000000002</v>
      </c>
      <c r="D403" s="832">
        <v>327262.90000000002</v>
      </c>
      <c r="F403" s="833"/>
    </row>
    <row r="404" spans="1:6" ht="14.25" customHeight="1">
      <c r="B404" s="810" t="s">
        <v>729</v>
      </c>
      <c r="C404" s="822">
        <f>SUM(C392:C403)</f>
        <v>4163658.61</v>
      </c>
      <c r="D404" s="823">
        <f>SUM(D392:D403)</f>
        <v>4163658.61</v>
      </c>
      <c r="F404" s="833"/>
    </row>
    <row r="405" spans="1:6" ht="14.25" customHeight="1">
      <c r="C405" s="822"/>
      <c r="D405" s="823"/>
      <c r="F405" s="833"/>
    </row>
    <row r="406" spans="1:6" ht="14.25" customHeight="1">
      <c r="A406" s="821">
        <v>2012</v>
      </c>
      <c r="B406" s="821" t="s">
        <v>49</v>
      </c>
      <c r="C406" s="822">
        <f>SUM(D406:J406)</f>
        <v>339748.88</v>
      </c>
      <c r="D406" s="823">
        <v>339748.88</v>
      </c>
      <c r="F406" s="833"/>
    </row>
    <row r="407" spans="1:6" ht="14.25" customHeight="1">
      <c r="A407" s="821"/>
      <c r="B407" s="821" t="s">
        <v>50</v>
      </c>
      <c r="C407" s="822">
        <f t="shared" ref="C407:C417" si="46">SUM(D407:J407)</f>
        <v>358112.48</v>
      </c>
      <c r="D407" s="823">
        <v>358112.48</v>
      </c>
      <c r="F407" s="833"/>
    </row>
    <row r="408" spans="1:6" ht="14.25" customHeight="1">
      <c r="A408" s="821"/>
      <c r="B408" s="821" t="s">
        <v>51</v>
      </c>
      <c r="C408" s="822">
        <f t="shared" si="46"/>
        <v>373398.3</v>
      </c>
      <c r="D408" s="834">
        <v>373398.3</v>
      </c>
      <c r="F408" s="833"/>
    </row>
    <row r="409" spans="1:6" ht="14.25" customHeight="1">
      <c r="A409" s="821"/>
      <c r="B409" s="821" t="s">
        <v>52</v>
      </c>
      <c r="C409" s="822">
        <f t="shared" si="46"/>
        <v>382605.71</v>
      </c>
      <c r="D409" s="835">
        <v>382605.71</v>
      </c>
      <c r="F409" s="833"/>
    </row>
    <row r="410" spans="1:6" ht="14.25" customHeight="1">
      <c r="A410" s="821"/>
      <c r="B410" s="821" t="s">
        <v>53</v>
      </c>
      <c r="C410" s="822">
        <f t="shared" si="46"/>
        <v>389502.41</v>
      </c>
      <c r="D410" s="823">
        <v>389502.41</v>
      </c>
      <c r="F410" s="833"/>
    </row>
    <row r="411" spans="1:6" ht="14.25" customHeight="1">
      <c r="A411" s="821"/>
      <c r="B411" s="821" t="s">
        <v>54</v>
      </c>
      <c r="C411" s="822">
        <f t="shared" si="46"/>
        <v>388432.49</v>
      </c>
      <c r="D411" s="823">
        <v>388432.49</v>
      </c>
      <c r="F411" s="833"/>
    </row>
    <row r="412" spans="1:6" ht="14.25" customHeight="1">
      <c r="A412" s="821"/>
      <c r="B412" s="821" t="s">
        <v>55</v>
      </c>
      <c r="C412" s="822">
        <f t="shared" si="46"/>
        <v>384022.97</v>
      </c>
      <c r="D412" s="823">
        <v>384022.97</v>
      </c>
      <c r="F412" s="833"/>
    </row>
    <row r="413" spans="1:6" ht="14.25" customHeight="1">
      <c r="A413" s="821"/>
      <c r="B413" s="821" t="s">
        <v>56</v>
      </c>
      <c r="C413" s="822">
        <f t="shared" si="46"/>
        <v>315695.82</v>
      </c>
      <c r="D413" s="823">
        <v>315695.82</v>
      </c>
      <c r="F413" s="833"/>
    </row>
    <row r="414" spans="1:6" ht="14.25" customHeight="1">
      <c r="A414" s="821"/>
      <c r="B414" s="821" t="s">
        <v>57</v>
      </c>
      <c r="C414" s="822">
        <f t="shared" si="46"/>
        <v>283689.61</v>
      </c>
      <c r="D414" s="823">
        <v>283689.61</v>
      </c>
      <c r="F414" s="833"/>
    </row>
    <row r="415" spans="1:6" ht="14.25" customHeight="1">
      <c r="B415" s="810" t="s">
        <v>58</v>
      </c>
      <c r="C415" s="822">
        <f t="shared" si="46"/>
        <v>278826.40999999997</v>
      </c>
      <c r="D415" s="823">
        <v>278826.40999999997</v>
      </c>
      <c r="F415" s="833"/>
    </row>
    <row r="416" spans="1:6" ht="14.25" customHeight="1">
      <c r="B416" s="810" t="s">
        <v>59</v>
      </c>
      <c r="C416" s="822">
        <f t="shared" si="46"/>
        <v>277189.14</v>
      </c>
      <c r="D416" s="823">
        <v>277189.14</v>
      </c>
      <c r="F416" s="833"/>
    </row>
    <row r="417" spans="1:6" ht="14.25" customHeight="1">
      <c r="B417" s="821" t="s">
        <v>60</v>
      </c>
      <c r="C417" s="818">
        <f t="shared" si="46"/>
        <v>281914.87</v>
      </c>
      <c r="D417" s="819">
        <v>281914.87</v>
      </c>
      <c r="F417" s="833"/>
    </row>
    <row r="418" spans="1:6" ht="14.25" customHeight="1">
      <c r="B418" s="810" t="s">
        <v>729</v>
      </c>
      <c r="C418" s="822">
        <f>SUM(C406:C417)</f>
        <v>4053139.0899999994</v>
      </c>
      <c r="D418" s="823">
        <f>SUM(D406:D417)</f>
        <v>4053139.0899999994</v>
      </c>
      <c r="F418" s="833"/>
    </row>
    <row r="419" spans="1:6" ht="14.25" customHeight="1">
      <c r="C419" s="822"/>
      <c r="D419" s="823"/>
      <c r="F419" s="833"/>
    </row>
    <row r="420" spans="1:6" ht="14.25" customHeight="1">
      <c r="A420" s="810">
        <v>2013</v>
      </c>
      <c r="B420" s="821" t="s">
        <v>49</v>
      </c>
      <c r="C420" s="822">
        <f>SUM(D420:J420)</f>
        <v>288062.31</v>
      </c>
      <c r="D420" s="823">
        <v>288062.31</v>
      </c>
      <c r="F420" s="833"/>
    </row>
    <row r="421" spans="1:6" ht="14.25" customHeight="1">
      <c r="B421" s="821" t="s">
        <v>50</v>
      </c>
      <c r="C421" s="822">
        <f t="shared" ref="C421:C431" si="47">SUM(D421:J421)</f>
        <v>305068.84999999998</v>
      </c>
      <c r="D421" s="823">
        <v>305068.84999999998</v>
      </c>
      <c r="F421" s="833"/>
    </row>
    <row r="422" spans="1:6" ht="14.25" customHeight="1">
      <c r="B422" s="821" t="s">
        <v>51</v>
      </c>
      <c r="C422" s="822">
        <f t="shared" si="47"/>
        <v>322921.02</v>
      </c>
      <c r="D422" s="823">
        <v>322921.02</v>
      </c>
      <c r="F422" s="833"/>
    </row>
    <row r="423" spans="1:6" ht="14.25" customHeight="1">
      <c r="B423" s="821" t="s">
        <v>52</v>
      </c>
      <c r="C423" s="822">
        <f t="shared" si="47"/>
        <v>339078.21</v>
      </c>
      <c r="D423" s="823">
        <v>339078.21</v>
      </c>
      <c r="F423" s="833"/>
    </row>
    <row r="424" spans="1:6" ht="14.25" customHeight="1">
      <c r="B424" s="821" t="s">
        <v>53</v>
      </c>
      <c r="C424" s="822">
        <f t="shared" si="47"/>
        <v>346515.23</v>
      </c>
      <c r="D424" s="823">
        <v>346515.23</v>
      </c>
      <c r="F424" s="833"/>
    </row>
    <row r="425" spans="1:6" ht="14.25" customHeight="1">
      <c r="B425" s="821" t="s">
        <v>54</v>
      </c>
      <c r="C425" s="822">
        <f t="shared" si="47"/>
        <v>345240.43</v>
      </c>
      <c r="D425" s="823">
        <v>345240.43</v>
      </c>
      <c r="F425" s="833"/>
    </row>
    <row r="426" spans="1:6" ht="14.25" customHeight="1">
      <c r="B426" s="821" t="s">
        <v>55</v>
      </c>
      <c r="C426" s="822">
        <f t="shared" si="47"/>
        <v>339658.67</v>
      </c>
      <c r="D426" s="823">
        <v>339658.67</v>
      </c>
      <c r="F426" s="833"/>
    </row>
    <row r="427" spans="1:6" ht="14.25" customHeight="1">
      <c r="B427" s="821" t="s">
        <v>56</v>
      </c>
      <c r="C427" s="822">
        <f t="shared" si="47"/>
        <v>288872.78999999998</v>
      </c>
      <c r="D427" s="823">
        <v>288872.78999999998</v>
      </c>
      <c r="F427" s="833"/>
    </row>
    <row r="428" spans="1:6" ht="14.25" customHeight="1">
      <c r="B428" s="821" t="s">
        <v>57</v>
      </c>
      <c r="C428" s="822">
        <f t="shared" si="47"/>
        <v>251362.82</v>
      </c>
      <c r="D428" s="823">
        <v>251362.82</v>
      </c>
      <c r="F428" s="833"/>
    </row>
    <row r="429" spans="1:6" ht="14.25" customHeight="1">
      <c r="B429" s="810" t="s">
        <v>58</v>
      </c>
      <c r="C429" s="822">
        <f t="shared" si="47"/>
        <v>250253.3</v>
      </c>
      <c r="D429" s="823">
        <v>250253.3</v>
      </c>
      <c r="F429" s="833"/>
    </row>
    <row r="430" spans="1:6" ht="14.25" customHeight="1">
      <c r="B430" s="810" t="s">
        <v>59</v>
      </c>
      <c r="C430" s="822">
        <f t="shared" si="47"/>
        <v>250278.47</v>
      </c>
      <c r="D430" s="823">
        <v>250278.47</v>
      </c>
      <c r="F430" s="833"/>
    </row>
    <row r="431" spans="1:6" ht="14.25" customHeight="1">
      <c r="B431" s="821" t="s">
        <v>60</v>
      </c>
      <c r="C431" s="818">
        <f t="shared" si="47"/>
        <v>257425.48</v>
      </c>
      <c r="D431" s="819">
        <v>257425.48</v>
      </c>
      <c r="F431" s="833"/>
    </row>
    <row r="432" spans="1:6" ht="14.25" customHeight="1">
      <c r="B432" s="810" t="s">
        <v>729</v>
      </c>
      <c r="C432" s="822">
        <f>SUM(C420:C431)</f>
        <v>3584737.5799999996</v>
      </c>
      <c r="D432" s="823">
        <f>SUM(D420:D431)</f>
        <v>3584737.5799999996</v>
      </c>
      <c r="F432" s="833"/>
    </row>
    <row r="433" spans="1:9" ht="14.25" customHeight="1">
      <c r="C433" s="822"/>
      <c r="D433" s="823"/>
      <c r="F433" s="833"/>
    </row>
    <row r="434" spans="1:9" ht="14.25" customHeight="1">
      <c r="A434" s="810">
        <v>2014</v>
      </c>
      <c r="B434" s="821" t="s">
        <v>49</v>
      </c>
      <c r="C434" s="822">
        <f>SUM(D434:J434)</f>
        <v>276241.68</v>
      </c>
      <c r="D434" s="823">
        <v>276241.68</v>
      </c>
      <c r="F434" s="833"/>
    </row>
    <row r="435" spans="1:9" ht="14.25" customHeight="1">
      <c r="B435" s="821" t="s">
        <v>50</v>
      </c>
      <c r="C435" s="822">
        <f t="shared" ref="C435:C445" si="48">SUM(D435:J435)</f>
        <v>286337.27</v>
      </c>
      <c r="D435" s="823">
        <v>286337.27</v>
      </c>
      <c r="F435" s="833"/>
    </row>
    <row r="436" spans="1:9" ht="14.25" customHeight="1">
      <c r="B436" s="821" t="s">
        <v>51</v>
      </c>
      <c r="C436" s="822">
        <f t="shared" si="48"/>
        <v>306299.28000000003</v>
      </c>
      <c r="D436" s="823">
        <v>306299.28000000003</v>
      </c>
      <c r="F436" s="833"/>
    </row>
    <row r="437" spans="1:9" ht="14.25" customHeight="1">
      <c r="B437" s="821" t="s">
        <v>52</v>
      </c>
      <c r="C437" s="822">
        <f t="shared" si="48"/>
        <v>326484.73</v>
      </c>
      <c r="D437" s="823">
        <v>326484.73</v>
      </c>
      <c r="F437" s="833"/>
    </row>
    <row r="438" spans="1:9" ht="14.25" customHeight="1">
      <c r="B438" s="821" t="s">
        <v>53</v>
      </c>
      <c r="C438" s="822">
        <f t="shared" si="48"/>
        <v>333300.62</v>
      </c>
      <c r="D438" s="823">
        <v>333300.62</v>
      </c>
      <c r="F438" s="833"/>
    </row>
    <row r="439" spans="1:9" ht="14.25" customHeight="1">
      <c r="B439" s="821" t="s">
        <v>54</v>
      </c>
      <c r="C439" s="822">
        <f t="shared" si="48"/>
        <v>333614.74</v>
      </c>
      <c r="D439" s="823">
        <v>333614.74</v>
      </c>
      <c r="F439" s="833"/>
    </row>
    <row r="440" spans="1:9" ht="14.25" customHeight="1">
      <c r="B440" s="821" t="s">
        <v>55</v>
      </c>
      <c r="C440" s="822">
        <f t="shared" si="48"/>
        <v>312638.03999999998</v>
      </c>
      <c r="D440" s="823">
        <v>312638.03999999998</v>
      </c>
      <c r="F440" s="833"/>
    </row>
    <row r="441" spans="1:9" ht="14.25" customHeight="1">
      <c r="B441" s="821" t="s">
        <v>56</v>
      </c>
      <c r="C441" s="822">
        <f t="shared" si="48"/>
        <v>273890.06</v>
      </c>
      <c r="D441" s="823">
        <v>273890.06</v>
      </c>
      <c r="F441" s="833"/>
    </row>
    <row r="442" spans="1:9" ht="14.25" customHeight="1">
      <c r="B442" s="821" t="s">
        <v>57</v>
      </c>
      <c r="C442" s="851">
        <f t="shared" si="48"/>
        <v>286930.77</v>
      </c>
      <c r="D442" s="852">
        <v>286930.77</v>
      </c>
      <c r="F442" s="833"/>
    </row>
    <row r="443" spans="1:9" ht="14.25" customHeight="1">
      <c r="B443" s="810" t="s">
        <v>58</v>
      </c>
      <c r="C443" s="822">
        <f t="shared" si="48"/>
        <v>0</v>
      </c>
      <c r="D443" s="823"/>
      <c r="F443" s="833"/>
    </row>
    <row r="444" spans="1:9" ht="14.25" customHeight="1">
      <c r="B444" s="810" t="s">
        <v>59</v>
      </c>
      <c r="C444" s="822">
        <f t="shared" si="48"/>
        <v>0</v>
      </c>
      <c r="D444" s="823"/>
      <c r="F444" s="833"/>
    </row>
    <row r="445" spans="1:9" ht="14.25" customHeight="1">
      <c r="B445" s="821" t="s">
        <v>60</v>
      </c>
      <c r="C445" s="818">
        <f t="shared" si="48"/>
        <v>0</v>
      </c>
      <c r="D445" s="819"/>
      <c r="F445" s="833"/>
    </row>
    <row r="446" spans="1:9" ht="13.5" customHeight="1">
      <c r="B446" s="810" t="s">
        <v>729</v>
      </c>
      <c r="C446" s="822">
        <f>SUM(C434:C445)</f>
        <v>2735737.19</v>
      </c>
      <c r="D446" s="823">
        <f>SUM(D434:D445)</f>
        <v>2735737.19</v>
      </c>
      <c r="F446" s="833"/>
    </row>
    <row r="447" spans="1:9" ht="13.5" customHeight="1">
      <c r="C447" s="822"/>
      <c r="D447" s="823"/>
      <c r="F447" s="833"/>
    </row>
    <row r="448" spans="1:9" ht="14.25" customHeight="1">
      <c r="A448" s="821" t="s">
        <v>733</v>
      </c>
      <c r="B448" s="821"/>
      <c r="C448" s="822">
        <f>C250+C264+C278+C292+C306+C320+C334+C348+C362+C376+C390+C404+C446</f>
        <v>28917234.050000001</v>
      </c>
      <c r="D448" s="822">
        <f>D250+D264+D278+D292+D306+D320+D334+D348+D362+D376+D390+D404+D446</f>
        <v>28917234.050000001</v>
      </c>
      <c r="G448" s="836"/>
      <c r="H448" s="836"/>
      <c r="I448" s="836"/>
    </row>
    <row r="449" spans="1:9" ht="14.25" customHeight="1">
      <c r="A449" s="821"/>
      <c r="B449" s="821"/>
      <c r="C449" s="822"/>
      <c r="D449" s="824"/>
      <c r="G449" s="836"/>
      <c r="H449" s="836"/>
      <c r="I449" s="836"/>
    </row>
    <row r="450" spans="1:9" ht="14.25" customHeight="1">
      <c r="A450" s="821"/>
      <c r="B450" s="821"/>
      <c r="C450" s="822"/>
      <c r="D450" s="824"/>
      <c r="G450" s="836"/>
      <c r="H450" s="836"/>
      <c r="I450" s="836"/>
    </row>
    <row r="451" spans="1:9" ht="14.25" customHeight="1">
      <c r="A451" s="815" t="s">
        <v>734</v>
      </c>
      <c r="B451" s="821"/>
      <c r="C451" s="822"/>
      <c r="D451" s="823"/>
      <c r="E451" s="836"/>
      <c r="F451" s="837" t="s">
        <v>735</v>
      </c>
      <c r="G451" s="810"/>
      <c r="H451" s="810"/>
      <c r="I451" s="810"/>
    </row>
    <row r="452" spans="1:9" hidden="1">
      <c r="B452" s="821"/>
      <c r="C452" s="822"/>
      <c r="D452" s="823"/>
    </row>
    <row r="453" spans="1:9" hidden="1">
      <c r="A453" s="816">
        <v>2000</v>
      </c>
      <c r="B453" s="810" t="s">
        <v>57</v>
      </c>
    </row>
    <row r="454" spans="1:9" hidden="1">
      <c r="B454" s="810" t="s">
        <v>58</v>
      </c>
      <c r="C454" s="838">
        <f>D454</f>
        <v>4</v>
      </c>
      <c r="D454" s="836">
        <v>4</v>
      </c>
      <c r="F454" s="811">
        <f>+D247/D454</f>
        <v>8</v>
      </c>
    </row>
    <row r="455" spans="1:9" hidden="1">
      <c r="B455" s="810" t="s">
        <v>59</v>
      </c>
      <c r="C455" s="838">
        <f>D455</f>
        <v>165</v>
      </c>
      <c r="D455" s="836">
        <v>165</v>
      </c>
      <c r="F455" s="811">
        <f>+D248/D455</f>
        <v>7.8946060606060602</v>
      </c>
    </row>
    <row r="456" spans="1:9" hidden="1">
      <c r="B456" s="810" t="s">
        <v>60</v>
      </c>
      <c r="C456" s="838">
        <f>D456</f>
        <v>980</v>
      </c>
      <c r="D456" s="836">
        <v>980</v>
      </c>
      <c r="F456" s="811">
        <f>+D249/D456</f>
        <v>8.0057857142857145</v>
      </c>
    </row>
    <row r="457" spans="1:9" hidden="1"/>
    <row r="458" spans="1:9" hidden="1">
      <c r="A458" s="816">
        <v>2001</v>
      </c>
      <c r="B458" s="810" t="s">
        <v>49</v>
      </c>
      <c r="C458" s="838">
        <f>D458</f>
        <v>4524</v>
      </c>
      <c r="D458" s="836">
        <f>4524</f>
        <v>4524</v>
      </c>
      <c r="F458" s="811">
        <f t="shared" ref="F458:F469" si="49">+D252/D458</f>
        <v>8.0352144120247555</v>
      </c>
    </row>
    <row r="459" spans="1:9" hidden="1">
      <c r="B459" s="810" t="s">
        <v>50</v>
      </c>
      <c r="C459" s="838">
        <f t="shared" ref="C459:C469" si="50">D459</f>
        <v>11633</v>
      </c>
      <c r="D459" s="836">
        <f>11633</f>
        <v>11633</v>
      </c>
      <c r="F459" s="811">
        <f t="shared" si="49"/>
        <v>8.0360087681595456</v>
      </c>
    </row>
    <row r="460" spans="1:9" hidden="1">
      <c r="B460" s="810" t="s">
        <v>51</v>
      </c>
      <c r="C460" s="838">
        <f t="shared" si="50"/>
        <v>14767</v>
      </c>
      <c r="D460" s="836">
        <f>14767</f>
        <v>14767</v>
      </c>
      <c r="F460" s="811">
        <f t="shared" si="49"/>
        <v>8.0163668991670622</v>
      </c>
    </row>
    <row r="461" spans="1:9" hidden="1">
      <c r="B461" s="810" t="s">
        <v>52</v>
      </c>
      <c r="C461" s="838">
        <f t="shared" si="50"/>
        <v>16903</v>
      </c>
      <c r="D461" s="836">
        <v>16903</v>
      </c>
      <c r="E461" s="823"/>
      <c r="F461" s="811">
        <f t="shared" si="49"/>
        <v>7.982393066319589</v>
      </c>
    </row>
    <row r="462" spans="1:9" hidden="1">
      <c r="B462" s="810" t="s">
        <v>53</v>
      </c>
      <c r="C462" s="838">
        <f t="shared" si="50"/>
        <v>17652</v>
      </c>
      <c r="D462" s="836">
        <v>17652</v>
      </c>
      <c r="E462" s="811" t="s">
        <v>66</v>
      </c>
      <c r="F462" s="811">
        <f t="shared" si="49"/>
        <v>7.9262264899161572</v>
      </c>
    </row>
    <row r="463" spans="1:9" hidden="1">
      <c r="B463" s="810" t="s">
        <v>54</v>
      </c>
      <c r="C463" s="838">
        <f t="shared" si="50"/>
        <v>17147</v>
      </c>
      <c r="D463" s="836">
        <v>17147</v>
      </c>
      <c r="F463" s="811">
        <f t="shared" si="49"/>
        <v>7.911128477284656</v>
      </c>
      <c r="G463" s="823"/>
      <c r="H463" s="823"/>
      <c r="I463" s="823"/>
    </row>
    <row r="464" spans="1:9" hidden="1">
      <c r="B464" s="810" t="s">
        <v>55</v>
      </c>
      <c r="C464" s="838">
        <f t="shared" si="50"/>
        <v>16589</v>
      </c>
      <c r="D464" s="836">
        <f>16589</f>
        <v>16589</v>
      </c>
      <c r="F464" s="811">
        <f t="shared" si="49"/>
        <v>7.9192440774006867</v>
      </c>
      <c r="G464" s="811" t="s">
        <v>66</v>
      </c>
      <c r="H464" s="811" t="s">
        <v>66</v>
      </c>
      <c r="I464" s="811" t="s">
        <v>66</v>
      </c>
    </row>
    <row r="465" spans="1:6" hidden="1">
      <c r="B465" s="810" t="s">
        <v>56</v>
      </c>
      <c r="C465" s="838">
        <f t="shared" si="50"/>
        <v>15918</v>
      </c>
      <c r="D465" s="836">
        <f>15918</f>
        <v>15918</v>
      </c>
      <c r="F465" s="811">
        <f t="shared" si="49"/>
        <v>7.8655792184947853</v>
      </c>
    </row>
    <row r="466" spans="1:6" hidden="1">
      <c r="B466" s="810" t="s">
        <v>57</v>
      </c>
      <c r="C466" s="838">
        <f t="shared" si="50"/>
        <v>15359</v>
      </c>
      <c r="D466" s="836">
        <v>15359</v>
      </c>
      <c r="F466" s="811">
        <f t="shared" si="49"/>
        <v>7.7998938732990437</v>
      </c>
    </row>
    <row r="467" spans="1:6" hidden="1">
      <c r="B467" s="810" t="s">
        <v>58</v>
      </c>
      <c r="C467" s="838">
        <f t="shared" si="50"/>
        <v>14926</v>
      </c>
      <c r="D467" s="836">
        <f>14926</f>
        <v>14926</v>
      </c>
      <c r="F467" s="811">
        <f t="shared" si="49"/>
        <v>7.7264772879539052</v>
      </c>
    </row>
    <row r="468" spans="1:6" hidden="1">
      <c r="B468" s="810" t="s">
        <v>59</v>
      </c>
      <c r="C468" s="838">
        <f t="shared" si="50"/>
        <v>14747</v>
      </c>
      <c r="D468" s="836">
        <v>14747</v>
      </c>
      <c r="F468" s="811">
        <f t="shared" si="49"/>
        <v>7.4223828575303452</v>
      </c>
    </row>
    <row r="469" spans="1:6" hidden="1">
      <c r="B469" s="810" t="s">
        <v>60</v>
      </c>
      <c r="C469" s="838">
        <f t="shared" si="50"/>
        <v>14770</v>
      </c>
      <c r="D469" s="836">
        <v>14770</v>
      </c>
      <c r="F469" s="811">
        <f t="shared" si="49"/>
        <v>6.4122146242383211</v>
      </c>
    </row>
    <row r="470" spans="1:6" hidden="1"/>
    <row r="471" spans="1:6" hidden="1">
      <c r="A471" s="816">
        <v>2002</v>
      </c>
      <c r="B471" s="810" t="s">
        <v>49</v>
      </c>
      <c r="C471" s="839">
        <f t="shared" ref="C471:C481" si="51">D471</f>
        <v>18559</v>
      </c>
      <c r="D471" s="836">
        <v>18559</v>
      </c>
      <c r="F471" s="811">
        <f t="shared" ref="F471:F482" si="52">+D266/D471</f>
        <v>9.217894821919284</v>
      </c>
    </row>
    <row r="472" spans="1:6" hidden="1">
      <c r="B472" s="810" t="s">
        <v>50</v>
      </c>
      <c r="C472" s="839">
        <f t="shared" si="51"/>
        <v>20266</v>
      </c>
      <c r="D472" s="836">
        <v>20266</v>
      </c>
      <c r="F472" s="811">
        <f t="shared" si="52"/>
        <v>7.8611590841804011</v>
      </c>
    </row>
    <row r="473" spans="1:6" hidden="1">
      <c r="B473" s="810" t="s">
        <v>51</v>
      </c>
      <c r="C473" s="839">
        <f t="shared" si="51"/>
        <v>22301</v>
      </c>
      <c r="D473" s="836">
        <v>22301</v>
      </c>
      <c r="F473" s="811">
        <f t="shared" si="52"/>
        <v>8.0020927312676573</v>
      </c>
    </row>
    <row r="474" spans="1:6" hidden="1">
      <c r="B474" s="810" t="s">
        <v>52</v>
      </c>
      <c r="C474" s="839">
        <f t="shared" si="51"/>
        <v>23312</v>
      </c>
      <c r="D474" s="836">
        <v>23312</v>
      </c>
      <c r="F474" s="811">
        <f t="shared" si="52"/>
        <v>8.8044153225806454</v>
      </c>
    </row>
    <row r="475" spans="1:6" hidden="1">
      <c r="B475" s="810" t="s">
        <v>53</v>
      </c>
      <c r="C475" s="839">
        <f t="shared" si="51"/>
        <v>23603</v>
      </c>
      <c r="D475" s="836">
        <v>23603</v>
      </c>
      <c r="F475" s="811">
        <f t="shared" si="52"/>
        <v>9.082202686099226</v>
      </c>
    </row>
    <row r="476" spans="1:6" hidden="1">
      <c r="B476" s="810" t="s">
        <v>54</v>
      </c>
      <c r="C476" s="839">
        <f t="shared" si="51"/>
        <v>20955</v>
      </c>
      <c r="D476" s="836">
        <v>20955</v>
      </c>
      <c r="F476" s="811">
        <f t="shared" si="52"/>
        <v>7.8859723216416127</v>
      </c>
    </row>
    <row r="477" spans="1:6" hidden="1">
      <c r="B477" s="810" t="s">
        <v>55</v>
      </c>
      <c r="C477" s="839">
        <f t="shared" si="51"/>
        <v>18417</v>
      </c>
      <c r="D477" s="836">
        <v>18417</v>
      </c>
      <c r="F477" s="811">
        <f t="shared" si="52"/>
        <v>5.9683249171960684</v>
      </c>
    </row>
    <row r="478" spans="1:6" hidden="1">
      <c r="B478" s="810" t="s">
        <v>56</v>
      </c>
      <c r="C478" s="839">
        <f t="shared" si="51"/>
        <v>17768</v>
      </c>
      <c r="D478" s="836">
        <v>17768</v>
      </c>
      <c r="F478" s="811">
        <f t="shared" si="52"/>
        <v>7.2315471634398918</v>
      </c>
    </row>
    <row r="479" spans="1:6" hidden="1">
      <c r="B479" s="810" t="s">
        <v>57</v>
      </c>
      <c r="C479" s="839">
        <f t="shared" si="51"/>
        <v>17214</v>
      </c>
      <c r="D479" s="836">
        <v>17214</v>
      </c>
      <c r="F479" s="811">
        <f t="shared" si="52"/>
        <v>7.6085709306378533</v>
      </c>
    </row>
    <row r="480" spans="1:6" hidden="1">
      <c r="B480" s="810" t="s">
        <v>58</v>
      </c>
      <c r="C480" s="839">
        <f t="shared" si="51"/>
        <v>16642</v>
      </c>
      <c r="D480" s="836">
        <v>16642</v>
      </c>
      <c r="F480" s="811">
        <f t="shared" si="52"/>
        <v>7.4855642350679004</v>
      </c>
    </row>
    <row r="481" spans="1:6" hidden="1">
      <c r="B481" s="810" t="s">
        <v>59</v>
      </c>
      <c r="C481" s="839">
        <f t="shared" si="51"/>
        <v>16198</v>
      </c>
      <c r="D481" s="836">
        <v>16198</v>
      </c>
      <c r="F481" s="811">
        <f t="shared" si="52"/>
        <v>7.4016458822076796</v>
      </c>
    </row>
    <row r="482" spans="1:6" hidden="1">
      <c r="B482" s="810" t="s">
        <v>60</v>
      </c>
      <c r="C482" s="838">
        <f>D482</f>
        <v>17192</v>
      </c>
      <c r="D482" s="836">
        <v>17192</v>
      </c>
      <c r="F482" s="811">
        <f t="shared" si="52"/>
        <v>7.3182864122847837</v>
      </c>
    </row>
    <row r="483" spans="1:6" hidden="1"/>
    <row r="484" spans="1:6" hidden="1">
      <c r="A484" s="816">
        <v>2003</v>
      </c>
      <c r="B484" s="810" t="s">
        <v>49</v>
      </c>
      <c r="C484" s="840">
        <f>D484</f>
        <v>18797</v>
      </c>
      <c r="D484" s="836">
        <v>18797</v>
      </c>
      <c r="F484" s="811">
        <f t="shared" ref="F484:F495" si="53">+D280/D484</f>
        <v>7.6116518593392559</v>
      </c>
    </row>
    <row r="485" spans="1:6" hidden="1">
      <c r="B485" s="810" t="s">
        <v>50</v>
      </c>
      <c r="C485" s="840">
        <f t="shared" ref="C485:C495" si="54">D485</f>
        <v>21066</v>
      </c>
      <c r="D485" s="841">
        <v>21066</v>
      </c>
      <c r="F485" s="811">
        <f t="shared" si="53"/>
        <v>7.5702487420487987</v>
      </c>
    </row>
    <row r="486" spans="1:6" hidden="1">
      <c r="B486" s="810" t="s">
        <v>51</v>
      </c>
      <c r="C486" s="840">
        <f t="shared" si="54"/>
        <v>22691</v>
      </c>
      <c r="D486" s="836">
        <v>22691</v>
      </c>
      <c r="F486" s="811">
        <f t="shared" si="53"/>
        <v>7.5274064607112958</v>
      </c>
    </row>
    <row r="487" spans="1:6" hidden="1">
      <c r="B487" s="810" t="s">
        <v>52</v>
      </c>
      <c r="C487" s="840">
        <f t="shared" si="54"/>
        <v>23884</v>
      </c>
      <c r="D487" s="836">
        <v>23884</v>
      </c>
      <c r="F487" s="811">
        <f t="shared" si="53"/>
        <v>7.5856091944397921</v>
      </c>
    </row>
    <row r="488" spans="1:6" hidden="1">
      <c r="B488" s="810" t="s">
        <v>53</v>
      </c>
      <c r="C488" s="840">
        <f t="shared" si="54"/>
        <v>24166</v>
      </c>
      <c r="D488" s="836">
        <v>24166</v>
      </c>
      <c r="F488" s="811">
        <f t="shared" si="53"/>
        <v>7.704892410825126</v>
      </c>
    </row>
    <row r="489" spans="1:6" hidden="1">
      <c r="B489" s="810" t="s">
        <v>54</v>
      </c>
      <c r="C489" s="840">
        <f t="shared" si="54"/>
        <v>22096</v>
      </c>
      <c r="D489" s="836">
        <v>22096</v>
      </c>
      <c r="F489" s="811">
        <f t="shared" si="53"/>
        <v>7.7108119116582188</v>
      </c>
    </row>
    <row r="490" spans="1:6" hidden="1">
      <c r="B490" s="810" t="s">
        <v>55</v>
      </c>
      <c r="C490" s="840">
        <f t="shared" si="54"/>
        <v>18294</v>
      </c>
      <c r="D490" s="836">
        <v>18294</v>
      </c>
      <c r="F490" s="811">
        <f t="shared" si="53"/>
        <v>7.6691494479064177</v>
      </c>
    </row>
    <row r="491" spans="1:6" hidden="1">
      <c r="B491" s="810" t="s">
        <v>56</v>
      </c>
      <c r="C491" s="840">
        <f t="shared" si="54"/>
        <v>17458</v>
      </c>
      <c r="D491" s="836">
        <v>17458</v>
      </c>
      <c r="F491" s="811">
        <f t="shared" si="53"/>
        <v>7.6240520105395815</v>
      </c>
    </row>
    <row r="492" spans="1:6" hidden="1">
      <c r="B492" s="810" t="s">
        <v>57</v>
      </c>
      <c r="C492" s="840">
        <f t="shared" si="54"/>
        <v>17118</v>
      </c>
      <c r="D492" s="836">
        <v>17118</v>
      </c>
      <c r="F492" s="811">
        <f t="shared" si="53"/>
        <v>7.5291494333450171</v>
      </c>
    </row>
    <row r="493" spans="1:6" hidden="1">
      <c r="B493" s="810" t="s">
        <v>58</v>
      </c>
      <c r="C493" s="840">
        <f t="shared" si="54"/>
        <v>16449</v>
      </c>
      <c r="D493" s="836">
        <v>16449</v>
      </c>
      <c r="F493" s="811">
        <f t="shared" si="53"/>
        <v>7.4046914706061164</v>
      </c>
    </row>
    <row r="494" spans="1:6" hidden="1">
      <c r="B494" s="810" t="s">
        <v>59</v>
      </c>
      <c r="C494" s="840">
        <f t="shared" si="54"/>
        <v>16094</v>
      </c>
      <c r="D494" s="836">
        <v>16094</v>
      </c>
      <c r="F494" s="811">
        <f t="shared" si="53"/>
        <v>7.6194730955635643</v>
      </c>
    </row>
    <row r="495" spans="1:6" hidden="1">
      <c r="B495" s="810" t="s">
        <v>60</v>
      </c>
      <c r="C495" s="840">
        <f t="shared" si="54"/>
        <v>17120</v>
      </c>
      <c r="D495" s="836">
        <v>17120</v>
      </c>
      <c r="F495" s="811">
        <f t="shared" si="53"/>
        <v>7.4887581775700927</v>
      </c>
    </row>
    <row r="496" spans="1:6" hidden="1"/>
    <row r="497" spans="1:6" hidden="1">
      <c r="A497" s="816">
        <v>2004</v>
      </c>
      <c r="B497" s="810" t="s">
        <v>49</v>
      </c>
      <c r="C497" s="840">
        <f>D497</f>
        <v>18727</v>
      </c>
      <c r="D497" s="836">
        <v>18727</v>
      </c>
      <c r="F497" s="811">
        <f t="shared" ref="F497:F508" si="55">+D294/D497</f>
        <v>7.3974582154109045</v>
      </c>
    </row>
    <row r="498" spans="1:6" hidden="1">
      <c r="B498" s="810" t="s">
        <v>50</v>
      </c>
      <c r="C498" s="840">
        <f t="shared" ref="C498:C508" si="56">D498</f>
        <v>20542</v>
      </c>
      <c r="D498" s="836">
        <v>20542</v>
      </c>
      <c r="F498" s="811">
        <f t="shared" si="55"/>
        <v>7.680399668970888</v>
      </c>
    </row>
    <row r="499" spans="1:6" hidden="1">
      <c r="B499" s="810" t="s">
        <v>51</v>
      </c>
      <c r="C499" s="840">
        <f t="shared" si="56"/>
        <v>21653</v>
      </c>
      <c r="D499" s="836">
        <v>21653</v>
      </c>
      <c r="F499" s="811">
        <f t="shared" si="55"/>
        <v>7.6318108345263935</v>
      </c>
    </row>
    <row r="500" spans="1:6" hidden="1">
      <c r="B500" s="810" t="s">
        <v>52</v>
      </c>
      <c r="C500" s="840">
        <f t="shared" si="56"/>
        <v>22276</v>
      </c>
      <c r="D500" s="836">
        <v>22276</v>
      </c>
      <c r="F500" s="811">
        <f t="shared" si="55"/>
        <v>7.606293769078829</v>
      </c>
    </row>
    <row r="501" spans="1:6" hidden="1">
      <c r="B501" s="810" t="s">
        <v>53</v>
      </c>
      <c r="C501" s="840">
        <f t="shared" si="56"/>
        <v>22616</v>
      </c>
      <c r="D501" s="836">
        <v>22616</v>
      </c>
      <c r="F501" s="811">
        <f t="shared" si="55"/>
        <v>7.5577555712769726</v>
      </c>
    </row>
    <row r="502" spans="1:6" hidden="1">
      <c r="B502" s="810" t="s">
        <v>54</v>
      </c>
      <c r="C502" s="840">
        <f t="shared" si="56"/>
        <v>21763</v>
      </c>
      <c r="D502" s="836">
        <v>21763</v>
      </c>
      <c r="F502" s="811">
        <f t="shared" si="55"/>
        <v>7.6281128520884067</v>
      </c>
    </row>
    <row r="503" spans="1:6" hidden="1">
      <c r="B503" s="810" t="s">
        <v>55</v>
      </c>
      <c r="C503" s="840">
        <f t="shared" si="56"/>
        <v>16439</v>
      </c>
      <c r="D503" s="836">
        <v>16439</v>
      </c>
      <c r="F503" s="811">
        <f t="shared" si="55"/>
        <v>7.6343050063872493</v>
      </c>
    </row>
    <row r="504" spans="1:6" hidden="1">
      <c r="B504" s="810" t="s">
        <v>56</v>
      </c>
      <c r="C504" s="840">
        <f t="shared" si="56"/>
        <v>15958</v>
      </c>
      <c r="D504" s="836">
        <v>15958</v>
      </c>
      <c r="F504" s="811">
        <f t="shared" si="55"/>
        <v>7.5466712620629153</v>
      </c>
    </row>
    <row r="505" spans="1:6" hidden="1">
      <c r="B505" s="810" t="s">
        <v>57</v>
      </c>
      <c r="C505" s="840">
        <f t="shared" si="56"/>
        <v>15369</v>
      </c>
      <c r="D505" s="842">
        <v>15369</v>
      </c>
      <c r="F505" s="811">
        <f t="shared" si="55"/>
        <v>7.4346541739865959</v>
      </c>
    </row>
    <row r="506" spans="1:6" hidden="1">
      <c r="B506" s="810" t="s">
        <v>58</v>
      </c>
      <c r="C506" s="840">
        <f t="shared" si="56"/>
        <v>14856</v>
      </c>
      <c r="D506" s="836">
        <v>14856</v>
      </c>
      <c r="F506" s="811">
        <f t="shared" si="55"/>
        <v>7.4563166397415177</v>
      </c>
    </row>
    <row r="507" spans="1:6" hidden="1">
      <c r="B507" s="810" t="s">
        <v>59</v>
      </c>
      <c r="C507" s="840">
        <f t="shared" si="56"/>
        <v>14728</v>
      </c>
      <c r="D507" s="836">
        <v>14728</v>
      </c>
      <c r="F507" s="811">
        <f t="shared" si="55"/>
        <v>6.9615969581749049</v>
      </c>
    </row>
    <row r="508" spans="1:6" hidden="1">
      <c r="B508" s="810" t="s">
        <v>60</v>
      </c>
      <c r="C508" s="840">
        <f t="shared" si="56"/>
        <v>15945</v>
      </c>
      <c r="D508" s="836">
        <v>15945</v>
      </c>
      <c r="F508" s="811">
        <f t="shared" si="55"/>
        <v>7.2549495139542177</v>
      </c>
    </row>
    <row r="509" spans="1:6" hidden="1"/>
    <row r="510" spans="1:6" hidden="1">
      <c r="A510" s="816">
        <v>2005</v>
      </c>
      <c r="B510" s="810" t="s">
        <v>49</v>
      </c>
      <c r="C510" s="838">
        <f>D510</f>
        <v>17449</v>
      </c>
      <c r="D510" s="843">
        <v>17449</v>
      </c>
      <c r="F510" s="844">
        <f t="shared" ref="F510:F521" si="57">+D308/D510</f>
        <v>7.5194097082927387</v>
      </c>
    </row>
    <row r="511" spans="1:6" hidden="1">
      <c r="B511" s="810" t="s">
        <v>50</v>
      </c>
      <c r="C511" s="838">
        <f t="shared" ref="C511:C521" si="58">D511</f>
        <v>18124</v>
      </c>
      <c r="D511" s="843">
        <v>18124</v>
      </c>
      <c r="F511" s="844">
        <f t="shared" si="57"/>
        <v>7.6114820128007059</v>
      </c>
    </row>
    <row r="512" spans="1:6" hidden="1">
      <c r="B512" s="810" t="s">
        <v>51</v>
      </c>
      <c r="C512" s="838">
        <f t="shared" si="58"/>
        <v>19555</v>
      </c>
      <c r="D512" s="843">
        <v>19555</v>
      </c>
      <c r="F512" s="844">
        <f t="shared" si="57"/>
        <v>7.662771158271541</v>
      </c>
    </row>
    <row r="513" spans="1:6" hidden="1">
      <c r="B513" s="810" t="s">
        <v>52</v>
      </c>
      <c r="C513" s="838">
        <f t="shared" si="58"/>
        <v>20895</v>
      </c>
      <c r="D513" s="843">
        <v>20895</v>
      </c>
      <c r="F513" s="844">
        <f t="shared" si="57"/>
        <v>7.8025072983967467</v>
      </c>
    </row>
    <row r="514" spans="1:6" hidden="1">
      <c r="B514" s="810" t="s">
        <v>53</v>
      </c>
      <c r="C514" s="838">
        <f t="shared" si="58"/>
        <v>21513</v>
      </c>
      <c r="D514" s="843">
        <v>21513</v>
      </c>
      <c r="F514" s="844">
        <f t="shared" si="57"/>
        <v>7.8153377027843627</v>
      </c>
    </row>
    <row r="515" spans="1:6" hidden="1">
      <c r="B515" s="810" t="s">
        <v>54</v>
      </c>
      <c r="C515" s="838">
        <f t="shared" si="58"/>
        <v>21185</v>
      </c>
      <c r="D515" s="843">
        <v>21185</v>
      </c>
      <c r="F515" s="844">
        <f t="shared" si="57"/>
        <v>7.848531980174652</v>
      </c>
    </row>
    <row r="516" spans="1:6" hidden="1">
      <c r="B516" s="810" t="s">
        <v>55</v>
      </c>
      <c r="C516" s="838">
        <f t="shared" si="58"/>
        <v>20478</v>
      </c>
      <c r="D516" s="843">
        <v>20478</v>
      </c>
      <c r="F516" s="844">
        <f t="shared" si="57"/>
        <v>7.8631726731126079</v>
      </c>
    </row>
    <row r="517" spans="1:6" hidden="1">
      <c r="B517" s="810" t="s">
        <v>56</v>
      </c>
      <c r="C517" s="838">
        <f t="shared" si="58"/>
        <v>19953</v>
      </c>
      <c r="D517" s="843">
        <v>19953</v>
      </c>
      <c r="F517" s="844">
        <f t="shared" si="57"/>
        <v>7.8368375682854712</v>
      </c>
    </row>
    <row r="518" spans="1:6" hidden="1">
      <c r="B518" s="810" t="s">
        <v>57</v>
      </c>
      <c r="C518" s="838">
        <f t="shared" si="58"/>
        <v>19470</v>
      </c>
      <c r="D518" s="843">
        <v>19470</v>
      </c>
      <c r="F518" s="844">
        <f t="shared" si="57"/>
        <v>7.8309342578325634</v>
      </c>
    </row>
    <row r="519" spans="1:6" hidden="1">
      <c r="B519" s="810" t="s">
        <v>58</v>
      </c>
      <c r="C519" s="838">
        <f t="shared" si="58"/>
        <v>18949</v>
      </c>
      <c r="D519" s="843">
        <v>18949</v>
      </c>
      <c r="F519" s="844">
        <f t="shared" si="57"/>
        <v>7.6773808644255634</v>
      </c>
    </row>
    <row r="520" spans="1:6" hidden="1">
      <c r="B520" s="810" t="s">
        <v>59</v>
      </c>
      <c r="C520" s="838">
        <f t="shared" si="58"/>
        <v>18457</v>
      </c>
      <c r="D520" s="843">
        <v>18457</v>
      </c>
      <c r="F520" s="844">
        <f t="shared" si="57"/>
        <v>7.6970710299615321</v>
      </c>
    </row>
    <row r="521" spans="1:6" hidden="1">
      <c r="B521" s="810" t="s">
        <v>60</v>
      </c>
      <c r="C521" s="838">
        <f t="shared" si="58"/>
        <v>19195</v>
      </c>
      <c r="D521" s="843">
        <v>19195</v>
      </c>
      <c r="F521" s="844">
        <f t="shared" si="57"/>
        <v>7.6554884084396981</v>
      </c>
    </row>
    <row r="522" spans="1:6" hidden="1"/>
    <row r="523" spans="1:6" hidden="1">
      <c r="A523" s="810">
        <v>2006</v>
      </c>
      <c r="B523" s="821" t="s">
        <v>49</v>
      </c>
      <c r="C523" s="838">
        <f>D523</f>
        <v>20768</v>
      </c>
      <c r="D523" s="842">
        <v>20768</v>
      </c>
      <c r="F523" s="844">
        <f t="shared" ref="F523:F534" si="59">+D322/D523</f>
        <v>7.7475727080123269</v>
      </c>
    </row>
    <row r="524" spans="1:6" hidden="1">
      <c r="B524" s="821" t="s">
        <v>50</v>
      </c>
      <c r="C524" s="838">
        <f t="shared" ref="C524:C534" si="60">D524</f>
        <v>22662</v>
      </c>
      <c r="D524" s="842">
        <v>22662</v>
      </c>
      <c r="F524" s="844">
        <f t="shared" si="59"/>
        <v>7.7146778748565881</v>
      </c>
    </row>
    <row r="525" spans="1:6" hidden="1">
      <c r="B525" s="821" t="s">
        <v>51</v>
      </c>
      <c r="C525" s="838">
        <f t="shared" si="60"/>
        <v>24654</v>
      </c>
      <c r="D525" s="842">
        <v>24654</v>
      </c>
      <c r="F525" s="844">
        <f t="shared" si="59"/>
        <v>7.7982282793867119</v>
      </c>
    </row>
    <row r="526" spans="1:6" hidden="1">
      <c r="B526" s="821" t="s">
        <v>52</v>
      </c>
      <c r="C526" s="838">
        <f t="shared" si="60"/>
        <v>25990</v>
      </c>
      <c r="D526" s="842">
        <v>25990</v>
      </c>
      <c r="F526" s="844">
        <f t="shared" si="59"/>
        <v>7.8750330896498646</v>
      </c>
    </row>
    <row r="527" spans="1:6" hidden="1">
      <c r="B527" s="810" t="s">
        <v>53</v>
      </c>
      <c r="C527" s="838">
        <f t="shared" si="60"/>
        <v>26722</v>
      </c>
      <c r="D527" s="843">
        <v>26722</v>
      </c>
      <c r="F527" s="844">
        <f t="shared" si="59"/>
        <v>7.8003644936756231</v>
      </c>
    </row>
    <row r="528" spans="1:6" hidden="1">
      <c r="B528" s="810" t="s">
        <v>54</v>
      </c>
      <c r="C528" s="838">
        <f t="shared" si="60"/>
        <v>26797</v>
      </c>
      <c r="D528" s="843">
        <v>26797</v>
      </c>
      <c r="F528" s="844">
        <f t="shared" si="59"/>
        <v>7.8701705414785232</v>
      </c>
    </row>
    <row r="529" spans="1:6" hidden="1">
      <c r="B529" s="810" t="s">
        <v>55</v>
      </c>
      <c r="C529" s="838">
        <f t="shared" si="60"/>
        <v>26448</v>
      </c>
      <c r="D529" s="843">
        <v>26448</v>
      </c>
      <c r="F529" s="844">
        <f t="shared" si="59"/>
        <v>7.9095394736842106</v>
      </c>
    </row>
    <row r="530" spans="1:6" hidden="1">
      <c r="B530" s="810" t="s">
        <v>56</v>
      </c>
      <c r="C530" s="838">
        <f t="shared" si="60"/>
        <v>25489</v>
      </c>
      <c r="D530" s="842">
        <v>25489</v>
      </c>
      <c r="F530" s="844">
        <f t="shared" si="59"/>
        <v>7.8723472870650086</v>
      </c>
    </row>
    <row r="531" spans="1:6" hidden="1">
      <c r="B531" s="810" t="s">
        <v>57</v>
      </c>
      <c r="C531" s="838">
        <f t="shared" si="60"/>
        <v>23798</v>
      </c>
      <c r="D531" s="842">
        <v>23798</v>
      </c>
      <c r="F531" s="844">
        <f t="shared" si="59"/>
        <v>7.8974783595260103</v>
      </c>
    </row>
    <row r="532" spans="1:6" hidden="1">
      <c r="B532" s="810" t="s">
        <v>58</v>
      </c>
      <c r="C532" s="838">
        <f t="shared" si="60"/>
        <v>22392</v>
      </c>
      <c r="D532" s="842">
        <v>22392</v>
      </c>
      <c r="F532" s="844">
        <f t="shared" si="59"/>
        <v>7.7731220971775636</v>
      </c>
    </row>
    <row r="533" spans="1:6" hidden="1">
      <c r="B533" s="810" t="s">
        <v>59</v>
      </c>
      <c r="C533" s="838">
        <f t="shared" si="60"/>
        <v>22153</v>
      </c>
      <c r="D533" s="842">
        <v>22153</v>
      </c>
      <c r="F533" s="844">
        <f t="shared" si="59"/>
        <v>7.7919401435471496</v>
      </c>
    </row>
    <row r="534" spans="1:6" hidden="1">
      <c r="B534" s="810" t="s">
        <v>60</v>
      </c>
      <c r="C534" s="838">
        <f t="shared" si="60"/>
        <v>22788</v>
      </c>
      <c r="D534" s="842">
        <v>22788</v>
      </c>
      <c r="F534" s="844">
        <f t="shared" si="59"/>
        <v>7.7745778479901695</v>
      </c>
    </row>
    <row r="535" spans="1:6" hidden="1"/>
    <row r="536" spans="1:6" hidden="1">
      <c r="A536" s="810">
        <v>2007</v>
      </c>
      <c r="B536" s="821" t="s">
        <v>49</v>
      </c>
      <c r="C536" s="845">
        <f t="shared" ref="C536:C542" si="61">D536</f>
        <v>24192</v>
      </c>
      <c r="D536" s="842">
        <v>24192</v>
      </c>
      <c r="F536" s="846">
        <f t="shared" ref="F536:F547" si="62">D336/D536</f>
        <v>7.8370672123015872</v>
      </c>
    </row>
    <row r="537" spans="1:6" hidden="1">
      <c r="B537" s="821" t="s">
        <v>50</v>
      </c>
      <c r="C537" s="845">
        <f t="shared" si="61"/>
        <v>25691</v>
      </c>
      <c r="D537" s="842">
        <v>25691</v>
      </c>
      <c r="F537" s="846">
        <f t="shared" si="62"/>
        <v>7.8398769997275313</v>
      </c>
    </row>
    <row r="538" spans="1:6" hidden="1">
      <c r="B538" s="821" t="s">
        <v>51</v>
      </c>
      <c r="C538" s="845">
        <f t="shared" si="61"/>
        <v>26962</v>
      </c>
      <c r="D538" s="842">
        <v>26962</v>
      </c>
      <c r="F538" s="846">
        <f t="shared" si="62"/>
        <v>7.8213930717305837</v>
      </c>
    </row>
    <row r="539" spans="1:6" hidden="1">
      <c r="B539" s="821" t="s">
        <v>52</v>
      </c>
      <c r="C539" s="845">
        <f t="shared" si="61"/>
        <v>27784</v>
      </c>
      <c r="D539" s="843">
        <v>27784</v>
      </c>
      <c r="F539" s="846">
        <f t="shared" si="62"/>
        <v>7.8057659084365101</v>
      </c>
    </row>
    <row r="540" spans="1:6" hidden="1">
      <c r="B540" s="821" t="s">
        <v>53</v>
      </c>
      <c r="C540" s="845">
        <f t="shared" si="61"/>
        <v>27953</v>
      </c>
      <c r="D540" s="843">
        <v>27953</v>
      </c>
      <c r="F540" s="846">
        <f t="shared" si="62"/>
        <v>7.8103176760991664</v>
      </c>
    </row>
    <row r="541" spans="1:6" hidden="1">
      <c r="B541" s="821" t="s">
        <v>245</v>
      </c>
      <c r="C541" s="845">
        <f t="shared" si="61"/>
        <v>24218</v>
      </c>
      <c r="D541" s="843">
        <v>24218</v>
      </c>
      <c r="F541" s="846">
        <f t="shared" si="62"/>
        <v>7.8593244694029236</v>
      </c>
    </row>
    <row r="542" spans="1:6" hidden="1">
      <c r="B542" s="821" t="s">
        <v>246</v>
      </c>
      <c r="C542" s="845">
        <f t="shared" si="61"/>
        <v>22561</v>
      </c>
      <c r="D542" s="843">
        <v>22561</v>
      </c>
      <c r="F542" s="846">
        <f t="shared" si="62"/>
        <v>7.8923562785337538</v>
      </c>
    </row>
    <row r="543" spans="1:6" hidden="1">
      <c r="B543" s="821" t="s">
        <v>56</v>
      </c>
      <c r="C543" s="845">
        <f>D543</f>
        <v>22269</v>
      </c>
      <c r="D543" s="843">
        <v>22269</v>
      </c>
      <c r="F543" s="846">
        <f t="shared" si="62"/>
        <v>7.8416879967668054</v>
      </c>
    </row>
    <row r="544" spans="1:6" hidden="1">
      <c r="B544" s="821" t="s">
        <v>707</v>
      </c>
      <c r="C544" s="845">
        <f>D544</f>
        <v>22015</v>
      </c>
      <c r="D544" s="843">
        <v>22015</v>
      </c>
      <c r="F544" s="846">
        <f t="shared" si="62"/>
        <v>7.8119990915285031</v>
      </c>
    </row>
    <row r="545" spans="1:6" hidden="1">
      <c r="B545" s="821" t="s">
        <v>58</v>
      </c>
      <c r="C545" s="845">
        <f>D545</f>
        <v>21684</v>
      </c>
      <c r="D545" s="843">
        <v>21684</v>
      </c>
      <c r="F545" s="846">
        <f t="shared" si="62"/>
        <v>7.7988526102195168</v>
      </c>
    </row>
    <row r="546" spans="1:6" hidden="1">
      <c r="B546" s="821" t="s">
        <v>59</v>
      </c>
      <c r="C546" s="845">
        <f>D546</f>
        <v>21467</v>
      </c>
      <c r="D546" s="843">
        <v>21467</v>
      </c>
      <c r="F546" s="846">
        <f t="shared" si="62"/>
        <v>7.6907318209344577</v>
      </c>
    </row>
    <row r="547" spans="1:6" hidden="1">
      <c r="B547" s="821" t="s">
        <v>60</v>
      </c>
      <c r="C547" s="845">
        <f>D547</f>
        <v>22025</v>
      </c>
      <c r="D547" s="843">
        <v>22025</v>
      </c>
      <c r="F547" s="846">
        <f t="shared" si="62"/>
        <v>7.6688694665153241</v>
      </c>
    </row>
    <row r="548" spans="1:6" hidden="1"/>
    <row r="549" spans="1:6">
      <c r="A549" s="810">
        <v>2008</v>
      </c>
      <c r="B549" s="821" t="s">
        <v>49</v>
      </c>
      <c r="C549" s="845">
        <f t="shared" ref="C549:C555" si="63">D549</f>
        <v>22855</v>
      </c>
      <c r="D549" s="843">
        <v>22855</v>
      </c>
      <c r="F549" s="846">
        <f t="shared" ref="F549:F560" si="64">D350/D549</f>
        <v>7.7448645810544736</v>
      </c>
    </row>
    <row r="550" spans="1:6">
      <c r="B550" s="821" t="s">
        <v>50</v>
      </c>
      <c r="C550" s="845">
        <f t="shared" si="63"/>
        <v>24072</v>
      </c>
      <c r="D550" s="843">
        <v>24072</v>
      </c>
      <c r="F550" s="846">
        <f t="shared" si="64"/>
        <v>7.6618702226653372</v>
      </c>
    </row>
    <row r="551" spans="1:6">
      <c r="B551" s="821" t="s">
        <v>51</v>
      </c>
      <c r="C551" s="845">
        <f t="shared" si="63"/>
        <v>25735</v>
      </c>
      <c r="D551" s="843">
        <v>25735</v>
      </c>
      <c r="F551" s="846">
        <f t="shared" si="64"/>
        <v>7.7085358461239561</v>
      </c>
    </row>
    <row r="552" spans="1:6">
      <c r="B552" s="821" t="s">
        <v>52</v>
      </c>
      <c r="C552" s="845">
        <f t="shared" si="63"/>
        <v>26784</v>
      </c>
      <c r="D552" s="843">
        <v>26784</v>
      </c>
      <c r="F552" s="846">
        <f t="shared" si="64"/>
        <v>7.8039557198327358</v>
      </c>
    </row>
    <row r="553" spans="1:6">
      <c r="B553" s="821" t="s">
        <v>53</v>
      </c>
      <c r="C553" s="845">
        <f t="shared" si="63"/>
        <v>27584</v>
      </c>
      <c r="D553" s="843">
        <v>27584</v>
      </c>
      <c r="F553" s="846">
        <f t="shared" si="64"/>
        <v>7.7692198375870074</v>
      </c>
    </row>
    <row r="554" spans="1:6">
      <c r="B554" s="821" t="s">
        <v>245</v>
      </c>
      <c r="C554" s="845">
        <f t="shared" si="63"/>
        <v>26882</v>
      </c>
      <c r="D554" s="843">
        <v>26882</v>
      </c>
      <c r="F554" s="846">
        <f t="shared" si="64"/>
        <v>7.7971512536269616</v>
      </c>
    </row>
    <row r="555" spans="1:6">
      <c r="B555" s="821" t="s">
        <v>246</v>
      </c>
      <c r="C555" s="845">
        <f t="shared" si="63"/>
        <v>22988</v>
      </c>
      <c r="D555" s="843">
        <v>22988</v>
      </c>
      <c r="F555" s="846">
        <f t="shared" si="64"/>
        <v>7.869223507917174</v>
      </c>
    </row>
    <row r="556" spans="1:6">
      <c r="B556" s="821" t="s">
        <v>56</v>
      </c>
      <c r="C556" s="845">
        <f>D556</f>
        <v>22662</v>
      </c>
      <c r="D556" s="843">
        <v>22662</v>
      </c>
      <c r="F556" s="846">
        <f t="shared" si="64"/>
        <v>7.8115788544700377</v>
      </c>
    </row>
    <row r="557" spans="1:6">
      <c r="B557" s="821" t="s">
        <v>707</v>
      </c>
      <c r="C557" s="845">
        <f>D557</f>
        <v>22472</v>
      </c>
      <c r="D557" s="843">
        <v>22472</v>
      </c>
      <c r="F557" s="846">
        <f t="shared" si="64"/>
        <v>7.7383299216803136</v>
      </c>
    </row>
    <row r="558" spans="1:6">
      <c r="B558" s="821" t="s">
        <v>58</v>
      </c>
      <c r="C558" s="845">
        <f>D558</f>
        <v>22192</v>
      </c>
      <c r="D558" s="843">
        <v>22192</v>
      </c>
      <c r="F558" s="846">
        <f t="shared" si="64"/>
        <v>7.7126604181687091</v>
      </c>
    </row>
    <row r="559" spans="1:6">
      <c r="B559" s="821" t="s">
        <v>59</v>
      </c>
      <c r="C559" s="845">
        <f>D559</f>
        <v>21883</v>
      </c>
      <c r="D559" s="843">
        <v>21883</v>
      </c>
      <c r="F559" s="846">
        <f t="shared" si="64"/>
        <v>7.7496321345336572</v>
      </c>
    </row>
    <row r="560" spans="1:6">
      <c r="B560" s="821" t="s">
        <v>60</v>
      </c>
      <c r="C560" s="845">
        <f>D560</f>
        <v>22684</v>
      </c>
      <c r="D560" s="843">
        <v>22684</v>
      </c>
      <c r="F560" s="846">
        <f t="shared" si="64"/>
        <v>7.6963688062070181</v>
      </c>
    </row>
    <row r="562" spans="1:6">
      <c r="A562" s="810">
        <v>2009</v>
      </c>
      <c r="B562" s="821" t="s">
        <v>49</v>
      </c>
      <c r="C562" s="845">
        <f t="shared" ref="C562:C573" si="65">D562</f>
        <v>23953</v>
      </c>
      <c r="D562" s="843">
        <v>23953</v>
      </c>
      <c r="F562" s="846">
        <f t="shared" ref="F562:F573" si="66">D364/D562</f>
        <v>7.6996818770091435</v>
      </c>
    </row>
    <row r="563" spans="1:6">
      <c r="B563" s="821" t="s">
        <v>50</v>
      </c>
      <c r="C563" s="840">
        <f t="shared" si="65"/>
        <v>26497</v>
      </c>
      <c r="D563" s="842">
        <v>26497</v>
      </c>
      <c r="F563" s="846">
        <f t="shared" si="66"/>
        <v>7.7558697211005017</v>
      </c>
    </row>
    <row r="564" spans="1:6">
      <c r="B564" s="821" t="s">
        <v>51</v>
      </c>
      <c r="C564" s="840">
        <f t="shared" si="65"/>
        <v>28611</v>
      </c>
      <c r="D564" s="842">
        <v>28611</v>
      </c>
      <c r="F564" s="846">
        <f t="shared" si="66"/>
        <v>7.7137747719408623</v>
      </c>
    </row>
    <row r="565" spans="1:6">
      <c r="B565" s="821" t="s">
        <v>52</v>
      </c>
      <c r="C565" s="840">
        <f t="shared" si="65"/>
        <v>30165</v>
      </c>
      <c r="D565" s="842">
        <v>30165</v>
      </c>
      <c r="F565" s="846">
        <f t="shared" si="66"/>
        <v>7.7252226089839215</v>
      </c>
    </row>
    <row r="566" spans="1:6">
      <c r="B566" s="821" t="s">
        <v>53</v>
      </c>
      <c r="C566" s="840">
        <f t="shared" si="65"/>
        <v>30997</v>
      </c>
      <c r="D566" s="842">
        <v>30997</v>
      </c>
      <c r="F566" s="846">
        <f t="shared" si="66"/>
        <v>7.7769084104913375</v>
      </c>
    </row>
    <row r="567" spans="1:6">
      <c r="B567" s="821" t="s">
        <v>245</v>
      </c>
      <c r="C567" s="840">
        <f t="shared" si="65"/>
        <v>30681</v>
      </c>
      <c r="D567" s="842">
        <v>30681</v>
      </c>
      <c r="F567" s="846">
        <f t="shared" si="66"/>
        <v>7.8217590691307333</v>
      </c>
    </row>
    <row r="568" spans="1:6">
      <c r="B568" s="821" t="s">
        <v>246</v>
      </c>
      <c r="C568" s="840">
        <f t="shared" si="65"/>
        <v>28657</v>
      </c>
      <c r="D568" s="842">
        <v>28657</v>
      </c>
      <c r="F568" s="846">
        <f t="shared" si="66"/>
        <v>7.8910890881808982</v>
      </c>
    </row>
    <row r="569" spans="1:6">
      <c r="B569" s="821" t="s">
        <v>56</v>
      </c>
      <c r="C569" s="840">
        <f t="shared" si="65"/>
        <v>25965</v>
      </c>
      <c r="D569" s="842">
        <v>25965</v>
      </c>
      <c r="F569" s="846">
        <f t="shared" si="66"/>
        <v>7.8290914692855766</v>
      </c>
    </row>
    <row r="570" spans="1:6">
      <c r="B570" s="821" t="s">
        <v>707</v>
      </c>
      <c r="C570" s="840">
        <f t="shared" si="65"/>
        <v>25581</v>
      </c>
      <c r="D570" s="842">
        <v>25581</v>
      </c>
      <c r="F570" s="846">
        <f t="shared" si="66"/>
        <v>7.7606973925960672</v>
      </c>
    </row>
    <row r="571" spans="1:6">
      <c r="B571" s="821" t="s">
        <v>58</v>
      </c>
      <c r="C571" s="840">
        <f t="shared" si="65"/>
        <v>25196</v>
      </c>
      <c r="D571" s="842">
        <v>25196</v>
      </c>
      <c r="F571" s="846">
        <f t="shared" si="66"/>
        <v>7.7807993332274963</v>
      </c>
    </row>
    <row r="572" spans="1:6">
      <c r="B572" s="821" t="s">
        <v>59</v>
      </c>
      <c r="C572" s="840">
        <f t="shared" si="65"/>
        <v>24941</v>
      </c>
      <c r="D572" s="842">
        <v>24941</v>
      </c>
      <c r="F572" s="846">
        <f t="shared" si="66"/>
        <v>8.9089791908905021</v>
      </c>
    </row>
    <row r="573" spans="1:6">
      <c r="B573" s="821" t="s">
        <v>60</v>
      </c>
      <c r="C573" s="840">
        <f t="shared" si="65"/>
        <v>25937</v>
      </c>
      <c r="D573" s="842">
        <v>25937</v>
      </c>
      <c r="F573" s="846">
        <f t="shared" si="66"/>
        <v>10.603174229864672</v>
      </c>
    </row>
    <row r="574" spans="1:6">
      <c r="C574" s="840"/>
      <c r="D574" s="842"/>
    </row>
    <row r="575" spans="1:6">
      <c r="A575" s="810">
        <v>2010</v>
      </c>
      <c r="B575" s="821" t="s">
        <v>49</v>
      </c>
      <c r="C575" s="845">
        <f t="shared" ref="C575:C594" si="67">D575</f>
        <v>27268</v>
      </c>
      <c r="D575" s="842">
        <v>27268</v>
      </c>
      <c r="F575" s="846">
        <f t="shared" ref="F575:F586" si="68">D378/D575</f>
        <v>10.595533592489366</v>
      </c>
    </row>
    <row r="576" spans="1:6">
      <c r="B576" s="821" t="s">
        <v>50</v>
      </c>
      <c r="C576" s="840">
        <f t="shared" si="67"/>
        <v>29218</v>
      </c>
      <c r="D576" s="842">
        <v>29218</v>
      </c>
      <c r="F576" s="846">
        <f t="shared" si="68"/>
        <v>10.609596823875693</v>
      </c>
    </row>
    <row r="577" spans="1:6">
      <c r="B577" s="821" t="s">
        <v>51</v>
      </c>
      <c r="C577" s="840">
        <f t="shared" si="67"/>
        <v>31588</v>
      </c>
      <c r="D577" s="842">
        <v>31588</v>
      </c>
      <c r="F577" s="846">
        <f t="shared" si="68"/>
        <v>10.628467772571861</v>
      </c>
    </row>
    <row r="578" spans="1:6">
      <c r="B578" s="821" t="s">
        <v>52</v>
      </c>
      <c r="C578" s="840">
        <f t="shared" si="67"/>
        <v>33960</v>
      </c>
      <c r="D578" s="842">
        <v>33960</v>
      </c>
      <c r="F578" s="846">
        <f t="shared" si="68"/>
        <v>10.668952591283864</v>
      </c>
    </row>
    <row r="579" spans="1:6">
      <c r="B579" s="821" t="s">
        <v>53</v>
      </c>
      <c r="C579" s="840">
        <f t="shared" si="67"/>
        <v>35732</v>
      </c>
      <c r="D579" s="842">
        <v>35732</v>
      </c>
      <c r="F579" s="846">
        <f t="shared" si="68"/>
        <v>10.704607074890856</v>
      </c>
    </row>
    <row r="580" spans="1:6">
      <c r="B580" s="821" t="s">
        <v>245</v>
      </c>
      <c r="C580" s="840">
        <f t="shared" si="67"/>
        <v>36494</v>
      </c>
      <c r="D580" s="842">
        <v>36494</v>
      </c>
      <c r="F580" s="846">
        <f t="shared" si="68"/>
        <v>10.740936592316546</v>
      </c>
    </row>
    <row r="581" spans="1:6">
      <c r="B581" s="821" t="s">
        <v>246</v>
      </c>
      <c r="C581" s="840">
        <f t="shared" si="67"/>
        <v>36016</v>
      </c>
      <c r="D581" s="842">
        <v>36016</v>
      </c>
      <c r="F581" s="846">
        <f t="shared" si="68"/>
        <v>10.749063749444693</v>
      </c>
    </row>
    <row r="582" spans="1:6">
      <c r="B582" s="821" t="s">
        <v>56</v>
      </c>
      <c r="C582" s="840">
        <f t="shared" si="67"/>
        <v>34582</v>
      </c>
      <c r="D582" s="842">
        <v>34582</v>
      </c>
      <c r="F582" s="846">
        <f t="shared" si="68"/>
        <v>10.689503788097854</v>
      </c>
    </row>
    <row r="583" spans="1:6">
      <c r="B583" s="821" t="s">
        <v>707</v>
      </c>
      <c r="C583" s="840">
        <f t="shared" si="67"/>
        <v>31528</v>
      </c>
      <c r="D583" s="842">
        <v>31528</v>
      </c>
      <c r="F583" s="846">
        <f t="shared" si="68"/>
        <v>10.665038378584116</v>
      </c>
    </row>
    <row r="584" spans="1:6">
      <c r="B584" s="821" t="s">
        <v>58</v>
      </c>
      <c r="C584" s="840">
        <f t="shared" si="67"/>
        <v>31404</v>
      </c>
      <c r="D584" s="842">
        <v>31404</v>
      </c>
      <c r="F584" s="846">
        <f t="shared" si="68"/>
        <v>10.615811043179212</v>
      </c>
    </row>
    <row r="585" spans="1:6">
      <c r="B585" s="821" t="s">
        <v>59</v>
      </c>
      <c r="C585" s="840">
        <f t="shared" si="67"/>
        <v>30918</v>
      </c>
      <c r="D585" s="842">
        <v>30918</v>
      </c>
      <c r="F585" s="846">
        <f t="shared" si="68"/>
        <v>10.561425059835695</v>
      </c>
    </row>
    <row r="586" spans="1:6">
      <c r="B586" s="821" t="s">
        <v>60</v>
      </c>
      <c r="C586" s="840">
        <f t="shared" si="67"/>
        <v>30313</v>
      </c>
      <c r="D586" s="842">
        <v>30313</v>
      </c>
      <c r="F586" s="846">
        <f t="shared" si="68"/>
        <v>10.482066440141194</v>
      </c>
    </row>
    <row r="588" spans="1:6">
      <c r="A588" s="810">
        <v>2011</v>
      </c>
      <c r="B588" s="810" t="s">
        <v>49</v>
      </c>
      <c r="C588" s="845">
        <f t="shared" si="67"/>
        <v>29860</v>
      </c>
      <c r="D588" s="842">
        <v>29860</v>
      </c>
      <c r="F588" s="846">
        <f t="shared" ref="F588:F599" si="69">D392/D588</f>
        <v>10.475695579370395</v>
      </c>
    </row>
    <row r="589" spans="1:6">
      <c r="B589" s="810" t="s">
        <v>50</v>
      </c>
      <c r="C589" s="845">
        <f t="shared" si="67"/>
        <v>29629</v>
      </c>
      <c r="D589" s="842">
        <v>29629</v>
      </c>
      <c r="F589" s="846">
        <f t="shared" si="69"/>
        <v>10.384489520402308</v>
      </c>
    </row>
    <row r="590" spans="1:6">
      <c r="B590" s="810" t="s">
        <v>51</v>
      </c>
      <c r="C590" s="845">
        <f t="shared" si="67"/>
        <v>29138</v>
      </c>
      <c r="D590" s="842">
        <v>29138</v>
      </c>
      <c r="F590" s="846">
        <f t="shared" si="69"/>
        <v>10.518015992861557</v>
      </c>
    </row>
    <row r="591" spans="1:6">
      <c r="B591" s="810" t="s">
        <v>52</v>
      </c>
      <c r="C591" s="845">
        <f t="shared" si="67"/>
        <v>37135</v>
      </c>
      <c r="D591" s="842">
        <v>37135</v>
      </c>
      <c r="F591" s="846">
        <f t="shared" si="69"/>
        <v>10.515604416318835</v>
      </c>
    </row>
    <row r="592" spans="1:6">
      <c r="B592" s="810" t="s">
        <v>53</v>
      </c>
      <c r="C592" s="845">
        <f t="shared" si="67"/>
        <v>40319</v>
      </c>
      <c r="D592" s="842">
        <v>40319</v>
      </c>
      <c r="F592" s="846">
        <f t="shared" si="69"/>
        <v>10.607128152979984</v>
      </c>
    </row>
    <row r="593" spans="1:6">
      <c r="B593" s="810" t="s">
        <v>54</v>
      </c>
      <c r="C593" s="845">
        <f t="shared" si="67"/>
        <v>39514</v>
      </c>
      <c r="D593" s="842">
        <v>39514</v>
      </c>
      <c r="F593" s="846">
        <f t="shared" si="69"/>
        <v>10.675187275396061</v>
      </c>
    </row>
    <row r="594" spans="1:6">
      <c r="B594" s="810" t="s">
        <v>55</v>
      </c>
      <c r="C594" s="845">
        <f t="shared" si="67"/>
        <v>34697</v>
      </c>
      <c r="D594" s="842">
        <v>34697</v>
      </c>
      <c r="F594" s="846">
        <f t="shared" si="69"/>
        <v>10.691110182436523</v>
      </c>
    </row>
    <row r="595" spans="1:6">
      <c r="B595" s="810" t="s">
        <v>56</v>
      </c>
      <c r="C595" s="845">
        <f>D595</f>
        <v>30969</v>
      </c>
      <c r="D595" s="842">
        <v>30969</v>
      </c>
      <c r="F595" s="846">
        <f t="shared" si="69"/>
        <v>10.675362459233426</v>
      </c>
    </row>
    <row r="596" spans="1:6">
      <c r="B596" s="810" t="s">
        <v>707</v>
      </c>
      <c r="C596" s="845">
        <f>D596</f>
        <v>30706</v>
      </c>
      <c r="D596" s="842">
        <v>30706</v>
      </c>
      <c r="F596" s="846">
        <f t="shared" si="69"/>
        <v>10.661882042597538</v>
      </c>
    </row>
    <row r="597" spans="1:6">
      <c r="B597" s="810" t="s">
        <v>58</v>
      </c>
      <c r="C597" s="845">
        <f>D597</f>
        <v>30233</v>
      </c>
      <c r="D597" s="842">
        <v>30233</v>
      </c>
      <c r="F597" s="846">
        <f t="shared" si="69"/>
        <v>10.631385902821421</v>
      </c>
    </row>
    <row r="598" spans="1:6">
      <c r="B598" s="810" t="s">
        <v>59</v>
      </c>
      <c r="C598" s="845">
        <f>D598</f>
        <v>30296</v>
      </c>
      <c r="D598" s="842">
        <v>30296</v>
      </c>
      <c r="F598" s="846">
        <f t="shared" si="69"/>
        <v>10.532517163982044</v>
      </c>
    </row>
    <row r="599" spans="1:6">
      <c r="B599" s="810" t="s">
        <v>60</v>
      </c>
      <c r="C599" s="845">
        <f>D599</f>
        <v>31132</v>
      </c>
      <c r="D599" s="842">
        <v>31132</v>
      </c>
      <c r="F599" s="846">
        <f t="shared" si="69"/>
        <v>10.512106514197612</v>
      </c>
    </row>
    <row r="601" spans="1:6">
      <c r="A601" s="810">
        <v>2012</v>
      </c>
      <c r="B601" s="810" t="s">
        <v>49</v>
      </c>
      <c r="C601" s="845">
        <f t="shared" ref="C601:C608" si="70">D601</f>
        <v>32452</v>
      </c>
      <c r="D601" s="843">
        <v>32452</v>
      </c>
      <c r="F601" s="846">
        <f t="shared" ref="F601:F612" si="71">D406/D601</f>
        <v>10.469274004683841</v>
      </c>
    </row>
    <row r="602" spans="1:6">
      <c r="B602" s="810" t="s">
        <v>50</v>
      </c>
      <c r="C602" s="845">
        <f t="shared" si="70"/>
        <v>33941</v>
      </c>
      <c r="D602" s="843">
        <v>33941</v>
      </c>
      <c r="F602" s="846">
        <f t="shared" si="71"/>
        <v>10.551029138799681</v>
      </c>
    </row>
    <row r="603" spans="1:6">
      <c r="B603" s="810" t="s">
        <v>51</v>
      </c>
      <c r="C603" s="845">
        <f t="shared" si="70"/>
        <v>35519</v>
      </c>
      <c r="D603" s="843">
        <v>35519</v>
      </c>
      <c r="F603" s="846">
        <f t="shared" si="71"/>
        <v>10.512635490864044</v>
      </c>
    </row>
    <row r="604" spans="1:6">
      <c r="B604" s="810" t="s">
        <v>52</v>
      </c>
      <c r="C604" s="845">
        <f t="shared" si="70"/>
        <v>36407</v>
      </c>
      <c r="D604" s="842">
        <v>36407</v>
      </c>
      <c r="F604" s="846">
        <f t="shared" si="71"/>
        <v>10.509124893564424</v>
      </c>
    </row>
    <row r="605" spans="1:6">
      <c r="B605" s="810" t="s">
        <v>53</v>
      </c>
      <c r="C605" s="845">
        <f t="shared" si="70"/>
        <v>36620</v>
      </c>
      <c r="D605" s="842">
        <v>36620</v>
      </c>
      <c r="F605" s="846">
        <f t="shared" si="71"/>
        <v>10.636330147460404</v>
      </c>
    </row>
    <row r="606" spans="1:6">
      <c r="B606" s="810" t="s">
        <v>54</v>
      </c>
      <c r="C606" s="845">
        <f t="shared" si="70"/>
        <v>36507</v>
      </c>
      <c r="D606" s="842">
        <v>36507</v>
      </c>
      <c r="F606" s="846">
        <f t="shared" si="71"/>
        <v>10.639945489906045</v>
      </c>
    </row>
    <row r="607" spans="1:6">
      <c r="B607" s="810" t="s">
        <v>55</v>
      </c>
      <c r="C607" s="845">
        <f t="shared" si="70"/>
        <v>35904</v>
      </c>
      <c r="D607" s="842">
        <v>35904</v>
      </c>
      <c r="F607" s="846">
        <f t="shared" si="71"/>
        <v>10.695826927361853</v>
      </c>
    </row>
    <row r="608" spans="1:6">
      <c r="B608" s="810" t="s">
        <v>56</v>
      </c>
      <c r="C608" s="845">
        <f t="shared" si="70"/>
        <v>29882</v>
      </c>
      <c r="D608" s="842">
        <v>29882</v>
      </c>
      <c r="F608" s="846">
        <f t="shared" si="71"/>
        <v>10.564748678133993</v>
      </c>
    </row>
    <row r="609" spans="1:6">
      <c r="B609" s="810" t="s">
        <v>707</v>
      </c>
      <c r="C609" s="845">
        <f>D609</f>
        <v>27127</v>
      </c>
      <c r="D609" s="842">
        <v>27127</v>
      </c>
      <c r="F609" s="846">
        <f t="shared" si="71"/>
        <v>10.457832049249824</v>
      </c>
    </row>
    <row r="610" spans="1:6">
      <c r="B610" s="810" t="s">
        <v>58</v>
      </c>
      <c r="C610" s="845">
        <f>D610</f>
        <v>26772</v>
      </c>
      <c r="D610" s="842">
        <v>26772</v>
      </c>
      <c r="F610" s="846">
        <f t="shared" si="71"/>
        <v>10.414851710742566</v>
      </c>
    </row>
    <row r="611" spans="1:6">
      <c r="B611" s="810" t="s">
        <v>59</v>
      </c>
      <c r="C611" s="845">
        <f>D611</f>
        <v>26588</v>
      </c>
      <c r="D611" s="842">
        <v>26588</v>
      </c>
      <c r="F611" s="846">
        <f t="shared" si="71"/>
        <v>10.425347525199339</v>
      </c>
    </row>
    <row r="612" spans="1:6">
      <c r="B612" s="810" t="s">
        <v>60</v>
      </c>
      <c r="C612" s="845">
        <f>D612</f>
        <v>27078</v>
      </c>
      <c r="D612" s="842">
        <v>27078</v>
      </c>
      <c r="F612" s="846">
        <f t="shared" si="71"/>
        <v>10.411214639190487</v>
      </c>
    </row>
    <row r="613" spans="1:6">
      <c r="D613" s="842"/>
    </row>
    <row r="614" spans="1:6">
      <c r="A614" s="810">
        <v>2013</v>
      </c>
      <c r="B614" s="810" t="s">
        <v>49</v>
      </c>
      <c r="C614" s="845">
        <f t="shared" ref="C614:C623" si="72">D614</f>
        <v>27840</v>
      </c>
      <c r="D614" s="842">
        <v>27840</v>
      </c>
      <c r="F614" s="846">
        <f t="shared" ref="F614:F625" si="73">D420/D614</f>
        <v>10.347065732758621</v>
      </c>
    </row>
    <row r="615" spans="1:6">
      <c r="B615" s="810" t="s">
        <v>50</v>
      </c>
      <c r="C615" s="840">
        <f t="shared" si="72"/>
        <v>29223</v>
      </c>
      <c r="D615" s="842">
        <v>29223</v>
      </c>
      <c r="F615" s="846">
        <f t="shared" si="73"/>
        <v>10.439340587893097</v>
      </c>
    </row>
    <row r="616" spans="1:6">
      <c r="B616" s="810" t="s">
        <v>51</v>
      </c>
      <c r="C616" s="840">
        <f t="shared" si="72"/>
        <v>30963</v>
      </c>
      <c r="D616" s="842">
        <v>30963</v>
      </c>
      <c r="E616" s="847"/>
      <c r="F616" s="846">
        <f t="shared" si="73"/>
        <v>10.42925491715919</v>
      </c>
    </row>
    <row r="617" spans="1:6">
      <c r="B617" s="810" t="s">
        <v>52</v>
      </c>
      <c r="C617" s="840">
        <f t="shared" si="72"/>
        <v>32389</v>
      </c>
      <c r="D617" s="842">
        <v>32389</v>
      </c>
      <c r="E617" s="847"/>
      <c r="F617" s="846">
        <f t="shared" si="73"/>
        <v>10.468931118589646</v>
      </c>
    </row>
    <row r="618" spans="1:6">
      <c r="B618" s="810" t="s">
        <v>53</v>
      </c>
      <c r="C618" s="840">
        <f t="shared" si="72"/>
        <v>32711</v>
      </c>
      <c r="D618" s="842">
        <v>32711</v>
      </c>
      <c r="E618" s="847"/>
      <c r="F618" s="846">
        <f t="shared" si="73"/>
        <v>10.593232551741004</v>
      </c>
    </row>
    <row r="619" spans="1:6">
      <c r="B619" s="810" t="s">
        <v>54</v>
      </c>
      <c r="C619" s="840">
        <f t="shared" si="72"/>
        <v>32329</v>
      </c>
      <c r="D619" s="836">
        <v>32329</v>
      </c>
      <c r="F619" s="846">
        <f t="shared" si="73"/>
        <v>10.678970274366668</v>
      </c>
    </row>
    <row r="620" spans="1:6">
      <c r="B620" s="810" t="s">
        <v>55</v>
      </c>
      <c r="C620" s="840">
        <f t="shared" si="72"/>
        <v>31882</v>
      </c>
      <c r="D620" s="843">
        <v>31882</v>
      </c>
      <c r="F620" s="846">
        <f t="shared" si="73"/>
        <v>10.653618656295087</v>
      </c>
    </row>
    <row r="621" spans="1:6">
      <c r="B621" s="810" t="s">
        <v>56</v>
      </c>
      <c r="C621" s="840">
        <f t="shared" si="72"/>
        <v>27173</v>
      </c>
      <c r="D621" s="843">
        <v>27173</v>
      </c>
      <c r="F621" s="846">
        <f t="shared" si="73"/>
        <v>10.630875869429213</v>
      </c>
    </row>
    <row r="622" spans="1:6">
      <c r="B622" s="810" t="s">
        <v>57</v>
      </c>
      <c r="C622" s="840">
        <f t="shared" si="72"/>
        <v>24261</v>
      </c>
      <c r="D622" s="842">
        <v>24261</v>
      </c>
      <c r="F622" s="846">
        <f t="shared" si="73"/>
        <v>10.360777379333086</v>
      </c>
    </row>
    <row r="623" spans="1:6">
      <c r="B623" s="810" t="s">
        <v>58</v>
      </c>
      <c r="C623" s="840">
        <f t="shared" si="72"/>
        <v>23941</v>
      </c>
      <c r="D623" s="836">
        <v>23941</v>
      </c>
      <c r="F623" s="846">
        <f t="shared" si="73"/>
        <v>10.452917589073138</v>
      </c>
    </row>
    <row r="624" spans="1:6">
      <c r="B624" s="810" t="s">
        <v>59</v>
      </c>
      <c r="C624" s="840">
        <f>D624</f>
        <v>23968</v>
      </c>
      <c r="D624" s="836">
        <v>23968</v>
      </c>
      <c r="F624" s="846">
        <f t="shared" si="73"/>
        <v>10.442192506675568</v>
      </c>
    </row>
    <row r="625" spans="1:6">
      <c r="B625" s="810" t="s">
        <v>60</v>
      </c>
      <c r="C625" s="840">
        <f>D625</f>
        <v>24737</v>
      </c>
      <c r="D625" s="836">
        <v>24737</v>
      </c>
      <c r="F625" s="846">
        <f t="shared" si="73"/>
        <v>10.406495533007236</v>
      </c>
    </row>
    <row r="627" spans="1:6">
      <c r="A627" s="810">
        <v>2014</v>
      </c>
      <c r="B627" s="810" t="s">
        <v>49</v>
      </c>
      <c r="C627" s="845">
        <f t="shared" ref="C627:C636" si="74">D627</f>
        <v>25961</v>
      </c>
      <c r="D627" s="842">
        <v>25961</v>
      </c>
      <c r="F627" s="846">
        <f>D434/D627</f>
        <v>10.640640961442163</v>
      </c>
    </row>
    <row r="628" spans="1:6">
      <c r="B628" s="810" t="s">
        <v>50</v>
      </c>
      <c r="C628" s="840">
        <f t="shared" si="74"/>
        <v>27390</v>
      </c>
      <c r="D628" s="842">
        <v>27390</v>
      </c>
      <c r="F628" s="846">
        <f t="shared" ref="F628:F638" si="75">D434/D628</f>
        <v>10.085493975903614</v>
      </c>
    </row>
    <row r="629" spans="1:6">
      <c r="B629" s="810" t="s">
        <v>51</v>
      </c>
      <c r="C629" s="840">
        <f t="shared" si="74"/>
        <v>29319</v>
      </c>
      <c r="D629" s="842">
        <v>29319</v>
      </c>
      <c r="E629" s="847"/>
      <c r="F629" s="846">
        <f t="shared" si="75"/>
        <v>9.7662699955660166</v>
      </c>
    </row>
    <row r="630" spans="1:6">
      <c r="B630" s="810" t="s">
        <v>52</v>
      </c>
      <c r="C630" s="840">
        <f t="shared" si="74"/>
        <v>30951</v>
      </c>
      <c r="D630" s="842">
        <v>30951</v>
      </c>
      <c r="E630" s="847"/>
      <c r="F630" s="846">
        <f t="shared" si="75"/>
        <v>9.896264417950956</v>
      </c>
    </row>
    <row r="631" spans="1:6">
      <c r="B631" s="810" t="s">
        <v>53</v>
      </c>
      <c r="C631" s="840">
        <f t="shared" si="74"/>
        <v>31362</v>
      </c>
      <c r="D631" s="842">
        <v>31362</v>
      </c>
      <c r="E631" s="847"/>
      <c r="F631" s="846">
        <f t="shared" si="75"/>
        <v>10.410201198903131</v>
      </c>
    </row>
    <row r="632" spans="1:6">
      <c r="B632" s="810" t="s">
        <v>54</v>
      </c>
      <c r="C632" s="840">
        <f t="shared" si="74"/>
        <v>31096</v>
      </c>
      <c r="D632" s="836">
        <v>31096</v>
      </c>
      <c r="F632" s="846">
        <f t="shared" si="75"/>
        <v>10.718440313866735</v>
      </c>
    </row>
    <row r="633" spans="1:6">
      <c r="B633" s="810" t="s">
        <v>55</v>
      </c>
      <c r="C633" s="840">
        <f t="shared" si="74"/>
        <v>29255</v>
      </c>
      <c r="D633" s="843">
        <v>29255</v>
      </c>
      <c r="F633" s="846">
        <f t="shared" si="75"/>
        <v>11.403682789266792</v>
      </c>
    </row>
    <row r="634" spans="1:6">
      <c r="B634" s="810" t="s">
        <v>56</v>
      </c>
      <c r="C634" s="840">
        <f t="shared" si="74"/>
        <v>25758</v>
      </c>
      <c r="D634" s="843">
        <v>25758</v>
      </c>
      <c r="F634" s="846">
        <f t="shared" si="75"/>
        <v>12.137512229210342</v>
      </c>
    </row>
    <row r="635" spans="1:6">
      <c r="B635" s="810" t="s">
        <v>57</v>
      </c>
      <c r="C635" s="840">
        <v>25454</v>
      </c>
      <c r="D635" s="842">
        <v>25454</v>
      </c>
      <c r="F635" s="846">
        <f>D442/D635</f>
        <v>11.272521804038659</v>
      </c>
    </row>
    <row r="636" spans="1:6">
      <c r="B636" s="810" t="s">
        <v>58</v>
      </c>
      <c r="C636" s="840">
        <f t="shared" si="74"/>
        <v>0</v>
      </c>
      <c r="D636" s="836"/>
      <c r="F636" s="846" t="e">
        <f t="shared" si="75"/>
        <v>#DIV/0!</v>
      </c>
    </row>
    <row r="637" spans="1:6">
      <c r="B637" s="810" t="s">
        <v>59</v>
      </c>
      <c r="C637" s="840">
        <f>D637</f>
        <v>0</v>
      </c>
      <c r="D637" s="836"/>
      <c r="F637" s="846" t="e">
        <f t="shared" si="75"/>
        <v>#DIV/0!</v>
      </c>
    </row>
    <row r="638" spans="1:6">
      <c r="B638" s="810" t="s">
        <v>60</v>
      </c>
      <c r="C638" s="840">
        <f>D638</f>
        <v>0</v>
      </c>
      <c r="D638" s="836"/>
      <c r="F638" s="846" t="e">
        <f t="shared" si="75"/>
        <v>#DIV/0!</v>
      </c>
    </row>
  </sheetData>
  <pageMargins left="0.5" right="0.5" top="0.75" bottom="0.53" header="0.5" footer="0.27"/>
  <pageSetup scale="50" orientation="portrait" r:id="rId1"/>
  <headerFooter alignWithMargins="0">
    <oddFooter>&amp;CPage &amp;P of &amp;N</oddFooter>
  </headerFooter>
  <rowBreaks count="5" manualBreakCount="5">
    <brk id="98" max="9" man="1"/>
    <brk id="220" max="9" man="1"/>
    <brk id="244" max="9" man="1"/>
    <brk id="320" max="9" man="1"/>
    <brk id="450" max="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139"/>
  <sheetViews>
    <sheetView view="pageBreakPreview" zoomScale="75" zoomScaleNormal="55" workbookViewId="0">
      <selection activeCell="D15" sqref="D15"/>
    </sheetView>
  </sheetViews>
  <sheetFormatPr defaultColWidth="10.28515625" defaultRowHeight="15.75"/>
  <cols>
    <col min="1" max="1" width="3.7109375" style="187" customWidth="1"/>
    <col min="2" max="2" width="36.85546875" style="196" bestFit="1" customWidth="1"/>
    <col min="3" max="3" width="1.5703125" style="187" customWidth="1"/>
    <col min="4" max="4" width="11.140625" style="187" bestFit="1" customWidth="1"/>
    <col min="5" max="5" width="17.28515625" style="187" bestFit="1" customWidth="1"/>
    <col min="6" max="6" width="17.140625" style="187" bestFit="1" customWidth="1"/>
    <col min="7" max="7" width="17.28515625" style="187" bestFit="1" customWidth="1"/>
    <col min="8" max="8" width="16.140625" style="187" bestFit="1" customWidth="1"/>
    <col min="9" max="10" width="14.42578125" style="187" bestFit="1" customWidth="1"/>
    <col min="11" max="11" width="13.140625" style="187" bestFit="1" customWidth="1"/>
    <col min="12" max="12" width="13.85546875" style="187" bestFit="1" customWidth="1"/>
    <col min="13" max="13" width="16.140625" style="187" bestFit="1" customWidth="1"/>
    <col min="14" max="16" width="10.28515625" style="187" customWidth="1"/>
    <col min="17" max="19" width="15.5703125" style="187" bestFit="1" customWidth="1"/>
    <col min="20" max="16384" width="10.28515625" style="187"/>
  </cols>
  <sheetData>
    <row r="1" spans="1:13" ht="18.75">
      <c r="A1" s="185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45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.75">
      <c r="A3" s="185" t="s">
        <v>154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8.75">
      <c r="A4" s="185" t="s">
        <v>155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5" t="s">
        <v>249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8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18.75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18.7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s="191" customFormat="1" ht="18.75">
      <c r="A10" s="188"/>
      <c r="B10" s="189"/>
      <c r="C10" s="189"/>
      <c r="D10" s="189" t="s">
        <v>156</v>
      </c>
      <c r="E10" s="189" t="s">
        <v>157</v>
      </c>
      <c r="F10" s="189" t="s">
        <v>158</v>
      </c>
      <c r="G10" s="189" t="s">
        <v>159</v>
      </c>
      <c r="H10" s="189" t="s">
        <v>160</v>
      </c>
      <c r="I10" s="189" t="s">
        <v>161</v>
      </c>
      <c r="J10" s="189" t="s">
        <v>162</v>
      </c>
      <c r="K10" s="189" t="s">
        <v>163</v>
      </c>
      <c r="L10" s="189" t="s">
        <v>164</v>
      </c>
      <c r="M10" s="190" t="s">
        <v>165</v>
      </c>
    </row>
    <row r="11" spans="1:13" ht="18.75">
      <c r="A11" s="185"/>
      <c r="B11" s="186"/>
      <c r="C11" s="186"/>
      <c r="D11" s="189" t="s">
        <v>27</v>
      </c>
      <c r="E11" s="192"/>
      <c r="F11" s="193"/>
      <c r="G11" s="194" t="s">
        <v>166</v>
      </c>
      <c r="H11" s="193"/>
      <c r="I11" s="189"/>
      <c r="J11" s="189"/>
      <c r="K11" s="189"/>
      <c r="L11" s="189"/>
      <c r="M11" s="189"/>
    </row>
    <row r="12" spans="1:13" ht="18.75">
      <c r="A12" s="185"/>
      <c r="B12" s="186"/>
      <c r="C12" s="186"/>
      <c r="D12" s="191" t="s">
        <v>167</v>
      </c>
      <c r="E12" s="192" t="s">
        <v>167</v>
      </c>
      <c r="F12" s="193" t="s">
        <v>168</v>
      </c>
      <c r="G12" s="195" t="s">
        <v>169</v>
      </c>
      <c r="H12" s="189" t="s">
        <v>167</v>
      </c>
      <c r="I12" s="189" t="s">
        <v>168</v>
      </c>
      <c r="J12" s="189" t="s">
        <v>170</v>
      </c>
      <c r="K12" s="189" t="s">
        <v>171</v>
      </c>
      <c r="L12" s="189" t="s">
        <v>172</v>
      </c>
      <c r="M12" s="189" t="s">
        <v>172</v>
      </c>
    </row>
    <row r="13" spans="1:13" ht="18.75">
      <c r="A13" s="196"/>
      <c r="B13" s="197"/>
      <c r="C13" s="198"/>
      <c r="D13" s="183" t="s">
        <v>173</v>
      </c>
      <c r="E13" s="184" t="s">
        <v>174</v>
      </c>
      <c r="F13" s="183" t="s">
        <v>240</v>
      </c>
      <c r="G13" s="199" t="s">
        <v>174</v>
      </c>
      <c r="H13" s="183" t="s">
        <v>175</v>
      </c>
      <c r="I13" s="183" t="s">
        <v>241</v>
      </c>
      <c r="J13" s="183" t="s">
        <v>242</v>
      </c>
      <c r="K13" s="183" t="s">
        <v>243</v>
      </c>
      <c r="L13" s="183" t="s">
        <v>176</v>
      </c>
      <c r="M13" s="199" t="s">
        <v>30</v>
      </c>
    </row>
    <row r="14" spans="1:13">
      <c r="A14" s="197" t="s">
        <v>177</v>
      </c>
      <c r="B14" s="197"/>
      <c r="C14" s="196"/>
      <c r="D14" s="200"/>
      <c r="E14" s="201"/>
      <c r="F14" s="200"/>
      <c r="G14" s="202"/>
      <c r="H14" s="198"/>
      <c r="I14" s="198"/>
      <c r="J14" s="198"/>
      <c r="K14" s="198"/>
      <c r="L14" s="198"/>
      <c r="M14" s="203"/>
    </row>
    <row r="15" spans="1:13">
      <c r="A15" s="196"/>
      <c r="B15" s="196" t="s">
        <v>178</v>
      </c>
      <c r="C15" s="196"/>
      <c r="D15" s="200">
        <v>666845.0833333336</v>
      </c>
      <c r="E15" s="201">
        <v>6432808384</v>
      </c>
      <c r="F15" s="200">
        <v>-540456000</v>
      </c>
      <c r="G15" s="202">
        <f>E15+F15</f>
        <v>5892352384</v>
      </c>
      <c r="H15" s="200">
        <v>530142134.72000003</v>
      </c>
      <c r="I15" s="200">
        <v>-44332799.730000004</v>
      </c>
      <c r="J15" s="200">
        <v>0</v>
      </c>
      <c r="K15" s="200">
        <v>11657294</v>
      </c>
      <c r="L15" s="200">
        <f>I15+J15+K15</f>
        <v>-32675505.730000004</v>
      </c>
      <c r="M15" s="202">
        <f>H15+L15</f>
        <v>497466628.99000001</v>
      </c>
    </row>
    <row r="16" spans="1:13">
      <c r="A16" s="196"/>
      <c r="B16" s="196" t="s">
        <v>179</v>
      </c>
      <c r="C16" s="196"/>
      <c r="D16" s="200">
        <v>289.08333333333297</v>
      </c>
      <c r="E16" s="201">
        <v>2624861</v>
      </c>
      <c r="F16" s="200">
        <v>7000</v>
      </c>
      <c r="G16" s="202">
        <f>E16+F16</f>
        <v>2631861</v>
      </c>
      <c r="H16" s="200">
        <v>213623.67</v>
      </c>
      <c r="I16" s="200">
        <v>635.91</v>
      </c>
      <c r="J16" s="200">
        <v>0</v>
      </c>
      <c r="K16" s="200">
        <v>5141</v>
      </c>
      <c r="L16" s="200">
        <f>I16+J16+K16</f>
        <v>5776.91</v>
      </c>
      <c r="M16" s="202">
        <f>H16+L16</f>
        <v>219400.58000000002</v>
      </c>
    </row>
    <row r="17" spans="1:13">
      <c r="A17" s="196"/>
      <c r="B17" s="196" t="s">
        <v>180</v>
      </c>
      <c r="C17" s="196"/>
      <c r="D17" s="200">
        <v>23123.75</v>
      </c>
      <c r="E17" s="201">
        <v>182901831</v>
      </c>
      <c r="F17" s="200"/>
      <c r="G17" s="202">
        <f>E17+F17</f>
        <v>182901831</v>
      </c>
      <c r="H17" s="200">
        <v>14830679.32</v>
      </c>
      <c r="I17" s="200">
        <v>0</v>
      </c>
      <c r="J17" s="200">
        <v>0</v>
      </c>
      <c r="K17" s="200">
        <v>355871</v>
      </c>
      <c r="L17" s="200">
        <f>I17+J17+K17</f>
        <v>355871</v>
      </c>
      <c r="M17" s="202">
        <f>H17+L17</f>
        <v>15186550.32</v>
      </c>
    </row>
    <row r="18" spans="1:13" s="204" customFormat="1">
      <c r="B18" s="204" t="s">
        <v>181</v>
      </c>
      <c r="D18" s="205">
        <v>11</v>
      </c>
      <c r="E18" s="206">
        <v>11966496</v>
      </c>
      <c r="F18" s="205">
        <v>-586000</v>
      </c>
      <c r="G18" s="207">
        <f>E18+F18</f>
        <v>11380496</v>
      </c>
      <c r="H18" s="205">
        <v>811056.97</v>
      </c>
      <c r="I18" s="205">
        <v>-32312.04</v>
      </c>
      <c r="J18" s="205">
        <v>0</v>
      </c>
      <c r="K18" s="205">
        <v>18686</v>
      </c>
      <c r="L18" s="205">
        <f>I18+J18+K18</f>
        <v>-13626.04</v>
      </c>
      <c r="M18" s="207">
        <f>H18+L18</f>
        <v>797430.92999999993</v>
      </c>
    </row>
    <row r="19" spans="1:13">
      <c r="A19" s="196"/>
      <c r="B19" s="196" t="s">
        <v>182</v>
      </c>
      <c r="C19" s="196"/>
      <c r="D19" s="200">
        <f t="shared" ref="D19:M19" si="0">SUM(D15:D18)</f>
        <v>690268.91666666698</v>
      </c>
      <c r="E19" s="201">
        <f t="shared" si="0"/>
        <v>6630301572</v>
      </c>
      <c r="F19" s="200">
        <f t="shared" si="0"/>
        <v>-541035000</v>
      </c>
      <c r="G19" s="202">
        <f t="shared" si="0"/>
        <v>6089266572</v>
      </c>
      <c r="H19" s="200">
        <f t="shared" si="0"/>
        <v>545997494.68000007</v>
      </c>
      <c r="I19" s="200">
        <f t="shared" si="0"/>
        <v>-44364475.860000007</v>
      </c>
      <c r="J19" s="200">
        <f t="shared" si="0"/>
        <v>0</v>
      </c>
      <c r="K19" s="200">
        <f t="shared" si="0"/>
        <v>12036992</v>
      </c>
      <c r="L19" s="200">
        <f t="shared" si="0"/>
        <v>-32327483.860000003</v>
      </c>
      <c r="M19" s="202">
        <f t="shared" si="0"/>
        <v>513670010.81999999</v>
      </c>
    </row>
    <row r="20" spans="1:13">
      <c r="A20" s="196"/>
      <c r="C20" s="196"/>
      <c r="D20" s="200"/>
      <c r="E20" s="201"/>
      <c r="F20" s="200"/>
      <c r="G20" s="202"/>
      <c r="H20" s="200"/>
      <c r="I20" s="200"/>
      <c r="J20" s="200"/>
      <c r="K20" s="200"/>
      <c r="L20" s="200"/>
      <c r="M20" s="202"/>
    </row>
    <row r="21" spans="1:13">
      <c r="A21" s="196"/>
      <c r="B21" s="196" t="s">
        <v>183</v>
      </c>
      <c r="C21" s="196"/>
      <c r="D21" s="200">
        <v>3283.75</v>
      </c>
      <c r="E21" s="201">
        <v>2950823</v>
      </c>
      <c r="F21" s="200"/>
      <c r="G21" s="202">
        <f>E21+F21</f>
        <v>2950823</v>
      </c>
      <c r="H21" s="200">
        <v>781044.21</v>
      </c>
      <c r="I21" s="200">
        <v>0</v>
      </c>
      <c r="J21" s="200">
        <v>0</v>
      </c>
      <c r="K21" s="200">
        <v>18742</v>
      </c>
      <c r="L21" s="200">
        <f>I21+J21+K21</f>
        <v>18742</v>
      </c>
      <c r="M21" s="202">
        <f>H21+L21</f>
        <v>799786.21</v>
      </c>
    </row>
    <row r="22" spans="1:13" s="204" customFormat="1">
      <c r="B22" s="204" t="s">
        <v>184</v>
      </c>
      <c r="D22" s="205">
        <v>66.3333333333333</v>
      </c>
      <c r="E22" s="206">
        <v>223626</v>
      </c>
      <c r="F22" s="205"/>
      <c r="G22" s="207">
        <f>E22+F22</f>
        <v>223626</v>
      </c>
      <c r="H22" s="205">
        <v>16810.36</v>
      </c>
      <c r="I22" s="205">
        <v>0</v>
      </c>
      <c r="J22" s="205">
        <v>0</v>
      </c>
      <c r="K22" s="205">
        <v>0</v>
      </c>
      <c r="L22" s="205">
        <f>I22+J22+K22</f>
        <v>0</v>
      </c>
      <c r="M22" s="207">
        <f>H22+L22</f>
        <v>16810.36</v>
      </c>
    </row>
    <row r="23" spans="1:13">
      <c r="A23" s="196"/>
      <c r="B23" s="196" t="s">
        <v>182</v>
      </c>
      <c r="C23" s="196"/>
      <c r="D23" s="200">
        <f t="shared" ref="D23:M23" si="1">SUM(D21:D22)</f>
        <v>3350.0833333333335</v>
      </c>
      <c r="E23" s="201">
        <f t="shared" si="1"/>
        <v>3174449</v>
      </c>
      <c r="F23" s="200">
        <f t="shared" si="1"/>
        <v>0</v>
      </c>
      <c r="G23" s="202">
        <f t="shared" si="1"/>
        <v>3174449</v>
      </c>
      <c r="H23" s="200">
        <f t="shared" si="1"/>
        <v>797854.57</v>
      </c>
      <c r="I23" s="200">
        <f t="shared" si="1"/>
        <v>0</v>
      </c>
      <c r="J23" s="200">
        <f t="shared" si="1"/>
        <v>0</v>
      </c>
      <c r="K23" s="200">
        <f t="shared" si="1"/>
        <v>18742</v>
      </c>
      <c r="L23" s="200">
        <f t="shared" si="1"/>
        <v>18742</v>
      </c>
      <c r="M23" s="202">
        <f t="shared" si="1"/>
        <v>816596.57</v>
      </c>
    </row>
    <row r="24" spans="1:13">
      <c r="A24" s="196"/>
      <c r="C24" s="196"/>
      <c r="D24" s="200"/>
      <c r="E24" s="201"/>
      <c r="F24" s="200"/>
      <c r="G24" s="202"/>
      <c r="H24" s="200"/>
      <c r="I24" s="200"/>
      <c r="J24" s="200"/>
      <c r="K24" s="200"/>
      <c r="L24" s="200"/>
      <c r="M24" s="202"/>
    </row>
    <row r="25" spans="1:13">
      <c r="A25" s="196"/>
      <c r="B25" s="196" t="s">
        <v>185</v>
      </c>
      <c r="C25" s="196"/>
      <c r="D25" s="200">
        <v>0</v>
      </c>
      <c r="E25" s="201">
        <v>0</v>
      </c>
      <c r="F25" s="200"/>
      <c r="G25" s="202"/>
      <c r="H25" s="200">
        <v>-4.12</v>
      </c>
      <c r="I25" s="200">
        <v>4.12</v>
      </c>
      <c r="J25" s="200"/>
      <c r="K25" s="200"/>
      <c r="L25" s="200">
        <f>I25+J25+K25</f>
        <v>4.12</v>
      </c>
      <c r="M25" s="202">
        <f>H25+L25</f>
        <v>0</v>
      </c>
    </row>
    <row r="26" spans="1:13">
      <c r="A26" s="196"/>
      <c r="B26" s="208" t="s">
        <v>186</v>
      </c>
      <c r="C26" s="196"/>
      <c r="D26" s="200">
        <v>0</v>
      </c>
      <c r="E26" s="201">
        <v>0</v>
      </c>
      <c r="F26" s="200"/>
      <c r="G26" s="202"/>
      <c r="H26" s="200">
        <v>0</v>
      </c>
      <c r="I26" s="200">
        <v>0</v>
      </c>
      <c r="J26" s="200"/>
      <c r="K26" s="200"/>
      <c r="L26" s="200">
        <f>I26+J26+K26</f>
        <v>0</v>
      </c>
      <c r="M26" s="202">
        <f>H26+L26</f>
        <v>0</v>
      </c>
    </row>
    <row r="27" spans="1:13">
      <c r="A27" s="196"/>
      <c r="B27" s="208" t="s">
        <v>187</v>
      </c>
      <c r="C27" s="196"/>
      <c r="D27" s="200">
        <v>0</v>
      </c>
      <c r="E27" s="201">
        <v>0</v>
      </c>
      <c r="F27" s="200"/>
      <c r="G27" s="202"/>
      <c r="H27" s="200">
        <v>-20.91</v>
      </c>
      <c r="I27" s="200">
        <v>20.91</v>
      </c>
      <c r="J27" s="200"/>
      <c r="K27" s="200"/>
      <c r="L27" s="200">
        <f>I27+J27+K27</f>
        <v>20.91</v>
      </c>
      <c r="M27" s="202">
        <f>H27+L27</f>
        <v>0</v>
      </c>
    </row>
    <row r="28" spans="1:13">
      <c r="A28" s="196"/>
      <c r="B28" s="196" t="s">
        <v>188</v>
      </c>
      <c r="C28" s="196"/>
      <c r="D28" s="200">
        <v>68112.5</v>
      </c>
      <c r="E28" s="201">
        <v>0</v>
      </c>
      <c r="F28" s="200"/>
      <c r="G28" s="202"/>
      <c r="H28" s="200">
        <v>-20</v>
      </c>
      <c r="I28" s="200">
        <v>20</v>
      </c>
      <c r="J28" s="200"/>
      <c r="K28" s="200"/>
      <c r="L28" s="200">
        <f>I28+J28+K28</f>
        <v>20</v>
      </c>
      <c r="M28" s="202">
        <f>H28+L28</f>
        <v>0</v>
      </c>
    </row>
    <row r="29" spans="1:13" s="204" customFormat="1" ht="18">
      <c r="B29" s="204" t="s">
        <v>189</v>
      </c>
      <c r="D29" s="205">
        <v>0</v>
      </c>
      <c r="E29" s="206">
        <v>0</v>
      </c>
      <c r="F29" s="205"/>
      <c r="G29" s="207"/>
      <c r="H29" s="205">
        <v>697598.04</v>
      </c>
      <c r="I29" s="209">
        <v>-697598.04</v>
      </c>
      <c r="J29" s="209"/>
      <c r="K29" s="209"/>
      <c r="L29" s="205">
        <f>I29+J29+K29</f>
        <v>-697598.04</v>
      </c>
      <c r="M29" s="207">
        <f>H29+L29</f>
        <v>0</v>
      </c>
    </row>
    <row r="30" spans="1:13">
      <c r="A30" s="196"/>
      <c r="B30" s="196" t="s">
        <v>182</v>
      </c>
      <c r="C30" s="196"/>
      <c r="D30" s="200">
        <f t="shared" ref="D30:M30" si="2">SUM(D25:D29)</f>
        <v>68112.5</v>
      </c>
      <c r="E30" s="200">
        <f t="shared" si="2"/>
        <v>0</v>
      </c>
      <c r="F30" s="200">
        <f t="shared" si="2"/>
        <v>0</v>
      </c>
      <c r="G30" s="200">
        <f t="shared" si="2"/>
        <v>0</v>
      </c>
      <c r="H30" s="200">
        <f t="shared" si="2"/>
        <v>697553.01</v>
      </c>
      <c r="I30" s="200">
        <f t="shared" si="2"/>
        <v>-697553.01</v>
      </c>
      <c r="J30" s="200">
        <f t="shared" si="2"/>
        <v>0</v>
      </c>
      <c r="K30" s="200">
        <f t="shared" si="2"/>
        <v>0</v>
      </c>
      <c r="L30" s="200">
        <f t="shared" si="2"/>
        <v>-697553.01</v>
      </c>
      <c r="M30" s="200">
        <f t="shared" si="2"/>
        <v>0</v>
      </c>
    </row>
    <row r="31" spans="1:13">
      <c r="A31" s="196"/>
      <c r="C31" s="196"/>
      <c r="D31" s="200"/>
      <c r="E31" s="201"/>
      <c r="F31" s="200"/>
      <c r="G31" s="202"/>
      <c r="H31" s="200"/>
      <c r="I31" s="200"/>
      <c r="J31" s="200"/>
      <c r="K31" s="200"/>
      <c r="L31" s="200"/>
      <c r="M31" s="202"/>
    </row>
    <row r="32" spans="1:13">
      <c r="A32" s="196"/>
      <c r="B32" s="196" t="s">
        <v>190</v>
      </c>
      <c r="C32" s="196"/>
      <c r="D32" s="200">
        <v>0</v>
      </c>
      <c r="E32" s="201">
        <v>-19325000</v>
      </c>
      <c r="F32" s="200"/>
      <c r="G32" s="202">
        <f>E32+F32</f>
        <v>-19325000</v>
      </c>
      <c r="H32" s="200">
        <v>-1504000</v>
      </c>
      <c r="I32" s="200">
        <v>0</v>
      </c>
      <c r="J32" s="200"/>
      <c r="K32" s="200"/>
      <c r="L32" s="200">
        <f>I32+J32+K32</f>
        <v>0</v>
      </c>
      <c r="M32" s="202">
        <f>H32+L32</f>
        <v>-1504000</v>
      </c>
    </row>
    <row r="33" spans="1:13" s="204" customFormat="1">
      <c r="A33" s="196"/>
      <c r="B33" s="204" t="s">
        <v>191</v>
      </c>
      <c r="C33" s="196"/>
      <c r="D33" s="210">
        <v>4.4166666666666696</v>
      </c>
      <c r="E33" s="211">
        <v>0</v>
      </c>
      <c r="F33" s="210">
        <v>0</v>
      </c>
      <c r="G33" s="212"/>
      <c r="H33" s="210">
        <v>305075.88</v>
      </c>
      <c r="I33" s="210">
        <v>0</v>
      </c>
      <c r="J33" s="210"/>
      <c r="K33" s="210"/>
      <c r="L33" s="210">
        <f>I33+J33+K33</f>
        <v>0</v>
      </c>
      <c r="M33" s="212">
        <f>H33+L33</f>
        <v>305075.88</v>
      </c>
    </row>
    <row r="34" spans="1:13">
      <c r="A34" s="196"/>
      <c r="B34" s="196" t="s">
        <v>172</v>
      </c>
      <c r="C34" s="196"/>
      <c r="D34" s="200">
        <f t="shared" ref="D34:M34" si="3">D19+D23+D30+D32+D33</f>
        <v>761735.91666666698</v>
      </c>
      <c r="E34" s="200">
        <f t="shared" si="3"/>
        <v>6614151021</v>
      </c>
      <c r="F34" s="200">
        <f t="shared" si="3"/>
        <v>-541035000</v>
      </c>
      <c r="G34" s="200">
        <f t="shared" si="3"/>
        <v>6073116021</v>
      </c>
      <c r="H34" s="200">
        <f t="shared" si="3"/>
        <v>546293978.1400001</v>
      </c>
      <c r="I34" s="200">
        <f t="shared" si="3"/>
        <v>-45062028.870000005</v>
      </c>
      <c r="J34" s="200">
        <f t="shared" si="3"/>
        <v>0</v>
      </c>
      <c r="K34" s="200">
        <f t="shared" si="3"/>
        <v>12055734</v>
      </c>
      <c r="L34" s="200">
        <f t="shared" si="3"/>
        <v>-33006294.870000005</v>
      </c>
      <c r="M34" s="200">
        <f t="shared" si="3"/>
        <v>513287683.26999998</v>
      </c>
    </row>
    <row r="35" spans="1:13">
      <c r="A35" s="196"/>
      <c r="C35" s="196"/>
      <c r="D35" s="200"/>
      <c r="E35" s="201"/>
      <c r="F35" s="200"/>
      <c r="G35" s="202"/>
      <c r="H35" s="213"/>
      <c r="I35" s="213"/>
      <c r="J35" s="213"/>
      <c r="K35" s="213"/>
      <c r="L35" s="200"/>
      <c r="M35" s="202"/>
    </row>
    <row r="36" spans="1:13">
      <c r="A36" s="197" t="s">
        <v>192</v>
      </c>
      <c r="B36" s="197"/>
      <c r="C36" s="196"/>
      <c r="D36" s="200"/>
      <c r="E36" s="201"/>
      <c r="F36" s="200"/>
      <c r="G36" s="202"/>
      <c r="H36" s="200"/>
      <c r="I36" s="200"/>
      <c r="J36" s="200"/>
      <c r="K36" s="200"/>
      <c r="L36" s="200"/>
      <c r="M36" s="202"/>
    </row>
    <row r="37" spans="1:13">
      <c r="A37" s="196"/>
      <c r="B37" s="196" t="s">
        <v>193</v>
      </c>
      <c r="C37" s="196"/>
      <c r="D37" s="200">
        <v>11619.916666666631</v>
      </c>
      <c r="E37" s="201">
        <v>4786790349</v>
      </c>
      <c r="F37" s="200">
        <v>-212112000</v>
      </c>
      <c r="G37" s="202">
        <f>E37+F37</f>
        <v>4574678349</v>
      </c>
      <c r="H37" s="200">
        <v>301962017.07000005</v>
      </c>
      <c r="I37" s="200">
        <v>-6005991.3599999994</v>
      </c>
      <c r="J37" s="200">
        <v>0</v>
      </c>
      <c r="K37" s="200">
        <v>7101647</v>
      </c>
      <c r="L37" s="200">
        <f>I37+J37+K37</f>
        <v>1095655.6400000006</v>
      </c>
      <c r="M37" s="202">
        <f>H37+L37</f>
        <v>303057672.71000004</v>
      </c>
    </row>
    <row r="38" spans="1:13">
      <c r="A38" s="196"/>
      <c r="B38" s="196" t="s">
        <v>194</v>
      </c>
      <c r="C38" s="196"/>
      <c r="D38" s="200">
        <v>1664.3333333333301</v>
      </c>
      <c r="E38" s="201">
        <v>195314098</v>
      </c>
      <c r="F38" s="200">
        <v>-6409000</v>
      </c>
      <c r="G38" s="202">
        <f>E38+F38</f>
        <v>188905098</v>
      </c>
      <c r="H38" s="200">
        <v>16282689.109999999</v>
      </c>
      <c r="I38" s="200">
        <v>-334612.76</v>
      </c>
      <c r="J38" s="200">
        <v>0</v>
      </c>
      <c r="K38" s="200">
        <v>382684</v>
      </c>
      <c r="L38" s="200">
        <f>I38+J38+K38</f>
        <v>48071.239999999991</v>
      </c>
      <c r="M38" s="202">
        <f>H38+L38</f>
        <v>16330760.35</v>
      </c>
    </row>
    <row r="39" spans="1:13" s="204" customFormat="1">
      <c r="B39" s="204" t="s">
        <v>195</v>
      </c>
      <c r="D39" s="205">
        <v>10</v>
      </c>
      <c r="E39" s="206">
        <v>2951480</v>
      </c>
      <c r="F39" s="205">
        <v>-7000</v>
      </c>
      <c r="G39" s="207">
        <f>E39+F39</f>
        <v>2944480</v>
      </c>
      <c r="H39" s="205">
        <v>191995.4</v>
      </c>
      <c r="I39" s="205">
        <v>-198.08</v>
      </c>
      <c r="J39" s="205">
        <v>0</v>
      </c>
      <c r="K39" s="205">
        <v>4602</v>
      </c>
      <c r="L39" s="205">
        <f>I39+J39+K39</f>
        <v>4403.92</v>
      </c>
      <c r="M39" s="207">
        <f>H39+L39</f>
        <v>196399.32</v>
      </c>
    </row>
    <row r="40" spans="1:13">
      <c r="A40" s="196"/>
      <c r="B40" s="196" t="s">
        <v>182</v>
      </c>
      <c r="C40" s="196"/>
      <c r="D40" s="200">
        <f t="shared" ref="D40:M40" si="4">SUM(D37:D39)</f>
        <v>13294.249999999962</v>
      </c>
      <c r="E40" s="201">
        <f t="shared" si="4"/>
        <v>4985055927</v>
      </c>
      <c r="F40" s="200">
        <f t="shared" si="4"/>
        <v>-218528000</v>
      </c>
      <c r="G40" s="202">
        <f t="shared" si="4"/>
        <v>4766527927</v>
      </c>
      <c r="H40" s="200">
        <f t="shared" si="4"/>
        <v>318436701.58000004</v>
      </c>
      <c r="I40" s="200">
        <f t="shared" si="4"/>
        <v>-6340802.1999999993</v>
      </c>
      <c r="J40" s="200">
        <f t="shared" si="4"/>
        <v>0</v>
      </c>
      <c r="K40" s="200">
        <f t="shared" si="4"/>
        <v>7488933</v>
      </c>
      <c r="L40" s="200">
        <f t="shared" si="4"/>
        <v>1148130.8000000005</v>
      </c>
      <c r="M40" s="202">
        <f t="shared" si="4"/>
        <v>319584832.38000005</v>
      </c>
    </row>
    <row r="41" spans="1:13">
      <c r="A41" s="196"/>
      <c r="C41" s="196"/>
      <c r="D41" s="198"/>
      <c r="E41" s="214"/>
      <c r="F41" s="198"/>
      <c r="G41" s="203"/>
      <c r="H41" s="198"/>
      <c r="I41" s="198"/>
      <c r="J41" s="198"/>
      <c r="K41" s="198"/>
      <c r="L41" s="198"/>
      <c r="M41" s="203"/>
    </row>
    <row r="42" spans="1:13">
      <c r="A42" s="196"/>
      <c r="B42" s="196" t="s">
        <v>196</v>
      </c>
      <c r="C42" s="196"/>
      <c r="D42" s="200">
        <v>138.5</v>
      </c>
      <c r="E42" s="201">
        <v>961266467</v>
      </c>
      <c r="F42" s="200">
        <v>-88593000</v>
      </c>
      <c r="G42" s="202">
        <f>E42+F42</f>
        <v>872673467</v>
      </c>
      <c r="H42" s="200">
        <v>52855986.369999997</v>
      </c>
      <c r="I42" s="200">
        <v>-2390217.35</v>
      </c>
      <c r="J42" s="200">
        <v>0</v>
      </c>
      <c r="K42" s="200">
        <v>1210957</v>
      </c>
      <c r="L42" s="200">
        <f>I42+J42+K42</f>
        <v>-1179260.3500000001</v>
      </c>
      <c r="M42" s="202">
        <f>H42+L42</f>
        <v>51676726.019999996</v>
      </c>
    </row>
    <row r="43" spans="1:13">
      <c r="A43" s="196"/>
      <c r="C43" s="196"/>
      <c r="D43" s="200"/>
      <c r="E43" s="201"/>
      <c r="F43" s="200"/>
      <c r="G43" s="202"/>
      <c r="H43" s="200"/>
      <c r="I43" s="200"/>
      <c r="J43" s="200"/>
      <c r="K43" s="200"/>
      <c r="L43" s="200"/>
      <c r="M43" s="202"/>
    </row>
    <row r="44" spans="1:13">
      <c r="A44" s="196"/>
      <c r="B44" s="196" t="s">
        <v>197</v>
      </c>
      <c r="C44" s="196"/>
      <c r="D44" s="200">
        <v>19.1666666666667</v>
      </c>
      <c r="E44" s="201">
        <v>260779982</v>
      </c>
      <c r="F44" s="200">
        <v>-64000</v>
      </c>
      <c r="G44" s="202">
        <f>E44+F44</f>
        <v>260715982</v>
      </c>
      <c r="H44" s="200">
        <v>10997210.76</v>
      </c>
      <c r="I44" s="200">
        <v>-1487.81</v>
      </c>
      <c r="J44" s="200">
        <v>0</v>
      </c>
      <c r="K44" s="200">
        <v>263849</v>
      </c>
      <c r="L44" s="200">
        <f>I44+J44+K44</f>
        <v>262361.19</v>
      </c>
      <c r="M44" s="202">
        <f>H44+L44</f>
        <v>11259571.949999999</v>
      </c>
    </row>
    <row r="45" spans="1:13" s="204" customFormat="1">
      <c r="B45" s="204" t="s">
        <v>198</v>
      </c>
      <c r="D45" s="205">
        <v>3</v>
      </c>
      <c r="E45" s="206">
        <v>25534800</v>
      </c>
      <c r="F45" s="205"/>
      <c r="G45" s="207">
        <f>E45+F45</f>
        <v>25534800</v>
      </c>
      <c r="H45" s="205">
        <v>1193058.2</v>
      </c>
      <c r="I45" s="205">
        <v>0</v>
      </c>
      <c r="J45" s="205">
        <v>0</v>
      </c>
      <c r="K45" s="205">
        <v>28628</v>
      </c>
      <c r="L45" s="205">
        <f>I45+J45+K45</f>
        <v>28628</v>
      </c>
      <c r="M45" s="207">
        <f>H45+L45</f>
        <v>1221686.2</v>
      </c>
    </row>
    <row r="46" spans="1:13">
      <c r="A46" s="196"/>
      <c r="B46" s="196" t="s">
        <v>182</v>
      </c>
      <c r="C46" s="196"/>
      <c r="D46" s="200">
        <f t="shared" ref="D46:M46" si="5">SUM(D44:D45)</f>
        <v>22.1666666666667</v>
      </c>
      <c r="E46" s="201">
        <f t="shared" si="5"/>
        <v>286314782</v>
      </c>
      <c r="F46" s="200">
        <f t="shared" si="5"/>
        <v>-64000</v>
      </c>
      <c r="G46" s="202">
        <f t="shared" si="5"/>
        <v>286250782</v>
      </c>
      <c r="H46" s="200">
        <f t="shared" si="5"/>
        <v>12190268.959999999</v>
      </c>
      <c r="I46" s="200">
        <f t="shared" si="5"/>
        <v>-1487.81</v>
      </c>
      <c r="J46" s="200">
        <f t="shared" si="5"/>
        <v>0</v>
      </c>
      <c r="K46" s="200">
        <f t="shared" si="5"/>
        <v>292477</v>
      </c>
      <c r="L46" s="200">
        <f t="shared" si="5"/>
        <v>290989.19</v>
      </c>
      <c r="M46" s="202">
        <f t="shared" si="5"/>
        <v>12481258.149999999</v>
      </c>
    </row>
    <row r="47" spans="1:13">
      <c r="A47" s="196"/>
      <c r="C47" s="196"/>
      <c r="D47" s="198"/>
      <c r="E47" s="214"/>
      <c r="F47" s="198"/>
      <c r="G47" s="203"/>
      <c r="H47" s="198"/>
      <c r="I47" s="198"/>
      <c r="J47" s="198"/>
      <c r="K47" s="198"/>
      <c r="L47" s="198"/>
      <c r="M47" s="203"/>
    </row>
    <row r="48" spans="1:13">
      <c r="A48" s="196"/>
      <c r="B48" s="196" t="s">
        <v>199</v>
      </c>
      <c r="C48" s="196"/>
      <c r="D48" s="200">
        <v>64695.916666666701</v>
      </c>
      <c r="E48" s="201">
        <v>1195247285</v>
      </c>
      <c r="F48" s="200">
        <v>-60680000</v>
      </c>
      <c r="G48" s="202">
        <f>E48+F48</f>
        <v>1134567285</v>
      </c>
      <c r="H48" s="200">
        <v>90792758.75</v>
      </c>
      <c r="I48" s="200">
        <v>-4197378.62</v>
      </c>
      <c r="J48" s="200">
        <v>0</v>
      </c>
      <c r="K48" s="200">
        <v>2077910</v>
      </c>
      <c r="L48" s="200">
        <f>I48+J48+K48</f>
        <v>-2119468.62</v>
      </c>
      <c r="M48" s="202">
        <f>H48+L48</f>
        <v>88673290.129999995</v>
      </c>
    </row>
    <row r="49" spans="1:13" s="204" customFormat="1">
      <c r="B49" s="204" t="s">
        <v>200</v>
      </c>
      <c r="D49" s="205">
        <v>3</v>
      </c>
      <c r="E49" s="206">
        <v>14955579</v>
      </c>
      <c r="F49" s="205"/>
      <c r="G49" s="207">
        <f>E49+F49</f>
        <v>14955579</v>
      </c>
      <c r="H49" s="205">
        <v>894499.24</v>
      </c>
      <c r="I49" s="205">
        <v>0</v>
      </c>
      <c r="J49" s="205">
        <v>0</v>
      </c>
      <c r="K49" s="205">
        <v>21464</v>
      </c>
      <c r="L49" s="205">
        <f>I49+J49+K49</f>
        <v>21464</v>
      </c>
      <c r="M49" s="207">
        <f>H49+L49</f>
        <v>915963.24</v>
      </c>
    </row>
    <row r="50" spans="1:13">
      <c r="A50" s="196"/>
      <c r="B50" s="196" t="s">
        <v>182</v>
      </c>
      <c r="C50" s="196"/>
      <c r="D50" s="200">
        <f t="shared" ref="D50:M50" si="6">SUM(D48:D49)</f>
        <v>64698.916666666701</v>
      </c>
      <c r="E50" s="201">
        <f t="shared" si="6"/>
        <v>1210202864</v>
      </c>
      <c r="F50" s="200">
        <f t="shared" si="6"/>
        <v>-60680000</v>
      </c>
      <c r="G50" s="202">
        <f t="shared" si="6"/>
        <v>1149522864</v>
      </c>
      <c r="H50" s="200">
        <f t="shared" si="6"/>
        <v>91687257.989999995</v>
      </c>
      <c r="I50" s="200">
        <f t="shared" si="6"/>
        <v>-4197378.62</v>
      </c>
      <c r="J50" s="200">
        <f t="shared" si="6"/>
        <v>0</v>
      </c>
      <c r="K50" s="200">
        <f t="shared" si="6"/>
        <v>2099374</v>
      </c>
      <c r="L50" s="200">
        <f t="shared" si="6"/>
        <v>-2098004.62</v>
      </c>
      <c r="M50" s="202">
        <f t="shared" si="6"/>
        <v>89589253.36999999</v>
      </c>
    </row>
    <row r="51" spans="1:13">
      <c r="A51" s="196"/>
      <c r="C51" s="196"/>
      <c r="D51" s="198"/>
      <c r="E51" s="214"/>
      <c r="F51" s="198"/>
      <c r="G51" s="203"/>
      <c r="H51" s="198"/>
      <c r="I51" s="198"/>
      <c r="J51" s="198"/>
      <c r="K51" s="198"/>
      <c r="L51" s="198"/>
      <c r="M51" s="203"/>
    </row>
    <row r="52" spans="1:13">
      <c r="A52" s="196"/>
      <c r="B52" s="196" t="s">
        <v>201</v>
      </c>
      <c r="C52" s="196"/>
      <c r="D52" s="200">
        <v>4756.4166666666697</v>
      </c>
      <c r="E52" s="201">
        <v>9187088</v>
      </c>
      <c r="F52" s="200"/>
      <c r="G52" s="202">
        <f>E52+F52</f>
        <v>9187088</v>
      </c>
      <c r="H52" s="200">
        <v>1969383.89</v>
      </c>
      <c r="I52" s="200">
        <v>0</v>
      </c>
      <c r="J52" s="200">
        <v>0</v>
      </c>
      <c r="K52" s="200">
        <v>47257</v>
      </c>
      <c r="L52" s="200">
        <f>I52+J52+K52</f>
        <v>47257</v>
      </c>
      <c r="M52" s="202">
        <f>H52+L52</f>
        <v>2016640.89</v>
      </c>
    </row>
    <row r="53" spans="1:13">
      <c r="A53" s="196"/>
      <c r="B53" s="196" t="s">
        <v>202</v>
      </c>
      <c r="C53" s="196"/>
      <c r="D53" s="200">
        <v>459.83333333333297</v>
      </c>
      <c r="E53" s="201">
        <v>1328715</v>
      </c>
      <c r="F53" s="200"/>
      <c r="G53" s="202">
        <f>E53+F53</f>
        <v>1328715</v>
      </c>
      <c r="H53" s="200">
        <v>109038.2</v>
      </c>
      <c r="I53" s="200">
        <v>0</v>
      </c>
      <c r="J53" s="200">
        <v>0</v>
      </c>
      <c r="K53" s="200">
        <v>2616</v>
      </c>
      <c r="L53" s="200">
        <f>I53+J53+K53</f>
        <v>2616</v>
      </c>
      <c r="M53" s="202">
        <f>H53+L53</f>
        <v>111654.2</v>
      </c>
    </row>
    <row r="54" spans="1:13">
      <c r="A54" s="196"/>
      <c r="B54" s="196" t="s">
        <v>203</v>
      </c>
      <c r="C54" s="196"/>
      <c r="D54" s="200">
        <v>276.5</v>
      </c>
      <c r="E54" s="201">
        <v>10722365</v>
      </c>
      <c r="F54" s="200"/>
      <c r="G54" s="202">
        <f>E54+F54</f>
        <v>10722365</v>
      </c>
      <c r="H54" s="200">
        <v>739277.86</v>
      </c>
      <c r="I54" s="200">
        <v>0</v>
      </c>
      <c r="J54" s="200">
        <v>0</v>
      </c>
      <c r="K54" s="200">
        <v>17739</v>
      </c>
      <c r="L54" s="200">
        <f>I54+J54+K54</f>
        <v>17739</v>
      </c>
      <c r="M54" s="202">
        <f>H54+L54</f>
        <v>757016.86</v>
      </c>
    </row>
    <row r="55" spans="1:13" s="204" customFormat="1">
      <c r="B55" s="204" t="s">
        <v>204</v>
      </c>
      <c r="D55" s="205">
        <v>7.8333333333333304</v>
      </c>
      <c r="E55" s="206">
        <v>64080</v>
      </c>
      <c r="F55" s="205"/>
      <c r="G55" s="207">
        <f>E55+F55</f>
        <v>64080</v>
      </c>
      <c r="H55" s="205">
        <v>4796.3599999999997</v>
      </c>
      <c r="I55" s="205">
        <v>0</v>
      </c>
      <c r="J55" s="205">
        <v>0</v>
      </c>
      <c r="K55" s="205">
        <v>0</v>
      </c>
      <c r="L55" s="205">
        <f>I55+J55+K55</f>
        <v>0</v>
      </c>
      <c r="M55" s="207">
        <f>H55+L55</f>
        <v>4796.3599999999997</v>
      </c>
    </row>
    <row r="56" spans="1:13">
      <c r="A56" s="196"/>
      <c r="B56" s="196" t="s">
        <v>182</v>
      </c>
      <c r="C56" s="196"/>
      <c r="D56" s="200">
        <f t="shared" ref="D56:M56" si="7">SUM(D52:D55)</f>
        <v>5500.5833333333358</v>
      </c>
      <c r="E56" s="201">
        <f t="shared" si="7"/>
        <v>21302248</v>
      </c>
      <c r="F56" s="200">
        <f t="shared" si="7"/>
        <v>0</v>
      </c>
      <c r="G56" s="202">
        <f t="shared" si="7"/>
        <v>21302248</v>
      </c>
      <c r="H56" s="200">
        <f t="shared" si="7"/>
        <v>2822496.3099999996</v>
      </c>
      <c r="I56" s="200">
        <f t="shared" si="7"/>
        <v>0</v>
      </c>
      <c r="J56" s="200">
        <f t="shared" si="7"/>
        <v>0</v>
      </c>
      <c r="K56" s="200">
        <f t="shared" si="7"/>
        <v>67612</v>
      </c>
      <c r="L56" s="200">
        <f t="shared" si="7"/>
        <v>67612</v>
      </c>
      <c r="M56" s="202">
        <f t="shared" si="7"/>
        <v>2890108.3099999996</v>
      </c>
    </row>
    <row r="57" spans="1:13">
      <c r="A57" s="196"/>
      <c r="C57" s="196"/>
      <c r="D57" s="198"/>
      <c r="E57" s="214"/>
      <c r="F57" s="198"/>
      <c r="G57" s="203"/>
      <c r="H57" s="198"/>
      <c r="I57" s="198"/>
      <c r="J57" s="198"/>
      <c r="K57" s="198"/>
      <c r="L57" s="198"/>
      <c r="M57" s="203"/>
    </row>
    <row r="58" spans="1:13">
      <c r="A58" s="196"/>
      <c r="B58" s="196" t="s">
        <v>205</v>
      </c>
      <c r="C58" s="196"/>
      <c r="D58" s="200">
        <v>0</v>
      </c>
      <c r="E58" s="201">
        <v>0</v>
      </c>
      <c r="F58" s="200"/>
      <c r="G58" s="202"/>
      <c r="H58" s="200">
        <v>0</v>
      </c>
      <c r="I58" s="200">
        <v>0</v>
      </c>
      <c r="J58" s="200"/>
      <c r="K58" s="200"/>
      <c r="L58" s="200">
        <f>I58+J58+K58</f>
        <v>0</v>
      </c>
      <c r="M58" s="202">
        <f>H58+L58</f>
        <v>0</v>
      </c>
    </row>
    <row r="59" spans="1:13">
      <c r="A59" s="196"/>
      <c r="B59" s="208" t="s">
        <v>187</v>
      </c>
      <c r="C59" s="196"/>
      <c r="D59" s="200">
        <v>0</v>
      </c>
      <c r="E59" s="201">
        <v>0</v>
      </c>
      <c r="F59" s="200"/>
      <c r="G59" s="202"/>
      <c r="H59" s="200">
        <v>0</v>
      </c>
      <c r="I59" s="200">
        <v>0</v>
      </c>
      <c r="J59" s="200"/>
      <c r="K59" s="200"/>
      <c r="L59" s="200">
        <f>I59+J59+K59</f>
        <v>0</v>
      </c>
      <c r="M59" s="202">
        <f>H59+L59</f>
        <v>0</v>
      </c>
    </row>
    <row r="60" spans="1:13">
      <c r="A60" s="196"/>
      <c r="B60" s="196" t="s">
        <v>206</v>
      </c>
      <c r="C60" s="196"/>
      <c r="D60" s="200">
        <v>2690.5</v>
      </c>
      <c r="E60" s="201">
        <v>0</v>
      </c>
      <c r="F60" s="200"/>
      <c r="G60" s="202"/>
      <c r="H60" s="200">
        <v>0</v>
      </c>
      <c r="I60" s="200">
        <v>0</v>
      </c>
      <c r="J60" s="200"/>
      <c r="K60" s="200"/>
      <c r="L60" s="200">
        <f>I60+J60+K60</f>
        <v>0</v>
      </c>
      <c r="M60" s="202">
        <f>H60+L60</f>
        <v>0</v>
      </c>
    </row>
    <row r="61" spans="1:13" s="204" customFormat="1">
      <c r="B61" s="204" t="s">
        <v>189</v>
      </c>
      <c r="D61" s="205">
        <v>0</v>
      </c>
      <c r="E61" s="206">
        <v>0</v>
      </c>
      <c r="F61" s="205"/>
      <c r="G61" s="207"/>
      <c r="H61" s="205">
        <v>797277.66</v>
      </c>
      <c r="I61" s="205">
        <v>-797277.66</v>
      </c>
      <c r="J61" s="205"/>
      <c r="K61" s="205"/>
      <c r="L61" s="205">
        <f>I61+J61+K61</f>
        <v>-797277.66</v>
      </c>
      <c r="M61" s="207">
        <f>H61+L61</f>
        <v>0</v>
      </c>
    </row>
    <row r="62" spans="1:13">
      <c r="A62" s="196"/>
      <c r="B62" s="196" t="s">
        <v>182</v>
      </c>
      <c r="C62" s="196"/>
      <c r="D62" s="200">
        <f t="shared" ref="D62:M62" si="8">SUM(D58:D61)</f>
        <v>2690.5</v>
      </c>
      <c r="E62" s="200">
        <f t="shared" si="8"/>
        <v>0</v>
      </c>
      <c r="F62" s="200">
        <f t="shared" si="8"/>
        <v>0</v>
      </c>
      <c r="G62" s="200">
        <f t="shared" si="8"/>
        <v>0</v>
      </c>
      <c r="H62" s="200">
        <f t="shared" si="8"/>
        <v>797277.66</v>
      </c>
      <c r="I62" s="200">
        <f t="shared" si="8"/>
        <v>-797277.66</v>
      </c>
      <c r="J62" s="200">
        <f t="shared" si="8"/>
        <v>0</v>
      </c>
      <c r="K62" s="200">
        <f t="shared" si="8"/>
        <v>0</v>
      </c>
      <c r="L62" s="200">
        <f t="shared" si="8"/>
        <v>-797277.66</v>
      </c>
      <c r="M62" s="200">
        <f t="shared" si="8"/>
        <v>0</v>
      </c>
    </row>
    <row r="63" spans="1:13">
      <c r="A63" s="196"/>
      <c r="C63" s="196"/>
      <c r="D63" s="198"/>
      <c r="E63" s="214"/>
      <c r="F63" s="198"/>
      <c r="G63" s="203"/>
      <c r="H63" s="198"/>
      <c r="I63" s="198"/>
      <c r="J63" s="198"/>
      <c r="K63" s="198"/>
      <c r="L63" s="198"/>
      <c r="M63" s="203"/>
    </row>
    <row r="64" spans="1:13">
      <c r="A64" s="196"/>
      <c r="B64" s="196" t="s">
        <v>190</v>
      </c>
      <c r="C64" s="196"/>
      <c r="D64" s="200">
        <v>0</v>
      </c>
      <c r="E64" s="201">
        <v>-9051000</v>
      </c>
      <c r="F64" s="200"/>
      <c r="G64" s="202">
        <f>E64+F64</f>
        <v>-9051000</v>
      </c>
      <c r="H64" s="200">
        <v>549000</v>
      </c>
      <c r="I64" s="200">
        <v>0</v>
      </c>
      <c r="J64" s="200"/>
      <c r="K64" s="200"/>
      <c r="L64" s="200">
        <f>I64+J64+K64</f>
        <v>0</v>
      </c>
      <c r="M64" s="202">
        <f>H64+L64</f>
        <v>549000</v>
      </c>
    </row>
    <row r="65" spans="1:13" s="204" customFormat="1">
      <c r="A65" s="196"/>
      <c r="B65" s="204" t="s">
        <v>191</v>
      </c>
      <c r="C65" s="196"/>
      <c r="D65" s="210">
        <v>8.0833333333333304</v>
      </c>
      <c r="E65" s="211">
        <v>0</v>
      </c>
      <c r="F65" s="210"/>
      <c r="G65" s="212"/>
      <c r="H65" s="210">
        <v>3297858.03</v>
      </c>
      <c r="I65" s="210">
        <v>0</v>
      </c>
      <c r="J65" s="210"/>
      <c r="K65" s="210"/>
      <c r="L65" s="210">
        <f>I65+J65+K65</f>
        <v>0</v>
      </c>
      <c r="M65" s="212">
        <f>H65+L65</f>
        <v>3297858.03</v>
      </c>
    </row>
    <row r="66" spans="1:13">
      <c r="A66" s="196"/>
      <c r="B66" s="196" t="s">
        <v>172</v>
      </c>
      <c r="C66" s="196"/>
      <c r="D66" s="200">
        <f t="shared" ref="D66:M66" si="9">D40+D42+D46+D50+D56+D62+D65+D64</f>
        <v>86352.999999999985</v>
      </c>
      <c r="E66" s="200">
        <f t="shared" si="9"/>
        <v>7455091288</v>
      </c>
      <c r="F66" s="200">
        <f t="shared" si="9"/>
        <v>-367865000</v>
      </c>
      <c r="G66" s="200">
        <f t="shared" si="9"/>
        <v>7087226288</v>
      </c>
      <c r="H66" s="200">
        <f t="shared" si="9"/>
        <v>482636846.90000004</v>
      </c>
      <c r="I66" s="200">
        <f t="shared" si="9"/>
        <v>-13727163.640000001</v>
      </c>
      <c r="J66" s="200">
        <f t="shared" si="9"/>
        <v>0</v>
      </c>
      <c r="K66" s="200">
        <f t="shared" si="9"/>
        <v>11159353</v>
      </c>
      <c r="L66" s="200">
        <f t="shared" si="9"/>
        <v>-2567810.6399999997</v>
      </c>
      <c r="M66" s="200">
        <f t="shared" si="9"/>
        <v>480069036.25999999</v>
      </c>
    </row>
    <row r="67" spans="1:13">
      <c r="A67" s="196"/>
      <c r="C67" s="196"/>
      <c r="D67" s="200"/>
      <c r="E67" s="201"/>
      <c r="F67" s="200"/>
      <c r="G67" s="202"/>
      <c r="H67" s="213"/>
      <c r="I67" s="213"/>
      <c r="J67" s="213"/>
      <c r="K67" s="213"/>
      <c r="L67" s="200"/>
      <c r="M67" s="202"/>
    </row>
    <row r="68" spans="1:13">
      <c r="A68" s="197" t="s">
        <v>207</v>
      </c>
      <c r="B68" s="197"/>
      <c r="C68" s="196"/>
      <c r="D68" s="200"/>
      <c r="E68" s="201"/>
      <c r="F68" s="200"/>
      <c r="G68" s="202"/>
      <c r="H68" s="200"/>
      <c r="I68" s="200"/>
      <c r="J68" s="200"/>
      <c r="K68" s="200"/>
      <c r="L68" s="200"/>
      <c r="M68" s="202"/>
    </row>
    <row r="69" spans="1:13">
      <c r="A69" s="196"/>
      <c r="B69" s="196" t="s">
        <v>193</v>
      </c>
      <c r="C69" s="196"/>
      <c r="D69" s="200">
        <v>1360.8333333333333</v>
      </c>
      <c r="E69" s="201">
        <v>794869170</v>
      </c>
      <c r="F69" s="200"/>
      <c r="G69" s="202">
        <f>E69+F69</f>
        <v>794869170</v>
      </c>
      <c r="H69" s="200">
        <v>52977427.569999993</v>
      </c>
      <c r="I69" s="200">
        <v>0</v>
      </c>
      <c r="J69" s="200">
        <v>0</v>
      </c>
      <c r="K69" s="200">
        <v>1271226</v>
      </c>
      <c r="L69" s="200">
        <f>I69+J69+K69</f>
        <v>1271226</v>
      </c>
      <c r="M69" s="202">
        <f>H69+L69</f>
        <v>54248653.569999993</v>
      </c>
    </row>
    <row r="70" spans="1:13">
      <c r="A70" s="196"/>
      <c r="B70" s="196" t="s">
        <v>194</v>
      </c>
      <c r="C70" s="196"/>
      <c r="D70" s="200">
        <v>244.75</v>
      </c>
      <c r="E70" s="201">
        <v>38591927</v>
      </c>
      <c r="F70" s="200"/>
      <c r="G70" s="202">
        <f>E70+F70</f>
        <v>38591927</v>
      </c>
      <c r="H70" s="200">
        <v>4067919.46</v>
      </c>
      <c r="I70" s="200">
        <v>0</v>
      </c>
      <c r="J70" s="200">
        <v>0</v>
      </c>
      <c r="K70" s="200">
        <v>97612</v>
      </c>
      <c r="L70" s="200">
        <f>I70+J70+K70</f>
        <v>97612</v>
      </c>
      <c r="M70" s="202">
        <f>H70+L70</f>
        <v>4165531.46</v>
      </c>
    </row>
    <row r="71" spans="1:13" s="204" customFormat="1">
      <c r="B71" s="204" t="s">
        <v>208</v>
      </c>
      <c r="D71" s="205">
        <v>6.0833333333333304</v>
      </c>
      <c r="E71" s="206">
        <v>2962180</v>
      </c>
      <c r="F71" s="205"/>
      <c r="G71" s="207">
        <f>E71+F71</f>
        <v>2962180</v>
      </c>
      <c r="H71" s="205">
        <v>220580.93</v>
      </c>
      <c r="I71" s="205">
        <v>0</v>
      </c>
      <c r="J71" s="205">
        <v>0</v>
      </c>
      <c r="K71" s="205">
        <v>5293</v>
      </c>
      <c r="L71" s="205">
        <f>I71+J71+K71</f>
        <v>5293</v>
      </c>
      <c r="M71" s="207">
        <f>H71+L71</f>
        <v>225873.93</v>
      </c>
    </row>
    <row r="72" spans="1:13">
      <c r="A72" s="196"/>
      <c r="B72" s="196" t="s">
        <v>182</v>
      </c>
      <c r="C72" s="196"/>
      <c r="D72" s="200">
        <f t="shared" ref="D72:M72" si="10">SUM(D69:D71)</f>
        <v>1611.6666666666665</v>
      </c>
      <c r="E72" s="201">
        <f t="shared" si="10"/>
        <v>836423277</v>
      </c>
      <c r="F72" s="200">
        <f t="shared" si="10"/>
        <v>0</v>
      </c>
      <c r="G72" s="202">
        <f t="shared" si="10"/>
        <v>836423277</v>
      </c>
      <c r="H72" s="200">
        <f t="shared" si="10"/>
        <v>57265927.959999993</v>
      </c>
      <c r="I72" s="200">
        <f t="shared" si="10"/>
        <v>0</v>
      </c>
      <c r="J72" s="200">
        <f t="shared" si="10"/>
        <v>0</v>
      </c>
      <c r="K72" s="200">
        <f t="shared" si="10"/>
        <v>1374131</v>
      </c>
      <c r="L72" s="200">
        <f t="shared" si="10"/>
        <v>1374131</v>
      </c>
      <c r="M72" s="202">
        <f t="shared" si="10"/>
        <v>58640058.959999993</v>
      </c>
    </row>
    <row r="73" spans="1:13">
      <c r="A73" s="196"/>
      <c r="C73" s="196"/>
      <c r="D73" s="198"/>
      <c r="E73" s="214"/>
      <c r="F73" s="198"/>
      <c r="G73" s="203"/>
      <c r="H73" s="198"/>
      <c r="I73" s="198"/>
      <c r="J73" s="198"/>
      <c r="K73" s="198"/>
      <c r="L73" s="198"/>
      <c r="M73" s="203"/>
    </row>
    <row r="74" spans="1:13">
      <c r="A74" s="196"/>
      <c r="B74" s="196" t="s">
        <v>196</v>
      </c>
      <c r="C74" s="196"/>
      <c r="D74" s="200">
        <v>121.58333333333333</v>
      </c>
      <c r="E74" s="201">
        <v>1045365470</v>
      </c>
      <c r="F74" s="200"/>
      <c r="G74" s="202">
        <f>E74+F74</f>
        <v>1045365470</v>
      </c>
      <c r="H74" s="200">
        <v>59470862.219999999</v>
      </c>
      <c r="I74" s="200">
        <v>0</v>
      </c>
      <c r="J74" s="200">
        <v>0</v>
      </c>
      <c r="K74" s="200">
        <v>1427040</v>
      </c>
      <c r="L74" s="200">
        <f>I74+J74+K74</f>
        <v>1427040</v>
      </c>
      <c r="M74" s="202">
        <f>H74+L74</f>
        <v>60897902.219999999</v>
      </c>
    </row>
    <row r="75" spans="1:13">
      <c r="A75" s="196"/>
      <c r="C75" s="196"/>
      <c r="D75" s="200"/>
      <c r="E75" s="201"/>
      <c r="F75" s="200"/>
      <c r="G75" s="202"/>
      <c r="H75" s="200"/>
      <c r="I75" s="200"/>
      <c r="J75" s="200"/>
      <c r="K75" s="200"/>
      <c r="L75" s="200"/>
      <c r="M75" s="202"/>
    </row>
    <row r="76" spans="1:13">
      <c r="A76" s="196"/>
      <c r="B76" s="196" t="s">
        <v>197</v>
      </c>
      <c r="C76" s="196"/>
      <c r="D76" s="200">
        <v>121.6666666666667</v>
      </c>
      <c r="E76" s="201">
        <v>3458813663</v>
      </c>
      <c r="F76" s="200"/>
      <c r="G76" s="202">
        <f>E76+F76</f>
        <v>3458813663</v>
      </c>
      <c r="H76" s="200">
        <v>136141382.15000001</v>
      </c>
      <c r="I76" s="200">
        <v>0</v>
      </c>
      <c r="J76" s="200">
        <v>0</v>
      </c>
      <c r="K76" s="200">
        <v>3266796</v>
      </c>
      <c r="L76" s="200">
        <f>I76+J76+K76</f>
        <v>3266796</v>
      </c>
      <c r="M76" s="202">
        <f>H76+L76</f>
        <v>139408178.15000001</v>
      </c>
    </row>
    <row r="77" spans="1:13" s="204" customFormat="1">
      <c r="B77" s="204" t="s">
        <v>209</v>
      </c>
      <c r="D77" s="205">
        <v>7</v>
      </c>
      <c r="E77" s="206">
        <v>19666958</v>
      </c>
      <c r="F77" s="205"/>
      <c r="G77" s="207">
        <f>E77+F77</f>
        <v>19666958</v>
      </c>
      <c r="H77" s="205">
        <v>1179612.98</v>
      </c>
      <c r="I77" s="205">
        <v>0</v>
      </c>
      <c r="J77" s="205">
        <v>0</v>
      </c>
      <c r="K77" s="205">
        <v>28306</v>
      </c>
      <c r="L77" s="205">
        <f>I77+J77+K77</f>
        <v>28306</v>
      </c>
      <c r="M77" s="207">
        <f>H77+L77</f>
        <v>1207918.98</v>
      </c>
    </row>
    <row r="78" spans="1:13">
      <c r="A78" s="196"/>
      <c r="B78" s="196" t="s">
        <v>182</v>
      </c>
      <c r="C78" s="196"/>
      <c r="D78" s="200">
        <f t="shared" ref="D78:M78" si="11">SUM(D76:D77)</f>
        <v>128.66666666666669</v>
      </c>
      <c r="E78" s="201">
        <f t="shared" si="11"/>
        <v>3478480621</v>
      </c>
      <c r="F78" s="200">
        <f t="shared" si="11"/>
        <v>0</v>
      </c>
      <c r="G78" s="202">
        <f t="shared" si="11"/>
        <v>3478480621</v>
      </c>
      <c r="H78" s="200">
        <f t="shared" si="11"/>
        <v>137320995.13</v>
      </c>
      <c r="I78" s="200">
        <f t="shared" si="11"/>
        <v>0</v>
      </c>
      <c r="J78" s="200">
        <f t="shared" si="11"/>
        <v>0</v>
      </c>
      <c r="K78" s="200">
        <f t="shared" si="11"/>
        <v>3295102</v>
      </c>
      <c r="L78" s="200">
        <f t="shared" si="11"/>
        <v>3295102</v>
      </c>
      <c r="M78" s="202">
        <f t="shared" si="11"/>
        <v>140616097.13</v>
      </c>
    </row>
    <row r="79" spans="1:13">
      <c r="A79" s="196"/>
      <c r="C79" s="196"/>
      <c r="D79" s="198"/>
      <c r="E79" s="214"/>
      <c r="F79" s="198"/>
      <c r="G79" s="203"/>
      <c r="H79" s="198"/>
      <c r="I79" s="198"/>
      <c r="J79" s="198"/>
      <c r="K79" s="198"/>
      <c r="L79" s="198"/>
      <c r="M79" s="203"/>
    </row>
    <row r="80" spans="1:13">
      <c r="A80" s="196"/>
      <c r="B80" s="196" t="s">
        <v>210</v>
      </c>
      <c r="C80" s="196"/>
      <c r="D80" s="200">
        <v>2532.6666666666702</v>
      </c>
      <c r="E80" s="201">
        <v>188426373</v>
      </c>
      <c r="F80" s="200"/>
      <c r="G80" s="202">
        <f>E80+F80</f>
        <v>188426373</v>
      </c>
      <c r="H80" s="200">
        <v>10266190.870000001</v>
      </c>
      <c r="I80" s="200">
        <v>0</v>
      </c>
      <c r="J80" s="200">
        <v>0</v>
      </c>
      <c r="K80" s="200">
        <v>246344</v>
      </c>
      <c r="L80" s="200">
        <f>I80+J80+K80</f>
        <v>246344</v>
      </c>
      <c r="M80" s="202">
        <f>H80+L80</f>
        <v>10512534.870000001</v>
      </c>
    </row>
    <row r="81" spans="1:13" s="204" customFormat="1">
      <c r="B81" s="204" t="s">
        <v>211</v>
      </c>
      <c r="D81" s="205">
        <v>77.75</v>
      </c>
      <c r="E81" s="206">
        <v>13434709</v>
      </c>
      <c r="F81" s="205"/>
      <c r="G81" s="207">
        <f>E81+F81</f>
        <v>13434709</v>
      </c>
      <c r="H81" s="205">
        <v>724121.23</v>
      </c>
      <c r="I81" s="205">
        <v>0</v>
      </c>
      <c r="J81" s="205">
        <v>0</v>
      </c>
      <c r="K81" s="205">
        <v>17376</v>
      </c>
      <c r="L81" s="205">
        <f>I81+J81+K81</f>
        <v>17376</v>
      </c>
      <c r="M81" s="207">
        <f>H81+L81</f>
        <v>741497.23</v>
      </c>
    </row>
    <row r="82" spans="1:13">
      <c r="A82" s="196"/>
      <c r="B82" s="196" t="s">
        <v>182</v>
      </c>
      <c r="C82" s="196"/>
      <c r="D82" s="200">
        <f t="shared" ref="D82:M82" si="12">SUM(D80:D81)</f>
        <v>2610.4166666666702</v>
      </c>
      <c r="E82" s="201">
        <f t="shared" si="12"/>
        <v>201861082</v>
      </c>
      <c r="F82" s="200">
        <f t="shared" si="12"/>
        <v>0</v>
      </c>
      <c r="G82" s="202">
        <f t="shared" si="12"/>
        <v>201861082</v>
      </c>
      <c r="H82" s="200">
        <f t="shared" si="12"/>
        <v>10990312.100000001</v>
      </c>
      <c r="I82" s="200">
        <f t="shared" si="12"/>
        <v>0</v>
      </c>
      <c r="J82" s="200">
        <f t="shared" si="12"/>
        <v>0</v>
      </c>
      <c r="K82" s="200">
        <f t="shared" si="12"/>
        <v>263720</v>
      </c>
      <c r="L82" s="200">
        <f t="shared" si="12"/>
        <v>263720</v>
      </c>
      <c r="M82" s="202">
        <f t="shared" si="12"/>
        <v>11254032.100000001</v>
      </c>
    </row>
    <row r="83" spans="1:13">
      <c r="A83" s="196"/>
      <c r="C83" s="196"/>
      <c r="D83" s="200"/>
      <c r="E83" s="201"/>
      <c r="F83" s="200"/>
      <c r="G83" s="202"/>
      <c r="H83" s="200"/>
      <c r="I83" s="200"/>
      <c r="J83" s="200"/>
      <c r="K83" s="200"/>
      <c r="L83" s="200"/>
      <c r="M83" s="202"/>
    </row>
    <row r="84" spans="1:13">
      <c r="A84" s="196"/>
      <c r="B84" s="196" t="s">
        <v>212</v>
      </c>
      <c r="C84" s="196"/>
      <c r="D84" s="200">
        <v>5</v>
      </c>
      <c r="E84" s="201">
        <v>3351146</v>
      </c>
      <c r="F84" s="200"/>
      <c r="G84" s="202">
        <f>E84+F84</f>
        <v>3351146</v>
      </c>
      <c r="H84" s="200">
        <v>277712.88</v>
      </c>
      <c r="I84" s="200">
        <v>0</v>
      </c>
      <c r="J84" s="200">
        <v>0</v>
      </c>
      <c r="K84" s="200">
        <v>6664</v>
      </c>
      <c r="L84" s="200">
        <f>I84+J84+K84</f>
        <v>6664</v>
      </c>
      <c r="M84" s="202">
        <f>H84+L84</f>
        <v>284376.88</v>
      </c>
    </row>
    <row r="85" spans="1:13">
      <c r="A85" s="196"/>
      <c r="B85" s="196" t="s">
        <v>213</v>
      </c>
      <c r="C85" s="196"/>
      <c r="D85" s="200">
        <v>3769.0833333333298</v>
      </c>
      <c r="E85" s="201">
        <v>61484477</v>
      </c>
      <c r="F85" s="200"/>
      <c r="G85" s="202">
        <f>E85+F85</f>
        <v>61484477</v>
      </c>
      <c r="H85" s="200">
        <v>4735900.59</v>
      </c>
      <c r="I85" s="200">
        <v>0</v>
      </c>
      <c r="J85" s="200">
        <v>0</v>
      </c>
      <c r="K85" s="200">
        <v>113641</v>
      </c>
      <c r="L85" s="200">
        <f>I85+J85+K85</f>
        <v>113641</v>
      </c>
      <c r="M85" s="202">
        <f>H85+L85</f>
        <v>4849541.59</v>
      </c>
    </row>
    <row r="86" spans="1:13">
      <c r="A86" s="196"/>
      <c r="B86" s="196" t="s">
        <v>200</v>
      </c>
      <c r="C86" s="196"/>
      <c r="D86" s="200">
        <v>1</v>
      </c>
      <c r="E86" s="201">
        <v>550000</v>
      </c>
      <c r="F86" s="200"/>
      <c r="G86" s="202">
        <f>E86+F86</f>
        <v>550000</v>
      </c>
      <c r="H86" s="200">
        <v>193710.56</v>
      </c>
      <c r="I86" s="200">
        <v>0</v>
      </c>
      <c r="J86" s="200">
        <v>0</v>
      </c>
      <c r="K86" s="200">
        <v>4648</v>
      </c>
      <c r="L86" s="200">
        <f>I86+J86+K86</f>
        <v>4648</v>
      </c>
      <c r="M86" s="202">
        <f>H86+L86</f>
        <v>198358.56</v>
      </c>
    </row>
    <row r="87" spans="1:13" s="204" customFormat="1">
      <c r="B87" s="204" t="s">
        <v>214</v>
      </c>
      <c r="C87" s="215"/>
      <c r="D87" s="205">
        <v>4</v>
      </c>
      <c r="E87" s="206">
        <v>2422460410</v>
      </c>
      <c r="F87" s="205">
        <v>-15729997</v>
      </c>
      <c r="G87" s="207">
        <f>E87+F87</f>
        <v>2406730413</v>
      </c>
      <c r="H87" s="205">
        <v>79833457.260000005</v>
      </c>
      <c r="I87" s="205">
        <v>-2244868.0009414386</v>
      </c>
      <c r="J87" s="205">
        <v>1389252.7091939999</v>
      </c>
      <c r="K87" s="205">
        <v>1467765.4175270009</v>
      </c>
      <c r="L87" s="205">
        <f>I87+J87+K87</f>
        <v>612150.12577956216</v>
      </c>
      <c r="M87" s="207">
        <f>H87+L87</f>
        <v>80445607.385779575</v>
      </c>
    </row>
    <row r="88" spans="1:13">
      <c r="A88" s="196"/>
      <c r="B88" s="196" t="s">
        <v>182</v>
      </c>
      <c r="C88" s="196"/>
      <c r="D88" s="200">
        <f t="shared" ref="D88:M88" si="13">SUM(D84:D87)</f>
        <v>3779.0833333333298</v>
      </c>
      <c r="E88" s="201">
        <f t="shared" si="13"/>
        <v>2487846033</v>
      </c>
      <c r="F88" s="200">
        <f t="shared" si="13"/>
        <v>-15729997</v>
      </c>
      <c r="G88" s="202">
        <f t="shared" si="13"/>
        <v>2472116036</v>
      </c>
      <c r="H88" s="200">
        <f t="shared" si="13"/>
        <v>85040781.290000007</v>
      </c>
      <c r="I88" s="200">
        <f t="shared" si="13"/>
        <v>-2244868.0009414386</v>
      </c>
      <c r="J88" s="200">
        <f t="shared" si="13"/>
        <v>1389252.7091939999</v>
      </c>
      <c r="K88" s="200">
        <f t="shared" si="13"/>
        <v>1592718.4175270009</v>
      </c>
      <c r="L88" s="200">
        <f t="shared" si="13"/>
        <v>737103.12577956216</v>
      </c>
      <c r="M88" s="202">
        <f t="shared" si="13"/>
        <v>85777884.415779576</v>
      </c>
    </row>
    <row r="89" spans="1:13">
      <c r="A89" s="196"/>
      <c r="C89" s="196"/>
      <c r="D89" s="198"/>
      <c r="E89" s="214"/>
      <c r="F89" s="198"/>
      <c r="G89" s="203"/>
      <c r="H89" s="198"/>
      <c r="I89" s="198"/>
      <c r="J89" s="198"/>
      <c r="K89" s="198"/>
      <c r="L89" s="198"/>
      <c r="M89" s="203"/>
    </row>
    <row r="90" spans="1:13">
      <c r="A90" s="196"/>
      <c r="B90" s="196" t="s">
        <v>201</v>
      </c>
      <c r="C90" s="196"/>
      <c r="D90" s="200">
        <v>541.75</v>
      </c>
      <c r="E90" s="201">
        <v>1507147</v>
      </c>
      <c r="F90" s="200"/>
      <c r="G90" s="202">
        <f>E90+F90</f>
        <v>1507147</v>
      </c>
      <c r="H90" s="200">
        <v>294594.26</v>
      </c>
      <c r="I90" s="200">
        <v>0</v>
      </c>
      <c r="J90" s="200">
        <v>0</v>
      </c>
      <c r="K90" s="200">
        <v>7069</v>
      </c>
      <c r="L90" s="200">
        <f>I90+J90+K90</f>
        <v>7069</v>
      </c>
      <c r="M90" s="202">
        <f>H90+L90</f>
        <v>301663.26</v>
      </c>
    </row>
    <row r="91" spans="1:13">
      <c r="A91" s="196"/>
      <c r="B91" s="196" t="s">
        <v>215</v>
      </c>
      <c r="C91" s="196"/>
      <c r="D91" s="200">
        <v>7.75</v>
      </c>
      <c r="E91" s="201">
        <v>43367</v>
      </c>
      <c r="F91" s="200"/>
      <c r="G91" s="202">
        <f>E91+F91</f>
        <v>43367</v>
      </c>
      <c r="H91" s="200">
        <v>3164.88</v>
      </c>
      <c r="I91" s="200">
        <v>0</v>
      </c>
      <c r="J91" s="200">
        <v>0</v>
      </c>
      <c r="K91" s="200">
        <v>76</v>
      </c>
      <c r="L91" s="200">
        <f>I91+J91+K91</f>
        <v>76</v>
      </c>
      <c r="M91" s="202">
        <f>H91+L91</f>
        <v>3240.88</v>
      </c>
    </row>
    <row r="92" spans="1:13" s="204" customFormat="1">
      <c r="B92" s="204" t="s">
        <v>203</v>
      </c>
      <c r="C92" s="215"/>
      <c r="D92" s="205">
        <v>6</v>
      </c>
      <c r="E92" s="206">
        <v>11773</v>
      </c>
      <c r="F92" s="205"/>
      <c r="G92" s="207">
        <f>E92+F92</f>
        <v>11773</v>
      </c>
      <c r="H92" s="205">
        <v>2936.32</v>
      </c>
      <c r="I92" s="205">
        <v>0</v>
      </c>
      <c r="J92" s="205">
        <v>0</v>
      </c>
      <c r="K92" s="205">
        <v>70</v>
      </c>
      <c r="L92" s="205">
        <f>I92+J92+K92</f>
        <v>70</v>
      </c>
      <c r="M92" s="207">
        <f>H92+L92</f>
        <v>3006.32</v>
      </c>
    </row>
    <row r="93" spans="1:13">
      <c r="A93" s="196"/>
      <c r="B93" s="196" t="s">
        <v>182</v>
      </c>
      <c r="C93" s="196"/>
      <c r="D93" s="200">
        <f t="shared" ref="D93:M93" si="14">SUM(D90:D92)</f>
        <v>555.5</v>
      </c>
      <c r="E93" s="201">
        <f t="shared" si="14"/>
        <v>1562287</v>
      </c>
      <c r="F93" s="200">
        <f t="shared" si="14"/>
        <v>0</v>
      </c>
      <c r="G93" s="202">
        <f t="shared" si="14"/>
        <v>1562287</v>
      </c>
      <c r="H93" s="200">
        <f t="shared" si="14"/>
        <v>300695.46000000002</v>
      </c>
      <c r="I93" s="200">
        <f t="shared" si="14"/>
        <v>0</v>
      </c>
      <c r="J93" s="200">
        <f t="shared" si="14"/>
        <v>0</v>
      </c>
      <c r="K93" s="200">
        <f t="shared" si="14"/>
        <v>7215</v>
      </c>
      <c r="L93" s="200">
        <f t="shared" si="14"/>
        <v>7215</v>
      </c>
      <c r="M93" s="202">
        <f t="shared" si="14"/>
        <v>307910.46000000002</v>
      </c>
    </row>
    <row r="94" spans="1:13">
      <c r="A94" s="196"/>
      <c r="C94" s="196"/>
      <c r="D94" s="200"/>
      <c r="E94" s="201"/>
      <c r="F94" s="200"/>
      <c r="G94" s="202"/>
      <c r="H94" s="200"/>
      <c r="I94" s="200"/>
      <c r="J94" s="200"/>
      <c r="K94" s="200"/>
      <c r="L94" s="200"/>
      <c r="M94" s="202"/>
    </row>
    <row r="95" spans="1:13">
      <c r="A95" s="196"/>
      <c r="B95" s="196" t="s">
        <v>216</v>
      </c>
      <c r="C95" s="196"/>
      <c r="D95" s="198">
        <v>0</v>
      </c>
      <c r="E95" s="214">
        <v>0</v>
      </c>
      <c r="F95" s="198"/>
      <c r="G95" s="203"/>
      <c r="H95" s="200">
        <v>0</v>
      </c>
      <c r="I95" s="200">
        <v>0</v>
      </c>
      <c r="J95" s="200"/>
      <c r="K95" s="200"/>
      <c r="L95" s="200">
        <f>I95+J95+K95</f>
        <v>0</v>
      </c>
      <c r="M95" s="202">
        <f>H95+L95</f>
        <v>0</v>
      </c>
    </row>
    <row r="96" spans="1:13">
      <c r="A96" s="196"/>
      <c r="B96" s="208" t="s">
        <v>187</v>
      </c>
      <c r="C96" s="196"/>
      <c r="D96" s="198">
        <v>0</v>
      </c>
      <c r="E96" s="214">
        <v>0</v>
      </c>
      <c r="F96" s="198"/>
      <c r="G96" s="203"/>
      <c r="H96" s="200">
        <v>4.1900000000000004</v>
      </c>
      <c r="I96" s="200">
        <v>-4.1900000000000004</v>
      </c>
      <c r="J96" s="200"/>
      <c r="K96" s="200"/>
      <c r="L96" s="200">
        <f>I96+J96+K96</f>
        <v>-4.1900000000000004</v>
      </c>
      <c r="M96" s="202">
        <f>H96+L96</f>
        <v>0</v>
      </c>
    </row>
    <row r="97" spans="1:13" s="204" customFormat="1">
      <c r="B97" s="204" t="s">
        <v>189</v>
      </c>
      <c r="D97" s="205">
        <v>0</v>
      </c>
      <c r="E97" s="206">
        <v>0</v>
      </c>
      <c r="F97" s="205"/>
      <c r="G97" s="207"/>
      <c r="H97" s="205">
        <v>819388.44</v>
      </c>
      <c r="I97" s="205">
        <v>-819388.44</v>
      </c>
      <c r="J97" s="205"/>
      <c r="K97" s="205"/>
      <c r="L97" s="205">
        <f>I97+J97+K97</f>
        <v>-819388.44</v>
      </c>
      <c r="M97" s="207">
        <f>H97+L97</f>
        <v>0</v>
      </c>
    </row>
    <row r="98" spans="1:13">
      <c r="A98" s="196"/>
      <c r="B98" s="196" t="s">
        <v>182</v>
      </c>
      <c r="C98" s="196"/>
      <c r="D98" s="200">
        <f t="shared" ref="D98:M98" si="15">SUM(D95:D97)</f>
        <v>0</v>
      </c>
      <c r="E98" s="201">
        <f t="shared" si="15"/>
        <v>0</v>
      </c>
      <c r="F98" s="200">
        <f t="shared" si="15"/>
        <v>0</v>
      </c>
      <c r="G98" s="202">
        <f t="shared" si="15"/>
        <v>0</v>
      </c>
      <c r="H98" s="200">
        <f t="shared" si="15"/>
        <v>819392.62999999989</v>
      </c>
      <c r="I98" s="200">
        <f t="shared" si="15"/>
        <v>-819392.62999999989</v>
      </c>
      <c r="J98" s="200">
        <f t="shared" si="15"/>
        <v>0</v>
      </c>
      <c r="K98" s="200">
        <f t="shared" si="15"/>
        <v>0</v>
      </c>
      <c r="L98" s="200">
        <f t="shared" si="15"/>
        <v>-819392.62999999989</v>
      </c>
      <c r="M98" s="200">
        <f t="shared" si="15"/>
        <v>0</v>
      </c>
    </row>
    <row r="99" spans="1:13">
      <c r="A99" s="196"/>
      <c r="C99" s="196"/>
      <c r="D99" s="198"/>
      <c r="E99" s="214"/>
      <c r="F99" s="198"/>
      <c r="G99" s="203"/>
      <c r="H99" s="198"/>
      <c r="I99" s="198"/>
      <c r="J99" s="198"/>
      <c r="K99" s="198"/>
      <c r="L99" s="198"/>
      <c r="M99" s="203"/>
    </row>
    <row r="100" spans="1:13">
      <c r="A100" s="196"/>
      <c r="B100" s="196" t="s">
        <v>190</v>
      </c>
      <c r="C100" s="196"/>
      <c r="D100" s="200">
        <v>0</v>
      </c>
      <c r="E100" s="201">
        <v>51182000</v>
      </c>
      <c r="F100" s="200"/>
      <c r="G100" s="202">
        <f>E100+F100</f>
        <v>51182000</v>
      </c>
      <c r="H100" s="200">
        <v>2929000</v>
      </c>
      <c r="I100" s="200">
        <v>0</v>
      </c>
      <c r="J100" s="200"/>
      <c r="K100" s="200"/>
      <c r="L100" s="200">
        <f>I100+J100+K100</f>
        <v>0</v>
      </c>
      <c r="M100" s="202">
        <f>H100+L100</f>
        <v>2929000</v>
      </c>
    </row>
    <row r="101" spans="1:13" s="204" customFormat="1">
      <c r="A101" s="196"/>
      <c r="B101" s="204" t="s">
        <v>191</v>
      </c>
      <c r="C101" s="196"/>
      <c r="D101" s="210">
        <v>0</v>
      </c>
      <c r="E101" s="211">
        <v>0</v>
      </c>
      <c r="F101" s="210">
        <v>0</v>
      </c>
      <c r="G101" s="212"/>
      <c r="H101" s="210">
        <v>615624.46</v>
      </c>
      <c r="I101" s="210">
        <v>0</v>
      </c>
      <c r="J101" s="210"/>
      <c r="K101" s="210"/>
      <c r="L101" s="210">
        <f>I101+J101+K101</f>
        <v>0</v>
      </c>
      <c r="M101" s="212">
        <f>H101+L101</f>
        <v>615624.46</v>
      </c>
    </row>
    <row r="102" spans="1:13">
      <c r="A102" s="196"/>
      <c r="B102" s="196" t="s">
        <v>172</v>
      </c>
      <c r="C102" s="196"/>
      <c r="D102" s="200">
        <f t="shared" ref="D102:M102" si="16">D72+D74+D78+D82+D88+D93+D98+D100+D101</f>
        <v>8806.9166666666661</v>
      </c>
      <c r="E102" s="201">
        <f t="shared" si="16"/>
        <v>8102720770</v>
      </c>
      <c r="F102" s="200">
        <f t="shared" si="16"/>
        <v>-15729997</v>
      </c>
      <c r="G102" s="202">
        <f t="shared" si="16"/>
        <v>8086990773</v>
      </c>
      <c r="H102" s="213">
        <f t="shared" si="16"/>
        <v>354753591.24999994</v>
      </c>
      <c r="I102" s="213">
        <f t="shared" si="16"/>
        <v>-3064260.6309414385</v>
      </c>
      <c r="J102" s="213">
        <f t="shared" si="16"/>
        <v>1389252.7091939999</v>
      </c>
      <c r="K102" s="213">
        <f t="shared" si="16"/>
        <v>7959926.4175270014</v>
      </c>
      <c r="L102" s="200">
        <f t="shared" si="16"/>
        <v>6284918.4957795618</v>
      </c>
      <c r="M102" s="202">
        <f t="shared" si="16"/>
        <v>361038509.74577957</v>
      </c>
    </row>
    <row r="103" spans="1:13">
      <c r="A103" s="196"/>
      <c r="C103" s="196"/>
      <c r="D103" s="200"/>
      <c r="E103" s="201"/>
      <c r="F103" s="200"/>
      <c r="G103" s="202"/>
      <c r="H103" s="213"/>
      <c r="I103" s="213"/>
      <c r="J103" s="213"/>
      <c r="K103" s="213"/>
      <c r="L103" s="200"/>
      <c r="M103" s="202"/>
    </row>
    <row r="104" spans="1:13">
      <c r="A104" s="197" t="s">
        <v>217</v>
      </c>
      <c r="B104" s="197"/>
      <c r="C104" s="196"/>
      <c r="D104" s="198"/>
      <c r="E104" s="214"/>
      <c r="F104" s="198"/>
      <c r="G104" s="203"/>
      <c r="H104" s="198"/>
      <c r="I104" s="198"/>
      <c r="J104" s="198"/>
      <c r="K104" s="198"/>
      <c r="L104" s="198"/>
      <c r="M104" s="203"/>
    </row>
    <row r="105" spans="1:13">
      <c r="A105" s="196"/>
      <c r="B105" s="196" t="s">
        <v>201</v>
      </c>
      <c r="C105" s="196"/>
      <c r="D105" s="200">
        <v>3.0833333333333299</v>
      </c>
      <c r="E105" s="201">
        <v>2500</v>
      </c>
      <c r="F105" s="200"/>
      <c r="G105" s="202">
        <f t="shared" ref="G105:G113" si="17">E105+F105</f>
        <v>2500</v>
      </c>
      <c r="H105" s="200">
        <v>836.08</v>
      </c>
      <c r="I105" s="200">
        <v>0</v>
      </c>
      <c r="J105" s="200">
        <v>0</v>
      </c>
      <c r="K105" s="200">
        <v>20</v>
      </c>
      <c r="L105" s="200">
        <f t="shared" ref="L105:L113" si="18">I105+J105+K105</f>
        <v>20</v>
      </c>
      <c r="M105" s="202">
        <f t="shared" ref="M105:M113" si="19">H105+L105</f>
        <v>856.08</v>
      </c>
    </row>
    <row r="106" spans="1:13">
      <c r="A106" s="196"/>
      <c r="B106" s="196" t="s">
        <v>218</v>
      </c>
      <c r="C106" s="196"/>
      <c r="D106" s="200">
        <v>1097.8333333333301</v>
      </c>
      <c r="E106" s="201">
        <v>22464185</v>
      </c>
      <c r="F106" s="200"/>
      <c r="G106" s="202">
        <f t="shared" si="17"/>
        <v>22464185</v>
      </c>
      <c r="H106" s="200">
        <v>6301501.8600000003</v>
      </c>
      <c r="I106" s="200">
        <v>0</v>
      </c>
      <c r="J106" s="200">
        <v>0</v>
      </c>
      <c r="K106" s="200">
        <v>151208</v>
      </c>
      <c r="L106" s="200">
        <f t="shared" si="18"/>
        <v>151208</v>
      </c>
      <c r="M106" s="202">
        <f t="shared" si="19"/>
        <v>6452709.8600000003</v>
      </c>
    </row>
    <row r="107" spans="1:13">
      <c r="A107" s="196"/>
      <c r="B107" s="196" t="s">
        <v>219</v>
      </c>
      <c r="C107" s="196"/>
      <c r="D107" s="200">
        <v>363.166666666666</v>
      </c>
      <c r="E107" s="201">
        <v>8621022</v>
      </c>
      <c r="F107" s="200"/>
      <c r="G107" s="202">
        <f t="shared" si="17"/>
        <v>8621022</v>
      </c>
      <c r="H107" s="200">
        <v>989876.93</v>
      </c>
      <c r="I107" s="200">
        <v>0</v>
      </c>
      <c r="J107" s="200">
        <v>0</v>
      </c>
      <c r="K107" s="200">
        <v>23753</v>
      </c>
      <c r="L107" s="200">
        <f t="shared" si="18"/>
        <v>23753</v>
      </c>
      <c r="M107" s="202">
        <f t="shared" si="19"/>
        <v>1013629.93</v>
      </c>
    </row>
    <row r="108" spans="1:13">
      <c r="A108" s="196"/>
      <c r="B108" s="196" t="s">
        <v>202</v>
      </c>
      <c r="C108" s="196"/>
      <c r="D108" s="200">
        <v>1679.75</v>
      </c>
      <c r="E108" s="201">
        <v>4260523</v>
      </c>
      <c r="F108" s="200"/>
      <c r="G108" s="202">
        <f t="shared" si="17"/>
        <v>4260523</v>
      </c>
      <c r="H108" s="200">
        <v>353245.15</v>
      </c>
      <c r="I108" s="200">
        <v>0</v>
      </c>
      <c r="J108" s="200">
        <v>0</v>
      </c>
      <c r="K108" s="200">
        <v>8476</v>
      </c>
      <c r="L108" s="200">
        <f t="shared" si="18"/>
        <v>8476</v>
      </c>
      <c r="M108" s="202">
        <f t="shared" si="19"/>
        <v>361721.15</v>
      </c>
    </row>
    <row r="109" spans="1:13">
      <c r="A109" s="196"/>
      <c r="B109" s="196" t="s">
        <v>203</v>
      </c>
      <c r="C109" s="196"/>
      <c r="D109" s="200">
        <v>48.8333333333333</v>
      </c>
      <c r="E109" s="201">
        <v>943511</v>
      </c>
      <c r="F109" s="200"/>
      <c r="G109" s="202">
        <f t="shared" si="17"/>
        <v>943511</v>
      </c>
      <c r="H109" s="200">
        <v>70267.12</v>
      </c>
      <c r="I109" s="200">
        <v>0</v>
      </c>
      <c r="J109" s="200">
        <v>0</v>
      </c>
      <c r="K109" s="200">
        <v>1686</v>
      </c>
      <c r="L109" s="200">
        <f t="shared" si="18"/>
        <v>1686</v>
      </c>
      <c r="M109" s="202">
        <f t="shared" si="19"/>
        <v>71953.119999999995</v>
      </c>
    </row>
    <row r="110" spans="1:13">
      <c r="A110" s="196"/>
      <c r="B110" s="196" t="s">
        <v>220</v>
      </c>
      <c r="C110" s="196"/>
      <c r="D110" s="200">
        <v>99.166666666666671</v>
      </c>
      <c r="E110" s="201">
        <v>7021521</v>
      </c>
      <c r="F110" s="200"/>
      <c r="G110" s="202">
        <f t="shared" si="17"/>
        <v>7021521</v>
      </c>
      <c r="H110" s="200">
        <v>535488.79</v>
      </c>
      <c r="I110" s="200">
        <v>0</v>
      </c>
      <c r="J110" s="200">
        <v>0</v>
      </c>
      <c r="K110" s="200">
        <v>12849</v>
      </c>
      <c r="L110" s="200">
        <f t="shared" si="18"/>
        <v>12849</v>
      </c>
      <c r="M110" s="202">
        <f t="shared" si="19"/>
        <v>548337.79</v>
      </c>
    </row>
    <row r="111" spans="1:13">
      <c r="A111" s="196"/>
      <c r="B111" s="196" t="s">
        <v>221</v>
      </c>
      <c r="C111" s="196"/>
      <c r="D111" s="200">
        <v>288.33333333333297</v>
      </c>
      <c r="E111" s="201">
        <v>31385053</v>
      </c>
      <c r="F111" s="200"/>
      <c r="G111" s="202">
        <f t="shared" si="17"/>
        <v>31385053</v>
      </c>
      <c r="H111" s="200">
        <v>2105932.0299999998</v>
      </c>
      <c r="I111" s="200">
        <v>0</v>
      </c>
      <c r="J111" s="200">
        <v>0</v>
      </c>
      <c r="K111" s="200">
        <v>50533</v>
      </c>
      <c r="L111" s="200">
        <f t="shared" si="18"/>
        <v>50533</v>
      </c>
      <c r="M111" s="202">
        <f t="shared" si="19"/>
        <v>2156465.0299999998</v>
      </c>
    </row>
    <row r="112" spans="1:13">
      <c r="A112" s="196"/>
      <c r="B112" s="196" t="s">
        <v>222</v>
      </c>
      <c r="C112" s="196"/>
      <c r="D112" s="200">
        <v>1</v>
      </c>
      <c r="E112" s="201">
        <v>156</v>
      </c>
      <c r="F112" s="200"/>
      <c r="G112" s="202">
        <f t="shared" si="17"/>
        <v>156</v>
      </c>
      <c r="H112" s="200">
        <v>93</v>
      </c>
      <c r="I112" s="200">
        <v>0</v>
      </c>
      <c r="J112" s="200">
        <v>0</v>
      </c>
      <c r="K112" s="200">
        <v>0</v>
      </c>
      <c r="L112" s="200">
        <f t="shared" si="18"/>
        <v>0</v>
      </c>
      <c r="M112" s="202">
        <f t="shared" si="19"/>
        <v>93</v>
      </c>
    </row>
    <row r="113" spans="1:13">
      <c r="A113" s="196"/>
      <c r="B113" s="196" t="s">
        <v>223</v>
      </c>
      <c r="C113" s="196"/>
      <c r="D113" s="200">
        <v>1</v>
      </c>
      <c r="E113" s="201">
        <v>140940</v>
      </c>
      <c r="F113" s="200"/>
      <c r="G113" s="202">
        <f t="shared" si="17"/>
        <v>140940</v>
      </c>
      <c r="H113" s="200">
        <v>17277.36</v>
      </c>
      <c r="I113" s="200">
        <v>0</v>
      </c>
      <c r="J113" s="200">
        <v>0</v>
      </c>
      <c r="K113" s="200">
        <v>0</v>
      </c>
      <c r="L113" s="200">
        <f t="shared" si="18"/>
        <v>0</v>
      </c>
      <c r="M113" s="202">
        <f t="shared" si="19"/>
        <v>17277.36</v>
      </c>
    </row>
    <row r="114" spans="1:13">
      <c r="A114" s="196"/>
      <c r="C114" s="196"/>
      <c r="D114" s="200"/>
      <c r="E114" s="201"/>
      <c r="F114" s="200"/>
      <c r="G114" s="202"/>
      <c r="H114" s="200"/>
      <c r="I114" s="200"/>
      <c r="J114" s="200"/>
      <c r="K114" s="200"/>
      <c r="L114" s="200"/>
      <c r="M114" s="202"/>
    </row>
    <row r="115" spans="1:13">
      <c r="A115" s="196"/>
      <c r="B115" s="196" t="s">
        <v>190</v>
      </c>
      <c r="C115" s="196"/>
      <c r="D115" s="200">
        <v>0</v>
      </c>
      <c r="E115" s="201">
        <v>340000</v>
      </c>
      <c r="F115" s="200"/>
      <c r="G115" s="202">
        <f>E115+F115</f>
        <v>340000</v>
      </c>
      <c r="H115" s="200">
        <v>58000</v>
      </c>
      <c r="I115" s="200">
        <v>0</v>
      </c>
      <c r="J115" s="200"/>
      <c r="K115" s="200"/>
      <c r="L115" s="200">
        <f>I115+J115+K115</f>
        <v>0</v>
      </c>
      <c r="M115" s="202">
        <f>H115+L115</f>
        <v>58000</v>
      </c>
    </row>
    <row r="116" spans="1:13" s="204" customFormat="1">
      <c r="A116" s="196"/>
      <c r="B116" s="204" t="s">
        <v>191</v>
      </c>
      <c r="C116" s="213"/>
      <c r="D116" s="210">
        <v>0</v>
      </c>
      <c r="E116" s="211">
        <v>0</v>
      </c>
      <c r="F116" s="210"/>
      <c r="G116" s="212"/>
      <c r="H116" s="210">
        <v>4788.84</v>
      </c>
      <c r="I116" s="210">
        <v>0</v>
      </c>
      <c r="J116" s="210"/>
      <c r="K116" s="210"/>
      <c r="L116" s="210">
        <f>I116+J116+K116</f>
        <v>0</v>
      </c>
      <c r="M116" s="212">
        <f>H116+L116</f>
        <v>4788.84</v>
      </c>
    </row>
    <row r="117" spans="1:13">
      <c r="A117" s="196"/>
      <c r="B117" s="196" t="s">
        <v>172</v>
      </c>
      <c r="C117" s="196"/>
      <c r="D117" s="200">
        <f t="shared" ref="D117:M117" si="20">SUM(D105:D116)</f>
        <v>3582.1666666666624</v>
      </c>
      <c r="E117" s="201">
        <f t="shared" si="20"/>
        <v>75179411</v>
      </c>
      <c r="F117" s="200">
        <f t="shared" si="20"/>
        <v>0</v>
      </c>
      <c r="G117" s="202">
        <f t="shared" si="20"/>
        <v>75179411</v>
      </c>
      <c r="H117" s="200">
        <f t="shared" si="20"/>
        <v>10437307.16</v>
      </c>
      <c r="I117" s="200">
        <f t="shared" si="20"/>
        <v>0</v>
      </c>
      <c r="J117" s="200">
        <f t="shared" si="20"/>
        <v>0</v>
      </c>
      <c r="K117" s="200">
        <f t="shared" si="20"/>
        <v>248525</v>
      </c>
      <c r="L117" s="200">
        <f t="shared" si="20"/>
        <v>248525</v>
      </c>
      <c r="M117" s="202">
        <f t="shared" si="20"/>
        <v>10685832.159999998</v>
      </c>
    </row>
    <row r="118" spans="1:13">
      <c r="A118" s="196"/>
      <c r="C118" s="196"/>
      <c r="D118" s="200"/>
      <c r="E118" s="201"/>
      <c r="F118" s="200"/>
      <c r="G118" s="202"/>
      <c r="H118" s="200"/>
      <c r="I118" s="200"/>
      <c r="J118" s="200"/>
      <c r="K118" s="200"/>
      <c r="L118" s="200"/>
      <c r="M118" s="202"/>
    </row>
    <row r="119" spans="1:13">
      <c r="A119" s="197" t="s">
        <v>224</v>
      </c>
      <c r="B119" s="197"/>
      <c r="C119" s="196"/>
      <c r="D119" s="200"/>
      <c r="E119" s="201"/>
      <c r="F119" s="200"/>
      <c r="G119" s="202"/>
      <c r="H119" s="200"/>
      <c r="I119" s="200"/>
      <c r="J119" s="200"/>
      <c r="K119" s="200"/>
      <c r="L119" s="200"/>
      <c r="M119" s="202"/>
    </row>
    <row r="120" spans="1:13">
      <c r="A120" s="196"/>
      <c r="B120" s="196" t="s">
        <v>225</v>
      </c>
      <c r="C120" s="196"/>
      <c r="D120" s="200">
        <v>4</v>
      </c>
      <c r="E120" s="201">
        <v>2320040</v>
      </c>
      <c r="F120" s="200"/>
      <c r="G120" s="202">
        <f>E120+F120</f>
        <v>2320040</v>
      </c>
      <c r="H120" s="200">
        <v>143780.66</v>
      </c>
      <c r="I120" s="200">
        <v>0</v>
      </c>
      <c r="J120" s="200">
        <v>0</v>
      </c>
      <c r="K120" s="200">
        <v>3450</v>
      </c>
      <c r="L120" s="200">
        <f>I120+J120+K120</f>
        <v>3450</v>
      </c>
      <c r="M120" s="202">
        <f>H120+L120</f>
        <v>147230.66</v>
      </c>
    </row>
    <row r="121" spans="1:13">
      <c r="A121" s="196"/>
      <c r="B121" s="196" t="s">
        <v>226</v>
      </c>
      <c r="C121" s="196"/>
      <c r="D121" s="200">
        <v>4</v>
      </c>
      <c r="E121" s="201">
        <v>442082033</v>
      </c>
      <c r="F121" s="200"/>
      <c r="G121" s="202">
        <f>E121+F121</f>
        <v>442082033</v>
      </c>
      <c r="H121" s="200">
        <v>17762938.399999999</v>
      </c>
      <c r="I121" s="200">
        <v>0</v>
      </c>
      <c r="J121" s="200">
        <v>0</v>
      </c>
      <c r="K121" s="200">
        <v>426233</v>
      </c>
      <c r="L121" s="200">
        <f>I121+J121+K121</f>
        <v>426233</v>
      </c>
      <c r="M121" s="202">
        <f>H121+L121</f>
        <v>18189171.399999999</v>
      </c>
    </row>
    <row r="122" spans="1:13" s="204" customFormat="1">
      <c r="B122" s="204" t="s">
        <v>227</v>
      </c>
      <c r="D122" s="205">
        <v>2.75</v>
      </c>
      <c r="E122" s="206">
        <v>29880</v>
      </c>
      <c r="F122" s="205"/>
      <c r="G122" s="207">
        <f>E122+F122</f>
        <v>29880</v>
      </c>
      <c r="H122" s="205">
        <v>2657.28</v>
      </c>
      <c r="I122" s="205">
        <v>0</v>
      </c>
      <c r="J122" s="205">
        <v>0</v>
      </c>
      <c r="K122" s="205">
        <v>64</v>
      </c>
      <c r="L122" s="205">
        <f>I122+J122+K122</f>
        <v>64</v>
      </c>
      <c r="M122" s="207">
        <f>H122+L122</f>
        <v>2721.28</v>
      </c>
    </row>
    <row r="123" spans="1:13">
      <c r="A123" s="196"/>
      <c r="B123" s="196" t="s">
        <v>182</v>
      </c>
      <c r="C123" s="196"/>
      <c r="D123" s="200">
        <f t="shared" ref="D123:M123" si="21">SUM(D120:D122)</f>
        <v>10.75</v>
      </c>
      <c r="E123" s="201">
        <f t="shared" si="21"/>
        <v>444431953</v>
      </c>
      <c r="F123" s="200">
        <f t="shared" si="21"/>
        <v>0</v>
      </c>
      <c r="G123" s="202">
        <f t="shared" si="21"/>
        <v>444431953</v>
      </c>
      <c r="H123" s="200">
        <f t="shared" si="21"/>
        <v>17909376.34</v>
      </c>
      <c r="I123" s="200">
        <f t="shared" si="21"/>
        <v>0</v>
      </c>
      <c r="J123" s="200">
        <f t="shared" si="21"/>
        <v>0</v>
      </c>
      <c r="K123" s="200">
        <f t="shared" si="21"/>
        <v>429747</v>
      </c>
      <c r="L123" s="200">
        <f t="shared" si="21"/>
        <v>429747</v>
      </c>
      <c r="M123" s="202">
        <f t="shared" si="21"/>
        <v>18339123.34</v>
      </c>
    </row>
    <row r="124" spans="1:13">
      <c r="A124" s="196"/>
      <c r="C124" s="196"/>
      <c r="D124" s="200"/>
      <c r="E124" s="201"/>
      <c r="F124" s="200"/>
      <c r="G124" s="202"/>
      <c r="H124" s="200"/>
      <c r="I124" s="200"/>
      <c r="J124" s="200"/>
      <c r="K124" s="200"/>
      <c r="L124" s="200"/>
      <c r="M124" s="202"/>
    </row>
    <row r="125" spans="1:13">
      <c r="A125" s="196"/>
      <c r="B125" s="196" t="s">
        <v>201</v>
      </c>
      <c r="C125" s="196"/>
      <c r="D125" s="200">
        <v>2.0833333333333299</v>
      </c>
      <c r="E125" s="201">
        <v>19099</v>
      </c>
      <c r="F125" s="200"/>
      <c r="G125" s="202">
        <f>E125+F125</f>
        <v>19099</v>
      </c>
      <c r="H125" s="200">
        <v>4542.75</v>
      </c>
      <c r="I125" s="200">
        <v>0</v>
      </c>
      <c r="J125" s="200">
        <v>0</v>
      </c>
      <c r="K125" s="200">
        <v>109</v>
      </c>
      <c r="L125" s="200">
        <f>I125+J125+K125</f>
        <v>109</v>
      </c>
      <c r="M125" s="202">
        <f>H125+L125</f>
        <v>4651.75</v>
      </c>
    </row>
    <row r="126" spans="1:13">
      <c r="A126" s="196"/>
      <c r="C126" s="196"/>
      <c r="D126" s="200"/>
      <c r="E126" s="201"/>
      <c r="F126" s="200"/>
      <c r="G126" s="202"/>
      <c r="H126" s="200"/>
      <c r="I126" s="200"/>
      <c r="J126" s="200"/>
      <c r="K126" s="200"/>
      <c r="L126" s="200"/>
      <c r="M126" s="202"/>
    </row>
    <row r="127" spans="1:13">
      <c r="A127" s="196"/>
      <c r="B127" s="196" t="s">
        <v>190</v>
      </c>
      <c r="C127" s="196"/>
      <c r="D127" s="200">
        <v>0</v>
      </c>
      <c r="E127" s="201">
        <v>3247000</v>
      </c>
      <c r="F127" s="200"/>
      <c r="G127" s="202">
        <f>E127+F127</f>
        <v>3247000</v>
      </c>
      <c r="H127" s="200">
        <v>213000</v>
      </c>
      <c r="I127" s="200">
        <v>0</v>
      </c>
      <c r="J127" s="200"/>
      <c r="K127" s="200"/>
      <c r="L127" s="200">
        <f>I127+J127+K127</f>
        <v>0</v>
      </c>
      <c r="M127" s="202">
        <f>H127+L127</f>
        <v>213000</v>
      </c>
    </row>
    <row r="128" spans="1:13" s="204" customFormat="1">
      <c r="A128" s="196"/>
      <c r="B128" s="204" t="s">
        <v>191</v>
      </c>
      <c r="C128" s="213"/>
      <c r="D128" s="210">
        <v>0</v>
      </c>
      <c r="E128" s="211">
        <v>0</v>
      </c>
      <c r="F128" s="210"/>
      <c r="G128" s="212"/>
      <c r="H128" s="210">
        <v>0</v>
      </c>
      <c r="I128" s="210">
        <v>0</v>
      </c>
      <c r="J128" s="210"/>
      <c r="K128" s="210"/>
      <c r="L128" s="210">
        <f>I128+J128+K128</f>
        <v>0</v>
      </c>
      <c r="M128" s="212">
        <f>H128+L128</f>
        <v>0</v>
      </c>
    </row>
    <row r="129" spans="1:13">
      <c r="A129" s="196"/>
      <c r="B129" s="196" t="s">
        <v>172</v>
      </c>
      <c r="C129" s="196"/>
      <c r="D129" s="200">
        <f t="shared" ref="D129:M129" si="22">D123+D125+D128+D127</f>
        <v>12.83333333333333</v>
      </c>
      <c r="E129" s="201">
        <f t="shared" si="22"/>
        <v>447698052</v>
      </c>
      <c r="F129" s="200">
        <f t="shared" si="22"/>
        <v>0</v>
      </c>
      <c r="G129" s="202">
        <f t="shared" si="22"/>
        <v>447698052</v>
      </c>
      <c r="H129" s="200">
        <f t="shared" si="22"/>
        <v>18126919.09</v>
      </c>
      <c r="I129" s="200">
        <f t="shared" si="22"/>
        <v>0</v>
      </c>
      <c r="J129" s="200">
        <f t="shared" si="22"/>
        <v>0</v>
      </c>
      <c r="K129" s="200">
        <f t="shared" si="22"/>
        <v>429856</v>
      </c>
      <c r="L129" s="200">
        <f t="shared" si="22"/>
        <v>429856</v>
      </c>
      <c r="M129" s="202">
        <f t="shared" si="22"/>
        <v>18556775.09</v>
      </c>
    </row>
    <row r="130" spans="1:13">
      <c r="A130" s="196"/>
      <c r="C130" s="196"/>
      <c r="D130" s="200"/>
      <c r="E130" s="201"/>
      <c r="F130" s="200"/>
      <c r="G130" s="216"/>
      <c r="H130" s="213"/>
      <c r="I130" s="213"/>
      <c r="J130" s="213"/>
      <c r="K130" s="213"/>
      <c r="L130" s="200"/>
      <c r="M130" s="202"/>
    </row>
    <row r="131" spans="1:13" s="220" customFormat="1" ht="16.5" thickBot="1">
      <c r="A131" s="217"/>
      <c r="B131" s="218" t="s">
        <v>172</v>
      </c>
      <c r="C131" s="219"/>
      <c r="D131" s="219">
        <f t="shared" ref="D131:M131" si="23">D129+D117+D102+D66+D34</f>
        <v>860490.8333333336</v>
      </c>
      <c r="E131" s="219">
        <f t="shared" si="23"/>
        <v>22694840542</v>
      </c>
      <c r="F131" s="219">
        <f t="shared" si="23"/>
        <v>-924629997</v>
      </c>
      <c r="G131" s="219">
        <f t="shared" si="23"/>
        <v>21770210545</v>
      </c>
      <c r="H131" s="219">
        <f t="shared" si="23"/>
        <v>1412248642.54</v>
      </c>
      <c r="I131" s="219">
        <f t="shared" si="23"/>
        <v>-61853453.140941441</v>
      </c>
      <c r="J131" s="219">
        <f t="shared" si="23"/>
        <v>1389252.7091939999</v>
      </c>
      <c r="K131" s="219">
        <f t="shared" si="23"/>
        <v>31853394.417527001</v>
      </c>
      <c r="L131" s="219">
        <f t="shared" si="23"/>
        <v>-28610806.014220443</v>
      </c>
      <c r="M131" s="219">
        <f t="shared" si="23"/>
        <v>1383637836.5257795</v>
      </c>
    </row>
    <row r="132" spans="1:13" ht="16.5" thickTop="1">
      <c r="A132" s="198"/>
      <c r="B132" s="198"/>
      <c r="C132" s="198"/>
      <c r="D132" s="221">
        <f>D131-D17-D22-D28-D33-D55-D60-D65-D87-D112-D113</f>
        <v>766471.41666666686</v>
      </c>
      <c r="E132" s="221"/>
      <c r="F132" s="221"/>
      <c r="G132" s="222"/>
      <c r="H132" s="200"/>
      <c r="I132" s="198"/>
      <c r="J132" s="198"/>
      <c r="K132" s="198"/>
      <c r="L132" s="198"/>
      <c r="M132" s="196"/>
    </row>
    <row r="133" spans="1:13" s="191" customFormat="1">
      <c r="A133" s="223"/>
      <c r="B133" s="224" t="s">
        <v>228</v>
      </c>
      <c r="C133" s="223"/>
      <c r="D133" s="223" t="s">
        <v>229</v>
      </c>
      <c r="E133" s="223" t="s">
        <v>229</v>
      </c>
      <c r="F133" s="223" t="s">
        <v>230</v>
      </c>
      <c r="G133" s="223" t="s">
        <v>231</v>
      </c>
      <c r="H133" s="223" t="s">
        <v>229</v>
      </c>
      <c r="I133" s="223" t="s">
        <v>232</v>
      </c>
      <c r="J133" s="223" t="s">
        <v>232</v>
      </c>
      <c r="K133" s="223" t="s">
        <v>232</v>
      </c>
      <c r="L133" s="223" t="s">
        <v>233</v>
      </c>
      <c r="M133" s="223" t="s">
        <v>234</v>
      </c>
    </row>
    <row r="134" spans="1:13" s="191" customFormat="1">
      <c r="A134" s="223"/>
      <c r="B134" s="224"/>
      <c r="C134" s="223"/>
      <c r="D134" s="223"/>
      <c r="E134" s="223"/>
      <c r="F134" s="223" t="s">
        <v>235</v>
      </c>
      <c r="G134" s="223"/>
      <c r="H134" s="223"/>
      <c r="I134" s="223"/>
      <c r="J134" s="223"/>
      <c r="K134" s="223"/>
      <c r="L134" s="223"/>
      <c r="M134" s="223"/>
    </row>
    <row r="135" spans="1:13">
      <c r="A135" s="225"/>
      <c r="B135" s="198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</row>
    <row r="136" spans="1:13">
      <c r="A136" s="226" t="s">
        <v>236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</row>
    <row r="137" spans="1:13">
      <c r="A137" s="226" t="s">
        <v>237</v>
      </c>
    </row>
    <row r="138" spans="1:13">
      <c r="A138" s="227" t="s">
        <v>238</v>
      </c>
    </row>
    <row r="139" spans="1:13">
      <c r="A139" s="227" t="s">
        <v>239</v>
      </c>
      <c r="B139" s="187"/>
    </row>
  </sheetData>
  <phoneticPr fontId="31" type="noConversion"/>
  <printOptions horizontalCentered="1"/>
  <pageMargins left="0" right="0" top="0.75" bottom="0.5" header="0.5" footer="0.25"/>
  <pageSetup scale="62" fitToHeight="4" orientation="landscape" r:id="rId1"/>
  <headerFooter alignWithMargins="0">
    <oddFooter>Page &amp;P of &amp;N</oddFooter>
  </headerFooter>
  <rowBreaks count="2" manualBreakCount="2">
    <brk id="50" max="12" man="1"/>
    <brk id="118" max="1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A5" sqref="A5:I5"/>
    </sheetView>
  </sheetViews>
  <sheetFormatPr defaultRowHeight="12.75"/>
  <cols>
    <col min="1" max="1" width="19.85546875" customWidth="1"/>
    <col min="2" max="2" width="8.85546875" customWidth="1"/>
    <col min="3" max="8" width="10.7109375" customWidth="1"/>
    <col min="9" max="9" width="14.28515625" customWidth="1"/>
  </cols>
  <sheetData>
    <row r="1" spans="1:9" ht="18">
      <c r="A1" s="855" t="s">
        <v>149</v>
      </c>
      <c r="B1" s="855"/>
      <c r="C1" s="855"/>
      <c r="D1" s="855"/>
      <c r="E1" s="855"/>
      <c r="F1" s="855"/>
      <c r="G1" s="855"/>
      <c r="H1" s="855"/>
      <c r="I1" s="855"/>
    </row>
    <row r="3" spans="1:9" ht="18">
      <c r="A3" s="855" t="s">
        <v>44</v>
      </c>
      <c r="B3" s="855"/>
      <c r="C3" s="855"/>
      <c r="D3" s="855"/>
      <c r="E3" s="855"/>
      <c r="F3" s="855"/>
      <c r="G3" s="855"/>
      <c r="H3" s="855"/>
      <c r="I3" s="855"/>
    </row>
    <row r="4" spans="1:9" ht="18">
      <c r="A4" s="855" t="s">
        <v>45</v>
      </c>
      <c r="B4" s="855"/>
      <c r="C4" s="855"/>
      <c r="D4" s="855"/>
      <c r="E4" s="855"/>
      <c r="F4" s="855"/>
      <c r="G4" s="855"/>
      <c r="H4" s="855"/>
      <c r="I4" s="855"/>
    </row>
    <row r="5" spans="1:9" ht="18">
      <c r="A5" s="855" t="s">
        <v>46</v>
      </c>
      <c r="B5" s="855"/>
      <c r="C5" s="855"/>
      <c r="D5" s="855"/>
      <c r="E5" s="855"/>
      <c r="F5" s="855"/>
      <c r="G5" s="855"/>
      <c r="H5" s="855"/>
      <c r="I5" s="855"/>
    </row>
    <row r="6" spans="1:9" ht="18">
      <c r="A6" s="855" t="s">
        <v>47</v>
      </c>
      <c r="B6" s="855"/>
      <c r="C6" s="855"/>
      <c r="D6" s="855"/>
      <c r="E6" s="855"/>
      <c r="F6" s="855"/>
      <c r="G6" s="855"/>
      <c r="H6" s="855"/>
      <c r="I6" s="855"/>
    </row>
    <row r="7" spans="1:9" ht="18">
      <c r="A7" s="61"/>
      <c r="B7" s="61"/>
      <c r="C7" s="61"/>
      <c r="D7" s="61"/>
      <c r="E7" s="61"/>
      <c r="F7" s="64"/>
      <c r="G7" s="65"/>
      <c r="H7" s="65"/>
      <c r="I7" s="65"/>
    </row>
    <row r="8" spans="1:9">
      <c r="A8" s="65"/>
      <c r="B8" s="65"/>
      <c r="C8" s="65"/>
      <c r="D8" s="65"/>
      <c r="E8" s="65"/>
      <c r="F8" s="65"/>
      <c r="G8" s="65"/>
      <c r="H8" s="65"/>
      <c r="I8" s="65"/>
    </row>
    <row r="9" spans="1:9" ht="15.75">
      <c r="A9" s="66" t="s">
        <v>48</v>
      </c>
      <c r="B9" s="65"/>
      <c r="C9" s="65"/>
      <c r="D9" s="65"/>
      <c r="E9" s="65"/>
      <c r="F9" s="65"/>
      <c r="G9" s="65"/>
      <c r="H9" s="65"/>
      <c r="I9" s="65"/>
    </row>
    <row r="10" spans="1:9" ht="15.75">
      <c r="A10" s="65"/>
      <c r="B10" s="67">
        <v>2000</v>
      </c>
      <c r="C10" s="67">
        <v>2001</v>
      </c>
      <c r="D10" s="67">
        <v>2002</v>
      </c>
      <c r="E10" s="67">
        <v>2003</v>
      </c>
      <c r="F10" s="67">
        <v>2004</v>
      </c>
      <c r="G10" s="67">
        <v>2005</v>
      </c>
      <c r="H10" s="67" t="s">
        <v>146</v>
      </c>
      <c r="I10" s="67" t="s">
        <v>147</v>
      </c>
    </row>
    <row r="11" spans="1:9" ht="15.75">
      <c r="A11" s="66" t="s">
        <v>49</v>
      </c>
      <c r="B11" s="68">
        <v>0</v>
      </c>
      <c r="C11" s="69">
        <v>4524</v>
      </c>
      <c r="D11" s="69">
        <v>18559</v>
      </c>
      <c r="E11" s="69">
        <v>18797</v>
      </c>
      <c r="F11" s="69">
        <v>18727</v>
      </c>
      <c r="G11" s="69">
        <v>17449</v>
      </c>
      <c r="H11" s="70">
        <v>20768</v>
      </c>
      <c r="I11" s="71">
        <v>22450</v>
      </c>
    </row>
    <row r="12" spans="1:9" ht="15.75">
      <c r="A12" s="66" t="s">
        <v>50</v>
      </c>
      <c r="B12" s="68">
        <v>0</v>
      </c>
      <c r="C12" s="69">
        <v>11633</v>
      </c>
      <c r="D12" s="69">
        <v>20266</v>
      </c>
      <c r="E12" s="69">
        <v>21066</v>
      </c>
      <c r="F12" s="69">
        <v>20542</v>
      </c>
      <c r="G12" s="69">
        <v>18124</v>
      </c>
      <c r="H12" s="70">
        <v>22662</v>
      </c>
      <c r="I12" s="71">
        <v>23312</v>
      </c>
    </row>
    <row r="13" spans="1:9" ht="15.75">
      <c r="A13" s="66" t="s">
        <v>51</v>
      </c>
      <c r="B13" s="68">
        <v>0</v>
      </c>
      <c r="C13" s="69">
        <v>14767</v>
      </c>
      <c r="D13" s="69">
        <v>22301</v>
      </c>
      <c r="E13" s="69">
        <v>22691</v>
      </c>
      <c r="F13" s="69">
        <v>21653</v>
      </c>
      <c r="G13" s="69">
        <v>19555</v>
      </c>
      <c r="H13" s="70">
        <v>24654</v>
      </c>
      <c r="I13" s="71">
        <v>25254</v>
      </c>
    </row>
    <row r="14" spans="1:9" ht="15.75">
      <c r="A14" s="66" t="s">
        <v>52</v>
      </c>
      <c r="B14" s="68">
        <v>0</v>
      </c>
      <c r="C14" s="69">
        <v>16903</v>
      </c>
      <c r="D14" s="69">
        <v>23312</v>
      </c>
      <c r="E14" s="69">
        <v>23884</v>
      </c>
      <c r="F14" s="69">
        <v>22276</v>
      </c>
      <c r="G14" s="69">
        <v>20895</v>
      </c>
      <c r="H14" s="70">
        <v>25990</v>
      </c>
      <c r="I14" s="71">
        <v>26740</v>
      </c>
    </row>
    <row r="15" spans="1:9" ht="15.75">
      <c r="A15" s="66" t="s">
        <v>53</v>
      </c>
      <c r="B15" s="68">
        <v>0</v>
      </c>
      <c r="C15" s="69">
        <v>17652</v>
      </c>
      <c r="D15" s="69">
        <v>23603</v>
      </c>
      <c r="E15" s="69">
        <v>24166</v>
      </c>
      <c r="F15" s="69">
        <v>22616</v>
      </c>
      <c r="G15" s="69">
        <v>21513</v>
      </c>
      <c r="H15" s="70">
        <v>26722</v>
      </c>
      <c r="I15" s="71">
        <v>27622</v>
      </c>
    </row>
    <row r="16" spans="1:9" ht="15.75">
      <c r="A16" s="66" t="s">
        <v>54</v>
      </c>
      <c r="B16" s="68">
        <v>0</v>
      </c>
      <c r="C16" s="69">
        <v>17147</v>
      </c>
      <c r="D16" s="69">
        <v>20955</v>
      </c>
      <c r="E16" s="69">
        <v>22096</v>
      </c>
      <c r="F16" s="69">
        <v>21763</v>
      </c>
      <c r="G16" s="69">
        <v>21185</v>
      </c>
      <c r="H16" s="70">
        <v>26797</v>
      </c>
      <c r="I16" s="71">
        <v>26000</v>
      </c>
    </row>
    <row r="17" spans="1:9" ht="15.75">
      <c r="A17" s="66" t="s">
        <v>55</v>
      </c>
      <c r="B17" s="68">
        <v>0</v>
      </c>
      <c r="C17" s="69">
        <v>16589</v>
      </c>
      <c r="D17" s="69">
        <v>18417</v>
      </c>
      <c r="E17" s="69">
        <v>18294</v>
      </c>
      <c r="F17" s="69">
        <v>16439</v>
      </c>
      <c r="G17" s="69">
        <v>20478</v>
      </c>
      <c r="H17" s="70">
        <v>26448</v>
      </c>
      <c r="I17" s="71">
        <v>23500</v>
      </c>
    </row>
    <row r="18" spans="1:9" ht="15.75">
      <c r="A18" s="66" t="s">
        <v>56</v>
      </c>
      <c r="B18" s="68">
        <v>0</v>
      </c>
      <c r="C18" s="69">
        <v>15918</v>
      </c>
      <c r="D18" s="69">
        <v>17768</v>
      </c>
      <c r="E18" s="69">
        <v>17458</v>
      </c>
      <c r="F18" s="69">
        <v>15958</v>
      </c>
      <c r="G18" s="69">
        <v>19953</v>
      </c>
      <c r="H18" s="70">
        <v>25489</v>
      </c>
      <c r="I18" s="71">
        <v>23250</v>
      </c>
    </row>
    <row r="19" spans="1:9" ht="15.75">
      <c r="A19" s="66" t="s">
        <v>57</v>
      </c>
      <c r="B19" s="68">
        <v>0</v>
      </c>
      <c r="C19" s="69">
        <v>15359</v>
      </c>
      <c r="D19" s="69">
        <v>17214</v>
      </c>
      <c r="E19" s="69">
        <v>17118</v>
      </c>
      <c r="F19" s="69">
        <v>15369</v>
      </c>
      <c r="G19" s="69">
        <v>19470</v>
      </c>
      <c r="H19" s="70">
        <v>23798</v>
      </c>
      <c r="I19" s="71">
        <v>23000</v>
      </c>
    </row>
    <row r="20" spans="1:9" ht="15.75">
      <c r="A20" s="66" t="s">
        <v>58</v>
      </c>
      <c r="B20" s="68">
        <v>4</v>
      </c>
      <c r="C20" s="69">
        <v>14926</v>
      </c>
      <c r="D20" s="69">
        <v>16642</v>
      </c>
      <c r="E20" s="69">
        <v>16449</v>
      </c>
      <c r="F20" s="69">
        <v>14856</v>
      </c>
      <c r="G20" s="69">
        <v>18949</v>
      </c>
      <c r="H20" s="180">
        <v>21250</v>
      </c>
      <c r="I20" s="71">
        <v>22750</v>
      </c>
    </row>
    <row r="21" spans="1:9" ht="15.75">
      <c r="A21" s="66" t="s">
        <v>59</v>
      </c>
      <c r="B21" s="68">
        <v>165</v>
      </c>
      <c r="C21" s="69">
        <v>14747</v>
      </c>
      <c r="D21" s="69">
        <v>16198</v>
      </c>
      <c r="E21" s="69">
        <v>16094</v>
      </c>
      <c r="F21" s="69">
        <v>14728</v>
      </c>
      <c r="G21" s="69">
        <v>18457</v>
      </c>
      <c r="H21" s="71">
        <v>21000</v>
      </c>
      <c r="I21" s="71">
        <v>22500</v>
      </c>
    </row>
    <row r="22" spans="1:9" ht="15.75">
      <c r="A22" s="66" t="s">
        <v>60</v>
      </c>
      <c r="B22" s="69">
        <v>980</v>
      </c>
      <c r="C22" s="69">
        <v>14770</v>
      </c>
      <c r="D22" s="69">
        <v>17192</v>
      </c>
      <c r="E22" s="69">
        <v>17120</v>
      </c>
      <c r="F22" s="69">
        <v>15945</v>
      </c>
      <c r="G22" s="69">
        <v>19195</v>
      </c>
      <c r="H22" s="71">
        <v>22150</v>
      </c>
      <c r="I22" s="71">
        <v>23700</v>
      </c>
    </row>
    <row r="23" spans="1:9" ht="15.75">
      <c r="A23" s="72"/>
      <c r="B23" s="65"/>
      <c r="C23" s="72"/>
      <c r="D23" s="72"/>
      <c r="E23" s="69"/>
      <c r="F23" s="72"/>
      <c r="G23" s="69"/>
      <c r="H23" s="65"/>
      <c r="I23" s="65"/>
    </row>
    <row r="24" spans="1:9" ht="15.75">
      <c r="A24" s="66" t="s">
        <v>61</v>
      </c>
      <c r="B24" s="65"/>
      <c r="C24" s="69">
        <f>AVERAGE(C11:C18)</f>
        <v>14391.625</v>
      </c>
      <c r="D24" s="69">
        <f>AVERAGE(D11:D18)</f>
        <v>20647.625</v>
      </c>
      <c r="E24" s="69">
        <f>AVERAGE(E11:E18)</f>
        <v>21056.5</v>
      </c>
      <c r="F24" s="69">
        <f>AVERAGE(F11:F18)</f>
        <v>19996.75</v>
      </c>
      <c r="G24" s="69">
        <f>AVERAGE(G11:G18)</f>
        <v>19894</v>
      </c>
      <c r="H24" s="69">
        <f>AVERAGE(H11:H22)</f>
        <v>23977.333333333332</v>
      </c>
      <c r="I24" s="69">
        <f>AVERAGE(I11:I22)</f>
        <v>24173.166666666668</v>
      </c>
    </row>
    <row r="25" spans="1:9" ht="15.75">
      <c r="A25" s="66" t="s">
        <v>62</v>
      </c>
      <c r="B25" s="65"/>
      <c r="C25" s="69">
        <f t="shared" ref="C25:I25" si="0">SUM(C11:C22)</f>
        <v>174935</v>
      </c>
      <c r="D25" s="69">
        <f t="shared" si="0"/>
        <v>232427</v>
      </c>
      <c r="E25" s="69">
        <f t="shared" si="0"/>
        <v>235233</v>
      </c>
      <c r="F25" s="69">
        <f t="shared" si="0"/>
        <v>220872</v>
      </c>
      <c r="G25" s="69">
        <f t="shared" si="0"/>
        <v>235223</v>
      </c>
      <c r="H25" s="69">
        <f t="shared" si="0"/>
        <v>287728</v>
      </c>
      <c r="I25" s="69">
        <f t="shared" si="0"/>
        <v>290078</v>
      </c>
    </row>
    <row r="26" spans="1:9" ht="15.75">
      <c r="A26" s="66" t="s">
        <v>63</v>
      </c>
      <c r="B26" s="65"/>
      <c r="C26" s="73">
        <f t="shared" ref="C26:I26" si="1">C25*8</f>
        <v>1399480</v>
      </c>
      <c r="D26" s="73">
        <f t="shared" si="1"/>
        <v>1859416</v>
      </c>
      <c r="E26" s="73">
        <f t="shared" si="1"/>
        <v>1881864</v>
      </c>
      <c r="F26" s="73">
        <f t="shared" si="1"/>
        <v>1766976</v>
      </c>
      <c r="G26" s="73">
        <f t="shared" si="1"/>
        <v>1881784</v>
      </c>
      <c r="H26" s="73">
        <f t="shared" si="1"/>
        <v>2301824</v>
      </c>
      <c r="I26" s="73">
        <f t="shared" si="1"/>
        <v>2320624</v>
      </c>
    </row>
    <row r="27" spans="1:9">
      <c r="A27" s="72"/>
      <c r="B27" s="65"/>
      <c r="C27" s="72"/>
      <c r="D27" s="72"/>
      <c r="E27" s="72"/>
      <c r="F27" s="72"/>
      <c r="G27" s="65"/>
      <c r="H27" s="65"/>
      <c r="I27" s="65"/>
    </row>
    <row r="28" spans="1:9" ht="15.75">
      <c r="A28" s="181" t="s">
        <v>148</v>
      </c>
      <c r="B28" s="182"/>
      <c r="C28" s="182"/>
      <c r="D28" s="182"/>
    </row>
  </sheetData>
  <mergeCells count="5">
    <mergeCell ref="A6:I6"/>
    <mergeCell ref="A1:I1"/>
    <mergeCell ref="A3:I3"/>
    <mergeCell ref="A4:I4"/>
    <mergeCell ref="A5:I5"/>
  </mergeCells>
  <phoneticPr fontId="18" type="noConversion"/>
  <pageMargins left="0.75" right="0.75" top="1" bottom="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Page 1 - Est Participants</vt:lpstr>
      <vt:lpstr>Page 2 - Proposed Surcharge</vt:lpstr>
      <vt:lpstr>Page 3 - Proposed Credit</vt:lpstr>
      <vt:lpstr>Table A GRC</vt:lpstr>
      <vt:lpstr>Blocking GRC</vt:lpstr>
      <vt:lpstr>UT Lifeline  rev</vt:lpstr>
      <vt:lpstr>Recap</vt:lpstr>
      <vt:lpstr>Table 2</vt:lpstr>
      <vt:lpstr>Table B (Participation)</vt:lpstr>
      <vt:lpstr>Table C (Acct Detail)</vt:lpstr>
      <vt:lpstr>Table D (Benefit Cost Ratios) </vt:lpstr>
      <vt:lpstr>'Blocking GRC'!Print_Area</vt:lpstr>
      <vt:lpstr>'Page 2 - Proposed Surcharge'!Print_Area</vt:lpstr>
      <vt:lpstr>'Page 3 - Proposed Credit'!Print_Area</vt:lpstr>
      <vt:lpstr>Recap!Print_Area</vt:lpstr>
      <vt:lpstr>'Table 2'!Print_Area</vt:lpstr>
      <vt:lpstr>'Table A GRC'!Print_Area</vt:lpstr>
      <vt:lpstr>'Table C (Acct Detail)'!Print_Area</vt:lpstr>
      <vt:lpstr>'Table D (Benefit Cost Ratios) '!Print_Area</vt:lpstr>
      <vt:lpstr>'UT Lifeline  rev'!Print_Area</vt:lpstr>
      <vt:lpstr>'Blocking GRC'!Print_Titles</vt:lpstr>
      <vt:lpstr>Recap!Print_Titles</vt:lpstr>
      <vt:lpstr>'Table 2'!Print_Titles</vt:lpstr>
      <vt:lpstr>'Table A GRC'!Print_Titles</vt:lpstr>
      <vt:lpstr>'Blocking GRC'!Print_Titles_MI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Zimmerman, Michael</dc:creator>
  <cp:lastModifiedBy>mpaschal</cp:lastModifiedBy>
  <cp:lastPrinted>2014-09-11T21:01:36Z</cp:lastPrinted>
  <dcterms:created xsi:type="dcterms:W3CDTF">2004-12-03T22:41:15Z</dcterms:created>
  <dcterms:modified xsi:type="dcterms:W3CDTF">2014-11-12T17:37:49Z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