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T12\"/>
    </mc:Choice>
  </mc:AlternateContent>
  <bookViews>
    <workbookView xWindow="0" yWindow="0" windowWidth="19200" windowHeight="12180" tabRatio="758"/>
  </bookViews>
  <sheets>
    <sheet name="Page 1 - Est Participants" sheetId="34" r:id="rId1"/>
    <sheet name="Page 2 - Proposed Surcharge" sheetId="39" r:id="rId2"/>
    <sheet name="Page 3 - Proposed Credit" sheetId="48" r:id="rId3"/>
    <sheet name="Table 2" sheetId="17" state="hidden" r:id="rId4"/>
    <sheet name="Table B (Participation)" sheetId="12" state="hidden" r:id="rId5"/>
    <sheet name="Table C (Acct Detail)" sheetId="16" state="hidden" r:id="rId6"/>
    <sheet name="Table D (Benefit Cost Ratios) " sheetId="15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0" localSheetId="2">[1]Jan!#REF!</definedName>
    <definedName name="\0">[1]Jan!#REF!</definedName>
    <definedName name="\A" localSheetId="2">#REF!</definedName>
    <definedName name="\A" localSheetId="3">#REF!</definedName>
    <definedName name="\A">#REF!</definedName>
    <definedName name="\B" localSheetId="2">#REF!</definedName>
    <definedName name="\B" localSheetId="3">#REF!</definedName>
    <definedName name="\B">#REF!</definedName>
    <definedName name="\BACK1" localSheetId="2">#REF!</definedName>
    <definedName name="\BACK1" localSheetId="3">#REF!</definedName>
    <definedName name="\BACK1">#REF!</definedName>
    <definedName name="\BLOCK" localSheetId="2">#REF!</definedName>
    <definedName name="\BLOCK">#REF!</definedName>
    <definedName name="\BLOCKT" localSheetId="2">#REF!</definedName>
    <definedName name="\BLOCKT">#REF!</definedName>
    <definedName name="\C" localSheetId="2">#REF!</definedName>
    <definedName name="\C" localSheetId="3">#REF!</definedName>
    <definedName name="\C">#REF!</definedName>
    <definedName name="\COMP" localSheetId="2">#REF!</definedName>
    <definedName name="\COMP" localSheetId="3">#REF!</definedName>
    <definedName name="\COMP">#REF!</definedName>
    <definedName name="\COMPT" localSheetId="2">#REF!</definedName>
    <definedName name="\COMPT" localSheetId="3">#REF!</definedName>
    <definedName name="\COMPT">#REF!</definedName>
    <definedName name="\E" localSheetId="2">#REF!</definedName>
    <definedName name="\E">#REF!</definedName>
    <definedName name="\G" localSheetId="2">#REF!</definedName>
    <definedName name="\G" localSheetId="3">#REF!</definedName>
    <definedName name="\G">#REF!</definedName>
    <definedName name="\I" localSheetId="2">#REF!</definedName>
    <definedName name="\I" localSheetId="3">#REF!</definedName>
    <definedName name="\I">#REF!</definedName>
    <definedName name="\K" localSheetId="2">#REF!</definedName>
    <definedName name="\K" localSheetId="3">#REF!</definedName>
    <definedName name="\K">#REF!</definedName>
    <definedName name="\L" localSheetId="2">#REF!</definedName>
    <definedName name="\L" localSheetId="3">#REF!</definedName>
    <definedName name="\L">#REF!</definedName>
    <definedName name="\M" localSheetId="2">#REF!</definedName>
    <definedName name="\M" localSheetId="3">#REF!</definedName>
    <definedName name="\M">#REF!</definedName>
    <definedName name="\P" localSheetId="2">#REF!</definedName>
    <definedName name="\P" localSheetId="3">#REF!</definedName>
    <definedName name="\P">#REF!</definedName>
    <definedName name="\Q" localSheetId="2">[2]Actual!#REF!</definedName>
    <definedName name="\Q" localSheetId="3">[2]Actual!#REF!</definedName>
    <definedName name="\Q">[2]Actual!#REF!</definedName>
    <definedName name="\R" localSheetId="2">#REF!</definedName>
    <definedName name="\R" localSheetId="3">#REF!</definedName>
    <definedName name="\R">#REF!</definedName>
    <definedName name="\S" localSheetId="2">#REF!</definedName>
    <definedName name="\S" localSheetId="3">#REF!</definedName>
    <definedName name="\S">#REF!</definedName>
    <definedName name="\TABLE1" localSheetId="2">#REF!</definedName>
    <definedName name="\TABLE1" localSheetId="3">#REF!</definedName>
    <definedName name="\TABLE1">#REF!</definedName>
    <definedName name="\TABLE2" localSheetId="2">#REF!</definedName>
    <definedName name="\TABLE2" localSheetId="3">#REF!</definedName>
    <definedName name="\TABLE2">#REF!</definedName>
    <definedName name="\TABLEA" localSheetId="2">#REF!</definedName>
    <definedName name="\TABLEA" localSheetId="3">#REF!</definedName>
    <definedName name="\TABLEA">#REF!</definedName>
    <definedName name="\TBL1" localSheetId="2">#REF!</definedName>
    <definedName name="\TBL1">#REF!</definedName>
    <definedName name="\TBL2" localSheetId="2">#REF!</definedName>
    <definedName name="\TBL2">#REF!</definedName>
    <definedName name="\TBL3" localSheetId="2">#REF!</definedName>
    <definedName name="\TBL3">#REF!</definedName>
    <definedName name="\TBL4" localSheetId="2">#REF!</definedName>
    <definedName name="\TBL4">#REF!</definedName>
    <definedName name="\TBL5" localSheetId="2">#REF!</definedName>
    <definedName name="\TBL5">#REF!</definedName>
    <definedName name="\W" localSheetId="2">#REF!</definedName>
    <definedName name="\W" localSheetId="3">#REF!</definedName>
    <definedName name="\W">#REF!</definedName>
    <definedName name="\WORK1" localSheetId="2">#REF!</definedName>
    <definedName name="\WORK1" localSheetId="3">#REF!</definedName>
    <definedName name="\WORK1">#REF!</definedName>
    <definedName name="\X" localSheetId="2">#REF!</definedName>
    <definedName name="\X" localSheetId="3">#REF!</definedName>
    <definedName name="\X">#REF!</definedName>
    <definedName name="\Z" localSheetId="2">#REF!</definedName>
    <definedName name="\Z" localSheetId="3">#REF!</definedName>
    <definedName name="\Z">#REF!</definedName>
    <definedName name="__123Graph_A" localSheetId="2" hidden="1">[3]Inputs!#REF!</definedName>
    <definedName name="__123Graph_A" localSheetId="3" hidden="1">[3]Inputs!#REF!</definedName>
    <definedName name="__123Graph_A" hidden="1">[3]Inputs!#REF!</definedName>
    <definedName name="__123Graph_B" localSheetId="2" hidden="1">[3]Inputs!#REF!</definedName>
    <definedName name="__123Graph_B" localSheetId="3" hidden="1">[3]Inputs!#REF!</definedName>
    <definedName name="__123Graph_B" hidden="1">[3]Inputs!#REF!</definedName>
    <definedName name="__123Graph_D" localSheetId="2" hidden="1">[3]Inputs!#REF!</definedName>
    <definedName name="__123Graph_D" localSheetId="3" hidden="1">[3]Inputs!#REF!</definedName>
    <definedName name="__123Graph_D" hidden="1">[3]Inputs!#REF!</definedName>
    <definedName name="__MEN3" localSheetId="2">[1]Jan!#REF!</definedName>
    <definedName name="__MEN3">[1]Jan!#REF!</definedName>
    <definedName name="__TOP1" localSheetId="2">[1]Jan!#REF!</definedName>
    <definedName name="__TOP1">[1]Jan!#REF!</definedName>
    <definedName name="_1Price_Ta" localSheetId="2">#REF!</definedName>
    <definedName name="_1Price_Ta">#REF!</definedName>
    <definedName name="_3Price_Ta" localSheetId="2">#REF!</definedName>
    <definedName name="_3Price_Ta">#REF!</definedName>
    <definedName name="_5Price_Ta" localSheetId="2">#REF!</definedName>
    <definedName name="_5Price_Ta">#REF!</definedName>
    <definedName name="_B" localSheetId="2">#REF!</definedName>
    <definedName name="_B" localSheetId="3">#REF!</definedName>
    <definedName name="_B">#REF!</definedName>
    <definedName name="_BLOCK" localSheetId="2">#REF!</definedName>
    <definedName name="_BLOCK">#REF!</definedName>
    <definedName name="_BLOCKT" localSheetId="2">#REF!</definedName>
    <definedName name="_BLOCKT">#REF!</definedName>
    <definedName name="_COMP" localSheetId="2">#REF!</definedName>
    <definedName name="_COMP">#REF!</definedName>
    <definedName name="_COMPR" localSheetId="2">#REF!</definedName>
    <definedName name="_COMPR">#REF!</definedName>
    <definedName name="_COMPT" localSheetId="2">#REF!</definedName>
    <definedName name="_COMPT">#REF!</definedName>
    <definedName name="_Fill" localSheetId="2" hidden="1">#REF!</definedName>
    <definedName name="_Fill" localSheetId="3" hidden="1">#REF!</definedName>
    <definedName name="_Fill" hidden="1">#REF!</definedName>
    <definedName name="_xlnm._FilterDatabase" localSheetId="3" hidden="1">'Table 2'!$A$13:$S$785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MEN2" localSheetId="2">[1]Jan!#REF!</definedName>
    <definedName name="_MEN2">[1]Jan!#REF!</definedName>
    <definedName name="_MEN3" localSheetId="2">[1]Jan!#REF!</definedName>
    <definedName name="_MEN3">[1]Jan!#REF!</definedName>
    <definedName name="_Order1" hidden="1">0</definedName>
    <definedName name="_Order2" hidden="1">0</definedName>
    <definedName name="_P" localSheetId="2">#REF!</definedName>
    <definedName name="_P" localSheetId="3">#REF!</definedName>
    <definedName name="_P">#REF!</definedName>
    <definedName name="_Regression_Out" localSheetId="2" hidden="1">#REF!</definedName>
    <definedName name="_Regression_Out" hidden="1">#REF!</definedName>
    <definedName name="_Regression_X" localSheetId="2" hidden="1">#REF!</definedName>
    <definedName name="_Regression_X" hidden="1">#REF!</definedName>
    <definedName name="_Regression_Y" localSheetId="2" hidden="1">#REF!</definedName>
    <definedName name="_Regression_Y" hidden="1">#REF!</definedName>
    <definedName name="_Sort" localSheetId="2" hidden="1">#REF!</definedName>
    <definedName name="_Sort" hidden="1">#REF!</definedName>
    <definedName name="_SPL" localSheetId="2">#REF!</definedName>
    <definedName name="_SPL">#REF!</definedName>
    <definedName name="_TOP1" localSheetId="2">[1]Jan!#REF!</definedName>
    <definedName name="_TOP1">[1]Jan!#REF!</definedName>
    <definedName name="a" localSheetId="3" hidden="1">'[3]DSM Output'!$J$21:$J$23</definedName>
    <definedName name="a">'[3]DSM Output'!$J$21:$J$23</definedName>
    <definedName name="A_36" localSheetId="2">#REF!</definedName>
    <definedName name="A_36">#REF!</definedName>
    <definedName name="ABSTRACT" localSheetId="2">#REF!</definedName>
    <definedName name="ABSTRACT">#REF!</definedName>
    <definedName name="Acct108D_S">[4]FuncStudy!$F$2067</definedName>
    <definedName name="Acct108D00S">[4]FuncStudy!$F$2059</definedName>
    <definedName name="Acct108DSS">[4]FuncStudy!$F$2063</definedName>
    <definedName name="Acct228.42TROJD" localSheetId="2">'[5]Func Study'!#REF!</definedName>
    <definedName name="Acct228.42TROJD">'[5]Func Study'!#REF!</definedName>
    <definedName name="ACCT2281">[4]FuncStudy!$F$1848</definedName>
    <definedName name="Acct2282">[4]FuncStudy!$F$1852</definedName>
    <definedName name="Acct2283">[4]FuncStudy!$F$1857</definedName>
    <definedName name="Acct2283S">[4]FuncStudy!$F$1861</definedName>
    <definedName name="Acct22842">[4]FuncStudy!$F$1870</definedName>
    <definedName name="Acct22842TROJD" localSheetId="2">'[5]Func Study'!#REF!</definedName>
    <definedName name="Acct22842TROJD">'[5]Func Study'!#REF!</definedName>
    <definedName name="Acct228SO">[4]FuncStudy!$F$1851</definedName>
    <definedName name="ACCT25398">[4]FuncStudy!$F$1882</definedName>
    <definedName name="Acct25399">[4]FuncStudy!$F$1889</definedName>
    <definedName name="Acct254">[4]FuncStudy!$F$1866</definedName>
    <definedName name="Acct282DITBAL">[4]FuncStudy!$F$1914</definedName>
    <definedName name="Acct350">[4]FuncStudy!$F$1324</definedName>
    <definedName name="Acct352">[4]FuncStudy!$F$1331</definedName>
    <definedName name="Acct353">[4]FuncStudy!$F$1337</definedName>
    <definedName name="Acct354">[4]FuncStudy!$F$1343</definedName>
    <definedName name="Acct355">[4]FuncStudy!$F$1349</definedName>
    <definedName name="Acct356">[4]FuncStudy!$F$1355</definedName>
    <definedName name="Acct357">[4]FuncStudy!$F$1361</definedName>
    <definedName name="Acct358">[4]FuncStudy!$F$1367</definedName>
    <definedName name="Acct359">[4]FuncStudy!$F$1373</definedName>
    <definedName name="Acct360">[4]FuncStudy!$F$1389</definedName>
    <definedName name="Acct361">[4]FuncStudy!$F$1395</definedName>
    <definedName name="Acct362">[4]FuncStudy!$F$1401</definedName>
    <definedName name="Acct364">[4]FuncStudy!$F$1408</definedName>
    <definedName name="Acct365">[4]FuncStudy!$F$1415</definedName>
    <definedName name="Acct366">[4]FuncStudy!$F$1422</definedName>
    <definedName name="Acct367">[4]FuncStudy!$F$1429</definedName>
    <definedName name="Acct368">[4]FuncStudy!$F$1435</definedName>
    <definedName name="Acct369">[4]FuncStudy!$F$1442</definedName>
    <definedName name="Acct370">[4]FuncStudy!$F$1448</definedName>
    <definedName name="Acct371">[4]FuncStudy!$F$1455</definedName>
    <definedName name="Acct372">[4]FuncStudy!$F$1462</definedName>
    <definedName name="Acct372A">[4]FuncStudy!$F$1461</definedName>
    <definedName name="Acct372DP">[4]FuncStudy!$F$1459</definedName>
    <definedName name="Acct372DS">[4]FuncStudy!$F$1460</definedName>
    <definedName name="Acct373">[4]FuncStudy!$F$1468</definedName>
    <definedName name="Acct444S">[4]FuncStudy!$F$105</definedName>
    <definedName name="Acct447DGU" localSheetId="2">'[5]Func Study'!#REF!</definedName>
    <definedName name="Acct447DGU">'[5]Func Study'!#REF!</definedName>
    <definedName name="Acct448S">[4]FuncStudy!$F$114</definedName>
    <definedName name="Acct450S">[4]FuncStudy!$F$139</definedName>
    <definedName name="Acct451S">[4]FuncStudy!$F$144</definedName>
    <definedName name="Acct454S">[4]FuncStudy!$F$154</definedName>
    <definedName name="Acct456S">[4]FuncStudy!$F$160</definedName>
    <definedName name="Acct580">[4]FuncStudy!$F$537</definedName>
    <definedName name="Acct581">[4]FuncStudy!$F$542</definedName>
    <definedName name="Acct582">[4]FuncStudy!$F$547</definedName>
    <definedName name="Acct583">[4]FuncStudy!$F$552</definedName>
    <definedName name="Acct584">[4]FuncStudy!$F$557</definedName>
    <definedName name="Acct585">[4]FuncStudy!$F$562</definedName>
    <definedName name="Acct586">[4]FuncStudy!$F$567</definedName>
    <definedName name="Acct587">[4]FuncStudy!$F$572</definedName>
    <definedName name="Acct588">[4]FuncStudy!$F$577</definedName>
    <definedName name="Acct589">[4]FuncStudy!$F$582</definedName>
    <definedName name="Acct590">[4]FuncStudy!$F$587</definedName>
    <definedName name="Acct591">[4]FuncStudy!$F$592</definedName>
    <definedName name="Acct592">[4]FuncStudy!$F$597</definedName>
    <definedName name="Acct593">[4]FuncStudy!$F$602</definedName>
    <definedName name="Acct594">[4]FuncStudy!$F$607</definedName>
    <definedName name="Acct595">[4]FuncStudy!$F$612</definedName>
    <definedName name="Acct596">[4]FuncStudy!$F$617</definedName>
    <definedName name="Acct597">[4]FuncStudy!$F$622</definedName>
    <definedName name="Acct598">[4]FuncStudy!$F$627</definedName>
    <definedName name="Acct928RE">[4]FuncStudy!$F$750</definedName>
    <definedName name="AcctAGA">[4]FuncStudy!$F$133</definedName>
    <definedName name="AcctTable">[6]Variables!$AK$42:$AK$396</definedName>
    <definedName name="AcctTS0">[4]FuncStudy!$F$1381</definedName>
    <definedName name="ActualROE">[7]FuncStudy!$E$61</definedName>
    <definedName name="actualror">[8]WorkArea!$F$86</definedName>
    <definedName name="Adjs2avg">[9]Inputs!$L$255:'[9]Inputs'!$T$505</definedName>
    <definedName name="ALL" localSheetId="2">#REF!</definedName>
    <definedName name="ALL">#REF!</definedName>
    <definedName name="all_months" localSheetId="2">#REF!</definedName>
    <definedName name="all_months">#REF!</definedName>
    <definedName name="APR" localSheetId="2">#REF!</definedName>
    <definedName name="APR" localSheetId="3">#REF!</definedName>
    <definedName name="APR">#REF!</definedName>
    <definedName name="APRT" localSheetId="2">#REF!</definedName>
    <definedName name="APRT" localSheetId="3">#REF!</definedName>
    <definedName name="APRT">#REF!</definedName>
    <definedName name="AT_48" localSheetId="2">#REF!</definedName>
    <definedName name="AT_48">#REF!</definedName>
    <definedName name="AUG" localSheetId="2">#REF!</definedName>
    <definedName name="AUG" localSheetId="3">#REF!</definedName>
    <definedName name="AUG">#REF!</definedName>
    <definedName name="AUGT" localSheetId="2">#REF!</definedName>
    <definedName name="AUGT" localSheetId="3">#REF!</definedName>
    <definedName name="AUGT">#REF!</definedName>
    <definedName name="AvgFactors">[6]Factors!$B$3:$P$99</definedName>
    <definedName name="BACK1" localSheetId="2">#REF!</definedName>
    <definedName name="BACK1" localSheetId="3">#REF!</definedName>
    <definedName name="BACK1">#REF!</definedName>
    <definedName name="BACK2" localSheetId="2">#REF!</definedName>
    <definedName name="BACK2" localSheetId="3">#REF!</definedName>
    <definedName name="BACK2">#REF!</definedName>
    <definedName name="BACK3" localSheetId="2">#REF!</definedName>
    <definedName name="BACK3" localSheetId="3">#REF!</definedName>
    <definedName name="BACK3">#REF!</definedName>
    <definedName name="BACKUP1" localSheetId="2">#REF!</definedName>
    <definedName name="BACKUP1" localSheetId="3">#REF!</definedName>
    <definedName name="BACKUP1">#REF!</definedName>
    <definedName name="Baseline" localSheetId="2">#REF!</definedName>
    <definedName name="Baseline">#REF!</definedName>
    <definedName name="BLOCK" localSheetId="2">#REF!</definedName>
    <definedName name="BLOCK">#REF!</definedName>
    <definedName name="BLOCKTOP" localSheetId="2">#REF!</definedName>
    <definedName name="BLOCKTOP">#REF!</definedName>
    <definedName name="BOOKADJ" localSheetId="2">#REF!</definedName>
    <definedName name="BOOKADJ" localSheetId="3">#REF!</definedName>
    <definedName name="BOOKADJ">#REF!</definedName>
    <definedName name="cap" localSheetId="3">[10]Readings!$B$2</definedName>
    <definedName name="cap">[10]Readings!$B$2</definedName>
    <definedName name="Capacity" localSheetId="2">#REF!</definedName>
    <definedName name="Capacity">#REF!</definedName>
    <definedName name="Check" localSheetId="2">#REF!</definedName>
    <definedName name="Check">#REF!</definedName>
    <definedName name="Classification">[4]FuncStudy!$Y$91</definedName>
    <definedName name="COMADJ" localSheetId="2">#REF!</definedName>
    <definedName name="COMADJ" localSheetId="3">#REF!</definedName>
    <definedName name="COMADJ">#REF!</definedName>
    <definedName name="Comn">[7]Inputs!$K$21</definedName>
    <definedName name="COMP" localSheetId="2">#REF!</definedName>
    <definedName name="COMP" localSheetId="3">#REF!</definedName>
    <definedName name="COMP">#REF!</definedName>
    <definedName name="COMPACTUAL" localSheetId="2">#REF!</definedName>
    <definedName name="COMPACTUAL" localSheetId="3">#REF!</definedName>
    <definedName name="COMPACTUAL">#REF!</definedName>
    <definedName name="COMPT" localSheetId="2">#REF!</definedName>
    <definedName name="COMPT" localSheetId="3">#REF!</definedName>
    <definedName name="COMPT">#REF!</definedName>
    <definedName name="COMPWEATHER" localSheetId="2">#REF!</definedName>
    <definedName name="COMPWEATHER" localSheetId="3">#REF!</definedName>
    <definedName name="COMPWEATHER">#REF!</definedName>
    <definedName name="copy" localSheetId="2" hidden="1">#REF!</definedName>
    <definedName name="copy" hidden="1">#REF!</definedName>
    <definedName name="COSFacVal">[4]Inputs!$W$11</definedName>
    <definedName name="_xlnm.Database" localSheetId="2">[11]Invoice!#REF!</definedName>
    <definedName name="_xlnm.Database" localSheetId="3">[11]Invoice!#REF!</definedName>
    <definedName name="_xlnm.Database">[11]Invoice!#REF!</definedName>
    <definedName name="DATE" localSheetId="2">[12]Jan!#REF!</definedName>
    <definedName name="DATE">[12]Jan!#REF!</definedName>
    <definedName name="Debt_">[7]Inputs!$K$19</definedName>
    <definedName name="DEC" localSheetId="2">#REF!</definedName>
    <definedName name="DEC" localSheetId="3">#REF!</definedName>
    <definedName name="DEC">#REF!</definedName>
    <definedName name="DECT" localSheetId="2">#REF!</definedName>
    <definedName name="DECT" localSheetId="3">#REF!</definedName>
    <definedName name="DECT">#REF!</definedName>
    <definedName name="Demand">[5]Inputs!$D$8</definedName>
    <definedName name="Demand2">[4]Inputs!$D$10</definedName>
    <definedName name="Dis">[4]FuncStudy!$Y$90</definedName>
    <definedName name="DisFac">'[4]Func Dist Factor Table'!$A$11:$G$25</definedName>
    <definedName name="Dist_factor" localSheetId="2">#REF!</definedName>
    <definedName name="Dist_factor" localSheetId="3">#REF!</definedName>
    <definedName name="Dist_factor">#REF!</definedName>
    <definedName name="dsd" localSheetId="2" hidden="1">[3]Inputs!#REF!</definedName>
    <definedName name="dsd" hidden="1">[3]Inputs!#REF!</definedName>
    <definedName name="DUDE" localSheetId="2" hidden="1">#REF!</definedName>
    <definedName name="DUDE" localSheetId="3" hidden="1">#REF!</definedName>
    <definedName name="DUDE" hidden="1">#REF!</definedName>
    <definedName name="energy" localSheetId="3">[10]Readings!$B$3</definedName>
    <definedName name="energy">[10]Readings!$B$3</definedName>
    <definedName name="Engy">[5]Inputs!$D$9</definedName>
    <definedName name="f101top" localSheetId="2">#REF!</definedName>
    <definedName name="f101top" localSheetId="3">#REF!</definedName>
    <definedName name="f101top">#REF!</definedName>
    <definedName name="f104top" localSheetId="2">#REF!</definedName>
    <definedName name="f104top" localSheetId="3">#REF!</definedName>
    <definedName name="f104top">#REF!</definedName>
    <definedName name="f138top" localSheetId="2">#REF!</definedName>
    <definedName name="f138top" localSheetId="3">#REF!</definedName>
    <definedName name="f138top">#REF!</definedName>
    <definedName name="f140top" localSheetId="2">#REF!</definedName>
    <definedName name="f140top" localSheetId="3">#REF!</definedName>
    <definedName name="f140top">#REF!</definedName>
    <definedName name="Factorck">'[4]COS Factor Table'!$Q$15:$Q$136</definedName>
    <definedName name="FactorType">[6]Variables!$AK$2:$AL$12</definedName>
    <definedName name="FACTP" localSheetId="2">#REF!</definedName>
    <definedName name="FACTP" localSheetId="3">#REF!</definedName>
    <definedName name="FACTP">#REF!</definedName>
    <definedName name="FactSum">'[4]COS Factor Table'!$A$14:$Q$137</definedName>
    <definedName name="FEB" localSheetId="2">#REF!</definedName>
    <definedName name="FEB" localSheetId="3">#REF!</definedName>
    <definedName name="FEB">#REF!</definedName>
    <definedName name="FEBT" localSheetId="2">#REF!</definedName>
    <definedName name="FEBT" localSheetId="3">#REF!</definedName>
    <definedName name="FEBT">#REF!</definedName>
    <definedName name="FIX" localSheetId="2">#REF!</definedName>
    <definedName name="FIX">#REF!</definedName>
    <definedName name="FranchiseTax">[9]Variables!$D$26</definedName>
    <definedName name="Func">'[4]Func Factor Table'!$A$10:$H$76</definedName>
    <definedName name="Func_Ftrs" localSheetId="2">#REF!</definedName>
    <definedName name="Func_Ftrs">#REF!</definedName>
    <definedName name="Func_GTD_Percents" localSheetId="2">#REF!</definedName>
    <definedName name="Func_GTD_Percents">#REF!</definedName>
    <definedName name="Func_MC" localSheetId="2">#REF!</definedName>
    <definedName name="Func_MC">#REF!</definedName>
    <definedName name="Func_Percents" localSheetId="2">#REF!</definedName>
    <definedName name="Func_Percents">#REF!</definedName>
    <definedName name="Func_Rev_Req1" localSheetId="2">#REF!</definedName>
    <definedName name="Func_Rev_Req1">#REF!</definedName>
    <definedName name="Func_Rev_Req2" localSheetId="2">#REF!</definedName>
    <definedName name="Func_Rev_Req2">#REF!</definedName>
    <definedName name="Func_Revenue" localSheetId="2">#REF!</definedName>
    <definedName name="Func_Revenue">#REF!</definedName>
    <definedName name="Function">[4]FuncStudy!$Y$90</definedName>
    <definedName name="GREATER10MW" localSheetId="2">#REF!</definedName>
    <definedName name="GREATER10MW" localSheetId="3">#REF!</definedName>
    <definedName name="GREATER10MW">#REF!</definedName>
    <definedName name="GTD_Percents" localSheetId="2">#REF!</definedName>
    <definedName name="GTD_Percents">#REF!</definedName>
    <definedName name="HEIGHT" localSheetId="2">#REF!</definedName>
    <definedName name="HEIGHT">#REF!</definedName>
    <definedName name="ID_0303_RVN_data" localSheetId="2">#REF!</definedName>
    <definedName name="ID_0303_RVN_data">#REF!</definedName>
    <definedName name="IDcontractsRVN" localSheetId="2">#REF!</definedName>
    <definedName name="IDcontractsRVN">#REF!</definedName>
    <definedName name="IncomeTaxOptVal">[4]Inputs!$Y$11</definedName>
    <definedName name="INDADJ" localSheetId="2">#REF!</definedName>
    <definedName name="INDADJ" localSheetId="3">#REF!</definedName>
    <definedName name="INDADJ">#REF!</definedName>
    <definedName name="INPUT" localSheetId="2">[13]Summary!#REF!</definedName>
    <definedName name="INPUT" localSheetId="3">[13]Summary!#REF!</definedName>
    <definedName name="INPUT">[13]Summary!#REF!</definedName>
    <definedName name="Instructions" localSheetId="2">#REF!</definedName>
    <definedName name="Instructions" localSheetId="3">#REF!</definedName>
    <definedName name="Instructions">#REF!</definedName>
    <definedName name="IRR" localSheetId="2">#REF!</definedName>
    <definedName name="IRR">#REF!</definedName>
    <definedName name="IRRIGATION" localSheetId="2">#REF!</definedName>
    <definedName name="IRRIGATION">#REF!</definedName>
    <definedName name="JAN" localSheetId="2">#REF!</definedName>
    <definedName name="JAN" localSheetId="3">#REF!</definedName>
    <definedName name="JAN">#REF!</definedName>
    <definedName name="JANT" localSheetId="2">#REF!</definedName>
    <definedName name="JANT" localSheetId="3">#REF!</definedName>
    <definedName name="JANT">#REF!</definedName>
    <definedName name="JUL" localSheetId="2">#REF!</definedName>
    <definedName name="JUL" localSheetId="3">#REF!</definedName>
    <definedName name="JUL">#REF!</definedName>
    <definedName name="JULT" localSheetId="2">#REF!</definedName>
    <definedName name="JULT" localSheetId="3">#REF!</definedName>
    <definedName name="JULT">#REF!</definedName>
    <definedName name="JUN" localSheetId="2">#REF!</definedName>
    <definedName name="JUN" localSheetId="3">#REF!</definedName>
    <definedName name="JUN">#REF!</definedName>
    <definedName name="JUNT" localSheetId="2">#REF!</definedName>
    <definedName name="JUNT" localSheetId="3">#REF!</definedName>
    <definedName name="JUNT">#REF!</definedName>
    <definedName name="Jurisdiction">[6]Variables!$AK$15</definedName>
    <definedName name="JurisNumber">[6]Variables!$AL$15</definedName>
    <definedName name="LABORMOD" localSheetId="2">#REF!</definedName>
    <definedName name="LABORMOD">#REF!</definedName>
    <definedName name="LABORROLL" localSheetId="2">#REF!</definedName>
    <definedName name="LABORROLL">#REF!</definedName>
    <definedName name="limcount" hidden="1">1</definedName>
    <definedName name="Line_Ext_Credit" localSheetId="2">#REF!</definedName>
    <definedName name="Line_Ext_Credit">#REF!</definedName>
    <definedName name="LinkCos">'[4]JAM Download'!$I$4</definedName>
    <definedName name="LOG" localSheetId="2">[14]Backup!#REF!</definedName>
    <definedName name="LOG" localSheetId="3">[14]Backup!#REF!</definedName>
    <definedName name="LOG">[14]Backup!#REF!</definedName>
    <definedName name="LOSS" localSheetId="2">[14]Backup!#REF!</definedName>
    <definedName name="LOSS" localSheetId="3">[14]Backup!#REF!</definedName>
    <definedName name="LOSS">[14]Backup!#REF!</definedName>
    <definedName name="MACTIT" localSheetId="2">#REF!</definedName>
    <definedName name="MACTIT" localSheetId="3">#REF!</definedName>
    <definedName name="MACTIT">#REF!</definedName>
    <definedName name="MAR" localSheetId="2">#REF!</definedName>
    <definedName name="MAR" localSheetId="3">#REF!</definedName>
    <definedName name="MAR">#REF!</definedName>
    <definedName name="MART" localSheetId="2">#REF!</definedName>
    <definedName name="MART" localSheetId="3">#REF!</definedName>
    <definedName name="MART">#REF!</definedName>
    <definedName name="MAY" localSheetId="2">#REF!</definedName>
    <definedName name="MAY" localSheetId="3">#REF!</definedName>
    <definedName name="MAY">#REF!</definedName>
    <definedName name="MAYT" localSheetId="2">#REF!</definedName>
    <definedName name="MAYT" localSheetId="3">#REF!</definedName>
    <definedName name="MAYT">#REF!</definedName>
    <definedName name="MCtoREV" localSheetId="2">#REF!</definedName>
    <definedName name="MCtoREV">#REF!</definedName>
    <definedName name="MEN" localSheetId="2">[1]Jan!#REF!</definedName>
    <definedName name="MEN">[1]Jan!#REF!</definedName>
    <definedName name="Menu_Begin" localSheetId="2">#REF!</definedName>
    <definedName name="Menu_Begin">#REF!</definedName>
    <definedName name="Menu_Caption" localSheetId="2">#REF!</definedName>
    <definedName name="Menu_Caption">#REF!</definedName>
    <definedName name="Menu_Large" localSheetId="2">[15]MacroBuilder!#REF!</definedName>
    <definedName name="Menu_Large">[15]MacroBuilder!#REF!</definedName>
    <definedName name="Menu_Name" localSheetId="2">#REF!</definedName>
    <definedName name="Menu_Name">#REF!</definedName>
    <definedName name="Menu_OnAction" localSheetId="2">#REF!</definedName>
    <definedName name="Menu_OnAction">#REF!</definedName>
    <definedName name="Menu_Parent" localSheetId="2">#REF!</definedName>
    <definedName name="Menu_Parent">#REF!</definedName>
    <definedName name="Menu_Small" localSheetId="2">[15]MacroBuilder!#REF!</definedName>
    <definedName name="Menu_Small">[15]MacroBuilder!#REF!</definedName>
    <definedName name="Method">[5]Inputs!$C$6</definedName>
    <definedName name="MONTH" localSheetId="2">[14]Backup!#REF!</definedName>
    <definedName name="MONTH" localSheetId="3">[14]Backup!#REF!</definedName>
    <definedName name="MONTH">[14]Backup!#REF!</definedName>
    <definedName name="monthlist" localSheetId="3">[16]Table!$R$2:$S$13</definedName>
    <definedName name="monthlist">[16]Table!$R$2:$S$13</definedName>
    <definedName name="monthtotals" localSheetId="3">'[16]WA SBC'!$D$40:$O$40</definedName>
    <definedName name="monthtotals">'[16]WA SBC'!$D$40:$O$40</definedName>
    <definedName name="MSPAverageInput" localSheetId="2">[17]Inputs!#REF!</definedName>
    <definedName name="MSPAverageInput">[17]Inputs!#REF!</definedName>
    <definedName name="MSPYearEndInput" localSheetId="2">[17]Inputs!#REF!</definedName>
    <definedName name="MSPYearEndInput">[17]Inputs!#REF!</definedName>
    <definedName name="MTKWH" localSheetId="2">#REF!</definedName>
    <definedName name="MTKWH" localSheetId="3">#REF!</definedName>
    <definedName name="MTKWH">#REF!</definedName>
    <definedName name="MTR_YR3">[18]Variables!$E$14</definedName>
    <definedName name="MTREV" localSheetId="2">#REF!</definedName>
    <definedName name="MTREV" localSheetId="3">#REF!</definedName>
    <definedName name="MTREV">#REF!</definedName>
    <definedName name="MULT" localSheetId="2">#REF!</definedName>
    <definedName name="MULT">#REF!</definedName>
    <definedName name="NetLagDays">[4]Inputs!$H$23</definedName>
    <definedName name="NetToGross">[9]Variables!$D$23</definedName>
    <definedName name="NEWMO1" localSheetId="2">[1]Jan!#REF!</definedName>
    <definedName name="NEWMO1">[1]Jan!#REF!</definedName>
    <definedName name="NEWMO2" localSheetId="2">[1]Jan!#REF!</definedName>
    <definedName name="NEWMO2">[1]Jan!#REF!</definedName>
    <definedName name="NEWMONTH" localSheetId="2">[1]Jan!#REF!</definedName>
    <definedName name="NEWMONTH">[1]Jan!#REF!</definedName>
    <definedName name="NONRES" localSheetId="2">#REF!</definedName>
    <definedName name="NONRES">#REF!</definedName>
    <definedName name="NORMALIZE" localSheetId="2">#REF!</definedName>
    <definedName name="NORMALIZE">#REF!</definedName>
    <definedName name="NOV" localSheetId="2">#REF!</definedName>
    <definedName name="NOV" localSheetId="3">#REF!</definedName>
    <definedName name="NOV">#REF!</definedName>
    <definedName name="NOVT" localSheetId="2">#REF!</definedName>
    <definedName name="NOVT" localSheetId="3">#REF!</definedName>
    <definedName name="NOVT">#REF!</definedName>
    <definedName name="NUM" localSheetId="2">#REF!</definedName>
    <definedName name="NUM" localSheetId="3">#REF!</definedName>
    <definedName name="NUM">#REF!</definedName>
    <definedName name="OCT" localSheetId="2">#REF!</definedName>
    <definedName name="OCT" localSheetId="3">#REF!</definedName>
    <definedName name="OCT">#REF!</definedName>
    <definedName name="OCTT" localSheetId="2">#REF!</definedName>
    <definedName name="OCTT" localSheetId="3">#REF!</definedName>
    <definedName name="OCTT">#REF!</definedName>
    <definedName name="OH">[4]Inputs!$D$24</definedName>
    <definedName name="ONE" localSheetId="2">[1]Jan!#REF!</definedName>
    <definedName name="ONE">[1]Jan!#REF!</definedName>
    <definedName name="option">'[8]Dist Misc'!$F$120</definedName>
    <definedName name="OR_305_12mo_endg_200203" localSheetId="2">#REF!</definedName>
    <definedName name="OR_305_12mo_endg_200203">#REF!</definedName>
    <definedName name="P" localSheetId="2">#REF!</definedName>
    <definedName name="P">#REF!</definedName>
    <definedName name="page1" localSheetId="2">[13]Summary!#REF!</definedName>
    <definedName name="page1" localSheetId="3">[13]Summary!#REF!</definedName>
    <definedName name="page1">[13]Summary!#REF!</definedName>
    <definedName name="Page2" localSheetId="2">'[19]Summary Table - Earned'!#REF!</definedName>
    <definedName name="Page2" localSheetId="3">'[19]Summary Table - Earned'!#REF!</definedName>
    <definedName name="Page2">'[19]Summary Table - Earned'!#REF!</definedName>
    <definedName name="PAGE3" localSheetId="2">#REF!</definedName>
    <definedName name="PAGE3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2" localSheetId="2">[15]TransInvest!#REF!</definedName>
    <definedName name="Page62">[15]TransInvest!#REF!</definedName>
    <definedName name="page65" localSheetId="2">#REF!</definedName>
    <definedName name="page65" localSheetId="3">#REF!</definedName>
    <definedName name="page65">#REF!</definedName>
    <definedName name="page66" localSheetId="2">#REF!</definedName>
    <definedName name="page66" localSheetId="3">#REF!</definedName>
    <definedName name="page66">#REF!</definedName>
    <definedName name="page67" localSheetId="2">#REF!</definedName>
    <definedName name="page67" localSheetId="3">#REF!</definedName>
    <definedName name="page67">#REF!</definedName>
    <definedName name="page68" localSheetId="2">#REF!</definedName>
    <definedName name="page68" localSheetId="3">#REF!</definedName>
    <definedName name="page68">#REF!</definedName>
    <definedName name="page69" localSheetId="2">#REF!</definedName>
    <definedName name="page69" localSheetId="3">#REF!</definedName>
    <definedName name="page69">#REF!</definedName>
    <definedName name="Page7" localSheetId="2">#REF!</definedName>
    <definedName name="Page7">#REF!</definedName>
    <definedName name="page8" localSheetId="2">#REF!</definedName>
    <definedName name="page8">#REF!</definedName>
    <definedName name="PALL" localSheetId="2">#REF!</definedName>
    <definedName name="PALL" localSheetId="3">#REF!</definedName>
    <definedName name="PALL">#REF!</definedName>
    <definedName name="PBLOCK" localSheetId="2">#REF!</definedName>
    <definedName name="PBLOCK" localSheetId="3">#REF!</definedName>
    <definedName name="PBLOCK">#REF!</definedName>
    <definedName name="PBLOCKWZ" localSheetId="2">#REF!</definedName>
    <definedName name="PBLOCKWZ" localSheetId="3">#REF!</definedName>
    <definedName name="PBLOCKWZ">#REF!</definedName>
    <definedName name="PCOMP" localSheetId="2">#REF!</definedName>
    <definedName name="PCOMP" localSheetId="3">#REF!</definedName>
    <definedName name="PCOMP">#REF!</definedName>
    <definedName name="PCOMPOSITES" localSheetId="2">#REF!</definedName>
    <definedName name="PCOMPOSITES" localSheetId="3">#REF!</definedName>
    <definedName name="PCOMPOSITES">#REF!</definedName>
    <definedName name="PCOMPWZ" localSheetId="2">#REF!</definedName>
    <definedName name="PCOMPWZ" localSheetId="3">#REF!</definedName>
    <definedName name="PCOMPWZ">#REF!</definedName>
    <definedName name="PeakMethod">[5]Inputs!$T$5</definedName>
    <definedName name="PLUG" localSheetId="2">#REF!</definedName>
    <definedName name="PLUG">#REF!</definedName>
    <definedName name="PMAC" localSheetId="2">[14]Backup!#REF!</definedName>
    <definedName name="PMAC" localSheetId="3">[14]Backup!#REF!</definedName>
    <definedName name="PMAC">[14]Backup!#REF!</definedName>
    <definedName name="Pref_">[7]Inputs!$K$20</definedName>
    <definedName name="PRESENT" localSheetId="2">#REF!</definedName>
    <definedName name="PRESENT" localSheetId="3">#REF!</definedName>
    <definedName name="PRESENT">#REF!</definedName>
    <definedName name="PRICCHNG" localSheetId="2">#REF!</definedName>
    <definedName name="PRICCHNG" localSheetId="3">#REF!</definedName>
    <definedName name="PRICCHNG">#REF!</definedName>
    <definedName name="_xlnm.Print_Area" localSheetId="1">'Page 2 - Proposed Surcharge'!$A$1:$K$32</definedName>
    <definedName name="_xlnm.Print_Area" localSheetId="2">'Page 3 - Proposed Credit'!$A$1:$I$34</definedName>
    <definedName name="_xlnm.Print_Area" localSheetId="3">'Table 2'!$A$1:$M$139</definedName>
    <definedName name="_xlnm.Print_Area" localSheetId="5">'Table C (Acct Detail)'!$A$1:$I$56</definedName>
    <definedName name="_xlnm.Print_Area" localSheetId="6">'Table D (Benefit Cost Ratios) '!$A$3:$J$42</definedName>
    <definedName name="_xlnm.Print_Area">#REF!</definedName>
    <definedName name="_xlnm.Print_Titles" localSheetId="3">'Table 2'!$A:$C,'Table 2'!$1:$13</definedName>
    <definedName name="PROPOSED" localSheetId="2">#REF!</definedName>
    <definedName name="PROPOSED">#REF!</definedName>
    <definedName name="ProRate1" localSheetId="2">#REF!</definedName>
    <definedName name="ProRate1">#REF!</definedName>
    <definedName name="PTABLES" localSheetId="2">#REF!</definedName>
    <definedName name="PTABLES" localSheetId="3">#REF!</definedName>
    <definedName name="PTABLES">#REF!</definedName>
    <definedName name="PTDMOD" localSheetId="2">#REF!</definedName>
    <definedName name="PTDMOD">#REF!</definedName>
    <definedName name="PTDROLL" localSheetId="2">#REF!</definedName>
    <definedName name="PTDROLL">#REF!</definedName>
    <definedName name="PTMOD" localSheetId="2">#REF!</definedName>
    <definedName name="PTMOD">#REF!</definedName>
    <definedName name="PTROLL" localSheetId="2">#REF!</definedName>
    <definedName name="PTROLL">#REF!</definedName>
    <definedName name="PWORKBACK" localSheetId="2">#REF!</definedName>
    <definedName name="PWORKBACK" localSheetId="3">#REF!</definedName>
    <definedName name="PWORKBACK">#REF!</definedName>
    <definedName name="Query1" localSheetId="2">#REF!</definedName>
    <definedName name="Query1">#REF!</definedName>
    <definedName name="RateCd" localSheetId="2">#REF!</definedName>
    <definedName name="RateCd" localSheetId="3">#REF!</definedName>
    <definedName name="RateCd">#REF!</definedName>
    <definedName name="Rates" localSheetId="2">#REF!</definedName>
    <definedName name="Rates">#REF!</definedName>
    <definedName name="RC_ADJ" localSheetId="2">#REF!</definedName>
    <definedName name="RC_ADJ" localSheetId="3">#REF!</definedName>
    <definedName name="RC_ADJ">#REF!</definedName>
    <definedName name="RESADJ" localSheetId="2">#REF!</definedName>
    <definedName name="RESADJ" localSheetId="3">#REF!</definedName>
    <definedName name="RESADJ">#REF!</definedName>
    <definedName name="RESIDENTIAL" localSheetId="2">#REF!</definedName>
    <definedName name="RESIDENTIAL">#REF!</definedName>
    <definedName name="ResourceSupplier">[9]Variables!$D$28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 localSheetId="2">#REF!</definedName>
    <definedName name="REV_SCHD" localSheetId="3">#REF!</definedName>
    <definedName name="REV_SCHD">#REF!</definedName>
    <definedName name="RevCl" localSheetId="2">#REF!</definedName>
    <definedName name="RevCl" localSheetId="3">#REF!</definedName>
    <definedName name="RevCl">#REF!</definedName>
    <definedName name="RevClass" localSheetId="2">#REF!</definedName>
    <definedName name="RevClass">#REF!</definedName>
    <definedName name="Revenue_by_month_take_2" localSheetId="2">#REF!</definedName>
    <definedName name="Revenue_by_month_take_2">#REF!</definedName>
    <definedName name="revenue3" localSheetId="2">#REF!</definedName>
    <definedName name="revenue3">#REF!</definedName>
    <definedName name="RevenueCheck" localSheetId="2">#REF!</definedName>
    <definedName name="RevenueCheck">#REF!</definedName>
    <definedName name="Revenues" localSheetId="2">#REF!</definedName>
    <definedName name="Revenues">#REF!</definedName>
    <definedName name="RevReqSettle" localSheetId="2">#REF!</definedName>
    <definedName name="RevReqSettle" localSheetId="3">#REF!</definedName>
    <definedName name="RevReqSettle">#REF!</definedName>
    <definedName name="REVVSTRS" localSheetId="2">#REF!</definedName>
    <definedName name="REVVSTRS" localSheetId="3">#REF!</definedName>
    <definedName name="REVVSTRS">#REF!</definedName>
    <definedName name="RISFORM" localSheetId="2">#REF!</definedName>
    <definedName name="RISFORM">#REF!</definedName>
    <definedName name="SAPBEXwbID" hidden="1">"45EQYSCWE9WJMGB34OOD1BOQZ"</definedName>
    <definedName name="SCH33CUSTS" localSheetId="2">#REF!</definedName>
    <definedName name="SCH33CUSTS" localSheetId="3">#REF!</definedName>
    <definedName name="SCH33CUSTS">#REF!</definedName>
    <definedName name="SCH48ADJ" localSheetId="2">#REF!</definedName>
    <definedName name="SCH48ADJ" localSheetId="3">#REF!</definedName>
    <definedName name="SCH48ADJ">#REF!</definedName>
    <definedName name="SCH98NOR" localSheetId="2">#REF!</definedName>
    <definedName name="SCH98NOR" localSheetId="3">#REF!</definedName>
    <definedName name="SCH98NOR">#REF!</definedName>
    <definedName name="SCHED47" localSheetId="2">#REF!</definedName>
    <definedName name="SCHED47" localSheetId="3">#REF!</definedName>
    <definedName name="SCHED47">#REF!</definedName>
    <definedName name="se" localSheetId="2">#REF!</definedName>
    <definedName name="se">#REF!</definedName>
    <definedName name="SECOND" localSheetId="2">[1]Jan!#REF!</definedName>
    <definedName name="SECOND">[1]Jan!#REF!</definedName>
    <definedName name="SEP" localSheetId="2">#REF!</definedName>
    <definedName name="SEP" localSheetId="3">#REF!</definedName>
    <definedName name="SEP">#REF!</definedName>
    <definedName name="SEPT" localSheetId="2">#REF!</definedName>
    <definedName name="SEPT" localSheetId="3">#REF!</definedName>
    <definedName name="SEPT">#REF!</definedName>
    <definedName name="September_2001_305_Detail" localSheetId="2">#REF!</definedName>
    <definedName name="September_2001_305_Detail">#REF!</definedName>
    <definedName name="SERVICES_3" localSheetId="2">#REF!</definedName>
    <definedName name="SERVICES_3">#REF!</definedName>
    <definedName name="sg" localSheetId="2">#REF!</definedName>
    <definedName name="sg">#REF!</definedName>
    <definedName name="SITRate">[4]Inputs!$H$20</definedName>
    <definedName name="START" localSheetId="2">[1]Jan!#REF!</definedName>
    <definedName name="START">[1]Jan!#REF!</definedName>
    <definedName name="State">[4]Inputs!$C$5</definedName>
    <definedName name="SUM_TAB1" localSheetId="2">#REF!</definedName>
    <definedName name="SUM_TAB1" localSheetId="3">#REF!</definedName>
    <definedName name="SUM_TAB1">#REF!</definedName>
    <definedName name="SUM_TAB2" localSheetId="2">#REF!</definedName>
    <definedName name="SUM_TAB2" localSheetId="3">#REF!</definedName>
    <definedName name="SUM_TAB2">#REF!</definedName>
    <definedName name="SUM_TAB3" localSheetId="2">#REF!</definedName>
    <definedName name="SUM_TAB3" localSheetId="3">#REF!</definedName>
    <definedName name="SUM_TAB3">#REF!</definedName>
    <definedName name="TABLE_1" localSheetId="2">#REF!</definedName>
    <definedName name="TABLE_1">#REF!</definedName>
    <definedName name="TABLE_2" localSheetId="2">#REF!</definedName>
    <definedName name="TABLE_2" localSheetId="3">#REF!</definedName>
    <definedName name="TABLE_2">#REF!</definedName>
    <definedName name="TABLE_3" localSheetId="2">#REF!</definedName>
    <definedName name="TABLE_3">#REF!</definedName>
    <definedName name="TABLE_4" localSheetId="2">#REF!</definedName>
    <definedName name="TABLE_4">#REF!</definedName>
    <definedName name="TABLE_4_A" localSheetId="2">#REF!</definedName>
    <definedName name="TABLE_4_A">#REF!</definedName>
    <definedName name="TABLE_5" localSheetId="2">#REF!</definedName>
    <definedName name="TABLE_5">#REF!</definedName>
    <definedName name="TABLE_6" localSheetId="2">#REF!</definedName>
    <definedName name="TABLE_6">#REF!</definedName>
    <definedName name="TABLE_7" localSheetId="2">#REF!</definedName>
    <definedName name="TABLE_7">#REF!</definedName>
    <definedName name="TABLE1" localSheetId="2">#REF!</definedName>
    <definedName name="TABLE1" localSheetId="3">#REF!</definedName>
    <definedName name="TABLE1">#REF!</definedName>
    <definedName name="TABLE2" localSheetId="2">#REF!</definedName>
    <definedName name="TABLE2" localSheetId="3">#REF!</definedName>
    <definedName name="TABLE2">#REF!</definedName>
    <definedName name="TABLEA" localSheetId="2">#REF!</definedName>
    <definedName name="TABLEA" localSheetId="3">#REF!</definedName>
    <definedName name="TABLEA">#REF!</definedName>
    <definedName name="TABLEB" localSheetId="2">#REF!</definedName>
    <definedName name="TABLEB">#REF!</definedName>
    <definedName name="TABLEC" localSheetId="2">#REF!</definedName>
    <definedName name="TABLEC">#REF!</definedName>
    <definedName name="TABLEONE" localSheetId="2">#REF!</definedName>
    <definedName name="TABLEONE">#REF!</definedName>
    <definedName name="Targetror">[8]Variables!$I$38</definedName>
    <definedName name="TDMOD" localSheetId="2">#REF!</definedName>
    <definedName name="TDMOD">#REF!</definedName>
    <definedName name="TDROLL" localSheetId="2">#REF!</definedName>
    <definedName name="TDROLL">#REF!</definedName>
    <definedName name="TEMPADJ" localSheetId="2">#REF!</definedName>
    <definedName name="TEMPADJ" localSheetId="3">#REF!</definedName>
    <definedName name="TEMPADJ">#REF!</definedName>
    <definedName name="Test" localSheetId="2">#REF!</definedName>
    <definedName name="Test" localSheetId="3">#REF!</definedName>
    <definedName name="Test">#REF!</definedName>
    <definedName name="Test1" localSheetId="2">#REF!</definedName>
    <definedName name="Test1" localSheetId="3">#REF!</definedName>
    <definedName name="Test1">#REF!</definedName>
    <definedName name="Test2" localSheetId="2">#REF!</definedName>
    <definedName name="Test2" localSheetId="3">#REF!</definedName>
    <definedName name="Test2">#REF!</definedName>
    <definedName name="Test3" localSheetId="2">#REF!</definedName>
    <definedName name="Test3" localSheetId="3">#REF!</definedName>
    <definedName name="Test3">#REF!</definedName>
    <definedName name="Test4" localSheetId="2">#REF!</definedName>
    <definedName name="Test4" localSheetId="3">#REF!</definedName>
    <definedName name="Test4">#REF!</definedName>
    <definedName name="Test5" localSheetId="2">#REF!</definedName>
    <definedName name="Test5" localSheetId="3">#REF!</definedName>
    <definedName name="Test5">#REF!</definedName>
    <definedName name="TestPeriod">[4]Inputs!$C$6</definedName>
    <definedName name="TotalRateBase">'[4]G+T+D+R+M'!$H$58</definedName>
    <definedName name="TotTaxRate">[4]Inputs!$H$17</definedName>
    <definedName name="TRANSM_2" localSheetId="3">[20]Transm2!$A$1:$M$461:'[20]10 Yr FC'!$M$47</definedName>
    <definedName name="TRANSM_2">[20]Transm2!$A$1:$M$461:'[20]10 Yr FC'!$M$47</definedName>
    <definedName name="UAACT550SGW">[4]FuncStudy!$Y$406</definedName>
    <definedName name="UAACT554SGW">[4]FuncStudy!$Y$428</definedName>
    <definedName name="UAcct103">[4]FuncStudy!$Y$1316</definedName>
    <definedName name="UAcct105S">[4]FuncStudy!$Y$1674</definedName>
    <definedName name="UAcct105SEU">[4]FuncStudy!$Y$1678</definedName>
    <definedName name="UAcct105SGG">[4]FuncStudy!$Y$1679</definedName>
    <definedName name="UAcct105SGP1">[4]FuncStudy!$Y$1675</definedName>
    <definedName name="UAcct105SGP2">[4]FuncStudy!$Y$1677</definedName>
    <definedName name="UAcct105SGT">[4]FuncStudy!$Y$1676</definedName>
    <definedName name="UAcct1081390">[4]FuncStudy!$Y$2101</definedName>
    <definedName name="UAcct1081390Rcl">[4]FuncStudy!$Y$2100</definedName>
    <definedName name="UAcct1081399">[4]FuncStudy!$Y$2109</definedName>
    <definedName name="UAcct1081399Rcl">[4]FuncStudy!$Y$2108</definedName>
    <definedName name="UAcct108360">[4]FuncStudy!$Y$2008</definedName>
    <definedName name="UAcct108361">[4]FuncStudy!$Y$2012</definedName>
    <definedName name="UAcct108362">[4]FuncStudy!$Y$2016</definedName>
    <definedName name="UAcct108364">[4]FuncStudy!$Y$2020</definedName>
    <definedName name="UAcct108365">[4]FuncStudy!$Y$2024</definedName>
    <definedName name="UAcct108366">[4]FuncStudy!$Y$2028</definedName>
    <definedName name="UAcct108367">[4]FuncStudy!$Y$2032</definedName>
    <definedName name="UAcct108368">[4]FuncStudy!$Y$2036</definedName>
    <definedName name="UAcct108369">[4]FuncStudy!$Y$2040</definedName>
    <definedName name="UAcct108370">[4]FuncStudy!$Y$2044</definedName>
    <definedName name="UAcct108371">[4]FuncStudy!$Y$2048</definedName>
    <definedName name="UAcct108372">[4]FuncStudy!$Y$2052</definedName>
    <definedName name="UAcct108373">[4]FuncStudy!$Y$2056</definedName>
    <definedName name="UAcct108D">[4]FuncStudy!$Y$2068</definedName>
    <definedName name="UAcct108D00">[4]FuncStudy!$Y$2060</definedName>
    <definedName name="UAcct108Ds">[4]FuncStudy!$Y$2064</definedName>
    <definedName name="UAcct108Ep">[4]FuncStudy!$Y$1990</definedName>
    <definedName name="UAcct108Gpcn">[4]FuncStudy!$Y$2078</definedName>
    <definedName name="UAcct108Gps">[4]FuncStudy!$Y$2074</definedName>
    <definedName name="UAcct108Gpse">[4]FuncStudy!$Y$2080</definedName>
    <definedName name="UAcct108Gpsg">[4]FuncStudy!$Y$2077</definedName>
    <definedName name="UAcct108Gpsgp">[4]FuncStudy!$Y$2075</definedName>
    <definedName name="UAcct108Gpsgu">[4]FuncStudy!$Y$2076</definedName>
    <definedName name="UAcct108Gpso">[4]FuncStudy!$Y$2079</definedName>
    <definedName name="UACCT108GPSSGCH">[4]FuncStudy!$Y$2082</definedName>
    <definedName name="UACCT108GPSSGCT">[4]FuncStudy!$Y$2081</definedName>
    <definedName name="UAcct108Hp">[4]FuncStudy!$Y$1977</definedName>
    <definedName name="UAcct108Mp">[4]FuncStudy!$Y$2094</definedName>
    <definedName name="UAcct108Np">[4]FuncStudy!$Y$1970</definedName>
    <definedName name="UAcct108Op">[4]FuncStudy!$Y$1985</definedName>
    <definedName name="UAcct108Opsgw">[4]FuncStudy!$Y$1982</definedName>
    <definedName name="UAcct108OPSSGCT">[4]FuncStudy!$Y$1984</definedName>
    <definedName name="UAcct108Sp">[4]FuncStudy!$Y$1964</definedName>
    <definedName name="uacct108spssgch">[4]FuncStudy!$Y$1963</definedName>
    <definedName name="UAcct108Tp">[4]FuncStudy!$Y$2004</definedName>
    <definedName name="UAcct111390">[4]FuncStudy!$Y$2161</definedName>
    <definedName name="UAcct111Clg">[4]FuncStudy!$Y$2130</definedName>
    <definedName name="UAcct111Clgcn">[4]FuncStudy!$Y$2126</definedName>
    <definedName name="UAcct111Clgsop">[4]FuncStudy!$Y$2129</definedName>
    <definedName name="UAcct111Clgsou">[4]FuncStudy!$Y$2128</definedName>
    <definedName name="UAcct111Clh">[4]FuncStudy!$Y$2136</definedName>
    <definedName name="UAcct111Cls">[4]FuncStudy!$Y$2121</definedName>
    <definedName name="UAcct111Ipcn">[4]FuncStudy!$Y$2145</definedName>
    <definedName name="UAcct111Ips">[4]FuncStudy!$Y$2140</definedName>
    <definedName name="UAcct111Ipse">[4]FuncStudy!$Y$2143</definedName>
    <definedName name="UAcct111Ipsg">[4]FuncStudy!$Y$2144</definedName>
    <definedName name="UAcct111Ipsgp">[4]FuncStudy!$Y$2141</definedName>
    <definedName name="UAcct111Ipsgu">[4]FuncStudy!$Y$2142</definedName>
    <definedName name="uacct111ipso">[4]FuncStudy!$Y$2148</definedName>
    <definedName name="UACCT111IPSSGCH">[4]FuncStudy!$Y$2147</definedName>
    <definedName name="UAcct114">[4]FuncStudy!$Y$1686</definedName>
    <definedName name="UAcct120">[4]FuncStudy!$Y$1690</definedName>
    <definedName name="UAcct124">[4]FuncStudy!$Y$1695</definedName>
    <definedName name="UAcct141">[4]FuncStudy!$Y$1835</definedName>
    <definedName name="UAcct151">[4]FuncStudy!$Y$1717</definedName>
    <definedName name="uacct151ssech">[4]FuncStudy!$Y$1716</definedName>
    <definedName name="UAcct154">[4]FuncStudy!$Y$1751</definedName>
    <definedName name="uacct154ssgch">[4]FuncStudy!$Y$1750</definedName>
    <definedName name="UAcct163">[4]FuncStudy!$Y$1756</definedName>
    <definedName name="UAcct165">[4]FuncStudy!$Y$1771</definedName>
    <definedName name="UAcct165Se">[4]FuncStudy!$Y$1769</definedName>
    <definedName name="UAcct182">[4]FuncStudy!$Y$1702</definedName>
    <definedName name="UAcct18222">[4]FuncStudy!$Y$1825</definedName>
    <definedName name="UAcct182M">[4]FuncStudy!$Y$1781</definedName>
    <definedName name="UAcct182MSSGCT">[4]FuncStudy!$Y$1779</definedName>
    <definedName name="UAcct186">[4]FuncStudy!$Y$1710</definedName>
    <definedName name="UAcct1869">[4]FuncStudy!$Y$1830</definedName>
    <definedName name="UAcct186M">[4]FuncStudy!$Y$1792</definedName>
    <definedName name="UAcct186Mse">[4]FuncStudy!$Y$1789</definedName>
    <definedName name="UAcct190">[4]FuncStudy!$Y$1904</definedName>
    <definedName name="UAcct190CN">[4]FuncStudy!$Y$1893</definedName>
    <definedName name="UAcct190Dop">[4]FuncStudy!$Y$1894</definedName>
    <definedName name="UACCT190IBT">[4]FuncStudy!$Y$1896</definedName>
    <definedName name="UACCT190SSGCT">[4]FuncStudy!$Y$1903</definedName>
    <definedName name="UACCT2281">[4]FuncStudy!$Y$1848</definedName>
    <definedName name="UAcct2282">[4]FuncStudy!$Y$1852</definedName>
    <definedName name="UAcct2283">[4]FuncStudy!$Y$1857</definedName>
    <definedName name="UAcct2283S">[4]FuncStudy!$Y$1861</definedName>
    <definedName name="UAcct22842">[4]FuncStudy!$Y$1870</definedName>
    <definedName name="UAcct22842Trojd" localSheetId="2">'[5]Func Study'!#REF!</definedName>
    <definedName name="UAcct22842Trojd">'[5]Func Study'!#REF!</definedName>
    <definedName name="UAcct235">[4]FuncStudy!$Y$1844</definedName>
    <definedName name="UAcct252">[4]FuncStudy!$Y$1878</definedName>
    <definedName name="UAcct25316">[4]FuncStudy!$Y$1725</definedName>
    <definedName name="UAcct25317">[4]FuncStudy!$Y$1729</definedName>
    <definedName name="UAcct25318">[4]FuncStudy!$Y$1761</definedName>
    <definedName name="UAcct25319">[4]FuncStudy!$Y$1733</definedName>
    <definedName name="UACCT25398">[4]FuncStudy!$Y$1882</definedName>
    <definedName name="UAcct25399">[4]FuncStudy!$Y$1889</definedName>
    <definedName name="UAcct254">[4]FuncStudy!$Y$1866</definedName>
    <definedName name="UACCT254SO">[4]FuncStudy!$Y$1865</definedName>
    <definedName name="UAcct255">[4]FuncStudy!$Y$1954</definedName>
    <definedName name="UAcct281">[4]FuncStudy!$Y$1910</definedName>
    <definedName name="UAcct282">[4]FuncStudy!$Y$1928</definedName>
    <definedName name="UAcct282So">[4]FuncStudy!$Y$1916</definedName>
    <definedName name="UAcct283">[4]FuncStudy!$Y$1941</definedName>
    <definedName name="UAcct283So">[4]FuncStudy!$Y$1934</definedName>
    <definedName name="UAcct301S">[4]FuncStudy!$Y$1637</definedName>
    <definedName name="UAcct301Sg">[4]FuncStudy!$Y$1639</definedName>
    <definedName name="UAcct301So">[4]FuncStudy!$Y$1638</definedName>
    <definedName name="UAcct302S">[4]FuncStudy!$Y$1642</definedName>
    <definedName name="UAcct302Sg">[4]FuncStudy!$Y$1643</definedName>
    <definedName name="UAcct302Sgp">[4]FuncStudy!$Y$1644</definedName>
    <definedName name="UAcct302Sgu">[4]FuncStudy!$Y$1645</definedName>
    <definedName name="UAcct303Cn">[4]FuncStudy!$Y$1653</definedName>
    <definedName name="UAcct303S">[4]FuncStudy!$Y$1649</definedName>
    <definedName name="UAcct303Se">[4]FuncStudy!$Y$1652</definedName>
    <definedName name="UAcct303Sg">[4]FuncStudy!$Y$1650</definedName>
    <definedName name="UAcct303So">[4]FuncStudy!$Y$1651</definedName>
    <definedName name="UACCT303SSGCT">[4]FuncStudy!$Y$1655</definedName>
    <definedName name="UAcct310">[4]FuncStudy!$Y$1152</definedName>
    <definedName name="uacct310ssgch">[4]FuncStudy!$Y$1151</definedName>
    <definedName name="UAcct311">[4]FuncStudy!$Y$1157</definedName>
    <definedName name="uacct311ssgch">[4]FuncStudy!$Y$1156</definedName>
    <definedName name="UAcct312">[4]FuncStudy!$Y$1162</definedName>
    <definedName name="uacct312ssgch">[4]FuncStudy!$Y$1161</definedName>
    <definedName name="UAcct314">[4]FuncStudy!$Y$1167</definedName>
    <definedName name="uacct314ssgch">[4]FuncStudy!$Y$1166</definedName>
    <definedName name="UAcct315">[4]FuncStudy!$Y$1172</definedName>
    <definedName name="uacct315ssgch">[4]FuncStudy!$Y$1171</definedName>
    <definedName name="UAcct316">[4]FuncStudy!$Y$1177</definedName>
    <definedName name="uacct316ssgch">[4]FuncStudy!$Y$1176</definedName>
    <definedName name="UAcct320">[4]FuncStudy!$Y$1189</definedName>
    <definedName name="UAcct321">[4]FuncStudy!$Y$1193</definedName>
    <definedName name="UAcct322">[4]FuncStudy!$Y$1197</definedName>
    <definedName name="UAcct323">[4]FuncStudy!$Y$1201</definedName>
    <definedName name="UAcct324">[4]FuncStudy!$Y$1205</definedName>
    <definedName name="UAcct325">[4]FuncStudy!$Y$1209</definedName>
    <definedName name="UAcct33">[4]FuncStudy!$Y$131</definedName>
    <definedName name="UAcct330">[4]FuncStudy!$Y$1222</definedName>
    <definedName name="UAcct331">[4]FuncStudy!$Y$1227</definedName>
    <definedName name="UAcct332">[4]FuncStudy!$Y$1232</definedName>
    <definedName name="UAcct333">[4]FuncStudy!$Y$1237</definedName>
    <definedName name="UAcct334">[4]FuncStudy!$Y$1242</definedName>
    <definedName name="UAcct335">[4]FuncStudy!$Y$1247</definedName>
    <definedName name="UAcct336">[4]FuncStudy!$Y$1252</definedName>
    <definedName name="UAcct33T">[4]FuncStudy!$Y$132</definedName>
    <definedName name="UAcct340">[4]FuncStudy!$Y$1267</definedName>
    <definedName name="UAcct340Sgw">[4]FuncStudy!$Y$1265</definedName>
    <definedName name="UAcct341">[4]FuncStudy!$Y$1273</definedName>
    <definedName name="UACCT341SGW">[4]FuncStudy!$Y$1271</definedName>
    <definedName name="uacct341ssgct">[4]FuncStudy!$Y$1272</definedName>
    <definedName name="UAcct342">[4]FuncStudy!$Y$1278</definedName>
    <definedName name="uacct342ssgct">[4]FuncStudy!$Y$1277</definedName>
    <definedName name="UAcct343">[4]FuncStudy!$Y$1285</definedName>
    <definedName name="UAcct343Sgw">[4]FuncStudy!$Y$1283</definedName>
    <definedName name="uacct343sscct">[4]FuncStudy!$Y$1284</definedName>
    <definedName name="UAcct344">[4]FuncStudy!$Y$1292</definedName>
    <definedName name="UACCT344SGW">[4]FuncStudy!$Y$1290</definedName>
    <definedName name="uacct344ssgct">[4]FuncStudy!$Y$1291</definedName>
    <definedName name="UAcct345">[4]FuncStudy!$Y$1298</definedName>
    <definedName name="UACCT345SGW">[4]FuncStudy!$Y$1296</definedName>
    <definedName name="uacct345ssgct">[4]FuncStudy!$Y$1297</definedName>
    <definedName name="UAcct346">[4]FuncStudy!$Y$1304</definedName>
    <definedName name="UAcct346SGW">[4]FuncStudy!$Y$1302</definedName>
    <definedName name="UAcct350">[4]FuncStudy!$Y$1324</definedName>
    <definedName name="UAcct352">[4]FuncStudy!$Y$1331</definedName>
    <definedName name="UAcct353">[4]FuncStudy!$Y$1337</definedName>
    <definedName name="UAcct354">[4]FuncStudy!$Y$1343</definedName>
    <definedName name="UAcct355">[4]FuncStudy!$Y$1349</definedName>
    <definedName name="UAcct356">[4]FuncStudy!$Y$1355</definedName>
    <definedName name="UAcct357">[4]FuncStudy!$Y$1361</definedName>
    <definedName name="UAcct358">[4]FuncStudy!$Y$1367</definedName>
    <definedName name="UAcct359">[4]FuncStudy!$Y$1373</definedName>
    <definedName name="UAcct360">[4]FuncStudy!$Y$1389</definedName>
    <definedName name="UAcct361">[4]FuncStudy!$Y$1395</definedName>
    <definedName name="UAcct362">[4]FuncStudy!$Y$1401</definedName>
    <definedName name="UAcct368">[4]FuncStudy!$Y$1435</definedName>
    <definedName name="UAcct369">[4]FuncStudy!$Y$1442</definedName>
    <definedName name="UAcct370">[4]FuncStudy!$Y$1448</definedName>
    <definedName name="UAcct372A">[4]FuncStudy!$Y$1461</definedName>
    <definedName name="UAcct372Dp">[4]FuncStudy!$Y$1459</definedName>
    <definedName name="UAcct372Ds">[4]FuncStudy!$Y$1460</definedName>
    <definedName name="UAcct373">[4]FuncStudy!$Y$1468</definedName>
    <definedName name="UAcct389Cn">[4]FuncStudy!$Y$1483</definedName>
    <definedName name="UAcct389S">[4]FuncStudy!$Y$1482</definedName>
    <definedName name="UAcct389Sg">[4]FuncStudy!$Y$1485</definedName>
    <definedName name="UAcct389Sgu">[4]FuncStudy!$Y$1484</definedName>
    <definedName name="UAcct389So">[4]FuncStudy!$Y$1486</definedName>
    <definedName name="UAcct390Cn">[4]FuncStudy!$Y$1493</definedName>
    <definedName name="UACCT390LS">[4]FuncStudy!$Y$1602</definedName>
    <definedName name="UAcct390LSG">[4]FuncStudy!$Y$1603</definedName>
    <definedName name="UAcct390LSO">[4]FuncStudy!$Y$1604</definedName>
    <definedName name="UAcct390S">[4]FuncStudy!$Y$1490</definedName>
    <definedName name="UAcct390Sgp">[4]FuncStudy!$Y$1491</definedName>
    <definedName name="UAcct390Sgu">[4]FuncStudy!$Y$1492</definedName>
    <definedName name="UAcct390Sop">[4]FuncStudy!$Y$1494</definedName>
    <definedName name="UAcct390Sou">[4]FuncStudy!$Y$1495</definedName>
    <definedName name="UAcct391Cn">[4]FuncStudy!$Y$1502</definedName>
    <definedName name="UAcct391S">[4]FuncStudy!$Y$1499</definedName>
    <definedName name="UAcct391Se">[4]FuncStudy!$Y$1504</definedName>
    <definedName name="UAcct391Sg">[4]FuncStudy!$Y$1503</definedName>
    <definedName name="UAcct391Sgp">[4]FuncStudy!$Y$1500</definedName>
    <definedName name="UAcct391Sgu">[4]FuncStudy!$Y$1501</definedName>
    <definedName name="UAcct391So">[4]FuncStudy!$Y$1505</definedName>
    <definedName name="uacct391ssgch">[4]FuncStudy!$Y$1506</definedName>
    <definedName name="UACCT391SSGCT">[4]FuncStudy!$Y$1507</definedName>
    <definedName name="UAcct392Cn">[4]FuncStudy!$Y$1514</definedName>
    <definedName name="UAcct392L">[4]FuncStudy!$Y$1612</definedName>
    <definedName name="UACCT392LRCL">[4]FuncStudy!$F$1615</definedName>
    <definedName name="UAcct392S">[4]FuncStudy!$Y$1511</definedName>
    <definedName name="UAcct392Se">[4]FuncStudy!$Y$1516</definedName>
    <definedName name="UAcct392Sg">[4]FuncStudy!$Y$1513</definedName>
    <definedName name="UAcct392Sgp">[4]FuncStudy!$Y$1517</definedName>
    <definedName name="UAcct392Sgu">[4]FuncStudy!$Y$1515</definedName>
    <definedName name="UAcct392So">[4]FuncStudy!$Y$1512</definedName>
    <definedName name="uacct392ssgch">[4]FuncStudy!$Y$1518</definedName>
    <definedName name="uacct392ssgct">[4]FuncStudy!$Y$1519</definedName>
    <definedName name="UAcct393S">[4]FuncStudy!$Y$1523</definedName>
    <definedName name="UAcct393Sg">[4]FuncStudy!$Y$1527</definedName>
    <definedName name="UAcct393Sgp">[4]FuncStudy!$Y$1524</definedName>
    <definedName name="UAcct393Sgu">[4]FuncStudy!$Y$1525</definedName>
    <definedName name="UAcct393So">[4]FuncStudy!$Y$1526</definedName>
    <definedName name="uacct393ssgct">[4]FuncStudy!$Y$1528</definedName>
    <definedName name="UAcct394S">[4]FuncStudy!$Y$1532</definedName>
    <definedName name="UAcct394Se">[4]FuncStudy!$Y$1536</definedName>
    <definedName name="UAcct394Sg">[4]FuncStudy!$Y$1537</definedName>
    <definedName name="UAcct394Sgp">[4]FuncStudy!$Y$1533</definedName>
    <definedName name="UAcct394Sgu">[4]FuncStudy!$Y$1534</definedName>
    <definedName name="UAcct394So">[4]FuncStudy!$Y$1535</definedName>
    <definedName name="UACCT394SSGCH">[4]FuncStudy!$Y$1538</definedName>
    <definedName name="UACCT394SSGCT">[4]FuncStudy!$Y$1539</definedName>
    <definedName name="UAcct395S">[4]FuncStudy!$Y$1543</definedName>
    <definedName name="UAcct395Se">[4]FuncStudy!$Y$1547</definedName>
    <definedName name="UAcct395Sg">[4]FuncStudy!$Y$1548</definedName>
    <definedName name="UAcct395Sgp">[4]FuncStudy!$Y$1544</definedName>
    <definedName name="UAcct395Sgu">[4]FuncStudy!$Y$1545</definedName>
    <definedName name="UAcct395So">[4]FuncStudy!$Y$1546</definedName>
    <definedName name="UACCT395SSGCH">[4]FuncStudy!$Y$1549</definedName>
    <definedName name="UACCT395SSGCT">[4]FuncStudy!$Y$1550</definedName>
    <definedName name="UAcct396S">[4]FuncStudy!$Y$1554</definedName>
    <definedName name="UAcct396Se">[4]FuncStudy!$Y$1559</definedName>
    <definedName name="UAcct396Sg">[4]FuncStudy!$Y$1556</definedName>
    <definedName name="UAcct396Sgp">[4]FuncStudy!$Y$1555</definedName>
    <definedName name="UAcct396Sgu">[4]FuncStudy!$Y$1558</definedName>
    <definedName name="UAcct396So">[4]FuncStudy!$Y$1557</definedName>
    <definedName name="UACCT396SSGCH">[4]FuncStudy!$Y$1561</definedName>
    <definedName name="UACCT396SSGCT">[4]FuncStudy!$Y$1560</definedName>
    <definedName name="UAcct397Cn">[4]FuncStudy!$Y$1569</definedName>
    <definedName name="UAcct397S">[4]FuncStudy!$Y$1565</definedName>
    <definedName name="UAcct397Se">[4]FuncStudy!$Y$1571</definedName>
    <definedName name="UAcct397Sg">[4]FuncStudy!$Y$1570</definedName>
    <definedName name="UAcct397Sgp">[4]FuncStudy!$Y$1566</definedName>
    <definedName name="UAcct397Sgu">[4]FuncStudy!$Y$1567</definedName>
    <definedName name="UAcct397So">[4]FuncStudy!$Y$1568</definedName>
    <definedName name="UACCT397SSGCH">[4]FuncStudy!$Y$1572</definedName>
    <definedName name="UACCT397SSGCT">[4]FuncStudy!$Y$1573</definedName>
    <definedName name="UAcct398Cn">[4]FuncStudy!$Y$1580</definedName>
    <definedName name="UAcct398S">[4]FuncStudy!$Y$1577</definedName>
    <definedName name="UAcct398Se">[4]FuncStudy!$Y$1582</definedName>
    <definedName name="UAcct398Sg">[4]FuncStudy!$Y$1583</definedName>
    <definedName name="UAcct398Sgp">[4]FuncStudy!$Y$1578</definedName>
    <definedName name="UAcct398Sgu">[4]FuncStudy!$Y$1579</definedName>
    <definedName name="UAcct398So">[4]FuncStudy!$Y$1581</definedName>
    <definedName name="UACCT398SSGCT">[4]FuncStudy!$Y$1584</definedName>
    <definedName name="UAcct399">[4]FuncStudy!$Y$1591</definedName>
    <definedName name="UAcct399G">[4]FuncStudy!$Y$1632</definedName>
    <definedName name="UAcct399L">[4]FuncStudy!$Y$1595</definedName>
    <definedName name="UAcct399Lrcl">[4]FuncStudy!$Y$1597</definedName>
    <definedName name="UAcct403360">[4]FuncStudy!$Y$809</definedName>
    <definedName name="UAcct403361">[4]FuncStudy!$Y$810</definedName>
    <definedName name="UAcct403362">[4]FuncStudy!$Y$811</definedName>
    <definedName name="UAcct403364">[4]FuncStudy!$Y$812</definedName>
    <definedName name="UAcct403365">[4]FuncStudy!$Y$813</definedName>
    <definedName name="UAcct403366">[4]FuncStudy!$Y$814</definedName>
    <definedName name="UAcct403367">[4]FuncStudy!$Y$815</definedName>
    <definedName name="UAcct403368">[4]FuncStudy!$Y$816</definedName>
    <definedName name="UAcct403369">[4]FuncStudy!$Y$817</definedName>
    <definedName name="UAcct403370">[4]FuncStudy!$Y$818</definedName>
    <definedName name="UAcct403371">[4]FuncStudy!$Y$819</definedName>
    <definedName name="UAcct403372">[4]FuncStudy!$Y$820</definedName>
    <definedName name="UAcct403373">[4]FuncStudy!$Y$821</definedName>
    <definedName name="UAcct403Ep">[4]FuncStudy!$Y$847</definedName>
    <definedName name="UAcct403Gpcn">[4]FuncStudy!$Y$829</definedName>
    <definedName name="UAcct403Gps">[4]FuncStudy!$Y$825</definedName>
    <definedName name="UAcct403Gpseu">[4]FuncStudy!$Y$828</definedName>
    <definedName name="UAcct403Gpsg">[4]FuncStudy!$Y$830</definedName>
    <definedName name="UAcct403Gpsgp">[4]FuncStudy!$Y$826</definedName>
    <definedName name="UAcct403Gpsgu">[4]FuncStudy!$Y$827</definedName>
    <definedName name="UAcct403Gpso">[4]FuncStudy!$Y$831</definedName>
    <definedName name="uacct403gpssgch">[4]FuncStudy!$Y$833</definedName>
    <definedName name="UACCT403GPSSGCT">[4]FuncStudy!$Y$832</definedName>
    <definedName name="UAcct403Gv0">[4]FuncStudy!$Y$838</definedName>
    <definedName name="UAcct403Hp">[4]FuncStudy!$Y$793</definedName>
    <definedName name="UAcct403Mp">[4]FuncStudy!$Y$842</definedName>
    <definedName name="UAcct403Np">[4]FuncStudy!$Y$788</definedName>
    <definedName name="UAcct403Op">[4]FuncStudy!$Y$800</definedName>
    <definedName name="UAcct403Opsgu">[4]FuncStudy!$Y$797</definedName>
    <definedName name="uacct403opssgct">[4]FuncStudy!$Y$798</definedName>
    <definedName name="uacct403sgw">[4]FuncStudy!$Y$799</definedName>
    <definedName name="uacct403spdgp">[4]FuncStudy!$Y$780</definedName>
    <definedName name="uacct403spdgu">[4]FuncStudy!$Y$781</definedName>
    <definedName name="uacct403spsg">[4]FuncStudy!$Y$782</definedName>
    <definedName name="uacct403ssgch">[4]FuncStudy!$Y$783</definedName>
    <definedName name="UAcct403Tp">[4]FuncStudy!$Y$806</definedName>
    <definedName name="UAcct404330">[4]FuncStudy!$Y$881</definedName>
    <definedName name="UAcct404Clg">[4]FuncStudy!$Y$858</definedName>
    <definedName name="UAcct404Clgsop">[4]FuncStudy!$Y$856</definedName>
    <definedName name="UAcct404Clgsou">[4]FuncStudy!$Y$854</definedName>
    <definedName name="UAcct404Cls">[4]FuncStudy!$Y$862</definedName>
    <definedName name="UAcct404Ipcn">[4]FuncStudy!$Y$868</definedName>
    <definedName name="UACCT404IPDGU">[4]FuncStudy!$Y$870</definedName>
    <definedName name="UAcct404Ips">[4]FuncStudy!$Y$865</definedName>
    <definedName name="UAcct404Ipse">[4]FuncStudy!$Y$866</definedName>
    <definedName name="UACCT404IPSGP">[4]FuncStudy!$Y$869</definedName>
    <definedName name="UAcct404Ipso">[4]FuncStudy!$Y$867</definedName>
    <definedName name="UACCT404IPSSGCH">[4]FuncStudy!$Y$871</definedName>
    <definedName name="UAcct404O">[4]FuncStudy!$Y$876</definedName>
    <definedName name="UAcct405">[4]FuncStudy!$Y$889</definedName>
    <definedName name="UAcct406">[4]FuncStudy!$Y$895</definedName>
    <definedName name="UAcct407">[4]FuncStudy!$Y$904</definedName>
    <definedName name="UAcct408">[4]FuncStudy!$Y$917</definedName>
    <definedName name="UAcct408S">[4]FuncStudy!$Y$909</definedName>
    <definedName name="UAcct40910FITOther">[4]FuncStudy!$Y$1136</definedName>
    <definedName name="UAcct40910FitPMI">[4]FuncStudy!$Y$1134</definedName>
    <definedName name="UAcct40910FITPTC">[4]FuncStudy!$Y$1135</definedName>
    <definedName name="UAcct40910FITSitus">[4]FuncStudy!$Y$1137</definedName>
    <definedName name="UAcct40911Dgu">[4]FuncStudy!$Y$1104</definedName>
    <definedName name="UAcct41010">[4]FuncStudy!$Y$978</definedName>
    <definedName name="UAcct41020">[4]FuncStudy!$Y$993</definedName>
    <definedName name="UAcct41111">[4]FuncStudy!$Y$1027</definedName>
    <definedName name="UAcct41120">[4]FuncStudy!$Y$1012</definedName>
    <definedName name="UAcct41140">[4]FuncStudy!$Y$922</definedName>
    <definedName name="UAcct41141">[4]FuncStudy!$Y$927</definedName>
    <definedName name="UAcct41160">[4]FuncStudy!$Y$178</definedName>
    <definedName name="UAcct41170">[4]FuncStudy!$Y$183</definedName>
    <definedName name="UAcct4118">[4]FuncStudy!$Y$187</definedName>
    <definedName name="UAcct41181">[4]FuncStudy!$Y$190</definedName>
    <definedName name="UAcct4194">[4]FuncStudy!$Y$194</definedName>
    <definedName name="UAcct419Doth">[4]FuncStudy!$Y$958</definedName>
    <definedName name="UAcct421">[4]FuncStudy!$Y$203</definedName>
    <definedName name="UAcct4311">[4]FuncStudy!$Y$210</definedName>
    <definedName name="UAcct442Se">[4]FuncStudy!$Y$100</definedName>
    <definedName name="UAcct442Sg">[4]FuncStudy!$Y$101</definedName>
    <definedName name="UAcct447">[4]FuncStudy!$Y$125</definedName>
    <definedName name="UAcct447Dgu" localSheetId="2">'[5]Func Study'!#REF!</definedName>
    <definedName name="UAcct447Dgu">'[5]Func Study'!#REF!</definedName>
    <definedName name="UAcct447S">[4]FuncStudy!$Y$121</definedName>
    <definedName name="UAcct447Se">[4]FuncStudy!$Y$124</definedName>
    <definedName name="UAcct448S">[4]FuncStudy!$Y$114</definedName>
    <definedName name="UAcct448So">[4]FuncStudy!$Y$115</definedName>
    <definedName name="UAcct449">[4]FuncStudy!$Y$130</definedName>
    <definedName name="UAcct450">[4]FuncStudy!$Y$141</definedName>
    <definedName name="UAcct450S">[4]FuncStudy!$Y$139</definedName>
    <definedName name="UAcct450So">[4]FuncStudy!$Y$140</definedName>
    <definedName name="UAcct451S">[4]FuncStudy!$Y$144</definedName>
    <definedName name="UAcct451Sg">[4]FuncStudy!$Y$145</definedName>
    <definedName name="UAcct451So">[4]FuncStudy!$Y$146</definedName>
    <definedName name="UAcct453">[4]FuncStudy!$Y$151</definedName>
    <definedName name="UAcct454">[4]FuncStudy!$Y$157</definedName>
    <definedName name="UAcct454S">[4]FuncStudy!$Y$154</definedName>
    <definedName name="UAcct454Sg">[4]FuncStudy!$Y$155</definedName>
    <definedName name="UAcct454So">[4]FuncStudy!$Y$156</definedName>
    <definedName name="UAcct456">[4]FuncStudy!$Y$165</definedName>
    <definedName name="UAcct456Cn">[4]FuncStudy!$Y$161</definedName>
    <definedName name="UAcct456S">[4]FuncStudy!$Y$160</definedName>
    <definedName name="UAcct456Se">[4]FuncStudy!$Y$162</definedName>
    <definedName name="UAcct500">[4]FuncStudy!$Y$226</definedName>
    <definedName name="UACCT500SSGCH">[4]FuncStudy!$Y$225</definedName>
    <definedName name="UAcct501">[4]FuncStudy!$Y$234</definedName>
    <definedName name="UAcct501Se">[4]FuncStudy!$Y$229</definedName>
    <definedName name="UACCT501SENNPC">[4]FuncStudy!$Y$230</definedName>
    <definedName name="uacct501ssech">[4]FuncStudy!$Y$233</definedName>
    <definedName name="UACCT501SSECHNNPC">[4]FuncStudy!$Y$232</definedName>
    <definedName name="uacct501ssect">[4]FuncStudy!$Y$231</definedName>
    <definedName name="UAcct502">[4]FuncStudy!$Y$239</definedName>
    <definedName name="uacct502snpps">[4]FuncStudy!$Y$237</definedName>
    <definedName name="uacct502ssgch">[4]FuncStudy!$Y$238</definedName>
    <definedName name="UAcct503">[4]FuncStudy!$Y$244</definedName>
    <definedName name="UAcct503Se">[4]FuncStudy!$Y$242</definedName>
    <definedName name="UACCT503SENNPC">[4]FuncStudy!$Y$243</definedName>
    <definedName name="UAcct505">[4]FuncStudy!$Y$249</definedName>
    <definedName name="uacct505snpps">[4]FuncStudy!$Y$247</definedName>
    <definedName name="uacct505ssgch">[4]FuncStudy!$Y$248</definedName>
    <definedName name="UAcct506">[4]FuncStudy!$Y$255</definedName>
    <definedName name="UAcct506Se">[4]FuncStudy!$Y$253</definedName>
    <definedName name="uacct506snpps">[4]FuncStudy!$Y$252</definedName>
    <definedName name="uacct506ssgch">[4]FuncStudy!$Y$254</definedName>
    <definedName name="UAcct507">[4]FuncStudy!$Y$260</definedName>
    <definedName name="uacct507ssgch">[4]FuncStudy!$Y$259</definedName>
    <definedName name="UAcct510">[4]FuncStudy!$Y$265</definedName>
    <definedName name="uacct510ssgch">[4]FuncStudy!$Y$264</definedName>
    <definedName name="UAcct511">[4]FuncStudy!$Y$270</definedName>
    <definedName name="uacct511ssgch">[4]FuncStudy!$Y$269</definedName>
    <definedName name="UAcct512">[4]FuncStudy!$Y$275</definedName>
    <definedName name="uacct512ssgch">[4]FuncStudy!$Y$274</definedName>
    <definedName name="UAcct513">[4]FuncStudy!$Y$280</definedName>
    <definedName name="uacct513ssgch">[4]FuncStudy!$Y$279</definedName>
    <definedName name="UAcct514">[4]FuncStudy!$Y$285</definedName>
    <definedName name="uacct514ssgch">[4]FuncStudy!$Y$284</definedName>
    <definedName name="UAcct517">[4]FuncStudy!$Y$291</definedName>
    <definedName name="UAcct518">[4]FuncStudy!$Y$295</definedName>
    <definedName name="UAcct519">[4]FuncStudy!$Y$300</definedName>
    <definedName name="UAcct520">[4]FuncStudy!$Y$304</definedName>
    <definedName name="UAcct523">[4]FuncStudy!$Y$308</definedName>
    <definedName name="UAcct524">[4]FuncStudy!$Y$312</definedName>
    <definedName name="UAcct528">[4]FuncStudy!$Y$316</definedName>
    <definedName name="UAcct529">[4]FuncStudy!$Y$320</definedName>
    <definedName name="UAcct530">[4]FuncStudy!$Y$324</definedName>
    <definedName name="UAcct531">[4]FuncStudy!$Y$328</definedName>
    <definedName name="UAcct532">[4]FuncStudy!$Y$332</definedName>
    <definedName name="UAcct535">[4]FuncStudy!$Y$339</definedName>
    <definedName name="UAcct536">[4]FuncStudy!$Y$343</definedName>
    <definedName name="UAcct537">[4]FuncStudy!$Y$347</definedName>
    <definedName name="UAcct538">[4]FuncStudy!$Y$351</definedName>
    <definedName name="UAcct539">[4]FuncStudy!$Y$355</definedName>
    <definedName name="UAcct540">[4]FuncStudy!$Y$359</definedName>
    <definedName name="UAcct541">[4]FuncStudy!$Y$363</definedName>
    <definedName name="UAcct542">[4]FuncStudy!$Y$367</definedName>
    <definedName name="UAcct543">[4]FuncStudy!$Y$371</definedName>
    <definedName name="UAcct544">[4]FuncStudy!$Y$375</definedName>
    <definedName name="UAcct545">[4]FuncStudy!$Y$379</definedName>
    <definedName name="UAcct546">[4]FuncStudy!$Y$386</definedName>
    <definedName name="UAcct547Se">[4]FuncStudy!$Y$389</definedName>
    <definedName name="UACCT547SSECT">[4]FuncStudy!$Y$390</definedName>
    <definedName name="UAcct548">[4]FuncStudy!$Y$396</definedName>
    <definedName name="uacct548ssgct">[4]FuncStudy!$Y$395</definedName>
    <definedName name="UAcct549">[4]FuncStudy!$Y$401</definedName>
    <definedName name="UAcct549sg">[4]FuncStudy!$Y$399</definedName>
    <definedName name="uacct550">[4]FuncStudy!$Y$407</definedName>
    <definedName name="UACCT550sg">[4]FuncStudy!$Y$405</definedName>
    <definedName name="UAcct551">[4]FuncStudy!$Y$411</definedName>
    <definedName name="UAcct552">[4]FuncStudy!$Y$416</definedName>
    <definedName name="UAcct553">[4]FuncStudy!$Y$423</definedName>
    <definedName name="UACCT553SSGCT">[4]FuncStudy!$Y$421</definedName>
    <definedName name="UAcct554">[4]FuncStudy!$Y$429</definedName>
    <definedName name="UAcct554SSCT">[4]FuncStudy!$Y$427</definedName>
    <definedName name="uacct555dgp">[4]FuncStudy!$Y$438</definedName>
    <definedName name="UAcct555Dgu">[4]FuncStudy!$Y$435</definedName>
    <definedName name="UAcct555S">[4]FuncStudy!$Y$434</definedName>
    <definedName name="UAcct555Se">[4]FuncStudy!$Y$436</definedName>
    <definedName name="uacct555ssgp">[4]FuncStudy!$Y$437</definedName>
    <definedName name="UAcct556">[4]FuncStudy!$Y$443</definedName>
    <definedName name="UAcct557">[4]FuncStudy!$Y$452</definedName>
    <definedName name="UACCT557SSGCT">[4]FuncStudy!$Y$450</definedName>
    <definedName name="UAcct560">[4]FuncStudy!$Y$477</definedName>
    <definedName name="UAcct561">[4]FuncStudy!$Y$481</definedName>
    <definedName name="UAcct562">[4]FuncStudy!$Y$485</definedName>
    <definedName name="UAcct563">[4]FuncStudy!$Y$489</definedName>
    <definedName name="UAcct564">[4]FuncStudy!$Y$493</definedName>
    <definedName name="UAcct565">[4]FuncStudy!$Y$498</definedName>
    <definedName name="UAcct565Se">[4]FuncStudy!$Y$497</definedName>
    <definedName name="UAcct566">[4]FuncStudy!$Y$502</definedName>
    <definedName name="UAcct567">[4]FuncStudy!$Y$506</definedName>
    <definedName name="UAcct568">[4]FuncStudy!$Y$510</definedName>
    <definedName name="UAcct569">[4]FuncStudy!$Y$514</definedName>
    <definedName name="UAcct570">[4]FuncStudy!$Y$518</definedName>
    <definedName name="UAcct571">[4]FuncStudy!$Y$522</definedName>
    <definedName name="UAcct572">[4]FuncStudy!$Y$526</definedName>
    <definedName name="UAcct573">[4]FuncStudy!$Y$530</definedName>
    <definedName name="UAcct580">[4]FuncStudy!$Y$537</definedName>
    <definedName name="UAcct581">[4]FuncStudy!$Y$542</definedName>
    <definedName name="UAcct582">[4]FuncStudy!$Y$547</definedName>
    <definedName name="UAcct583">[4]FuncStudy!$Y$552</definedName>
    <definedName name="UAcct584">[4]FuncStudy!$Y$557</definedName>
    <definedName name="UAcct585">[4]FuncStudy!$Y$562</definedName>
    <definedName name="UAcct586">[4]FuncStudy!$Y$567</definedName>
    <definedName name="UAcct587">[4]FuncStudy!$Y$572</definedName>
    <definedName name="UAcct588">[4]FuncStudy!$Y$577</definedName>
    <definedName name="UAcct589">[4]FuncStudy!$Y$582</definedName>
    <definedName name="UAcct590">[4]FuncStudy!$Y$587</definedName>
    <definedName name="UAcct591">[4]FuncStudy!$Y$592</definedName>
    <definedName name="UAcct592">[4]FuncStudy!$Y$597</definedName>
    <definedName name="UAcct593">[4]FuncStudy!$Y$602</definedName>
    <definedName name="UAcct594">[4]FuncStudy!$Y$607</definedName>
    <definedName name="UAcct595">[4]FuncStudy!$Y$612</definedName>
    <definedName name="UAcct596">[4]FuncStudy!$Y$617</definedName>
    <definedName name="UAcct597">[4]FuncStudy!$Y$622</definedName>
    <definedName name="UAcct598">[4]FuncStudy!$Y$627</definedName>
    <definedName name="UAcct901">[4]FuncStudy!$Y$634</definedName>
    <definedName name="UAcct902">[4]FuncStudy!$Y$639</definedName>
    <definedName name="UAcct903">[4]FuncStudy!$Y$644</definedName>
    <definedName name="UAcct904">[4]FuncStudy!$Y$650</definedName>
    <definedName name="UAcct905">[4]FuncStudy!$Y$655</definedName>
    <definedName name="UAcct907">[4]FuncStudy!$Y$662</definedName>
    <definedName name="UAcct908">[4]FuncStudy!$Y$667</definedName>
    <definedName name="UAcct909">[4]FuncStudy!$Y$672</definedName>
    <definedName name="UAcct910">[4]FuncStudy!$Y$677</definedName>
    <definedName name="UAcct911">[4]FuncStudy!$Y$684</definedName>
    <definedName name="UAcct912">[4]FuncStudy!$Y$689</definedName>
    <definedName name="UAcct913">[4]FuncStudy!$Y$694</definedName>
    <definedName name="UAcct916">[4]FuncStudy!$Y$699</definedName>
    <definedName name="UAcct920">[4]FuncStudy!$Y$708</definedName>
    <definedName name="UAcct920Cn">[4]FuncStudy!$Y$706</definedName>
    <definedName name="UAcct921">[4]FuncStudy!$Y$714</definedName>
    <definedName name="UAcct921Cn">[4]FuncStudy!$Y$712</definedName>
    <definedName name="UAcct923">[4]FuncStudy!$Y$720</definedName>
    <definedName name="UAcct923Cn">[4]FuncStudy!$Y$718</definedName>
    <definedName name="UAcct924S">[4]FuncStudy!$Y$723</definedName>
    <definedName name="UACCT924SG">[4]FuncStudy!$Y$724</definedName>
    <definedName name="UAcct924SO">[4]FuncStudy!$Y$725</definedName>
    <definedName name="UAcct925">[4]FuncStudy!$Y$730</definedName>
    <definedName name="UAcct926">[4]FuncStudy!$Y$736</definedName>
    <definedName name="UAcct927">[4]FuncStudy!$Y$741</definedName>
    <definedName name="UAcct928">[4]FuncStudy!$Y$748</definedName>
    <definedName name="UAcct928RE">[4]FuncStudy!$Y$750</definedName>
    <definedName name="UAcct929">[4]FuncStudy!$Y$755</definedName>
    <definedName name="UACCT930cn">[4]FuncStudy!$Y$759</definedName>
    <definedName name="UAcct930S">[4]FuncStudy!$Y$758</definedName>
    <definedName name="UAcct930So">[4]FuncStudy!$Y$760</definedName>
    <definedName name="UAcct931">[4]FuncStudy!$Y$766</definedName>
    <definedName name="UAcct935">[4]FuncStudy!$Y$772</definedName>
    <definedName name="UAcctAGA">[4]FuncStudy!$Y$133</definedName>
    <definedName name="UAcctd00">[4]FuncStudy!$Y$1472</definedName>
    <definedName name="UAcctdfad">[4]FuncStudy!$Y$215</definedName>
    <definedName name="UAcctdfap">[4]FuncStudy!$Y$213</definedName>
    <definedName name="UAcctdfat">[4]FuncStudy!$Y$214</definedName>
    <definedName name="UAcctds0">[4]FuncStudy!$Y$1476</definedName>
    <definedName name="UAcctfit">[4]FuncStudy!$Y$1143</definedName>
    <definedName name="UAcctg00">[4]FuncStudy!$Y$1624</definedName>
    <definedName name="UAccth00">[4]FuncStudy!$Y$1258</definedName>
    <definedName name="UAccti00">[4]FuncStudy!$Y$1666</definedName>
    <definedName name="UAcctn00">[4]FuncStudy!$Y$1214</definedName>
    <definedName name="UAccto00">[4]FuncStudy!$Y$1309</definedName>
    <definedName name="UAcctowc">[4]FuncStudy!$Y$1811</definedName>
    <definedName name="uacctowcssech">[4]FuncStudy!$Y$1810</definedName>
    <definedName name="UAccts00">[4]FuncStudy!$Y$1182</definedName>
    <definedName name="UAcctSchM">[4]FuncStudy!$Y$1121</definedName>
    <definedName name="UAcctt00">[4]FuncStudy!$Y$1377</definedName>
    <definedName name="UACT553SGW">[4]FuncStudy!$Y$422</definedName>
    <definedName name="UNBILREV" localSheetId="2">#REF!</definedName>
    <definedName name="UNBILREV" localSheetId="3">#REF!</definedName>
    <definedName name="UNBILREV">#REF!</definedName>
    <definedName name="UncollectibleAccounts">[9]Variables!$D$25</definedName>
    <definedName name="USBR" localSheetId="2">#REF!</definedName>
    <definedName name="USBR">#REF!</definedName>
    <definedName name="USCHMAFS">[4]FuncStudy!$Y$1032</definedName>
    <definedName name="USCHMAFSE">[4]FuncStudy!$Y$1035</definedName>
    <definedName name="USCHMAFSG">[4]FuncStudy!$Y$1037</definedName>
    <definedName name="USCHMAFSNP">[4]FuncStudy!$Y$1033</definedName>
    <definedName name="USCHMAFSO">[4]FuncStudy!$Y$1034</definedName>
    <definedName name="USCHMAFTROJP">[4]FuncStudy!$Y$1036</definedName>
    <definedName name="USCHMAPBADDEBT">[4]FuncStudy!$Y$1046</definedName>
    <definedName name="USCHMAPS">[4]FuncStudy!$Y$1041</definedName>
    <definedName name="USCHMAPSE">[4]FuncStudy!$Y$1042</definedName>
    <definedName name="USCHMAPSG">[4]FuncStudy!$Y$1045</definedName>
    <definedName name="USCHMAPSNP">[4]FuncStudy!$Y$1043</definedName>
    <definedName name="USCHMAPSO">[4]FuncStudy!$Y$1044</definedName>
    <definedName name="USCHMATBADDEBT">[4]FuncStudy!$Y$1061</definedName>
    <definedName name="USCHMATCIAC">[4]FuncStudy!$Y$1052</definedName>
    <definedName name="USCHMATGPS">[4]FuncStudy!$Y$1058</definedName>
    <definedName name="USCHMATS">[4]FuncStudy!$Y$1050</definedName>
    <definedName name="USCHMATSCHMDEXP">[4]FuncStudy!$Y$1063</definedName>
    <definedName name="USCHMATSE">[4]FuncStudy!$Y$1056</definedName>
    <definedName name="USCHMATSG">[4]FuncStudy!$Y$1055</definedName>
    <definedName name="USCHMATSG2">[4]FuncStudy!$Y$1057</definedName>
    <definedName name="USCHMATSGCT">[4]FuncStudy!$Y$1051</definedName>
    <definedName name="USCHMATSNP">[4]FuncStudy!$Y$1053</definedName>
    <definedName name="USCHMATSNPD">[4]FuncStudy!$Y$1060</definedName>
    <definedName name="USCHMATSO">[4]FuncStudy!$Y$1059</definedName>
    <definedName name="USCHMATTAXDEPR">[4]FuncStudy!$Y$1062</definedName>
    <definedName name="USCHMATTROJD">[4]FuncStudy!$Y$1054</definedName>
    <definedName name="USCHMDFDGP">[4]FuncStudy!$Y$1070</definedName>
    <definedName name="USCHMDFDGU">[4]FuncStudy!$Y$1071</definedName>
    <definedName name="USCHMDFS">[4]FuncStudy!$Y$1069</definedName>
    <definedName name="USCHMDPIBT">[4]FuncStudy!$Y$1077</definedName>
    <definedName name="USCHMDPS">[4]FuncStudy!$Y$1074</definedName>
    <definedName name="USCHMDPSE">[4]FuncStudy!$Y$1075</definedName>
    <definedName name="USCHMDPSG">[4]FuncStudy!$Y$1078</definedName>
    <definedName name="USCHMDPSNP">[4]FuncStudy!$Y$1076</definedName>
    <definedName name="USCHMDPSO">[4]FuncStudy!$Y$1079</definedName>
    <definedName name="USCHMDTBADDEBT">[4]FuncStudy!$Y$1084</definedName>
    <definedName name="USCHMDTCN">[4]FuncStudy!$Y$1086</definedName>
    <definedName name="USCHMDTDGP">[4]FuncStudy!$Y$1088</definedName>
    <definedName name="USCHMDTGPS">[4]FuncStudy!$Y$1091</definedName>
    <definedName name="USCHMDTS">[4]FuncStudy!$Y$1083</definedName>
    <definedName name="USCHMDTSE">[4]FuncStudy!$Y$1089</definedName>
    <definedName name="USCHMDTSG">[4]FuncStudy!$Y$1090</definedName>
    <definedName name="USCHMDTSNP">[4]FuncStudy!$Y$1085</definedName>
    <definedName name="USCHMDTSNPD">[4]FuncStudy!$Y$1094</definedName>
    <definedName name="USCHMDTSO">[4]FuncStudy!$Y$1092</definedName>
    <definedName name="USCHMDTTAXDEPR">[4]FuncStudy!$Y$1093</definedName>
    <definedName name="USCHMDTTROJD">[4]FuncStudy!$Y$1087</definedName>
    <definedName name="UT_305A_FY_2002" localSheetId="2">#REF!</definedName>
    <definedName name="UT_305A_FY_2002">#REF!</definedName>
    <definedName name="UT_RVN_0302" localSheetId="2">#REF!</definedName>
    <definedName name="UT_RVN_0302" localSheetId="3">#REF!</definedName>
    <definedName name="UT_RVN_0302">#REF!</definedName>
    <definedName name="UtGrossReceipts">[9]Variables!$D$29</definedName>
    <definedName name="ValidAccount">[6]Variables!$AK$43:$AK$369</definedName>
    <definedName name="VAR" localSheetId="2">[14]Backup!#REF!</definedName>
    <definedName name="VAR" localSheetId="3">[14]Backup!#REF!</definedName>
    <definedName name="VAR">[14]Backup!#REF!</definedName>
    <definedName name="VARIABLE" localSheetId="2">[13]Summary!#REF!</definedName>
    <definedName name="VARIABLE" localSheetId="3">[13]Summary!#REF!</definedName>
    <definedName name="VARIABLE">[13]Summary!#REF!</definedName>
    <definedName name="VOUCHER" localSheetId="2">#REF!</definedName>
    <definedName name="VOUCHER">#REF!</definedName>
    <definedName name="WaRevenueTax">[9]Variables!$D$27</definedName>
    <definedName name="WEATHER" localSheetId="2">#REF!</definedName>
    <definedName name="WEATHER">#REF!</definedName>
    <definedName name="WEATHRNORM" localSheetId="2">#REF!</definedName>
    <definedName name="WEATHRNORM" localSheetId="3">#REF!</definedName>
    <definedName name="WEATHRNORM">#REF!</definedName>
    <definedName name="WIDTH" localSheetId="2">#REF!</definedName>
    <definedName name="WIDTH">#REF!</definedName>
    <definedName name="WinterPeak">'[21]Load Data'!$D$9:$H$12,'[21]Load Data'!$D$20:$H$22</definedName>
    <definedName name="WN" localSheetId="2">#REF!</definedName>
    <definedName name="WN">#REF!</definedName>
    <definedName name="WORK1" localSheetId="2">#REF!</definedName>
    <definedName name="WORK1" localSheetId="3">#REF!</definedName>
    <definedName name="WORK1">#REF!</definedName>
    <definedName name="WORK2" localSheetId="2">#REF!</definedName>
    <definedName name="WORK2" localSheetId="3">#REF!</definedName>
    <definedName name="WORK2">#REF!</definedName>
    <definedName name="WORK3" localSheetId="2">#REF!</definedName>
    <definedName name="WORK3" localSheetId="3">#REF!</definedName>
    <definedName name="WORK3">#REF!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 localSheetId="3">'[22]Weather Present'!$K$7</definedName>
    <definedName name="x">'[22]Weather Present'!$K$7</definedName>
    <definedName name="y" localSheetId="3" hidden="1">'[3]DSM Output'!$B$21:$B$23</definedName>
    <definedName name="y" hidden="1">'[3]DSM Output'!$B$21:$B$23</definedName>
    <definedName name="Year" localSheetId="2">#REF!</definedName>
    <definedName name="Year">#REF!</definedName>
    <definedName name="YEFactors">[6]Factors!$S$3:$AG$99</definedName>
    <definedName name="z" localSheetId="3" hidden="1">'[3]DSM Output'!$G$21:$G$23</definedName>
    <definedName name="z" hidden="1">'[3]DSM Output'!$G$21:$G$23</definedName>
    <definedName name="ZA" localSheetId="2">'[23] annual balance '!#REF!</definedName>
    <definedName name="ZA">'[23] annual balance '!#REF!</definedName>
  </definedNames>
  <calcPr calcId="152511" calcMode="manual"/>
</workbook>
</file>

<file path=xl/calcChain.xml><?xml version="1.0" encoding="utf-8"?>
<calcChain xmlns="http://schemas.openxmlformats.org/spreadsheetml/2006/main">
  <c r="H11" i="39" l="1"/>
  <c r="I11" i="48"/>
  <c r="H11" i="48"/>
  <c r="H12" i="39"/>
  <c r="E11" i="39"/>
  <c r="C28" i="48" l="1"/>
  <c r="C28" i="39"/>
  <c r="B28" i="48" l="1"/>
  <c r="B9" i="48"/>
  <c r="C9" i="48" s="1"/>
  <c r="D9" i="48" l="1"/>
  <c r="E9" i="48" l="1"/>
  <c r="G9" i="48" s="1"/>
  <c r="H9" i="48" l="1"/>
  <c r="I9" i="48"/>
  <c r="B28" i="39" l="1"/>
  <c r="J8" i="34" l="1"/>
  <c r="J9" i="34"/>
  <c r="J10" i="34"/>
  <c r="J11" i="34"/>
  <c r="J12" i="34"/>
  <c r="J13" i="34"/>
  <c r="J14" i="34"/>
  <c r="J15" i="34"/>
  <c r="J16" i="34"/>
  <c r="J17" i="34"/>
  <c r="J18" i="34"/>
  <c r="J7" i="34"/>
  <c r="I21" i="34" l="1"/>
  <c r="I22" i="34"/>
  <c r="H15" i="34"/>
  <c r="H16" i="34" l="1"/>
  <c r="E20" i="48" l="1"/>
  <c r="E13" i="48"/>
  <c r="E17" i="48"/>
  <c r="E21" i="48"/>
  <c r="E18" i="48"/>
  <c r="E19" i="48"/>
  <c r="H17" i="34"/>
  <c r="E16" i="48" l="1"/>
  <c r="E12" i="48"/>
  <c r="H15" i="48"/>
  <c r="E15" i="48"/>
  <c r="E11" i="48"/>
  <c r="E14" i="48"/>
  <c r="H14" i="48"/>
  <c r="E22" i="48"/>
  <c r="H22" i="48"/>
  <c r="H18" i="34"/>
  <c r="H21" i="34"/>
  <c r="E24" i="48" l="1"/>
  <c r="B24" i="48"/>
  <c r="I23" i="34"/>
  <c r="J23" i="34" s="1"/>
  <c r="H22" i="34"/>
  <c r="E27" i="48" l="1"/>
  <c r="I14" i="48" l="1"/>
  <c r="I22" i="48" l="1"/>
  <c r="I15" i="48" l="1"/>
  <c r="C24" i="48" l="1"/>
  <c r="E22" i="34" l="1"/>
  <c r="E21" i="34"/>
  <c r="D22" i="34"/>
  <c r="D21" i="34"/>
  <c r="E23" i="34" l="1"/>
  <c r="J22" i="34"/>
  <c r="J21" i="34"/>
  <c r="B29" i="48" l="1"/>
  <c r="E29" i="48" s="1"/>
  <c r="B29" i="39"/>
  <c r="G22" i="34"/>
  <c r="G21" i="34"/>
  <c r="H23" i="34" s="1"/>
  <c r="E18" i="39"/>
  <c r="E13" i="39"/>
  <c r="H15" i="39"/>
  <c r="I15" i="39" s="1"/>
  <c r="H14" i="39"/>
  <c r="E12" i="39"/>
  <c r="B9" i="39"/>
  <c r="C9" i="39" s="1"/>
  <c r="D9" i="39" s="1"/>
  <c r="H22" i="39"/>
  <c r="I22" i="39" s="1"/>
  <c r="E14" i="39"/>
  <c r="E15" i="39"/>
  <c r="E16" i="39"/>
  <c r="E17" i="39"/>
  <c r="E19" i="39"/>
  <c r="E20" i="39"/>
  <c r="E21" i="39"/>
  <c r="E22" i="39"/>
  <c r="F21" i="34"/>
  <c r="F22" i="34"/>
  <c r="D123" i="17"/>
  <c r="D129" i="17" s="1"/>
  <c r="D117" i="17"/>
  <c r="D72" i="17"/>
  <c r="D78" i="17"/>
  <c r="D82" i="17"/>
  <c r="D88" i="17"/>
  <c r="D93" i="17"/>
  <c r="D98" i="17"/>
  <c r="D40" i="17"/>
  <c r="D46" i="17"/>
  <c r="D50" i="17"/>
  <c r="D56" i="17"/>
  <c r="D62" i="17"/>
  <c r="D19" i="17"/>
  <c r="D23" i="17"/>
  <c r="D30" i="17"/>
  <c r="D34" i="17" s="1"/>
  <c r="G15" i="17"/>
  <c r="L15" i="17"/>
  <c r="M15" i="17" s="1"/>
  <c r="G16" i="17"/>
  <c r="L16" i="17"/>
  <c r="M16" i="17" s="1"/>
  <c r="G17" i="17"/>
  <c r="L17" i="17"/>
  <c r="M17" i="17" s="1"/>
  <c r="G18" i="17"/>
  <c r="L18" i="17"/>
  <c r="M18" i="17" s="1"/>
  <c r="E19" i="17"/>
  <c r="F19" i="17"/>
  <c r="H19" i="17"/>
  <c r="I19" i="17"/>
  <c r="J19" i="17"/>
  <c r="K19" i="17"/>
  <c r="K34" i="17" s="1"/>
  <c r="G21" i="17"/>
  <c r="L21" i="17"/>
  <c r="M21" i="17" s="1"/>
  <c r="G22" i="17"/>
  <c r="L22" i="17"/>
  <c r="M22" i="17" s="1"/>
  <c r="E23" i="17"/>
  <c r="F23" i="17"/>
  <c r="H23" i="17"/>
  <c r="I23" i="17"/>
  <c r="I34" i="17" s="1"/>
  <c r="J23" i="17"/>
  <c r="K23" i="17"/>
  <c r="L25" i="17"/>
  <c r="M25" i="17" s="1"/>
  <c r="L26" i="17"/>
  <c r="M26" i="17"/>
  <c r="L27" i="17"/>
  <c r="M27" i="17" s="1"/>
  <c r="L28" i="17"/>
  <c r="M28" i="17"/>
  <c r="L29" i="17"/>
  <c r="M29" i="17" s="1"/>
  <c r="E30" i="17"/>
  <c r="F30" i="17"/>
  <c r="G30" i="17"/>
  <c r="H30" i="17"/>
  <c r="I30" i="17"/>
  <c r="J30" i="17"/>
  <c r="K30" i="17"/>
  <c r="G32" i="17"/>
  <c r="L32" i="17"/>
  <c r="M32" i="17"/>
  <c r="L33" i="17"/>
  <c r="M33" i="17" s="1"/>
  <c r="E34" i="17"/>
  <c r="G37" i="17"/>
  <c r="L37" i="17"/>
  <c r="M37" i="17"/>
  <c r="G38" i="17"/>
  <c r="L38" i="17"/>
  <c r="M38" i="17" s="1"/>
  <c r="G39" i="17"/>
  <c r="L39" i="17"/>
  <c r="M39" i="17" s="1"/>
  <c r="E40" i="17"/>
  <c r="F40" i="17"/>
  <c r="H40" i="17"/>
  <c r="I40" i="17"/>
  <c r="J40" i="17"/>
  <c r="K40" i="17"/>
  <c r="G42" i="17"/>
  <c r="L42" i="17"/>
  <c r="M42" i="17" s="1"/>
  <c r="G44" i="17"/>
  <c r="L44" i="17"/>
  <c r="M44" i="17" s="1"/>
  <c r="G45" i="17"/>
  <c r="L45" i="17"/>
  <c r="M45" i="17" s="1"/>
  <c r="E46" i="17"/>
  <c r="F46" i="17"/>
  <c r="H46" i="17"/>
  <c r="I46" i="17"/>
  <c r="J46" i="17"/>
  <c r="K46" i="17"/>
  <c r="G48" i="17"/>
  <c r="L48" i="17"/>
  <c r="M48" i="17" s="1"/>
  <c r="G49" i="17"/>
  <c r="L49" i="17"/>
  <c r="M49" i="17" s="1"/>
  <c r="E50" i="17"/>
  <c r="F50" i="17"/>
  <c r="H50" i="17"/>
  <c r="I50" i="17"/>
  <c r="J50" i="17"/>
  <c r="K50" i="17"/>
  <c r="G52" i="17"/>
  <c r="L52" i="17"/>
  <c r="M52" i="17" s="1"/>
  <c r="G53" i="17"/>
  <c r="G56" i="17" s="1"/>
  <c r="L53" i="17"/>
  <c r="M53" i="17" s="1"/>
  <c r="G54" i="17"/>
  <c r="L54" i="17"/>
  <c r="M54" i="17" s="1"/>
  <c r="G55" i="17"/>
  <c r="L55" i="17"/>
  <c r="M55" i="17" s="1"/>
  <c r="E56" i="17"/>
  <c r="F56" i="17"/>
  <c r="H56" i="17"/>
  <c r="I56" i="17"/>
  <c r="J56" i="17"/>
  <c r="K56" i="17"/>
  <c r="L58" i="17"/>
  <c r="M58" i="17" s="1"/>
  <c r="L59" i="17"/>
  <c r="M59" i="17"/>
  <c r="L60" i="17"/>
  <c r="M60" i="17" s="1"/>
  <c r="L61" i="17"/>
  <c r="M61" i="17" s="1"/>
  <c r="E62" i="17"/>
  <c r="F62" i="17"/>
  <c r="G62" i="17"/>
  <c r="H62" i="17"/>
  <c r="I62" i="17"/>
  <c r="J62" i="17"/>
  <c r="K62" i="17"/>
  <c r="G64" i="17"/>
  <c r="L64" i="17"/>
  <c r="M64" i="17" s="1"/>
  <c r="L65" i="17"/>
  <c r="M65" i="17" s="1"/>
  <c r="G69" i="17"/>
  <c r="L69" i="17"/>
  <c r="M69" i="17" s="1"/>
  <c r="G70" i="17"/>
  <c r="L70" i="17"/>
  <c r="M70" i="17" s="1"/>
  <c r="G71" i="17"/>
  <c r="L71" i="17"/>
  <c r="M71" i="17" s="1"/>
  <c r="E72" i="17"/>
  <c r="F72" i="17"/>
  <c r="H72" i="17"/>
  <c r="I72" i="17"/>
  <c r="J72" i="17"/>
  <c r="K72" i="17"/>
  <c r="G74" i="17"/>
  <c r="L74" i="17"/>
  <c r="M74" i="17"/>
  <c r="G76" i="17"/>
  <c r="L76" i="17"/>
  <c r="M76" i="17" s="1"/>
  <c r="G77" i="17"/>
  <c r="L77" i="17"/>
  <c r="M77" i="17" s="1"/>
  <c r="E78" i="17"/>
  <c r="F78" i="17"/>
  <c r="H78" i="17"/>
  <c r="I78" i="17"/>
  <c r="J78" i="17"/>
  <c r="K78" i="17"/>
  <c r="G80" i="17"/>
  <c r="L80" i="17"/>
  <c r="M80" i="17" s="1"/>
  <c r="G81" i="17"/>
  <c r="L81" i="17"/>
  <c r="M81" i="17" s="1"/>
  <c r="E82" i="17"/>
  <c r="F82" i="17"/>
  <c r="H82" i="17"/>
  <c r="I82" i="17"/>
  <c r="J82" i="17"/>
  <c r="K82" i="17"/>
  <c r="G84" i="17"/>
  <c r="G88" i="17" s="1"/>
  <c r="L84" i="17"/>
  <c r="M84" i="17" s="1"/>
  <c r="G85" i="17"/>
  <c r="L85" i="17"/>
  <c r="M85" i="17"/>
  <c r="G86" i="17"/>
  <c r="L86" i="17"/>
  <c r="M86" i="17" s="1"/>
  <c r="G87" i="17"/>
  <c r="L87" i="17"/>
  <c r="M87" i="17" s="1"/>
  <c r="E88" i="17"/>
  <c r="F88" i="17"/>
  <c r="H88" i="17"/>
  <c r="I88" i="17"/>
  <c r="J88" i="17"/>
  <c r="K88" i="17"/>
  <c r="G90" i="17"/>
  <c r="L90" i="17"/>
  <c r="M90" i="17" s="1"/>
  <c r="G91" i="17"/>
  <c r="L91" i="17"/>
  <c r="M91" i="17"/>
  <c r="G92" i="17"/>
  <c r="L92" i="17"/>
  <c r="M92" i="17" s="1"/>
  <c r="E93" i="17"/>
  <c r="F93" i="17"/>
  <c r="H93" i="17"/>
  <c r="I93" i="17"/>
  <c r="J93" i="17"/>
  <c r="K93" i="17"/>
  <c r="L95" i="17"/>
  <c r="M95" i="17" s="1"/>
  <c r="L96" i="17"/>
  <c r="M96" i="17" s="1"/>
  <c r="L97" i="17"/>
  <c r="M97" i="17" s="1"/>
  <c r="E98" i="17"/>
  <c r="F98" i="17"/>
  <c r="G98" i="17"/>
  <c r="H98" i="17"/>
  <c r="I98" i="17"/>
  <c r="J98" i="17"/>
  <c r="K98" i="17"/>
  <c r="G100" i="17"/>
  <c r="L100" i="17"/>
  <c r="M100" i="17" s="1"/>
  <c r="L101" i="17"/>
  <c r="M101" i="17" s="1"/>
  <c r="G105" i="17"/>
  <c r="L105" i="17"/>
  <c r="M105" i="17" s="1"/>
  <c r="G106" i="17"/>
  <c r="L106" i="17"/>
  <c r="M106" i="17" s="1"/>
  <c r="G107" i="17"/>
  <c r="L107" i="17"/>
  <c r="M107" i="17" s="1"/>
  <c r="G108" i="17"/>
  <c r="L108" i="17"/>
  <c r="M108" i="17" s="1"/>
  <c r="G109" i="17"/>
  <c r="L109" i="17"/>
  <c r="M109" i="17" s="1"/>
  <c r="G110" i="17"/>
  <c r="L110" i="17"/>
  <c r="M110" i="17" s="1"/>
  <c r="G111" i="17"/>
  <c r="L111" i="17"/>
  <c r="M111" i="17" s="1"/>
  <c r="G112" i="17"/>
  <c r="L112" i="17"/>
  <c r="M112" i="17" s="1"/>
  <c r="G113" i="17"/>
  <c r="L113" i="17"/>
  <c r="M113" i="17" s="1"/>
  <c r="G115" i="17"/>
  <c r="L115" i="17"/>
  <c r="M115" i="17" s="1"/>
  <c r="L116" i="17"/>
  <c r="M116" i="17"/>
  <c r="E117" i="17"/>
  <c r="F117" i="17"/>
  <c r="H117" i="17"/>
  <c r="I117" i="17"/>
  <c r="J117" i="17"/>
  <c r="K117" i="17"/>
  <c r="G120" i="17"/>
  <c r="L120" i="17"/>
  <c r="M120" i="17" s="1"/>
  <c r="G121" i="17"/>
  <c r="L121" i="17"/>
  <c r="M121" i="17" s="1"/>
  <c r="G122" i="17"/>
  <c r="L122" i="17"/>
  <c r="M122" i="17" s="1"/>
  <c r="E123" i="17"/>
  <c r="F123" i="17"/>
  <c r="F129" i="17" s="1"/>
  <c r="H123" i="17"/>
  <c r="H129" i="17" s="1"/>
  <c r="I123" i="17"/>
  <c r="I129" i="17" s="1"/>
  <c r="J123" i="17"/>
  <c r="J129" i="17" s="1"/>
  <c r="K123" i="17"/>
  <c r="K129" i="17" s="1"/>
  <c r="G125" i="17"/>
  <c r="L125" i="17"/>
  <c r="M125" i="17" s="1"/>
  <c r="G127" i="17"/>
  <c r="L127" i="17"/>
  <c r="M127" i="17" s="1"/>
  <c r="L128" i="17"/>
  <c r="M128" i="17" s="1"/>
  <c r="E129" i="17"/>
  <c r="G13" i="16"/>
  <c r="G14" i="16"/>
  <c r="G15" i="16" s="1"/>
  <c r="C13" i="16"/>
  <c r="D13" i="16"/>
  <c r="H13" i="16"/>
  <c r="D14" i="16"/>
  <c r="H14" i="16"/>
  <c r="E18" i="16"/>
  <c r="E19" i="16"/>
  <c r="G27" i="16"/>
  <c r="G28" i="16"/>
  <c r="G30" i="16" s="1"/>
  <c r="G29" i="16"/>
  <c r="G33" i="16"/>
  <c r="G34" i="16"/>
  <c r="D25" i="16"/>
  <c r="G35" i="16"/>
  <c r="G38" i="16"/>
  <c r="G25" i="16"/>
  <c r="G39" i="16"/>
  <c r="D30" i="16"/>
  <c r="D20" i="16"/>
  <c r="G40" i="16"/>
  <c r="G43" i="16"/>
  <c r="G44" i="16"/>
  <c r="D36" i="16"/>
  <c r="G45" i="16"/>
  <c r="G47" i="16" s="1"/>
  <c r="G48" i="16"/>
  <c r="G49" i="16"/>
  <c r="D41" i="16"/>
  <c r="G50" i="16"/>
  <c r="E15" i="16"/>
  <c r="F15" i="16"/>
  <c r="H15" i="16"/>
  <c r="F20" i="16"/>
  <c r="G20" i="16"/>
  <c r="H20" i="16"/>
  <c r="E25" i="16"/>
  <c r="F25" i="16"/>
  <c r="H25" i="16"/>
  <c r="E30" i="16"/>
  <c r="F30" i="16"/>
  <c r="E36" i="16"/>
  <c r="F36" i="16"/>
  <c r="E41" i="16"/>
  <c r="F41" i="16"/>
  <c r="D47" i="16"/>
  <c r="E47" i="16"/>
  <c r="F47" i="16"/>
  <c r="D51" i="16"/>
  <c r="D52" i="16"/>
  <c r="E51" i="16"/>
  <c r="F51" i="16"/>
  <c r="I111" i="16"/>
  <c r="I112" i="16"/>
  <c r="E113" i="16"/>
  <c r="F113" i="16"/>
  <c r="G113" i="16"/>
  <c r="I113" i="16"/>
  <c r="I116" i="16"/>
  <c r="I117" i="16"/>
  <c r="I118" i="16"/>
  <c r="F156" i="16"/>
  <c r="G198" i="16"/>
  <c r="G208" i="16"/>
  <c r="G213" i="16"/>
  <c r="H219" i="16"/>
  <c r="H220" i="16"/>
  <c r="H221" i="16"/>
  <c r="G222" i="16"/>
  <c r="H222" i="16"/>
  <c r="I222" i="16"/>
  <c r="G225" i="16"/>
  <c r="H225" i="16"/>
  <c r="I225" i="16"/>
  <c r="G226" i="16"/>
  <c r="H226" i="16"/>
  <c r="I226" i="16"/>
  <c r="G227" i="16"/>
  <c r="H227" i="16"/>
  <c r="I227" i="16"/>
  <c r="G230" i="16"/>
  <c r="H230" i="16"/>
  <c r="I230" i="16"/>
  <c r="G231" i="16"/>
  <c r="H231" i="16"/>
  <c r="I231" i="16"/>
  <c r="G232" i="16"/>
  <c r="H232" i="16"/>
  <c r="I232" i="16"/>
  <c r="H235" i="16"/>
  <c r="H236" i="16"/>
  <c r="H237" i="16"/>
  <c r="D240" i="16"/>
  <c r="F240" i="16"/>
  <c r="H240" i="16"/>
  <c r="D241" i="16"/>
  <c r="F241" i="16"/>
  <c r="H241" i="16"/>
  <c r="D242" i="16"/>
  <c r="F242" i="16"/>
  <c r="H242" i="16"/>
  <c r="D245" i="16"/>
  <c r="F245" i="16"/>
  <c r="H245" i="16"/>
  <c r="D246" i="16"/>
  <c r="F246" i="16"/>
  <c r="H246" i="16"/>
  <c r="D247" i="16"/>
  <c r="F247" i="16"/>
  <c r="H247" i="16"/>
  <c r="H259" i="16"/>
  <c r="H260" i="16"/>
  <c r="E261" i="16"/>
  <c r="G261" i="16"/>
  <c r="H261" i="16"/>
  <c r="H264" i="16"/>
  <c r="H265" i="16"/>
  <c r="H266" i="16"/>
  <c r="H269" i="16"/>
  <c r="H270" i="16"/>
  <c r="H271" i="16"/>
  <c r="D274" i="16"/>
  <c r="H274" i="16"/>
  <c r="D275" i="16"/>
  <c r="H275" i="16"/>
  <c r="D276" i="16"/>
  <c r="H276" i="16"/>
  <c r="H279" i="16"/>
  <c r="H280" i="16"/>
  <c r="D281" i="16"/>
  <c r="H281" i="16"/>
  <c r="F284" i="16"/>
  <c r="H284" i="16"/>
  <c r="F285" i="16"/>
  <c r="H285" i="16"/>
  <c r="F286" i="16"/>
  <c r="H286" i="16"/>
  <c r="H289" i="16"/>
  <c r="D290" i="16"/>
  <c r="H290" i="16"/>
  <c r="D291" i="16"/>
  <c r="H291" i="16"/>
  <c r="D294" i="16"/>
  <c r="F294" i="16"/>
  <c r="H294" i="16"/>
  <c r="D295" i="16"/>
  <c r="F295" i="16"/>
  <c r="H295" i="16"/>
  <c r="D296" i="16"/>
  <c r="F296" i="16"/>
  <c r="H296" i="16"/>
  <c r="D299" i="16"/>
  <c r="H299" i="16"/>
  <c r="D300" i="16"/>
  <c r="H300" i="16"/>
  <c r="D301" i="16"/>
  <c r="F301" i="16"/>
  <c r="H301" i="16"/>
  <c r="H304" i="16"/>
  <c r="H305" i="16"/>
  <c r="H306" i="16"/>
  <c r="H312" i="16"/>
  <c r="H313" i="16"/>
  <c r="H314" i="16"/>
  <c r="H317" i="16"/>
  <c r="H318" i="16"/>
  <c r="H319" i="16"/>
  <c r="H322" i="16"/>
  <c r="H323" i="16"/>
  <c r="H324" i="16"/>
  <c r="H327" i="16"/>
  <c r="H328" i="16"/>
  <c r="C329" i="16"/>
  <c r="H329" i="16"/>
  <c r="D332" i="16"/>
  <c r="E332" i="16"/>
  <c r="F332" i="16"/>
  <c r="H332" i="16"/>
  <c r="I332" i="16"/>
  <c r="D333" i="16"/>
  <c r="E333" i="16"/>
  <c r="F333" i="16"/>
  <c r="H333" i="16"/>
  <c r="I333" i="16"/>
  <c r="D334" i="16"/>
  <c r="E334" i="16"/>
  <c r="F334" i="16"/>
  <c r="H334" i="16"/>
  <c r="I334" i="16"/>
  <c r="H337" i="16"/>
  <c r="H338" i="16"/>
  <c r="H339" i="16"/>
  <c r="D344" i="16"/>
  <c r="F344" i="16"/>
  <c r="D345" i="16"/>
  <c r="F345" i="16"/>
  <c r="D346" i="16"/>
  <c r="F346" i="16"/>
  <c r="C347" i="16"/>
  <c r="D347" i="16"/>
  <c r="E347" i="16"/>
  <c r="F347" i="16"/>
  <c r="C350" i="16"/>
  <c r="D350" i="16"/>
  <c r="E350" i="16"/>
  <c r="F350" i="16"/>
  <c r="C351" i="16"/>
  <c r="D351" i="16"/>
  <c r="E351" i="16"/>
  <c r="F351" i="16"/>
  <c r="C352" i="16"/>
  <c r="D352" i="16"/>
  <c r="E352" i="16"/>
  <c r="F352" i="16"/>
  <c r="C355" i="16"/>
  <c r="D355" i="16"/>
  <c r="E355" i="16"/>
  <c r="F355" i="16"/>
  <c r="C356" i="16"/>
  <c r="D356" i="16"/>
  <c r="E356" i="16"/>
  <c r="F356" i="16"/>
  <c r="C357" i="16"/>
  <c r="D357" i="16"/>
  <c r="E357" i="16"/>
  <c r="F357" i="16"/>
  <c r="D359" i="16"/>
  <c r="F359" i="16"/>
  <c r="D360" i="16"/>
  <c r="F360" i="16"/>
  <c r="D361" i="16"/>
  <c r="F361" i="16"/>
  <c r="D364" i="16"/>
  <c r="F364" i="16"/>
  <c r="D365" i="16"/>
  <c r="F365" i="16"/>
  <c r="D366" i="16"/>
  <c r="F366" i="16"/>
  <c r="D372" i="16"/>
  <c r="D373" i="16"/>
  <c r="E373" i="16"/>
  <c r="D374" i="16"/>
  <c r="D402" i="16"/>
  <c r="F402" i="16"/>
  <c r="D403" i="16"/>
  <c r="F403" i="16"/>
  <c r="D404" i="16"/>
  <c r="F404" i="16"/>
  <c r="D407" i="16"/>
  <c r="F407" i="16"/>
  <c r="D408" i="16"/>
  <c r="F408" i="16"/>
  <c r="D409" i="16"/>
  <c r="F409" i="16"/>
  <c r="D412" i="16"/>
  <c r="F412" i="16"/>
  <c r="D413" i="16"/>
  <c r="F413" i="16"/>
  <c r="D414" i="16"/>
  <c r="D417" i="16"/>
  <c r="F417" i="16"/>
  <c r="D418" i="16"/>
  <c r="F418" i="16"/>
  <c r="D419" i="16"/>
  <c r="F419" i="16"/>
  <c r="D422" i="16"/>
  <c r="F422" i="16"/>
  <c r="D423" i="16"/>
  <c r="F423" i="16"/>
  <c r="D424" i="16"/>
  <c r="F424" i="16"/>
  <c r="D440" i="16"/>
  <c r="F440" i="16"/>
  <c r="D441" i="16"/>
  <c r="F441" i="16"/>
  <c r="D442" i="16"/>
  <c r="F442" i="16"/>
  <c r="D450" i="16"/>
  <c r="E450" i="16"/>
  <c r="F450" i="16"/>
  <c r="D451" i="16"/>
  <c r="F451" i="16"/>
  <c r="D452" i="16"/>
  <c r="F452" i="16"/>
  <c r="D455" i="16"/>
  <c r="F455" i="16"/>
  <c r="D456" i="16"/>
  <c r="F456" i="16"/>
  <c r="D457" i="16"/>
  <c r="F457" i="16"/>
  <c r="D460" i="16"/>
  <c r="E460" i="16"/>
  <c r="F460" i="16"/>
  <c r="D461" i="16"/>
  <c r="E461" i="16"/>
  <c r="F461" i="16"/>
  <c r="D462" i="16"/>
  <c r="E462" i="16"/>
  <c r="F462" i="16"/>
  <c r="C41" i="15"/>
  <c r="C40" i="15"/>
  <c r="C39" i="15"/>
  <c r="H39" i="15" s="1"/>
  <c r="C38" i="15"/>
  <c r="C37" i="15"/>
  <c r="C36" i="15"/>
  <c r="H36" i="15" s="1"/>
  <c r="C35" i="15"/>
  <c r="H35" i="15" s="1"/>
  <c r="C34" i="15"/>
  <c r="C33" i="15"/>
  <c r="C32" i="15"/>
  <c r="B32" i="15"/>
  <c r="I25" i="12"/>
  <c r="B3" i="15" s="1"/>
  <c r="B6" i="15"/>
  <c r="B11" i="15"/>
  <c r="B23" i="15"/>
  <c r="C23" i="15" s="1"/>
  <c r="S35" i="15"/>
  <c r="S36" i="15"/>
  <c r="S37" i="15"/>
  <c r="S38" i="15"/>
  <c r="S39" i="15"/>
  <c r="S40" i="15"/>
  <c r="S41" i="15"/>
  <c r="S42" i="15"/>
  <c r="S43" i="15"/>
  <c r="S44" i="15"/>
  <c r="S45" i="15"/>
  <c r="H32" i="15"/>
  <c r="B33" i="15"/>
  <c r="E33" i="15" s="1"/>
  <c r="F33" i="15" s="1"/>
  <c r="H33" i="15"/>
  <c r="B34" i="15"/>
  <c r="H34" i="15"/>
  <c r="B35" i="15"/>
  <c r="B36" i="15"/>
  <c r="B37" i="15"/>
  <c r="H37" i="15"/>
  <c r="B38" i="15"/>
  <c r="H38" i="15"/>
  <c r="B39" i="15"/>
  <c r="B40" i="15"/>
  <c r="H40" i="15"/>
  <c r="B41" i="15"/>
  <c r="E41" i="15" s="1"/>
  <c r="F41" i="15" s="1"/>
  <c r="H41" i="15"/>
  <c r="H25" i="12"/>
  <c r="H26" i="12" s="1"/>
  <c r="G25" i="12"/>
  <c r="G26" i="12"/>
  <c r="F25" i="12"/>
  <c r="F26" i="12" s="1"/>
  <c r="E25" i="12"/>
  <c r="E26" i="12" s="1"/>
  <c r="D25" i="12"/>
  <c r="D26" i="12" s="1"/>
  <c r="C25" i="12"/>
  <c r="C26" i="12" s="1"/>
  <c r="I24" i="12"/>
  <c r="H24" i="12"/>
  <c r="G24" i="12"/>
  <c r="F24" i="12"/>
  <c r="E24" i="12"/>
  <c r="D24" i="12"/>
  <c r="C24" i="12"/>
  <c r="C31" i="15"/>
  <c r="C42" i="15" s="1"/>
  <c r="B31" i="15"/>
  <c r="B42" i="15" s="1"/>
  <c r="S34" i="15"/>
  <c r="S46" i="15" s="1"/>
  <c r="L82" i="17"/>
  <c r="F66" i="17" l="1"/>
  <c r="E37" i="15"/>
  <c r="F37" i="15" s="1"/>
  <c r="H66" i="17"/>
  <c r="E36" i="15"/>
  <c r="F36" i="15" s="1"/>
  <c r="G50" i="17"/>
  <c r="L19" i="17"/>
  <c r="E40" i="15"/>
  <c r="F40" i="15" s="1"/>
  <c r="E102" i="17"/>
  <c r="J34" i="17"/>
  <c r="H29" i="39"/>
  <c r="H27" i="39" s="1"/>
  <c r="E29" i="39"/>
  <c r="G40" i="17"/>
  <c r="G66" i="17" s="1"/>
  <c r="G36" i="16"/>
  <c r="J102" i="17"/>
  <c r="F102" i="17"/>
  <c r="L56" i="17"/>
  <c r="B25" i="15"/>
  <c r="H33" i="48"/>
  <c r="H34" i="48" s="1"/>
  <c r="H27" i="48" s="1"/>
  <c r="E30" i="48"/>
  <c r="M30" i="17"/>
  <c r="I26" i="12"/>
  <c r="M82" i="17"/>
  <c r="L62" i="17"/>
  <c r="L23" i="17"/>
  <c r="L40" i="17"/>
  <c r="L98" i="17"/>
  <c r="E20" i="16"/>
  <c r="E31" i="16" s="1"/>
  <c r="D15" i="16"/>
  <c r="D31" i="16" s="1"/>
  <c r="H102" i="17"/>
  <c r="G82" i="17"/>
  <c r="G78" i="17"/>
  <c r="L30" i="17"/>
  <c r="E38" i="15"/>
  <c r="F38" i="15" s="1"/>
  <c r="L46" i="17"/>
  <c r="E39" i="15"/>
  <c r="F39" i="15" s="1"/>
  <c r="E35" i="15"/>
  <c r="F35" i="15" s="1"/>
  <c r="J66" i="17"/>
  <c r="G19" i="17"/>
  <c r="F23" i="34"/>
  <c r="G23" i="34"/>
  <c r="G51" i="16"/>
  <c r="G31" i="16"/>
  <c r="I14" i="39"/>
  <c r="D11" i="15"/>
  <c r="B18" i="15" s="1"/>
  <c r="D18" i="15" s="1"/>
  <c r="N14" i="15"/>
  <c r="D20" i="15" s="1"/>
  <c r="E20" i="15" s="1"/>
  <c r="D12" i="15"/>
  <c r="C18" i="15" s="1"/>
  <c r="E18" i="15" s="1"/>
  <c r="D13" i="15"/>
  <c r="B19" i="15" s="1"/>
  <c r="C19" i="15" s="1"/>
  <c r="B5" i="15"/>
  <c r="B24" i="15" s="1"/>
  <c r="D24" i="15" s="1"/>
  <c r="E24" i="15" s="1"/>
  <c r="D14" i="15"/>
  <c r="B20" i="15" s="1"/>
  <c r="C20" i="15" s="1"/>
  <c r="C25" i="15"/>
  <c r="D23" i="15"/>
  <c r="E9" i="39"/>
  <c r="G9" i="39" s="1"/>
  <c r="F52" i="16"/>
  <c r="E52" i="16"/>
  <c r="F31" i="16"/>
  <c r="G93" i="17"/>
  <c r="M72" i="17"/>
  <c r="M62" i="17"/>
  <c r="E66" i="17"/>
  <c r="I66" i="17"/>
  <c r="M40" i="17"/>
  <c r="H34" i="17"/>
  <c r="M23" i="17"/>
  <c r="M34" i="17" s="1"/>
  <c r="M19" i="17"/>
  <c r="D102" i="17"/>
  <c r="E34" i="15"/>
  <c r="F34" i="15" s="1"/>
  <c r="E32" i="15"/>
  <c r="F32" i="15" s="1"/>
  <c r="I13" i="16"/>
  <c r="C14" i="16" s="1"/>
  <c r="I14" i="16" s="1"/>
  <c r="C17" i="16" s="1"/>
  <c r="I17" i="16" s="1"/>
  <c r="C18" i="16" s="1"/>
  <c r="I18" i="16" s="1"/>
  <c r="C19" i="16" s="1"/>
  <c r="I19" i="16" s="1"/>
  <c r="C22" i="16" s="1"/>
  <c r="I22" i="16" s="1"/>
  <c r="C23" i="16" s="1"/>
  <c r="I23" i="16" s="1"/>
  <c r="C24" i="16" s="1"/>
  <c r="I24" i="16" s="1"/>
  <c r="M123" i="17"/>
  <c r="M129" i="17" s="1"/>
  <c r="G123" i="17"/>
  <c r="G129" i="17" s="1"/>
  <c r="G117" i="17"/>
  <c r="K102" i="17"/>
  <c r="I102" i="17"/>
  <c r="L93" i="17"/>
  <c r="L78" i="17"/>
  <c r="G72" i="17"/>
  <c r="L50" i="17"/>
  <c r="K66" i="17"/>
  <c r="M46" i="17"/>
  <c r="G46" i="17"/>
  <c r="F34" i="17"/>
  <c r="G23" i="17"/>
  <c r="D66" i="17"/>
  <c r="D32" i="15"/>
  <c r="D34" i="15"/>
  <c r="D36" i="15"/>
  <c r="D38" i="15"/>
  <c r="D40" i="15"/>
  <c r="D31" i="15"/>
  <c r="D33" i="15"/>
  <c r="D35" i="15"/>
  <c r="D37" i="15"/>
  <c r="D39" i="15"/>
  <c r="D41" i="15"/>
  <c r="H31" i="15"/>
  <c r="H42" i="15" s="1"/>
  <c r="E31" i="15"/>
  <c r="F31" i="15" s="1"/>
  <c r="G41" i="16"/>
  <c r="M78" i="17"/>
  <c r="M50" i="17"/>
  <c r="C24" i="15"/>
  <c r="T35" i="15"/>
  <c r="T39" i="15"/>
  <c r="T43" i="15"/>
  <c r="T38" i="15"/>
  <c r="T42" i="15"/>
  <c r="T37" i="15"/>
  <c r="T41" i="15"/>
  <c r="T45" i="15"/>
  <c r="T36" i="15"/>
  <c r="T40" i="15"/>
  <c r="T44" i="15"/>
  <c r="M117" i="17"/>
  <c r="M98" i="17"/>
  <c r="M93" i="17"/>
  <c r="M88" i="17"/>
  <c r="M56" i="17"/>
  <c r="L123" i="17"/>
  <c r="L129" i="17" s="1"/>
  <c r="L117" i="17"/>
  <c r="L88" i="17"/>
  <c r="L72" i="17"/>
  <c r="T34" i="15"/>
  <c r="L34" i="17" l="1"/>
  <c r="L66" i="17"/>
  <c r="G102" i="17"/>
  <c r="G131" i="17" s="1"/>
  <c r="J131" i="17"/>
  <c r="E131" i="17"/>
  <c r="G52" i="16"/>
  <c r="F131" i="17"/>
  <c r="I131" i="17"/>
  <c r="D131" i="17"/>
  <c r="D132" i="17" s="1"/>
  <c r="H24" i="48"/>
  <c r="H30" i="48"/>
  <c r="K131" i="17"/>
  <c r="G34" i="17"/>
  <c r="H131" i="17"/>
  <c r="B21" i="15"/>
  <c r="B27" i="15" s="1"/>
  <c r="D19" i="15"/>
  <c r="E19" i="15" s="1"/>
  <c r="E21" i="15" s="1"/>
  <c r="C21" i="15"/>
  <c r="G40" i="15" s="1"/>
  <c r="I40" i="15" s="1"/>
  <c r="J40" i="15" s="1"/>
  <c r="D21" i="15"/>
  <c r="H9" i="39"/>
  <c r="M102" i="17"/>
  <c r="E23" i="15"/>
  <c r="E25" i="15" s="1"/>
  <c r="D25" i="15"/>
  <c r="M66" i="17"/>
  <c r="M131" i="17" s="1"/>
  <c r="C27" i="16"/>
  <c r="B28" i="15"/>
  <c r="L102" i="17"/>
  <c r="J24" i="16"/>
  <c r="K24" i="16" s="1"/>
  <c r="I24" i="48" l="1"/>
  <c r="L131" i="17"/>
  <c r="C27" i="15"/>
  <c r="G31" i="15"/>
  <c r="G35" i="15"/>
  <c r="I35" i="15" s="1"/>
  <c r="J35" i="15" s="1"/>
  <c r="G36" i="15"/>
  <c r="I36" i="15" s="1"/>
  <c r="J36" i="15" s="1"/>
  <c r="G34" i="15"/>
  <c r="I34" i="15" s="1"/>
  <c r="J34" i="15" s="1"/>
  <c r="G33" i="15"/>
  <c r="I33" i="15" s="1"/>
  <c r="J33" i="15" s="1"/>
  <c r="G39" i="15"/>
  <c r="I39" i="15" s="1"/>
  <c r="J39" i="15" s="1"/>
  <c r="C28" i="15"/>
  <c r="G41" i="15"/>
  <c r="I41" i="15" s="1"/>
  <c r="J41" i="15" s="1"/>
  <c r="G38" i="15"/>
  <c r="I38" i="15" s="1"/>
  <c r="J38" i="15" s="1"/>
  <c r="G37" i="15"/>
  <c r="I37" i="15" s="1"/>
  <c r="J37" i="15" s="1"/>
  <c r="G32" i="15"/>
  <c r="I32" i="15" s="1"/>
  <c r="J32" i="15" s="1"/>
  <c r="D28" i="15"/>
  <c r="E28" i="15"/>
  <c r="E27" i="15"/>
  <c r="D27" i="15"/>
  <c r="I9" i="39"/>
  <c r="I31" i="15"/>
  <c r="J31" i="15" s="1"/>
  <c r="G42" i="15"/>
  <c r="I42" i="15" s="1"/>
  <c r="J27" i="16"/>
  <c r="K27" i="16" s="1"/>
  <c r="H27" i="16" s="1"/>
  <c r="I13" i="48" l="1"/>
  <c r="H13" i="48" s="1"/>
  <c r="G13" i="48" s="1"/>
  <c r="G11" i="48"/>
  <c r="I12" i="48"/>
  <c r="H12" i="48" s="1"/>
  <c r="G12" i="48" s="1"/>
  <c r="I17" i="48"/>
  <c r="H17" i="48" s="1"/>
  <c r="G17" i="48" s="1"/>
  <c r="I20" i="48"/>
  <c r="H20" i="48" s="1"/>
  <c r="G20" i="48" s="1"/>
  <c r="I21" i="48"/>
  <c r="H21" i="48" s="1"/>
  <c r="G21" i="48" s="1"/>
  <c r="I16" i="48"/>
  <c r="H16" i="48" s="1"/>
  <c r="G16" i="48" s="1"/>
  <c r="I18" i="48"/>
  <c r="H18" i="48" s="1"/>
  <c r="G18" i="48" s="1"/>
  <c r="I19" i="48"/>
  <c r="H19" i="48" s="1"/>
  <c r="G19" i="48" s="1"/>
  <c r="H24" i="39"/>
  <c r="I11" i="39" s="1"/>
  <c r="E24" i="39"/>
  <c r="K24" i="39" s="1"/>
  <c r="I27" i="16"/>
  <c r="H30" i="39" l="1"/>
  <c r="E27" i="39"/>
  <c r="E30" i="39" s="1"/>
  <c r="H32" i="39"/>
  <c r="B24" i="39"/>
  <c r="C24" i="39"/>
  <c r="I24" i="39" s="1"/>
  <c r="C28" i="16"/>
  <c r="J28" i="16" s="1"/>
  <c r="K28" i="16" s="1"/>
  <c r="H28" i="16" s="1"/>
  <c r="I28" i="16" l="1"/>
  <c r="I16" i="39"/>
  <c r="H16" i="39" s="1"/>
  <c r="I20" i="39"/>
  <c r="H20" i="39" s="1"/>
  <c r="I17" i="39"/>
  <c r="H17" i="39" s="1"/>
  <c r="I21" i="39"/>
  <c r="H21" i="39" s="1"/>
  <c r="I12" i="39"/>
  <c r="I18" i="39"/>
  <c r="H18" i="39" s="1"/>
  <c r="I19" i="39"/>
  <c r="H19" i="39" s="1"/>
  <c r="I13" i="39"/>
  <c r="H13" i="39" s="1"/>
  <c r="G13" i="39" l="1"/>
  <c r="G18" i="39"/>
  <c r="G21" i="39"/>
  <c r="G20" i="39"/>
  <c r="C29" i="16"/>
  <c r="J29" i="16" s="1"/>
  <c r="K29" i="16" s="1"/>
  <c r="H29" i="16" s="1"/>
  <c r="H30" i="16" s="1"/>
  <c r="H31" i="16" s="1"/>
  <c r="G11" i="39"/>
  <c r="G19" i="39"/>
  <c r="G12" i="39"/>
  <c r="G17" i="39"/>
  <c r="G16" i="39"/>
  <c r="I29" i="16" l="1"/>
  <c r="C33" i="16" l="1"/>
  <c r="J33" i="16" s="1"/>
  <c r="K33" i="16" s="1"/>
  <c r="H33" i="16" s="1"/>
  <c r="I33" i="16" l="1"/>
  <c r="C34" i="16" l="1"/>
  <c r="J34" i="16" s="1"/>
  <c r="K34" i="16" s="1"/>
  <c r="H34" i="16" s="1"/>
  <c r="I34" i="16" l="1"/>
  <c r="C35" i="16" l="1"/>
  <c r="J35" i="16" s="1"/>
  <c r="K35" i="16" s="1"/>
  <c r="H35" i="16" s="1"/>
  <c r="H36" i="16" s="1"/>
  <c r="I35" i="16" l="1"/>
  <c r="C38" i="16" s="1"/>
  <c r="J38" i="16" l="1"/>
  <c r="K38" i="16" s="1"/>
  <c r="H38" i="16" s="1"/>
  <c r="I38" i="16" s="1"/>
  <c r="C39" i="16" l="1"/>
  <c r="J39" i="16"/>
  <c r="K39" i="16" s="1"/>
  <c r="H39" i="16" s="1"/>
  <c r="I39" i="16" l="1"/>
  <c r="C40" i="16" l="1"/>
  <c r="J40" i="16" s="1"/>
  <c r="K40" i="16" s="1"/>
  <c r="H40" i="16" s="1"/>
  <c r="H41" i="16" s="1"/>
  <c r="I40" i="16" l="1"/>
  <c r="C43" i="16" s="1"/>
  <c r="J43" i="16" l="1"/>
  <c r="K43" i="16" s="1"/>
  <c r="H43" i="16" s="1"/>
  <c r="I43" i="16" s="1"/>
  <c r="C44" i="16" l="1"/>
  <c r="J44" i="16"/>
  <c r="K44" i="16" s="1"/>
  <c r="H44" i="16" s="1"/>
  <c r="I44" i="16" l="1"/>
  <c r="C45" i="16" l="1"/>
  <c r="J45" i="16"/>
  <c r="K45" i="16" s="1"/>
  <c r="H45" i="16" s="1"/>
  <c r="H47" i="16" s="1"/>
  <c r="I45" i="16" l="1"/>
  <c r="C48" i="16" s="1"/>
  <c r="J48" i="16" l="1"/>
  <c r="K48" i="16" s="1"/>
  <c r="H48" i="16" s="1"/>
  <c r="I48" i="16" s="1"/>
  <c r="C49" i="16" l="1"/>
  <c r="J49" i="16"/>
  <c r="K49" i="16" s="1"/>
  <c r="H49" i="16" s="1"/>
  <c r="I49" i="16" l="1"/>
  <c r="C50" i="16" l="1"/>
  <c r="J50" i="16"/>
  <c r="K50" i="16" s="1"/>
  <c r="H50" i="16" s="1"/>
  <c r="H51" i="16" s="1"/>
  <c r="H52" i="16" s="1"/>
  <c r="I50" i="16" l="1"/>
</calcChain>
</file>

<file path=xl/comments1.xml><?xml version="1.0" encoding="utf-8"?>
<comments xmlns="http://schemas.openxmlformats.org/spreadsheetml/2006/main">
  <authors>
    <author>PacifiCorp</author>
    <author>James Zhang</author>
  </authors>
  <commentList>
    <comment ref="B15" authorId="0" shapeId="0">
      <text>
        <r>
          <rPr>
            <sz val="10"/>
            <color indexed="81"/>
            <rFont val="Tahoma"/>
            <family val="2"/>
          </rPr>
          <t>Includes 08RESD0150 AND NETMETERING</t>
        </r>
      </text>
    </comment>
    <comment ref="B42" authorId="1" shapeId="0">
      <text>
        <r>
          <rPr>
            <sz val="12"/>
            <color indexed="81"/>
            <rFont val="Tahoma"/>
            <family val="2"/>
          </rPr>
          <t>Include 6T</t>
        </r>
      </text>
    </comment>
    <comment ref="B74" authorId="1" shapeId="0">
      <text>
        <r>
          <rPr>
            <sz val="12"/>
            <color indexed="81"/>
            <rFont val="Tahoma"/>
            <family val="2"/>
          </rPr>
          <t>Include 6T</t>
        </r>
      </text>
    </comment>
  </commentList>
</comments>
</file>

<file path=xl/comments2.xml><?xml version="1.0" encoding="utf-8"?>
<comments xmlns="http://schemas.openxmlformats.org/spreadsheetml/2006/main">
  <authors>
    <author>johnw</author>
  </authors>
  <commentList>
    <comment ref="O14" authorId="0" shapeId="0">
      <text>
        <r>
          <rPr>
            <b/>
            <sz val="8"/>
            <color indexed="81"/>
            <rFont val="Tahoma"/>
            <family val="2"/>
          </rPr>
          <t>johnw:</t>
        </r>
        <r>
          <rPr>
            <sz val="8"/>
            <color indexed="81"/>
            <rFont val="Tahoma"/>
            <family val="2"/>
          </rPr>
          <t xml:space="preserve">
As Specified in final report page IV-10 ($1,460 per move)</t>
        </r>
      </text>
    </comment>
  </commentList>
</comments>
</file>

<file path=xl/sharedStrings.xml><?xml version="1.0" encoding="utf-8"?>
<sst xmlns="http://schemas.openxmlformats.org/spreadsheetml/2006/main" count="942" uniqueCount="291">
  <si>
    <t>Program Benefits</t>
  </si>
  <si>
    <t>Per Participant</t>
  </si>
  <si>
    <t>Program</t>
  </si>
  <si>
    <t>Cost of Collections</t>
  </si>
  <si>
    <t>Mobility</t>
  </si>
  <si>
    <t xml:space="preserve"> Benefits </t>
  </si>
  <si>
    <t>Surcharge</t>
  </si>
  <si>
    <t>Reduction in Arrears</t>
  </si>
  <si>
    <t>Reduction in Notices</t>
  </si>
  <si>
    <t>Reduction in Mobility</t>
  </si>
  <si>
    <t>Total Benefits</t>
  </si>
  <si>
    <t>Costs</t>
  </si>
  <si>
    <t>Total Costs</t>
  </si>
  <si>
    <t>B/C Ratios</t>
  </si>
  <si>
    <t>NPV</t>
  </si>
  <si>
    <t>Cost</t>
  </si>
  <si>
    <t xml:space="preserve">   Credit</t>
  </si>
  <si>
    <t xml:space="preserve">   Admin</t>
  </si>
  <si>
    <t xml:space="preserve">   Evaluation</t>
  </si>
  <si>
    <t>HELP Only</t>
  </si>
  <si>
    <t>Arrears Reduction (HELP+ HEAT)</t>
  </si>
  <si>
    <t>HEAT&amp;HELP</t>
  </si>
  <si>
    <t>Arrears Reduction (HELP Only)</t>
  </si>
  <si>
    <t>No. of moves</t>
  </si>
  <si>
    <t>Cost per move</t>
  </si>
  <si>
    <t>Ratepayers</t>
  </si>
  <si>
    <t>Administration</t>
  </si>
  <si>
    <t>Average</t>
  </si>
  <si>
    <t>No. of</t>
  </si>
  <si>
    <t>Customer</t>
  </si>
  <si>
    <t>Revenue</t>
  </si>
  <si>
    <t xml:space="preserve">Residential-Sch. 1,2,3 &amp; 25 </t>
  </si>
  <si>
    <t>Schedules 6, 6A &amp; 6B</t>
  </si>
  <si>
    <t>Schedule 7</t>
  </si>
  <si>
    <t>Schedule 8</t>
  </si>
  <si>
    <t>Schedules 9, 9A &amp; 9B</t>
  </si>
  <si>
    <t>Schedule 10</t>
  </si>
  <si>
    <t>Schedule 11</t>
  </si>
  <si>
    <t>Schedule 12 &amp; 13</t>
  </si>
  <si>
    <t>Schedule 21</t>
  </si>
  <si>
    <t>Schedules 23 &amp; 23B</t>
  </si>
  <si>
    <t>Schedule 31</t>
  </si>
  <si>
    <t xml:space="preserve">Amt needed by schedule </t>
  </si>
  <si>
    <t>Annually</t>
  </si>
  <si>
    <t>PacifiCorp</t>
  </si>
  <si>
    <t>Rocky Mountain Power</t>
  </si>
  <si>
    <t xml:space="preserve">Utah Low Income Lifeline Program Recipients </t>
  </si>
  <si>
    <t>For the Period 2000 - 2007 (est.)</t>
  </si>
  <si>
    <t>Low Income Recipients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</si>
  <si>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</si>
  <si>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</si>
  <si>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</si>
  <si>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</si>
  <si>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</si>
  <si>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</si>
  <si>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</si>
  <si>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</si>
  <si>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</si>
  <si>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</si>
  <si>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</si>
  <si>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</si>
  <si>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Average Monthly Recipients </t>
  </si>
  <si>
    <t>Total Year Recipients</t>
  </si>
  <si>
    <t>Total Credit @$8 per Recipient</t>
  </si>
  <si>
    <t>Number of Participant-Months</t>
  </si>
  <si>
    <t xml:space="preserve">Utah Low Income Lifeline Program Reporting </t>
  </si>
  <si>
    <t xml:space="preserve"> </t>
  </si>
  <si>
    <t>Surcharge Available to Recipients</t>
  </si>
  <si>
    <t>Monthly</t>
  </si>
  <si>
    <t>Credit per Customer</t>
  </si>
  <si>
    <t>Schedule</t>
  </si>
  <si>
    <t>Percent of Total</t>
  </si>
  <si>
    <t>last year</t>
  </si>
  <si>
    <t>Number of Customers</t>
  </si>
  <si>
    <t>Per Customer Per Month (Cents)</t>
  </si>
  <si>
    <t>Reduction</t>
  </si>
  <si>
    <t>Benefit (HELP &amp; Heat)</t>
  </si>
  <si>
    <t xml:space="preserve">G/L Acct. #248200 Utah Lifeline Account Monthly Activity </t>
  </si>
  <si>
    <t>Beg. Acct.</t>
  </si>
  <si>
    <t>Credit</t>
  </si>
  <si>
    <t>End. Acct.</t>
  </si>
  <si>
    <t xml:space="preserve">Year </t>
  </si>
  <si>
    <t>Month</t>
  </si>
  <si>
    <t>Balance</t>
  </si>
  <si>
    <t>YTD 2000</t>
  </si>
  <si>
    <t>1st Qtr. 2001</t>
  </si>
  <si>
    <t>2nd Qtr. 2001</t>
  </si>
  <si>
    <t>3rd Qtr. 2001</t>
  </si>
  <si>
    <t>4th Qtr. 2001</t>
  </si>
  <si>
    <t>1st Qtr. 2002</t>
  </si>
  <si>
    <t>2nd Qtr. 2002</t>
  </si>
  <si>
    <t>3rd Qtr. 2002</t>
  </si>
  <si>
    <t>4th Qtr. 2002</t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</si>
  <si>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</si>
  <si>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</si>
  <si>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</si>
  <si>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</si>
  <si>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</si>
  <si>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</si>
  <si>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</si>
  <si>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</si>
  <si>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</si>
  <si>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</si>
  <si>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</si>
  <si>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</si>
  <si>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For the Period January 2006 - December 2007</t>
  </si>
  <si>
    <t>Collection</t>
  </si>
  <si>
    <t>Pacificorp</t>
  </si>
  <si>
    <t>D.C.E.D.</t>
  </si>
  <si>
    <t>Granted</t>
  </si>
  <si>
    <t>Interest*</t>
  </si>
  <si>
    <t>Recipients</t>
  </si>
  <si>
    <t>1st Qtr. 2006</t>
  </si>
  <si>
    <t>2nd Qtr. 2006</t>
  </si>
  <si>
    <t>Est</t>
  </si>
  <si>
    <t>3rd Qtr. 2006</t>
  </si>
  <si>
    <t>4th Qtr. 2006</t>
  </si>
  <si>
    <t>Total for Year</t>
  </si>
  <si>
    <t>1st Qtr. 2007</t>
  </si>
  <si>
    <t>2nd Qtr. 2007</t>
  </si>
  <si>
    <t>3rd Qtr. 2007</t>
  </si>
  <si>
    <t>4th Qtr. 2007</t>
  </si>
  <si>
    <t xml:space="preserve">(1) A positive balance represents an under-collection in the account. </t>
  </si>
  <si>
    <t>* Interest Rate @ 7.231% per filing</t>
  </si>
  <si>
    <t xml:space="preserve">Additional Reporting Required Information  </t>
  </si>
  <si>
    <t>Notices</t>
  </si>
  <si>
    <t>Schedule 3</t>
  </si>
  <si>
    <t>Schedule 1</t>
  </si>
  <si>
    <t>*</t>
  </si>
  <si>
    <t>* This information is unavailable.</t>
  </si>
  <si>
    <t>$</t>
  </si>
  <si>
    <t>#</t>
  </si>
  <si>
    <t xml:space="preserve">Schedule 1 </t>
  </si>
  <si>
    <t xml:space="preserve">Additional Reporting Required Information - Continued  </t>
  </si>
  <si>
    <t>** Disconnects from September 2000 to current have been revised. Disconnects are now all disconnects versus the net of disconnects and reconnects.</t>
  </si>
  <si>
    <r>
      <t>Balance</t>
    </r>
    <r>
      <rPr>
        <b/>
        <vertAlign val="superscript"/>
        <sz val="12"/>
        <rFont val="Arial Narrow"/>
        <family val="2"/>
      </rPr>
      <t>(1)</t>
    </r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</si>
  <si>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</si>
  <si>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</si>
  <si>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</si>
  <si>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</si>
  <si>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</si>
  <si>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</si>
  <si>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</si>
  <si>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</si>
  <si>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</si>
  <si>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2006 *</t>
  </si>
  <si>
    <t>2007 *</t>
  </si>
  <si>
    <t xml:space="preserve">   *  October 2006 through December 2007 are estimated</t>
  </si>
  <si>
    <t>Table B</t>
  </si>
  <si>
    <t>Table C</t>
  </si>
  <si>
    <t>Table D</t>
  </si>
  <si>
    <t>TRC/Societal</t>
  </si>
  <si>
    <t>Table 2</t>
  </si>
  <si>
    <t>State of Utah</t>
  </si>
  <si>
    <t>Customer, kWh, and Revenue Adjustments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</si>
  <si>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</si>
  <si>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</si>
  <si>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</si>
  <si>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</si>
  <si>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</si>
  <si>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</si>
  <si>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</si>
  <si>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</si>
  <si>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</si>
  <si>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</si>
  <si>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Adjusted</t>
  </si>
  <si>
    <t>Booked</t>
  </si>
  <si>
    <t>Type 1</t>
  </si>
  <si>
    <t>Actual</t>
  </si>
  <si>
    <t>Type 2</t>
  </si>
  <si>
    <t>Type 3</t>
  </si>
  <si>
    <t>Total</t>
  </si>
  <si>
    <t>Customers</t>
  </si>
  <si>
    <t>kWh</t>
  </si>
  <si>
    <t>Revenues</t>
  </si>
  <si>
    <t>Adjustments</t>
  </si>
  <si>
    <t>Residential</t>
  </si>
  <si>
    <t>08RESD0001</t>
  </si>
  <si>
    <t>08RESD0002</t>
  </si>
  <si>
    <t>08RESD0003</t>
  </si>
  <si>
    <t>08MHTP0025</t>
  </si>
  <si>
    <t>Subtotal</t>
  </si>
  <si>
    <t>08OALT007R</t>
  </si>
  <si>
    <t>08PTLD000R</t>
  </si>
  <si>
    <t>08BLSKY01R</t>
  </si>
  <si>
    <t>08RFND1999</t>
  </si>
  <si>
    <t>08ZZMERGCR</t>
  </si>
  <si>
    <t xml:space="preserve">08COOLKPRR </t>
  </si>
  <si>
    <t>SMUD REVENUE IMPUTATIONS</t>
  </si>
  <si>
    <t>Unbilled</t>
  </si>
  <si>
    <t>AGA/Revenue Credit</t>
  </si>
  <si>
    <t>Commercial</t>
  </si>
  <si>
    <t>08GNSV0006/M/MN</t>
  </si>
  <si>
    <t>08GNSV006A/AM</t>
  </si>
  <si>
    <t>08GNSV006B/BM</t>
  </si>
  <si>
    <t>08GNSV0008/M</t>
  </si>
  <si>
    <t>08GNSV0009/M</t>
  </si>
  <si>
    <t>08GNSV009A/AM/LM</t>
  </si>
  <si>
    <t>08GNSV0023/M/F/NET</t>
  </si>
  <si>
    <t>08PRSV031M</t>
  </si>
  <si>
    <t>08OALT007N</t>
  </si>
  <si>
    <t>08SLCU1202/F</t>
  </si>
  <si>
    <t>08SLCU1203</t>
  </si>
  <si>
    <t>08PTLD000N</t>
  </si>
  <si>
    <t>08BLSKY01N/M</t>
  </si>
  <si>
    <t>08COOLKPRN</t>
  </si>
  <si>
    <t>Industrial</t>
  </si>
  <si>
    <t>08GNSV006B</t>
  </si>
  <si>
    <t>08GNSV009A/AM</t>
  </si>
  <si>
    <t>08APSV0010</t>
  </si>
  <si>
    <t>08APSV10NS</t>
  </si>
  <si>
    <t>08EFOP0021/M</t>
  </si>
  <si>
    <t>08GNSV0023/F</t>
  </si>
  <si>
    <t>08SPCL (1,2,3,5)</t>
  </si>
  <si>
    <t>08SLCU1202</t>
  </si>
  <si>
    <t>08BLSKY01N</t>
  </si>
  <si>
    <t>Public Street &amp; Highway Lighting</t>
  </si>
  <si>
    <t>08SLCO0011</t>
  </si>
  <si>
    <t>08SLCU121A/B</t>
  </si>
  <si>
    <t>08SLD13 E/M/F S1</t>
  </si>
  <si>
    <t>08SLD13 E/M/F S2</t>
  </si>
  <si>
    <t>08HAXT0060</t>
  </si>
  <si>
    <t>08THIK0077</t>
  </si>
  <si>
    <t>Other Sales to Public Authorities</t>
  </si>
  <si>
    <t>08GNSV0006</t>
  </si>
  <si>
    <t>08GNSV0009/9M</t>
  </si>
  <si>
    <t>08GNSV0023</t>
  </si>
  <si>
    <t>Source:</t>
  </si>
  <si>
    <t>305 Report</t>
  </si>
  <si>
    <t>Temperature and</t>
  </si>
  <si>
    <t>B + C</t>
  </si>
  <si>
    <t>Table 3</t>
  </si>
  <si>
    <t>F + G + H</t>
  </si>
  <si>
    <t>E + I</t>
  </si>
  <si>
    <t>Table 4 Situs</t>
  </si>
  <si>
    <t>1.  Type 1 adjustment on kWh's includes weather normalization, special contract normalization and pass-through kWhs.</t>
  </si>
  <si>
    <t>2.  Type 1 adjustment on revenue includes weather normalization, removal of Merge Credit, Blue Sky, Cool Keeper, SMUD and, special contract normalization and pass-through revenues.</t>
  </si>
  <si>
    <t>3.  Type 2 adjustment on revenues includes annualization of changes in rates.</t>
  </si>
  <si>
    <t>4.  Type 3 adjustment on revenues includes proforma adjustments due to rate change.</t>
  </si>
  <si>
    <r>
      <t xml:space="preserve">Adjustments </t>
    </r>
    <r>
      <rPr>
        <vertAlign val="superscript"/>
        <sz val="12"/>
        <rFont val="Times New Roman"/>
        <family val="1"/>
      </rPr>
      <t>1</t>
    </r>
  </si>
  <si>
    <r>
      <t xml:space="preserve">Adjustments </t>
    </r>
    <r>
      <rPr>
        <vertAlign val="superscript"/>
        <sz val="12"/>
        <rFont val="Times New Roman"/>
        <family val="1"/>
      </rPr>
      <t>2</t>
    </r>
  </si>
  <si>
    <r>
      <t xml:space="preserve">Adjustments </t>
    </r>
    <r>
      <rPr>
        <vertAlign val="superscript"/>
        <sz val="12"/>
        <rFont val="Times New Roman"/>
        <family val="1"/>
      </rPr>
      <t>3</t>
    </r>
  </si>
  <si>
    <r>
      <t>Adjustments</t>
    </r>
    <r>
      <rPr>
        <vertAlign val="superscript"/>
        <sz val="12"/>
        <rFont val="Times New Roman"/>
        <family val="1"/>
      </rPr>
      <t>4</t>
    </r>
  </si>
  <si>
    <t>June</t>
  </si>
  <si>
    <t>July</t>
  </si>
  <si>
    <t>Rate</t>
  </si>
  <si>
    <t>Totals</t>
  </si>
  <si>
    <t>Historical 12 Months Ended June 2008</t>
  </si>
  <si>
    <t>Forecast</t>
  </si>
  <si>
    <t>%</t>
  </si>
  <si>
    <t>($000)</t>
  </si>
  <si>
    <t>Schedules 9&amp; 9A</t>
  </si>
  <si>
    <t>Schedule 12</t>
  </si>
  <si>
    <t>Schedule 15</t>
  </si>
  <si>
    <t>Present</t>
  </si>
  <si>
    <t>$/month</t>
  </si>
  <si>
    <t>Current Sch 91</t>
  </si>
  <si>
    <t>Balance Adjustment</t>
  </si>
  <si>
    <t>Proposed Sch 91 - $50 CAP</t>
  </si>
  <si>
    <t>Sch 91 &amp; 3 Differentials</t>
  </si>
  <si>
    <t xml:space="preserve">Schedules. 1,2 &amp; 25 </t>
  </si>
  <si>
    <t>Schedule 23</t>
  </si>
  <si>
    <t>Administrative Fee</t>
  </si>
  <si>
    <t>Proposed Changes to Low Income Lifeline Program</t>
  </si>
  <si>
    <t>August</t>
  </si>
  <si>
    <t>September</t>
  </si>
  <si>
    <t>October</t>
  </si>
  <si>
    <t>November</t>
  </si>
  <si>
    <t>December</t>
  </si>
  <si>
    <t>Schedule 3 Low Income Recipients</t>
  </si>
  <si>
    <t>Monthly Average</t>
  </si>
  <si>
    <t>% Increase over Previous Year</t>
  </si>
  <si>
    <t xml:space="preserve">Current </t>
  </si>
  <si>
    <t>Projection</t>
  </si>
  <si>
    <t>Proposed Avg Sch 3</t>
  </si>
  <si>
    <t>GRC Forecasted Sch 3</t>
  </si>
  <si>
    <t>Forecasted 12 Months Ending June 2015 as In Docket 13-035-184</t>
  </si>
  <si>
    <t>3-Month Reserve</t>
  </si>
  <si>
    <t>Increase/-Decrease over Current Collections</t>
  </si>
  <si>
    <t>Current Balance in account (September 2014)</t>
  </si>
  <si>
    <t>One-Time Credit</t>
  </si>
  <si>
    <t>Proposed One Time Credit to Low Income Lifeline Program</t>
  </si>
  <si>
    <t>$/customer</t>
  </si>
  <si>
    <t>Proposed Sch 92 One Time Credit</t>
  </si>
  <si>
    <t>% of Sch 91</t>
  </si>
  <si>
    <r>
      <rPr>
        <b/>
        <sz val="14"/>
        <color rgb="FFFF0000"/>
        <rFont val="Arial Narrow"/>
        <family val="2"/>
      </rPr>
      <t>DPU REVISED</t>
    </r>
    <r>
      <rPr>
        <b/>
        <sz val="14"/>
        <rFont val="Arial Narrow"/>
        <family val="2"/>
      </rPr>
      <t xml:space="preserve"> - Rocky Mountain Power - State of Utah</t>
    </r>
  </si>
  <si>
    <r>
      <rPr>
        <b/>
        <sz val="14"/>
        <color rgb="FFFF0000"/>
        <rFont val="Arial Narrow"/>
        <family val="2"/>
      </rPr>
      <t xml:space="preserve">DPU REVISED </t>
    </r>
    <r>
      <rPr>
        <b/>
        <sz val="14"/>
        <rFont val="Arial Narrow"/>
        <family val="2"/>
      </rPr>
      <t>- Rocky Mountain Power - State of Utah</t>
    </r>
  </si>
  <si>
    <t>3x8x1000</t>
  </si>
  <si>
    <t>2x4x12</t>
  </si>
  <si>
    <t>5x8</t>
  </si>
  <si>
    <t xml:space="preserve">Schedules. 1,2,3 &amp; 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</si>
</sst>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_(&quot;$&quot;* #,##0.000_);_(&quot;$&quot;* \(#,##0.000\);_(&quot;$&quot;* &quot;-&quot;??_);_(@_)"/>
    <numFmt numFmtId="168" formatCode="&quot;$&quot;#,##0"/>
    <numFmt numFmtId="169" formatCode="0.0000%"/>
    <numFmt numFmtId="170" formatCode="General_)"/>
    <numFmt numFmtId="171" formatCode="&quot;$&quot;#,##0.00"/>
    <numFmt numFmtId="172" formatCode="0.0%"/>
    <numFmt numFmtId="173" formatCode="0_);\(0\)"/>
    <numFmt numFmtId="174" formatCode="0.000%"/>
    <numFmt numFmtId="175" formatCode="&quot;$&quot;###0;[Red]\(&quot;$&quot;###0\)"/>
    <numFmt numFmtId="176" formatCode="0.0"/>
    <numFmt numFmtId="177" formatCode="mmm\ dd\,\ yyyy"/>
  </numFmts>
  <fonts count="8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"/>
      <name val="Arial"/>
      <family val="2"/>
    </font>
    <font>
      <sz val="12"/>
      <color indexed="12"/>
      <name val="Times New Roman"/>
      <family val="1"/>
    </font>
    <font>
      <sz val="10"/>
      <name val="LinePrinter"/>
    </font>
    <font>
      <sz val="8"/>
      <name val="Arial Narrow"/>
      <family val="2"/>
    </font>
    <font>
      <b/>
      <u/>
      <sz val="12"/>
      <name val="Arial Narrow"/>
      <family val="2"/>
    </font>
    <font>
      <b/>
      <vertAlign val="superscript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b/>
      <u val="singleAccounting"/>
      <sz val="12"/>
      <name val="Arial Narrow"/>
      <family val="2"/>
    </font>
    <font>
      <vertAlign val="superscript"/>
      <sz val="10"/>
      <name val="Arial Narrow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u/>
      <sz val="12"/>
      <name val="Times New Roman"/>
      <family val="1"/>
    </font>
    <font>
      <sz val="12"/>
      <name val="Arial"/>
      <family val="2"/>
    </font>
    <font>
      <u val="singleAccounting"/>
      <sz val="12"/>
      <name val="Times New Roman"/>
      <family val="1"/>
    </font>
    <font>
      <u val="double"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1"/>
      <name val="Tahoma"/>
      <family val="2"/>
    </font>
    <font>
      <sz val="12"/>
      <color indexed="81"/>
      <name val="Tahoma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SWISS"/>
    </font>
    <font>
      <sz val="12"/>
      <name val="TimesNewRomanPS"/>
    </font>
    <font>
      <sz val="11"/>
      <color indexed="8"/>
      <name val="Century Schoolbook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8"/>
      <name val="Helv"/>
    </font>
    <font>
      <b/>
      <sz val="8"/>
      <name val="Arial"/>
      <family val="2"/>
    </font>
    <font>
      <sz val="12"/>
      <name val="Arial MT"/>
    </font>
    <font>
      <sz val="10"/>
      <name val="Courier"/>
      <family val="3"/>
    </font>
    <font>
      <sz val="10"/>
      <color theme="1"/>
      <name val="Times New Roman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8"/>
      <color indexed="12"/>
      <name val="Arial"/>
      <family val="2"/>
    </font>
    <font>
      <b/>
      <sz val="14"/>
      <color rgb="FFFF0000"/>
      <name val="Arial Narrow"/>
      <family val="2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62">
    <xf numFmtId="0" fontId="0" fillId="0" borderId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3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Font="0" applyFill="0" applyBorder="0" applyAlignment="0" applyProtection="0">
      <alignment horizontal="left"/>
    </xf>
    <xf numFmtId="0" fontId="55" fillId="4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7" borderId="1" applyNumberFormat="0" applyAlignment="0" applyProtection="0"/>
    <xf numFmtId="0" fontId="60" fillId="0" borderId="6" applyNumberFormat="0" applyFill="0" applyAlignment="0" applyProtection="0"/>
    <xf numFmtId="0" fontId="61" fillId="22" borderId="0" applyNumberFormat="0" applyBorder="0" applyAlignment="0" applyProtection="0"/>
    <xf numFmtId="164" fontId="22" fillId="0" borderId="0" applyFont="0" applyAlignment="0" applyProtection="0"/>
    <xf numFmtId="0" fontId="3" fillId="0" borderId="0"/>
    <xf numFmtId="0" fontId="49" fillId="0" borderId="0"/>
    <xf numFmtId="0" fontId="8" fillId="0" borderId="0"/>
    <xf numFmtId="0" fontId="8" fillId="0" borderId="0"/>
    <xf numFmtId="0" fontId="3" fillId="0" borderId="0"/>
    <xf numFmtId="0" fontId="30" fillId="0" borderId="0"/>
    <xf numFmtId="0" fontId="49" fillId="23" borderId="7" applyNumberFormat="0" applyFont="0" applyAlignment="0" applyProtection="0"/>
    <xf numFmtId="0" fontId="62" fillId="20" borderId="8" applyNumberFormat="0" applyAlignment="0" applyProtection="0"/>
    <xf numFmtId="9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0" fontId="23" fillId="0" borderId="0">
      <alignment horizontal="left"/>
    </xf>
    <xf numFmtId="0" fontId="65" fillId="0" borderId="0" applyNumberFormat="0" applyFill="0" applyBorder="0" applyAlignment="0" applyProtection="0"/>
    <xf numFmtId="0" fontId="67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41" fontId="68" fillId="0" borderId="0" applyFont="0" applyFill="0" applyBorder="0" applyAlignment="0" applyProtection="0"/>
    <xf numFmtId="171" fontId="69" fillId="0" borderId="0"/>
    <xf numFmtId="0" fontId="70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74" fillId="0" borderId="0" applyFont="0" applyFill="0" applyBorder="0" applyProtection="0">
      <alignment horizontal="right"/>
    </xf>
    <xf numFmtId="176" fontId="75" fillId="0" borderId="0" applyNumberFormat="0" applyFill="0" applyBorder="0" applyAlignment="0" applyProtection="0"/>
    <xf numFmtId="0" fontId="18" fillId="0" borderId="34" applyNumberFormat="0" applyBorder="0" applyAlignment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1" fillId="0" borderId="0"/>
    <xf numFmtId="170" fontId="77" fillId="0" borderId="0"/>
    <xf numFmtId="0" fontId="73" fillId="0" borderId="0"/>
    <xf numFmtId="0" fontId="1" fillId="0" borderId="0"/>
    <xf numFmtId="0" fontId="1" fillId="0" borderId="0"/>
    <xf numFmtId="41" fontId="68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1" fillId="38" borderId="35" applyNumberFormat="0" applyFont="0" applyAlignment="0" applyProtection="0"/>
    <xf numFmtId="0" fontId="1" fillId="38" borderId="35" applyNumberFormat="0" applyFont="0" applyAlignment="0" applyProtection="0"/>
    <xf numFmtId="12" fontId="16" fillId="39" borderId="22">
      <alignment horizontal="lef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7" fillId="0" borderId="0" applyFont="0" applyFill="0" applyBorder="0" applyAlignment="0" applyProtection="0"/>
    <xf numFmtId="4" fontId="79" fillId="22" borderId="36" applyNumberFormat="0" applyProtection="0">
      <alignment vertical="center"/>
    </xf>
    <xf numFmtId="4" fontId="80" fillId="40" borderId="36" applyNumberFormat="0" applyProtection="0">
      <alignment vertical="center"/>
    </xf>
    <xf numFmtId="4" fontId="79" fillId="40" borderId="36" applyNumberFormat="0" applyProtection="0">
      <alignment vertical="center"/>
    </xf>
    <xf numFmtId="0" fontId="79" fillId="40" borderId="36" applyNumberFormat="0" applyProtection="0">
      <alignment horizontal="left" vertical="top" indent="1"/>
    </xf>
    <xf numFmtId="4" fontId="79" fillId="41" borderId="0" applyNumberFormat="0" applyProtection="0">
      <alignment horizontal="left" vertical="center" indent="1"/>
    </xf>
    <xf numFmtId="4" fontId="81" fillId="3" borderId="36" applyNumberFormat="0" applyProtection="0">
      <alignment horizontal="right" vertical="center"/>
    </xf>
    <xf numFmtId="4" fontId="81" fillId="9" borderId="36" applyNumberFormat="0" applyProtection="0">
      <alignment horizontal="right" vertical="center"/>
    </xf>
    <xf numFmtId="4" fontId="81" fillId="17" borderId="36" applyNumberFormat="0" applyProtection="0">
      <alignment horizontal="right" vertical="center"/>
    </xf>
    <xf numFmtId="4" fontId="81" fillId="11" borderId="36" applyNumberFormat="0" applyProtection="0">
      <alignment horizontal="right" vertical="center"/>
    </xf>
    <xf numFmtId="4" fontId="81" fillId="15" borderId="36" applyNumberFormat="0" applyProtection="0">
      <alignment horizontal="right" vertical="center"/>
    </xf>
    <xf numFmtId="4" fontId="81" fillId="19" borderId="36" applyNumberFormat="0" applyProtection="0">
      <alignment horizontal="right" vertical="center"/>
    </xf>
    <xf numFmtId="4" fontId="81" fillId="18" borderId="36" applyNumberFormat="0" applyProtection="0">
      <alignment horizontal="right" vertical="center"/>
    </xf>
    <xf numFmtId="4" fontId="81" fillId="42" borderId="36" applyNumberFormat="0" applyProtection="0">
      <alignment horizontal="right" vertical="center"/>
    </xf>
    <xf numFmtId="4" fontId="81" fillId="10" borderId="36" applyNumberFormat="0" applyProtection="0">
      <alignment horizontal="right" vertical="center"/>
    </xf>
    <xf numFmtId="4" fontId="79" fillId="43" borderId="37" applyNumberFormat="0" applyProtection="0">
      <alignment horizontal="left" vertical="center" indent="1"/>
    </xf>
    <xf numFmtId="4" fontId="81" fillId="44" borderId="0" applyNumberFormat="0" applyProtection="0">
      <alignment horizontal="left" vertical="center" indent="1"/>
    </xf>
    <xf numFmtId="4" fontId="82" fillId="45" borderId="0" applyNumberFormat="0" applyProtection="0">
      <alignment horizontal="left" vertical="center" indent="1"/>
    </xf>
    <xf numFmtId="4" fontId="81" fillId="46" borderId="36" applyNumberFormat="0" applyProtection="0">
      <alignment horizontal="right" vertical="center"/>
    </xf>
    <xf numFmtId="4" fontId="83" fillId="0" borderId="0" applyNumberFormat="0" applyProtection="0">
      <alignment horizontal="left" vertical="center" indent="1"/>
    </xf>
    <xf numFmtId="4" fontId="84" fillId="0" borderId="0" applyNumberFormat="0" applyProtection="0">
      <alignment horizontal="left" vertical="center" indent="1"/>
    </xf>
    <xf numFmtId="0" fontId="3" fillId="45" borderId="36" applyNumberFormat="0" applyProtection="0">
      <alignment horizontal="left" vertical="center" indent="1"/>
    </xf>
    <xf numFmtId="0" fontId="3" fillId="45" borderId="36" applyNumberFormat="0" applyProtection="0">
      <alignment horizontal="left" vertical="top" indent="1"/>
    </xf>
    <xf numFmtId="0" fontId="3" fillId="41" borderId="36" applyNumberFormat="0" applyProtection="0">
      <alignment horizontal="left" vertical="center" indent="1"/>
    </xf>
    <xf numFmtId="0" fontId="3" fillId="41" borderId="36" applyNumberFormat="0" applyProtection="0">
      <alignment horizontal="left" vertical="top" indent="1"/>
    </xf>
    <xf numFmtId="0" fontId="3" fillId="47" borderId="36" applyNumberFormat="0" applyProtection="0">
      <alignment horizontal="left" vertical="center" indent="1"/>
    </xf>
    <xf numFmtId="0" fontId="3" fillId="47" borderId="36" applyNumberFormat="0" applyProtection="0">
      <alignment horizontal="left" vertical="top" indent="1"/>
    </xf>
    <xf numFmtId="0" fontId="3" fillId="48" borderId="36" applyNumberFormat="0" applyProtection="0">
      <alignment horizontal="left" vertical="center" indent="1"/>
    </xf>
    <xf numFmtId="0" fontId="3" fillId="48" borderId="36" applyNumberFormat="0" applyProtection="0">
      <alignment horizontal="left" vertical="top" indent="1"/>
    </xf>
    <xf numFmtId="4" fontId="81" fillId="49" borderId="36" applyNumberFormat="0" applyProtection="0">
      <alignment vertical="center"/>
    </xf>
    <xf numFmtId="4" fontId="85" fillId="49" borderId="36" applyNumberFormat="0" applyProtection="0">
      <alignment vertical="center"/>
    </xf>
    <xf numFmtId="4" fontId="81" fillId="49" borderId="36" applyNumberFormat="0" applyProtection="0">
      <alignment horizontal="left" vertical="center" indent="1"/>
    </xf>
    <xf numFmtId="0" fontId="81" fillId="49" borderId="36" applyNumberFormat="0" applyProtection="0">
      <alignment horizontal="left" vertical="top" indent="1"/>
    </xf>
    <xf numFmtId="4" fontId="81" fillId="50" borderId="38" applyNumberFormat="0" applyProtection="0">
      <alignment horizontal="right" vertical="center"/>
    </xf>
    <xf numFmtId="4" fontId="85" fillId="44" borderId="36" applyNumberFormat="0" applyProtection="0">
      <alignment horizontal="right" vertical="center"/>
    </xf>
    <xf numFmtId="4" fontId="81" fillId="50" borderId="36" applyNumberFormat="0" applyProtection="0">
      <alignment horizontal="left" vertical="center" indent="1"/>
    </xf>
    <xf numFmtId="0" fontId="81" fillId="41" borderId="36" applyNumberFormat="0" applyProtection="0">
      <alignment horizontal="center" vertical="top"/>
    </xf>
    <xf numFmtId="4" fontId="86" fillId="0" borderId="0" applyNumberFormat="0" applyProtection="0">
      <alignment horizontal="left" vertical="center"/>
    </xf>
    <xf numFmtId="4" fontId="45" fillId="44" borderId="36" applyNumberFormat="0" applyProtection="0">
      <alignment horizontal="right" vertical="center"/>
    </xf>
    <xf numFmtId="177" fontId="3" fillId="0" borderId="0" applyFill="0" applyBorder="0" applyAlignment="0" applyProtection="0">
      <alignment wrapText="1"/>
    </xf>
    <xf numFmtId="0" fontId="11" fillId="0" borderId="0" applyNumberFormat="0" applyFill="0" applyBorder="0">
      <alignment horizontal="center" wrapText="1"/>
    </xf>
    <xf numFmtId="0" fontId="11" fillId="0" borderId="0" applyNumberFormat="0" applyFill="0" applyBorder="0">
      <alignment horizontal="center" wrapText="1"/>
    </xf>
    <xf numFmtId="37" fontId="18" fillId="40" borderId="0" applyNumberFormat="0" applyBorder="0" applyAlignment="0" applyProtection="0"/>
    <xf numFmtId="37" fontId="18" fillId="0" borderId="0"/>
    <xf numFmtId="3" fontId="87" fillId="51" borderId="39" applyProtection="0"/>
  </cellStyleXfs>
  <cellXfs count="296">
    <xf numFmtId="0" fontId="0" fillId="0" borderId="0" xfId="0"/>
    <xf numFmtId="0" fontId="0" fillId="0" borderId="10" xfId="0" applyBorder="1"/>
    <xf numFmtId="0" fontId="0" fillId="24" borderId="10" xfId="0" applyFill="1" applyBorder="1"/>
    <xf numFmtId="4" fontId="9" fillId="0" borderId="0" xfId="0" applyNumberFormat="1" applyFont="1"/>
    <xf numFmtId="3" fontId="9" fillId="0" borderId="0" xfId="0" applyNumberFormat="1" applyFont="1"/>
    <xf numFmtId="165" fontId="3" fillId="0" borderId="0" xfId="29" applyNumberFormat="1" applyFont="1"/>
    <xf numFmtId="165" fontId="0" fillId="0" borderId="0" xfId="0" applyNumberFormat="1"/>
    <xf numFmtId="164" fontId="3" fillId="0" borderId="0" xfId="28" applyNumberFormat="1" applyFont="1"/>
    <xf numFmtId="0" fontId="10" fillId="25" borderId="10" xfId="0" applyFont="1" applyFill="1" applyBorder="1"/>
    <xf numFmtId="0" fontId="10" fillId="25" borderId="11" xfId="0" applyFont="1" applyFill="1" applyBorder="1" applyAlignment="1">
      <alignment horizontal="center"/>
    </xf>
    <xf numFmtId="0" fontId="0" fillId="0" borderId="12" xfId="0" applyBorder="1"/>
    <xf numFmtId="165" fontId="0" fillId="0" borderId="13" xfId="0" applyNumberFormat="1" applyFill="1" applyBorder="1"/>
    <xf numFmtId="43" fontId="0" fillId="0" borderId="0" xfId="0" applyNumberFormat="1"/>
    <xf numFmtId="0" fontId="0" fillId="0" borderId="0" xfId="0" applyBorder="1"/>
    <xf numFmtId="0" fontId="0" fillId="0" borderId="14" xfId="0" applyBorder="1"/>
    <xf numFmtId="0" fontId="0" fillId="0" borderId="0" xfId="0" quotePrefix="1" applyNumberFormat="1"/>
    <xf numFmtId="0" fontId="0" fillId="0" borderId="0" xfId="0" applyNumberFormat="1"/>
    <xf numFmtId="164" fontId="3" fillId="0" borderId="0" xfId="28" quotePrefix="1" applyNumberFormat="1" applyFont="1"/>
    <xf numFmtId="0" fontId="0" fillId="0" borderId="15" xfId="0" applyBorder="1"/>
    <xf numFmtId="44" fontId="0" fillId="0" borderId="0" xfId="0" applyNumberFormat="1"/>
    <xf numFmtId="0" fontId="0" fillId="0" borderId="16" xfId="0" applyBorder="1"/>
    <xf numFmtId="164" fontId="0" fillId="0" borderId="0" xfId="0" applyNumberFormat="1"/>
    <xf numFmtId="0" fontId="0" fillId="0" borderId="10" xfId="0" applyFill="1" applyBorder="1"/>
    <xf numFmtId="164" fontId="3" fillId="0" borderId="11" xfId="28" applyNumberFormat="1" applyFont="1" applyBorder="1"/>
    <xf numFmtId="0" fontId="0" fillId="0" borderId="13" xfId="0" applyBorder="1"/>
    <xf numFmtId="0" fontId="0" fillId="0" borderId="17" xfId="0" applyBorder="1"/>
    <xf numFmtId="165" fontId="0" fillId="0" borderId="0" xfId="0" applyNumberFormat="1" applyFill="1" applyBorder="1"/>
    <xf numFmtId="0" fontId="0" fillId="0" borderId="15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0" xfId="0" applyFill="1" applyBorder="1"/>
    <xf numFmtId="165" fontId="3" fillId="0" borderId="0" xfId="29" applyNumberFormat="1" applyFont="1" applyFill="1" applyBorder="1"/>
    <xf numFmtId="165" fontId="5" fillId="0" borderId="11" xfId="29" applyNumberFormat="1" applyFont="1" applyBorder="1"/>
    <xf numFmtId="6" fontId="6" fillId="0" borderId="0" xfId="0" applyNumberFormat="1" applyFont="1" applyFill="1" applyBorder="1" applyAlignment="1">
      <alignment horizontal="right"/>
    </xf>
    <xf numFmtId="6" fontId="0" fillId="0" borderId="0" xfId="0" applyNumberFormat="1" applyFill="1" applyBorder="1"/>
    <xf numFmtId="8" fontId="6" fillId="0" borderId="0" xfId="0" applyNumberFormat="1" applyFont="1" applyFill="1" applyBorder="1" applyAlignment="1">
      <alignment horizontal="right"/>
    </xf>
    <xf numFmtId="8" fontId="0" fillId="0" borderId="0" xfId="0" applyNumberFormat="1" applyFill="1" applyBorder="1"/>
    <xf numFmtId="165" fontId="6" fillId="0" borderId="0" xfId="29" applyNumberFormat="1" applyFont="1" applyFill="1" applyBorder="1" applyAlignment="1">
      <alignment horizontal="right"/>
    </xf>
    <xf numFmtId="0" fontId="5" fillId="0" borderId="0" xfId="0" applyFont="1" applyFill="1" applyBorder="1"/>
    <xf numFmtId="165" fontId="0" fillId="24" borderId="11" xfId="0" applyNumberFormat="1" applyFill="1" applyBorder="1"/>
    <xf numFmtId="0" fontId="11" fillId="0" borderId="15" xfId="0" applyFont="1" applyBorder="1"/>
    <xf numFmtId="0" fontId="11" fillId="0" borderId="14" xfId="0" applyFont="1" applyFill="1" applyBorder="1" applyAlignment="1">
      <alignment horizontal="center"/>
    </xf>
    <xf numFmtId="0" fontId="12" fillId="0" borderId="15" xfId="0" applyFont="1" applyBorder="1"/>
    <xf numFmtId="165" fontId="6" fillId="0" borderId="14" xfId="0" applyNumberFormat="1" applyFont="1" applyFill="1" applyBorder="1" applyAlignment="1">
      <alignment horizontal="center"/>
    </xf>
    <xf numFmtId="0" fontId="12" fillId="0" borderId="12" xfId="0" applyFont="1" applyBorder="1"/>
    <xf numFmtId="165" fontId="6" fillId="0" borderId="13" xfId="0" applyNumberFormat="1" applyFont="1" applyFill="1" applyBorder="1" applyAlignment="1">
      <alignment horizontal="center"/>
    </xf>
    <xf numFmtId="43" fontId="0" fillId="0" borderId="11" xfId="0" applyNumberFormat="1" applyBorder="1" applyAlignment="1">
      <alignment horizontal="center"/>
    </xf>
    <xf numFmtId="44" fontId="3" fillId="0" borderId="20" xfId="29" applyNumberFormat="1" applyFont="1" applyBorder="1"/>
    <xf numFmtId="0" fontId="0" fillId="0" borderId="20" xfId="0" applyBorder="1"/>
    <xf numFmtId="165" fontId="3" fillId="0" borderId="21" xfId="29" applyNumberFormat="1" applyFont="1" applyBorder="1"/>
    <xf numFmtId="0" fontId="0" fillId="0" borderId="22" xfId="0" applyBorder="1"/>
    <xf numFmtId="165" fontId="3" fillId="0" borderId="23" xfId="29" applyNumberFormat="1" applyFont="1" applyBorder="1"/>
    <xf numFmtId="0" fontId="0" fillId="0" borderId="24" xfId="0" applyFill="1" applyBorder="1"/>
    <xf numFmtId="0" fontId="0" fillId="0" borderId="11" xfId="0" applyFill="1" applyBorder="1"/>
    <xf numFmtId="44" fontId="3" fillId="0" borderId="0" xfId="29" applyNumberFormat="1" applyFont="1" applyBorder="1"/>
    <xf numFmtId="43" fontId="3" fillId="0" borderId="0" xfId="28" applyFont="1" applyBorder="1"/>
    <xf numFmtId="0" fontId="0" fillId="0" borderId="0" xfId="0" applyAlignment="1">
      <alignment horizontal="center"/>
    </xf>
    <xf numFmtId="0" fontId="0" fillId="24" borderId="0" xfId="0" applyFill="1" applyBorder="1"/>
    <xf numFmtId="43" fontId="0" fillId="0" borderId="0" xfId="0" quotePrefix="1" applyNumberFormat="1"/>
    <xf numFmtId="0" fontId="11" fillId="0" borderId="0" xfId="45" applyFont="1"/>
    <xf numFmtId="37" fontId="0" fillId="0" borderId="0" xfId="0" applyNumberFormat="1"/>
    <xf numFmtId="0" fontId="7" fillId="0" borderId="0" xfId="44" applyFont="1" applyAlignment="1">
      <alignment horizontal="center"/>
    </xf>
    <xf numFmtId="5" fontId="0" fillId="0" borderId="0" xfId="0" applyNumberFormat="1"/>
    <xf numFmtId="164" fontId="0" fillId="0" borderId="0" xfId="0" quotePrefix="1" applyNumberFormat="1"/>
    <xf numFmtId="0" fontId="13" fillId="0" borderId="0" xfId="44" applyFont="1" applyAlignment="1"/>
    <xf numFmtId="0" fontId="8" fillId="0" borderId="0" xfId="44"/>
    <xf numFmtId="0" fontId="14" fillId="0" borderId="0" xfId="44" applyFont="1"/>
    <xf numFmtId="0" fontId="14" fillId="0" borderId="0" xfId="44" applyFont="1" applyAlignment="1">
      <alignment horizontal="center"/>
    </xf>
    <xf numFmtId="164" fontId="14" fillId="0" borderId="0" xfId="28" applyNumberFormat="1" applyFont="1" applyAlignment="1">
      <alignment horizontal="center"/>
    </xf>
    <xf numFmtId="164" fontId="14" fillId="0" borderId="0" xfId="28" applyNumberFormat="1" applyFont="1" applyBorder="1" applyAlignment="1">
      <alignment horizontal="center"/>
    </xf>
    <xf numFmtId="164" fontId="14" fillId="0" borderId="0" xfId="28" applyNumberFormat="1" applyFont="1" applyFill="1" applyBorder="1" applyAlignment="1">
      <alignment horizontal="center"/>
    </xf>
    <xf numFmtId="164" fontId="14" fillId="24" borderId="0" xfId="28" applyNumberFormat="1" applyFont="1" applyFill="1" applyBorder="1" applyAlignment="1">
      <alignment horizontal="center"/>
    </xf>
    <xf numFmtId="43" fontId="8" fillId="0" borderId="0" xfId="28" applyFont="1"/>
    <xf numFmtId="5" fontId="15" fillId="0" borderId="0" xfId="28" applyNumberFormat="1" applyFont="1"/>
    <xf numFmtId="3" fontId="5" fillId="0" borderId="0" xfId="0" applyNumberFormat="1" applyFont="1" applyFill="1"/>
    <xf numFmtId="2" fontId="0" fillId="0" borderId="0" xfId="0" applyNumberFormat="1" applyFill="1"/>
    <xf numFmtId="0" fontId="3" fillId="0" borderId="0" xfId="45"/>
    <xf numFmtId="17" fontId="16" fillId="0" borderId="0" xfId="45" quotePrefix="1" applyNumberFormat="1" applyFont="1"/>
    <xf numFmtId="0" fontId="11" fillId="0" borderId="0" xfId="45" applyFont="1" applyAlignment="1">
      <alignment horizontal="center"/>
    </xf>
    <xf numFmtId="0" fontId="11" fillId="0" borderId="25" xfId="45" applyFont="1" applyBorder="1" applyAlignment="1">
      <alignment horizontal="center"/>
    </xf>
    <xf numFmtId="0" fontId="11" fillId="0" borderId="0" xfId="45" applyFont="1" applyBorder="1" applyAlignment="1">
      <alignment horizontal="center"/>
    </xf>
    <xf numFmtId="164" fontId="3" fillId="0" borderId="0" xfId="45" applyNumberFormat="1"/>
    <xf numFmtId="168" fontId="3" fillId="0" borderId="0" xfId="29" applyNumberFormat="1" applyFont="1"/>
    <xf numFmtId="43" fontId="3" fillId="0" borderId="0" xfId="28" applyFont="1"/>
    <xf numFmtId="168" fontId="17" fillId="0" borderId="0" xfId="29" applyNumberFormat="1" applyFont="1"/>
    <xf numFmtId="0" fontId="3" fillId="0" borderId="0" xfId="45" applyFont="1"/>
    <xf numFmtId="168" fontId="3" fillId="0" borderId="25" xfId="29" applyNumberFormat="1" applyFont="1" applyBorder="1"/>
    <xf numFmtId="0" fontId="3" fillId="0" borderId="0" xfId="45" quotePrefix="1" applyFont="1"/>
    <xf numFmtId="165" fontId="0" fillId="0" borderId="21" xfId="0" applyNumberFormat="1" applyBorder="1"/>
    <xf numFmtId="165" fontId="0" fillId="0" borderId="23" xfId="0" applyNumberFormat="1" applyBorder="1"/>
    <xf numFmtId="167" fontId="6" fillId="0" borderId="0" xfId="29" applyNumberFormat="1" applyFont="1" applyBorder="1" applyAlignment="1">
      <alignment horizontal="right"/>
    </xf>
    <xf numFmtId="167" fontId="6" fillId="0" borderId="0" xfId="29" applyNumberFormat="1" applyFont="1" applyFill="1" applyBorder="1" applyAlignment="1">
      <alignment horizontal="right"/>
    </xf>
    <xf numFmtId="167" fontId="5" fillId="0" borderId="0" xfId="29" applyNumberFormat="1" applyFont="1" applyFill="1" applyBorder="1"/>
    <xf numFmtId="44" fontId="0" fillId="0" borderId="0" xfId="0" applyNumberFormat="1" applyFill="1" applyBorder="1"/>
    <xf numFmtId="0" fontId="0" fillId="0" borderId="0" xfId="0" applyAlignment="1">
      <alignment wrapText="1"/>
    </xf>
    <xf numFmtId="0" fontId="11" fillId="24" borderId="11" xfId="45" applyFont="1" applyFill="1" applyBorder="1" applyAlignment="1">
      <alignment wrapText="1"/>
    </xf>
    <xf numFmtId="0" fontId="11" fillId="24" borderId="10" xfId="0" applyFont="1" applyFill="1" applyBorder="1" applyAlignment="1">
      <alignment wrapText="1"/>
    </xf>
    <xf numFmtId="0" fontId="11" fillId="24" borderId="26" xfId="0" applyFont="1" applyFill="1" applyBorder="1" applyAlignment="1">
      <alignment wrapText="1"/>
    </xf>
    <xf numFmtId="0" fontId="11" fillId="24" borderId="11" xfId="0" applyFont="1" applyFill="1" applyBorder="1" applyAlignment="1">
      <alignment wrapText="1"/>
    </xf>
    <xf numFmtId="167" fontId="11" fillId="24" borderId="11" xfId="29" applyNumberFormat="1" applyFont="1" applyFill="1" applyBorder="1" applyAlignment="1">
      <alignment wrapText="1"/>
    </xf>
    <xf numFmtId="0" fontId="11" fillId="0" borderId="13" xfId="45" applyFont="1" applyBorder="1"/>
    <xf numFmtId="0" fontId="11" fillId="0" borderId="17" xfId="45" applyFont="1" applyBorder="1"/>
    <xf numFmtId="37" fontId="0" fillId="0" borderId="12" xfId="0" applyNumberFormat="1" applyBorder="1"/>
    <xf numFmtId="37" fontId="0" fillId="0" borderId="16" xfId="0" applyNumberFormat="1" applyBorder="1"/>
    <xf numFmtId="37" fontId="0" fillId="0" borderId="11" xfId="0" applyNumberFormat="1" applyBorder="1"/>
    <xf numFmtId="165" fontId="0" fillId="0" borderId="10" xfId="0" applyNumberFormat="1" applyBorder="1"/>
    <xf numFmtId="165" fontId="0" fillId="0" borderId="26" xfId="0" applyNumberFormat="1" applyBorder="1"/>
    <xf numFmtId="165" fontId="0" fillId="0" borderId="11" xfId="0" applyNumberFormat="1" applyBorder="1"/>
    <xf numFmtId="0" fontId="0" fillId="0" borderId="27" xfId="0" applyBorder="1" applyAlignment="1">
      <alignment horizontal="center"/>
    </xf>
    <xf numFmtId="165" fontId="3" fillId="0" borderId="14" xfId="29" applyNumberFormat="1" applyFont="1" applyBorder="1"/>
    <xf numFmtId="44" fontId="3" fillId="0" borderId="0" xfId="29" applyFont="1" applyFill="1"/>
    <xf numFmtId="165" fontId="3" fillId="0" borderId="13" xfId="29" applyNumberFormat="1" applyFont="1" applyBorder="1"/>
    <xf numFmtId="165" fontId="3" fillId="0" borderId="17" xfId="29" applyNumberFormat="1" applyFont="1" applyBorder="1"/>
    <xf numFmtId="44" fontId="3" fillId="0" borderId="22" xfId="29" applyNumberFormat="1" applyFont="1" applyBorder="1"/>
    <xf numFmtId="167" fontId="3" fillId="0" borderId="0" xfId="29" applyNumberFormat="1" applyFont="1" applyFill="1" applyBorder="1"/>
    <xf numFmtId="167" fontId="3" fillId="0" borderId="0" xfId="29" applyNumberFormat="1" applyFont="1"/>
    <xf numFmtId="44" fontId="3" fillId="0" borderId="0" xfId="29" applyFont="1"/>
    <xf numFmtId="167" fontId="3" fillId="0" borderId="0" xfId="29" applyNumberFormat="1" applyFont="1" applyBorder="1"/>
    <xf numFmtId="165" fontId="3" fillId="0" borderId="0" xfId="29" applyNumberFormat="1" applyFont="1" applyBorder="1"/>
    <xf numFmtId="165" fontId="3" fillId="0" borderId="17" xfId="29" applyNumberFormat="1" applyFont="1" applyBorder="1" applyAlignment="1">
      <alignment horizontal="center"/>
    </xf>
    <xf numFmtId="9" fontId="3" fillId="0" borderId="21" xfId="49" applyFont="1" applyBorder="1"/>
    <xf numFmtId="44" fontId="3" fillId="0" borderId="12" xfId="29" applyFont="1" applyBorder="1"/>
    <xf numFmtId="44" fontId="3" fillId="0" borderId="21" xfId="29" applyFont="1" applyBorder="1"/>
    <xf numFmtId="165" fontId="3" fillId="0" borderId="12" xfId="29" applyNumberFormat="1" applyFont="1" applyBorder="1"/>
    <xf numFmtId="43" fontId="3" fillId="24" borderId="14" xfId="28" applyFont="1" applyFill="1" applyBorder="1"/>
    <xf numFmtId="43" fontId="3" fillId="24" borderId="13" xfId="28" applyFont="1" applyFill="1" applyBorder="1"/>
    <xf numFmtId="9" fontId="3" fillId="0" borderId="0" xfId="49" applyFont="1"/>
    <xf numFmtId="9" fontId="3" fillId="0" borderId="23" xfId="49" applyFont="1" applyBorder="1"/>
    <xf numFmtId="44" fontId="3" fillId="0" borderId="16" xfId="29" applyFont="1" applyBorder="1"/>
    <xf numFmtId="44" fontId="3" fillId="0" borderId="23" xfId="29" applyFont="1" applyBorder="1"/>
    <xf numFmtId="165" fontId="3" fillId="0" borderId="16" xfId="29" applyNumberFormat="1" applyFont="1" applyBorder="1"/>
    <xf numFmtId="43" fontId="3" fillId="24" borderId="17" xfId="28" applyFont="1" applyFill="1" applyBorder="1"/>
    <xf numFmtId="165" fontId="3" fillId="0" borderId="11" xfId="29" applyNumberFormat="1" applyFont="1" applyBorder="1"/>
    <xf numFmtId="0" fontId="7" fillId="0" borderId="0" xfId="43" applyFont="1" applyAlignment="1">
      <alignment horizontal="center"/>
    </xf>
    <xf numFmtId="0" fontId="7" fillId="0" borderId="0" xfId="43" applyFont="1" applyAlignment="1"/>
    <xf numFmtId="0" fontId="8" fillId="0" borderId="0" xfId="43"/>
    <xf numFmtId="0" fontId="25" fillId="0" borderId="0" xfId="43" applyFont="1"/>
    <xf numFmtId="0" fontId="14" fillId="0" borderId="0" xfId="43" applyFont="1"/>
    <xf numFmtId="43" fontId="14" fillId="0" borderId="0" xfId="28" applyFont="1"/>
    <xf numFmtId="43" fontId="13" fillId="0" borderId="0" xfId="28" applyFont="1" applyAlignment="1">
      <alignment horizontal="center" wrapText="1"/>
    </xf>
    <xf numFmtId="0" fontId="13" fillId="0" borderId="0" xfId="43" applyFont="1"/>
    <xf numFmtId="0" fontId="13" fillId="0" borderId="0" xfId="28" applyNumberFormat="1" applyFont="1" applyAlignment="1">
      <alignment horizontal="center"/>
    </xf>
    <xf numFmtId="0" fontId="13" fillId="0" borderId="0" xfId="28" applyNumberFormat="1" applyFont="1" applyAlignment="1">
      <alignment horizontal="center" wrapText="1"/>
    </xf>
    <xf numFmtId="0" fontId="14" fillId="0" borderId="0" xfId="43" applyFont="1" applyAlignment="1">
      <alignment horizontal="center"/>
    </xf>
    <xf numFmtId="43" fontId="14" fillId="0" borderId="0" xfId="28" applyFont="1" applyAlignment="1">
      <alignment horizontal="center"/>
    </xf>
    <xf numFmtId="43" fontId="14" fillId="0" borderId="0" xfId="28" applyFont="1" applyAlignment="1">
      <alignment horizontal="right"/>
    </xf>
    <xf numFmtId="43" fontId="13" fillId="0" borderId="0" xfId="28" applyFont="1" applyBorder="1"/>
    <xf numFmtId="43" fontId="14" fillId="0" borderId="0" xfId="28" applyFont="1" applyBorder="1"/>
    <xf numFmtId="43" fontId="14" fillId="0" borderId="0" xfId="28" applyFont="1" applyBorder="1" applyAlignment="1">
      <alignment horizontal="center"/>
    </xf>
    <xf numFmtId="164" fontId="14" fillId="0" borderId="0" xfId="28" applyNumberFormat="1" applyFont="1"/>
    <xf numFmtId="0" fontId="13" fillId="0" borderId="0" xfId="43" quotePrefix="1" applyFont="1"/>
    <xf numFmtId="166" fontId="14" fillId="0" borderId="0" xfId="28" quotePrefix="1" applyNumberFormat="1" applyFont="1"/>
    <xf numFmtId="166" fontId="14" fillId="0" borderId="22" xfId="28" quotePrefix="1" applyNumberFormat="1" applyFont="1" applyBorder="1"/>
    <xf numFmtId="0" fontId="14" fillId="0" borderId="22" xfId="43" applyFont="1" applyBorder="1"/>
    <xf numFmtId="43" fontId="14" fillId="0" borderId="22" xfId="28" applyFont="1" applyBorder="1"/>
    <xf numFmtId="0" fontId="28" fillId="0" borderId="0" xfId="28" applyNumberFormat="1" applyFont="1" applyAlignment="1">
      <alignment horizontal="center"/>
    </xf>
    <xf numFmtId="43" fontId="13" fillId="0" borderId="0" xfId="28" applyFont="1" applyAlignment="1">
      <alignment horizontal="center"/>
    </xf>
    <xf numFmtId="164" fontId="14" fillId="0" borderId="0" xfId="28" applyNumberFormat="1" applyFont="1" applyAlignment="1"/>
    <xf numFmtId="5" fontId="14" fillId="0" borderId="0" xfId="28" applyNumberFormat="1" applyFont="1" applyAlignment="1">
      <alignment horizontal="center"/>
    </xf>
    <xf numFmtId="3" fontId="14" fillId="0" borderId="0" xfId="28" applyNumberFormat="1" applyFont="1" applyAlignment="1">
      <alignment horizontal="center"/>
    </xf>
    <xf numFmtId="164" fontId="14" fillId="0" borderId="0" xfId="28" applyNumberFormat="1" applyFont="1" applyBorder="1"/>
    <xf numFmtId="3" fontId="14" fillId="0" borderId="0" xfId="28" applyNumberFormat="1" applyFont="1" applyBorder="1" applyAlignment="1">
      <alignment horizontal="center"/>
    </xf>
    <xf numFmtId="0" fontId="14" fillId="0" borderId="0" xfId="43" quotePrefix="1" applyFont="1"/>
    <xf numFmtId="164" fontId="13" fillId="0" borderId="0" xfId="28" applyNumberFormat="1" applyFont="1"/>
    <xf numFmtId="0" fontId="14" fillId="0" borderId="0" xfId="43" applyFont="1" applyFill="1"/>
    <xf numFmtId="164" fontId="14" fillId="0" borderId="0" xfId="28" applyNumberFormat="1" applyFont="1" applyFill="1" applyBorder="1"/>
    <xf numFmtId="164" fontId="14" fillId="0" borderId="0" xfId="28" applyNumberFormat="1" applyFont="1" applyFill="1" applyAlignment="1">
      <alignment horizontal="center"/>
    </xf>
    <xf numFmtId="3" fontId="14" fillId="0" borderId="0" xfId="28" applyNumberFormat="1" applyFont="1" applyFill="1" applyBorder="1" applyAlignment="1">
      <alignment horizontal="center"/>
    </xf>
    <xf numFmtId="164" fontId="14" fillId="0" borderId="0" xfId="28" applyNumberFormat="1" applyFont="1" applyFill="1"/>
    <xf numFmtId="5" fontId="14" fillId="0" borderId="0" xfId="28" applyNumberFormat="1" applyFont="1" applyFill="1" applyAlignment="1">
      <alignment horizontal="center"/>
    </xf>
    <xf numFmtId="4" fontId="14" fillId="0" borderId="0" xfId="28" applyNumberFormat="1" applyFont="1" applyBorder="1" applyAlignment="1">
      <alignment horizontal="center"/>
    </xf>
    <xf numFmtId="3" fontId="14" fillId="0" borderId="0" xfId="28" applyNumberFormat="1" applyFont="1" applyFill="1" applyAlignment="1">
      <alignment horizontal="center"/>
    </xf>
    <xf numFmtId="0" fontId="29" fillId="0" borderId="0" xfId="28" quotePrefix="1" applyNumberFormat="1" applyFont="1"/>
    <xf numFmtId="0" fontId="14" fillId="24" borderId="0" xfId="43" applyFont="1" applyFill="1"/>
    <xf numFmtId="43" fontId="14" fillId="24" borderId="0" xfId="28" applyFont="1" applyFill="1"/>
    <xf numFmtId="43" fontId="14" fillId="24" borderId="0" xfId="28" applyFont="1" applyFill="1" applyBorder="1"/>
    <xf numFmtId="43" fontId="14" fillId="24" borderId="0" xfId="28" applyFont="1" applyFill="1" applyBorder="1" applyAlignment="1">
      <alignment horizontal="center"/>
    </xf>
    <xf numFmtId="43" fontId="14" fillId="24" borderId="0" xfId="28" applyFont="1" applyFill="1" applyAlignment="1">
      <alignment horizontal="right"/>
    </xf>
    <xf numFmtId="0" fontId="13" fillId="24" borderId="0" xfId="43" applyFont="1" applyFill="1"/>
    <xf numFmtId="43" fontId="13" fillId="24" borderId="0" xfId="28" applyFont="1" applyFill="1" applyBorder="1"/>
    <xf numFmtId="164" fontId="14" fillId="24" borderId="0" xfId="28" applyNumberFormat="1" applyFont="1" applyFill="1" applyBorder="1" applyAlignment="1">
      <alignment horizontal="right"/>
    </xf>
    <xf numFmtId="0" fontId="14" fillId="24" borderId="0" xfId="44" applyFont="1" applyFill="1"/>
    <xf numFmtId="0" fontId="0" fillId="24" borderId="0" xfId="0" applyFill="1"/>
    <xf numFmtId="0" fontId="5" fillId="0" borderId="25" xfId="46" applyFont="1" applyFill="1" applyBorder="1" applyAlignment="1">
      <alignment horizontal="center"/>
    </xf>
    <xf numFmtId="0" fontId="5" fillId="0" borderId="28" xfId="46" applyFont="1" applyFill="1" applyBorder="1" applyAlignment="1">
      <alignment horizontal="center"/>
    </xf>
    <xf numFmtId="0" fontId="32" fillId="0" borderId="0" xfId="46" applyFont="1" applyFill="1" applyAlignment="1" applyProtection="1">
      <alignment horizontal="centerContinuous"/>
    </xf>
    <xf numFmtId="0" fontId="33" fillId="0" borderId="0" xfId="46" applyFont="1" applyFill="1" applyAlignment="1" applyProtection="1">
      <alignment horizontal="centerContinuous"/>
    </xf>
    <xf numFmtId="0" fontId="30" fillId="0" borderId="0" xfId="46" applyFill="1"/>
    <xf numFmtId="0" fontId="32" fillId="0" borderId="0" xfId="46" applyFont="1" applyFill="1" applyAlignment="1" applyProtection="1">
      <alignment horizontal="center"/>
    </xf>
    <xf numFmtId="0" fontId="33" fillId="0" borderId="0" xfId="46" applyFont="1" applyFill="1" applyAlignment="1" applyProtection="1">
      <alignment horizontal="center"/>
    </xf>
    <xf numFmtId="0" fontId="34" fillId="0" borderId="0" xfId="46" applyFont="1" applyFill="1" applyAlignment="1" applyProtection="1">
      <alignment horizontal="center"/>
    </xf>
    <xf numFmtId="0" fontId="30" fillId="0" borderId="0" xfId="46" applyFill="1" applyAlignment="1">
      <alignment horizontal="center"/>
    </xf>
    <xf numFmtId="0" fontId="33" fillId="0" borderId="29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/>
    </xf>
    <xf numFmtId="0" fontId="33" fillId="0" borderId="30" xfId="46" applyFont="1" applyFill="1" applyBorder="1" applyAlignment="1" applyProtection="1">
      <alignment horizontal="center"/>
    </xf>
    <xf numFmtId="0" fontId="5" fillId="0" borderId="30" xfId="46" applyFont="1" applyFill="1" applyBorder="1" applyAlignment="1">
      <alignment horizontal="center"/>
    </xf>
    <xf numFmtId="0" fontId="5" fillId="0" borderId="0" xfId="46" applyFont="1" applyFill="1"/>
    <xf numFmtId="0" fontId="35" fillId="0" borderId="0" xfId="46" applyFont="1" applyFill="1"/>
    <xf numFmtId="0" fontId="5" fillId="0" borderId="0" xfId="46" applyFont="1" applyFill="1" applyBorder="1"/>
    <xf numFmtId="0" fontId="5" fillId="0" borderId="31" xfId="46" applyFont="1" applyFill="1" applyBorder="1" applyAlignment="1">
      <alignment horizontal="center"/>
    </xf>
    <xf numFmtId="164" fontId="5" fillId="0" borderId="0" xfId="46" applyNumberFormat="1" applyFont="1" applyFill="1" applyBorder="1"/>
    <xf numFmtId="164" fontId="5" fillId="0" borderId="29" xfId="46" applyNumberFormat="1" applyFont="1" applyFill="1" applyBorder="1"/>
    <xf numFmtId="164" fontId="5" fillId="0" borderId="30" xfId="46" applyNumberFormat="1" applyFont="1" applyFill="1" applyBorder="1"/>
    <xf numFmtId="0" fontId="5" fillId="0" borderId="30" xfId="46" applyFont="1" applyFill="1" applyBorder="1"/>
    <xf numFmtId="0" fontId="37" fillId="0" borderId="0" xfId="46" applyFont="1" applyFill="1"/>
    <xf numFmtId="164" fontId="37" fillId="0" borderId="0" xfId="46" applyNumberFormat="1" applyFont="1" applyFill="1" applyBorder="1"/>
    <xf numFmtId="164" fontId="37" fillId="0" borderId="29" xfId="46" applyNumberFormat="1" applyFont="1" applyFill="1" applyBorder="1"/>
    <xf numFmtId="164" fontId="37" fillId="0" borderId="30" xfId="46" applyNumberFormat="1" applyFont="1" applyFill="1" applyBorder="1"/>
    <xf numFmtId="0" fontId="38" fillId="0" borderId="0" xfId="41" applyFont="1"/>
    <xf numFmtId="164" fontId="39" fillId="0" borderId="0" xfId="46" applyNumberFormat="1" applyFont="1" applyFill="1" applyBorder="1"/>
    <xf numFmtId="164" fontId="5" fillId="0" borderId="25" xfId="46" applyNumberFormat="1" applyFont="1" applyFill="1" applyBorder="1"/>
    <xf numFmtId="164" fontId="5" fillId="0" borderId="28" xfId="46" applyNumberFormat="1" applyFont="1" applyFill="1" applyBorder="1"/>
    <xf numFmtId="164" fontId="5" fillId="0" borderId="31" xfId="46" applyNumberFormat="1" applyFont="1" applyFill="1" applyBorder="1"/>
    <xf numFmtId="164" fontId="5" fillId="0" borderId="0" xfId="46" applyNumberFormat="1" applyFont="1" applyFill="1"/>
    <xf numFmtId="0" fontId="5" fillId="0" borderId="29" xfId="46" applyFont="1" applyFill="1" applyBorder="1"/>
    <xf numFmtId="164" fontId="37" fillId="0" borderId="0" xfId="46" applyNumberFormat="1" applyFont="1" applyFill="1"/>
    <xf numFmtId="10" fontId="5" fillId="0" borderId="30" xfId="49" applyNumberFormat="1" applyFont="1" applyFill="1" applyBorder="1"/>
    <xf numFmtId="0" fontId="5" fillId="0" borderId="32" xfId="46" applyFont="1" applyFill="1" applyBorder="1"/>
    <xf numFmtId="0" fontId="35" fillId="0" borderId="32" xfId="46" applyFont="1" applyFill="1" applyBorder="1"/>
    <xf numFmtId="164" fontId="5" fillId="0" borderId="32" xfId="46" applyNumberFormat="1" applyFont="1" applyFill="1" applyBorder="1"/>
    <xf numFmtId="0" fontId="40" fillId="0" borderId="0" xfId="46" applyFont="1" applyFill="1"/>
    <xf numFmtId="3" fontId="5" fillId="0" borderId="0" xfId="46" applyNumberFormat="1" applyFont="1" applyFill="1" applyBorder="1"/>
    <xf numFmtId="169" fontId="5" fillId="0" borderId="0" xfId="49" applyNumberFormat="1" applyFont="1" applyFill="1" applyBorder="1"/>
    <xf numFmtId="0" fontId="30" fillId="0" borderId="0" xfId="46" applyFill="1" applyBorder="1" applyAlignment="1">
      <alignment horizontal="center"/>
    </xf>
    <xf numFmtId="0" fontId="5" fillId="0" borderId="0" xfId="46" applyFont="1" applyFill="1" applyBorder="1" applyAlignment="1">
      <alignment horizontal="center"/>
    </xf>
    <xf numFmtId="0" fontId="30" fillId="0" borderId="0" xfId="46" applyFill="1" applyBorder="1"/>
    <xf numFmtId="0" fontId="41" fillId="0" borderId="0" xfId="46" applyFont="1" applyFill="1" applyAlignment="1" applyProtection="1">
      <alignment horizontal="left"/>
    </xf>
    <xf numFmtId="0" fontId="42" fillId="0" borderId="0" xfId="46" applyFont="1" applyFill="1" applyAlignment="1">
      <alignment horizontal="left"/>
    </xf>
    <xf numFmtId="0" fontId="11" fillId="0" borderId="0" xfId="0" applyFont="1"/>
    <xf numFmtId="171" fontId="3" fillId="0" borderId="0" xfId="29" applyNumberFormat="1" applyFont="1"/>
    <xf numFmtId="0" fontId="11" fillId="0" borderId="0" xfId="45" applyFont="1" applyFill="1" applyBorder="1" applyAlignment="1">
      <alignment horizontal="center"/>
    </xf>
    <xf numFmtId="0" fontId="3" fillId="0" borderId="0" xfId="45" applyFont="1" applyAlignment="1">
      <alignment horizontal="left"/>
    </xf>
    <xf numFmtId="168" fontId="11" fillId="0" borderId="0" xfId="29" applyNumberFormat="1" applyFont="1"/>
    <xf numFmtId="164" fontId="6" fillId="0" borderId="25" xfId="45" applyNumberFormat="1" applyFont="1" applyBorder="1"/>
    <xf numFmtId="168" fontId="6" fillId="0" borderId="25" xfId="29" applyNumberFormat="1" applyFont="1" applyBorder="1"/>
    <xf numFmtId="6" fontId="11" fillId="0" borderId="25" xfId="45" quotePrefix="1" applyNumberFormat="1" applyFont="1" applyBorder="1" applyAlignment="1">
      <alignment horizontal="center"/>
    </xf>
    <xf numFmtId="6" fontId="11" fillId="0" borderId="0" xfId="45" quotePrefix="1" applyNumberFormat="1" applyFont="1" applyBorder="1" applyAlignment="1">
      <alignment horizontal="center"/>
    </xf>
    <xf numFmtId="0" fontId="11" fillId="0" borderId="0" xfId="45" quotePrefix="1" applyFont="1" applyBorder="1" applyAlignment="1">
      <alignment horizontal="center"/>
    </xf>
    <xf numFmtId="0" fontId="11" fillId="0" borderId="25" xfId="45" applyFont="1" applyBorder="1" applyAlignment="1">
      <alignment horizontal="centerContinuous"/>
    </xf>
    <xf numFmtId="173" fontId="11" fillId="0" borderId="0" xfId="45" applyNumberFormat="1" applyFont="1" applyAlignment="1">
      <alignment horizontal="center"/>
    </xf>
    <xf numFmtId="173" fontId="11" fillId="0" borderId="0" xfId="45" applyNumberFormat="1" applyFont="1" applyBorder="1" applyAlignment="1">
      <alignment horizontal="center"/>
    </xf>
    <xf numFmtId="7" fontId="3" fillId="0" borderId="0" xfId="45" applyNumberFormat="1"/>
    <xf numFmtId="7" fontId="6" fillId="0" borderId="25" xfId="45" applyNumberFormat="1" applyFont="1" applyBorder="1"/>
    <xf numFmtId="10" fontId="3" fillId="0" borderId="0" xfId="29" applyNumberFormat="1" applyFont="1"/>
    <xf numFmtId="10" fontId="3" fillId="0" borderId="25" xfId="29" applyNumberFormat="1" applyFont="1" applyBorder="1"/>
    <xf numFmtId="0" fontId="46" fillId="0" borderId="0" xfId="45" applyFont="1"/>
    <xf numFmtId="164" fontId="46" fillId="0" borderId="0" xfId="45" applyNumberFormat="1" applyFont="1"/>
    <xf numFmtId="7" fontId="46" fillId="0" borderId="0" xfId="45" applyNumberFormat="1" applyFont="1"/>
    <xf numFmtId="168" fontId="46" fillId="0" borderId="0" xfId="29" applyNumberFormat="1" applyFont="1"/>
    <xf numFmtId="0" fontId="46" fillId="0" borderId="0" xfId="0" applyFont="1"/>
    <xf numFmtId="168" fontId="46" fillId="0" borderId="0" xfId="29" applyNumberFormat="1" applyFont="1" applyBorder="1"/>
    <xf numFmtId="0" fontId="11" fillId="0" borderId="25" xfId="45" applyFont="1" applyBorder="1"/>
    <xf numFmtId="0" fontId="46" fillId="0" borderId="0" xfId="45" applyFont="1" applyBorder="1"/>
    <xf numFmtId="7" fontId="47" fillId="0" borderId="0" xfId="45" applyNumberFormat="1" applyFont="1"/>
    <xf numFmtId="168" fontId="47" fillId="0" borderId="0" xfId="29" applyNumberFormat="1" applyFont="1"/>
    <xf numFmtId="10" fontId="47" fillId="0" borderId="0" xfId="29" applyNumberFormat="1" applyFont="1"/>
    <xf numFmtId="168" fontId="48" fillId="0" borderId="0" xfId="29" applyNumberFormat="1" applyFont="1" applyBorder="1"/>
    <xf numFmtId="7" fontId="48" fillId="0" borderId="0" xfId="45" applyNumberFormat="1" applyFont="1"/>
    <xf numFmtId="0" fontId="11" fillId="0" borderId="33" xfId="45" applyFont="1" applyBorder="1" applyAlignment="1">
      <alignment horizontal="centerContinuous"/>
    </xf>
    <xf numFmtId="7" fontId="3" fillId="0" borderId="25" xfId="45" applyNumberFormat="1" applyBorder="1"/>
    <xf numFmtId="0" fontId="11" fillId="0" borderId="32" xfId="45" applyFont="1" applyBorder="1"/>
    <xf numFmtId="0" fontId="3" fillId="0" borderId="32" xfId="45" applyBorder="1"/>
    <xf numFmtId="168" fontId="3" fillId="0" borderId="32" xfId="29" applyNumberFormat="1" applyFont="1" applyBorder="1"/>
    <xf numFmtId="0" fontId="7" fillId="0" borderId="0" xfId="44" applyFont="1" applyAlignment="1">
      <alignment horizontal="centerContinuous"/>
    </xf>
    <xf numFmtId="0" fontId="0" fillId="0" borderId="0" xfId="0" applyAlignment="1">
      <alignment horizontal="centerContinuous"/>
    </xf>
    <xf numFmtId="10" fontId="45" fillId="0" borderId="0" xfId="29" applyNumberFormat="1" applyFont="1"/>
    <xf numFmtId="6" fontId="46" fillId="0" borderId="0" xfId="29" applyNumberFormat="1" applyFont="1"/>
    <xf numFmtId="0" fontId="49" fillId="0" borderId="0" xfId="42"/>
    <xf numFmtId="0" fontId="49" fillId="0" borderId="0" xfId="42" applyAlignment="1">
      <alignment horizontal="center"/>
    </xf>
    <xf numFmtId="3" fontId="49" fillId="0" borderId="0" xfId="42" applyNumberFormat="1"/>
    <xf numFmtId="172" fontId="0" fillId="0" borderId="0" xfId="0" applyNumberFormat="1"/>
    <xf numFmtId="0" fontId="11" fillId="0" borderId="0" xfId="45" applyFont="1" applyBorder="1"/>
    <xf numFmtId="174" fontId="0" fillId="0" borderId="0" xfId="0" applyNumberFormat="1"/>
    <xf numFmtId="3" fontId="71" fillId="0" borderId="0" xfId="42" applyNumberFormat="1" applyFont="1"/>
    <xf numFmtId="3" fontId="72" fillId="0" borderId="0" xfId="42" applyNumberFormat="1" applyFont="1"/>
    <xf numFmtId="10" fontId="49" fillId="0" borderId="0" xfId="49" applyNumberFormat="1" applyFont="1"/>
    <xf numFmtId="0" fontId="3" fillId="0" borderId="0" xfId="45" applyBorder="1"/>
    <xf numFmtId="168" fontId="3" fillId="0" borderId="0" xfId="29" applyNumberFormat="1" applyFont="1" applyBorder="1"/>
    <xf numFmtId="9" fontId="3" fillId="0" borderId="0" xfId="49" applyNumberFormat="1" applyFont="1"/>
    <xf numFmtId="172" fontId="49" fillId="0" borderId="0" xfId="49" applyNumberFormat="1" applyFont="1"/>
    <xf numFmtId="9" fontId="0" fillId="0" borderId="0" xfId="49" applyFont="1"/>
    <xf numFmtId="37" fontId="49" fillId="0" borderId="0" xfId="42" applyNumberFormat="1"/>
    <xf numFmtId="0" fontId="3" fillId="0" borderId="0" xfId="0" applyFont="1"/>
    <xf numFmtId="171" fontId="11" fillId="0" borderId="0" xfId="29" applyNumberFormat="1" applyFont="1"/>
    <xf numFmtId="10" fontId="0" fillId="0" borderId="0" xfId="49" applyNumberFormat="1" applyFont="1"/>
    <xf numFmtId="168" fontId="0" fillId="0" borderId="0" xfId="0" applyNumberFormat="1"/>
    <xf numFmtId="5" fontId="46" fillId="52" borderId="0" xfId="45" applyNumberFormat="1" applyFont="1" applyFill="1"/>
    <xf numFmtId="168" fontId="3" fillId="52" borderId="0" xfId="29" applyNumberFormat="1" applyFont="1" applyFill="1"/>
    <xf numFmtId="171" fontId="3" fillId="0" borderId="0" xfId="45" applyNumberFormat="1"/>
    <xf numFmtId="0" fontId="7" fillId="0" borderId="0" xfId="44" applyFont="1" applyAlignment="1">
      <alignment horizontal="center"/>
    </xf>
    <xf numFmtId="0" fontId="28" fillId="0" borderId="0" xfId="28" applyNumberFormat="1" applyFont="1" applyAlignment="1">
      <alignment horizontal="center"/>
    </xf>
    <xf numFmtId="0" fontId="28" fillId="0" borderId="0" xfId="28" quotePrefix="1" applyNumberFormat="1" applyFont="1" applyAlignment="1">
      <alignment horizontal="center"/>
    </xf>
    <xf numFmtId="0" fontId="7" fillId="0" borderId="0" xfId="43" applyFont="1" applyAlignment="1">
      <alignment horizontal="center"/>
    </xf>
    <xf numFmtId="0" fontId="10" fillId="25" borderId="10" xfId="0" applyFont="1" applyFill="1" applyBorder="1" applyAlignment="1">
      <alignment horizontal="center" wrapText="1"/>
    </xf>
    <xf numFmtId="0" fontId="10" fillId="25" borderId="27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</cellXfs>
  <cellStyles count="262">
    <cellStyle name="20% - Accent1" xfId="1" builtinId="30" customBuiltin="1"/>
    <cellStyle name="20% - Accent1 2" xfId="70"/>
    <cellStyle name="20% - Accent2" xfId="2" builtinId="34" customBuiltin="1"/>
    <cellStyle name="20% - Accent2 2" xfId="71"/>
    <cellStyle name="20% - Accent3" xfId="3" builtinId="38" customBuiltin="1"/>
    <cellStyle name="20% - Accent3 2" xfId="72"/>
    <cellStyle name="20% - Accent4" xfId="4" builtinId="42" customBuiltin="1"/>
    <cellStyle name="20% - Accent4 2" xfId="73"/>
    <cellStyle name="20% - Accent5" xfId="5" builtinId="46" customBuiltin="1"/>
    <cellStyle name="20% - Accent5 2" xfId="74"/>
    <cellStyle name="20% - Accent6" xfId="6" builtinId="50" customBuiltin="1"/>
    <cellStyle name="20% - Accent6 2" xfId="75"/>
    <cellStyle name="40% - Accent1" xfId="7" builtinId="31" customBuiltin="1"/>
    <cellStyle name="40% - Accent1 2" xfId="76"/>
    <cellStyle name="40% - Accent2" xfId="8" builtinId="35" customBuiltin="1"/>
    <cellStyle name="40% - Accent2 2" xfId="77"/>
    <cellStyle name="40% - Accent3" xfId="9" builtinId="39" customBuiltin="1"/>
    <cellStyle name="40% - Accent3 2" xfId="78"/>
    <cellStyle name="40% - Accent4" xfId="10" builtinId="43" customBuiltin="1"/>
    <cellStyle name="40% - Accent4 2" xfId="79"/>
    <cellStyle name="40% - Accent5" xfId="11" builtinId="47" customBuiltin="1"/>
    <cellStyle name="40% - Accent5 2" xfId="80"/>
    <cellStyle name="40% - Accent6" xfId="12" builtinId="51" customBuiltin="1"/>
    <cellStyle name="40% - Accent6 2" xfId="8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11" xfId="82"/>
    <cellStyle name="Comma 19" xfId="83"/>
    <cellStyle name="Comma 2" xfId="55"/>
    <cellStyle name="Comma 2 10" xfId="84"/>
    <cellStyle name="Comma 2 11" xfId="85"/>
    <cellStyle name="Comma 2 12" xfId="86"/>
    <cellStyle name="Comma 2 13" xfId="87"/>
    <cellStyle name="Comma 2 14" xfId="88"/>
    <cellStyle name="Comma 2 15" xfId="89"/>
    <cellStyle name="Comma 2 16" xfId="90"/>
    <cellStyle name="Comma 2 17" xfId="91"/>
    <cellStyle name="Comma 2 18" xfId="92"/>
    <cellStyle name="Comma 2 19" xfId="93"/>
    <cellStyle name="Comma 2 2" xfId="94"/>
    <cellStyle name="Comma 2 20" xfId="95"/>
    <cellStyle name="Comma 2 21" xfId="96"/>
    <cellStyle name="Comma 2 3" xfId="97"/>
    <cellStyle name="Comma 2 4" xfId="98"/>
    <cellStyle name="Comma 2 5" xfId="99"/>
    <cellStyle name="Comma 2 6" xfId="100"/>
    <cellStyle name="Comma 2 7" xfId="101"/>
    <cellStyle name="Comma 2 8" xfId="102"/>
    <cellStyle name="Comma 2 9" xfId="103"/>
    <cellStyle name="Comma 21" xfId="104"/>
    <cellStyle name="Comma 22" xfId="105"/>
    <cellStyle name="Comma 3" xfId="68"/>
    <cellStyle name="Comma 4" xfId="106"/>
    <cellStyle name="Comma 5" xfId="107"/>
    <cellStyle name="Comma 6" xfId="108"/>
    <cellStyle name="Comma 6 2" xfId="109"/>
    <cellStyle name="Currency" xfId="29" builtinId="4"/>
    <cellStyle name="Currency 2" xfId="56"/>
    <cellStyle name="Currency 2 10" xfId="110"/>
    <cellStyle name="Currency 2 11" xfId="111"/>
    <cellStyle name="Currency 2 12" xfId="112"/>
    <cellStyle name="Currency 2 13" xfId="113"/>
    <cellStyle name="Currency 2 14" xfId="114"/>
    <cellStyle name="Currency 2 15" xfId="115"/>
    <cellStyle name="Currency 2 16" xfId="116"/>
    <cellStyle name="Currency 2 17" xfId="117"/>
    <cellStyle name="Currency 2 18" xfId="118"/>
    <cellStyle name="Currency 2 19" xfId="119"/>
    <cellStyle name="Currency 2 2" xfId="120"/>
    <cellStyle name="Currency 2 20" xfId="121"/>
    <cellStyle name="Currency 2 21" xfId="122"/>
    <cellStyle name="Currency 2 3" xfId="123"/>
    <cellStyle name="Currency 2 4" xfId="124"/>
    <cellStyle name="Currency 2 5" xfId="125"/>
    <cellStyle name="Currency 2 6" xfId="126"/>
    <cellStyle name="Currency 2 7" xfId="127"/>
    <cellStyle name="Currency 2 8" xfId="128"/>
    <cellStyle name="Currency 2 9" xfId="129"/>
    <cellStyle name="Currency 3" xfId="69"/>
    <cellStyle name="Currency 4" xfId="130"/>
    <cellStyle name="Currency 5" xfId="131"/>
    <cellStyle name="Currency No Comma" xfId="132"/>
    <cellStyle name="Explanatory Text" xfId="30" builtinId="53" customBuiltin="1"/>
    <cellStyle name="General" xfId="3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MCP" xfId="133"/>
    <cellStyle name="Neutral" xfId="39" builtinId="28" customBuiltin="1"/>
    <cellStyle name="nONE" xfId="40"/>
    <cellStyle name="noninput" xfId="134"/>
    <cellStyle name="Normal" xfId="0" builtinId="0"/>
    <cellStyle name="Normal 10" xfId="135"/>
    <cellStyle name="Normal 11" xfId="136"/>
    <cellStyle name="Normal 11 2" xfId="137"/>
    <cellStyle name="Normal 12" xfId="138"/>
    <cellStyle name="Normal 13" xfId="139"/>
    <cellStyle name="Normal 14" xfId="140"/>
    <cellStyle name="Normal 15" xfId="141"/>
    <cellStyle name="Normal 16" xfId="142"/>
    <cellStyle name="Normal 17" xfId="143"/>
    <cellStyle name="Normal 18" xfId="144"/>
    <cellStyle name="Normal 19" xfId="145"/>
    <cellStyle name="Normal 2" xfId="54"/>
    <cellStyle name="Normal 2 10" xfId="146"/>
    <cellStyle name="Normal 2 11" xfId="147"/>
    <cellStyle name="Normal 2 12" xfId="148"/>
    <cellStyle name="Normal 2 13" xfId="149"/>
    <cellStyle name="Normal 2 14" xfId="150"/>
    <cellStyle name="Normal 2 15" xfId="151"/>
    <cellStyle name="Normal 2 16" xfId="152"/>
    <cellStyle name="Normal 2 17" xfId="153"/>
    <cellStyle name="Normal 2 18" xfId="154"/>
    <cellStyle name="Normal 2 19" xfId="155"/>
    <cellStyle name="Normal 2 2" xfId="156"/>
    <cellStyle name="Normal 2 20" xfId="157"/>
    <cellStyle name="Normal 2 21" xfId="158"/>
    <cellStyle name="Normal 2 22" xfId="159"/>
    <cellStyle name="Normal 2 3" xfId="160"/>
    <cellStyle name="Normal 2 4" xfId="161"/>
    <cellStyle name="Normal 2 5" xfId="162"/>
    <cellStyle name="Normal 2 6" xfId="163"/>
    <cellStyle name="Normal 2 7" xfId="164"/>
    <cellStyle name="Normal 2 8" xfId="165"/>
    <cellStyle name="Normal 2 9" xfId="166"/>
    <cellStyle name="Normal 2_Book1" xfId="167"/>
    <cellStyle name="Normal 20" xfId="168"/>
    <cellStyle name="Normal 21" xfId="169"/>
    <cellStyle name="Normal 22" xfId="170"/>
    <cellStyle name="Normal 23" xfId="171"/>
    <cellStyle name="Normal 24" xfId="172"/>
    <cellStyle name="Normal 25" xfId="173"/>
    <cellStyle name="Normal 25 2" xfId="174"/>
    <cellStyle name="Normal 26" xfId="175"/>
    <cellStyle name="Normal 27" xfId="176"/>
    <cellStyle name="Normal 28" xfId="177"/>
    <cellStyle name="Normal 29" xfId="178"/>
    <cellStyle name="Normal 3" xfId="57"/>
    <cellStyle name="Normal 3 2" xfId="58"/>
    <cellStyle name="Normal 30" xfId="179"/>
    <cellStyle name="Normal 31" xfId="180"/>
    <cellStyle name="Normal 32" xfId="181"/>
    <cellStyle name="Normal 4" xfId="59"/>
    <cellStyle name="Normal 4 2" xfId="182"/>
    <cellStyle name="Normal 5" xfId="60"/>
    <cellStyle name="Normal 5 2" xfId="183"/>
    <cellStyle name="Normal 6" xfId="61"/>
    <cellStyle name="Normal 7" xfId="62"/>
    <cellStyle name="Normal 8" xfId="184"/>
    <cellStyle name="Normal 9" xfId="185"/>
    <cellStyle name="Normal_305F_UT_Sep03" xfId="41"/>
    <cellStyle name="Normal_BWProjectedHELPParticipants" xfId="42"/>
    <cellStyle name="Normal_Low Income Acct August2006" xfId="43"/>
    <cellStyle name="Normal_Low Income Acct August2006 (2)" xfId="44"/>
    <cellStyle name="Normal_Utah low income 2000" xfId="45"/>
    <cellStyle name="Normal_UTJUNE2008" xfId="46"/>
    <cellStyle name="Note" xfId="47" builtinId="10" customBuiltin="1"/>
    <cellStyle name="Note 2" xfId="186"/>
    <cellStyle name="Note 3" xfId="187"/>
    <cellStyle name="Output" xfId="48" builtinId="21" customBuiltin="1"/>
    <cellStyle name="Password" xfId="188"/>
    <cellStyle name="Percent" xfId="49" builtinId="5"/>
    <cellStyle name="Percent 10" xfId="189"/>
    <cellStyle name="Percent 11" xfId="190"/>
    <cellStyle name="Percent 13" xfId="191"/>
    <cellStyle name="Percent 19" xfId="192"/>
    <cellStyle name="Percent 2" xfId="63"/>
    <cellStyle name="Percent 2 10" xfId="193"/>
    <cellStyle name="Percent 2 11" xfId="194"/>
    <cellStyle name="Percent 2 12" xfId="195"/>
    <cellStyle name="Percent 2 13" xfId="196"/>
    <cellStyle name="Percent 2 14" xfId="197"/>
    <cellStyle name="Percent 2 15" xfId="198"/>
    <cellStyle name="Percent 2 16" xfId="199"/>
    <cellStyle name="Percent 2 17" xfId="200"/>
    <cellStyle name="Percent 2 18" xfId="201"/>
    <cellStyle name="Percent 2 19" xfId="202"/>
    <cellStyle name="Percent 2 2" xfId="64"/>
    <cellStyle name="Percent 2 20" xfId="203"/>
    <cellStyle name="Percent 2 21" xfId="204"/>
    <cellStyle name="Percent 2 3" xfId="205"/>
    <cellStyle name="Percent 2 4" xfId="206"/>
    <cellStyle name="Percent 2 5" xfId="207"/>
    <cellStyle name="Percent 2 6" xfId="208"/>
    <cellStyle name="Percent 2 7" xfId="209"/>
    <cellStyle name="Percent 2 8" xfId="210"/>
    <cellStyle name="Percent 2 9" xfId="211"/>
    <cellStyle name="Percent 22" xfId="212"/>
    <cellStyle name="Percent 3" xfId="65"/>
    <cellStyle name="Percent 4" xfId="66"/>
    <cellStyle name="Percent 5" xfId="67"/>
    <cellStyle name="Percent 6" xfId="213"/>
    <cellStyle name="Percent 7" xfId="214"/>
    <cellStyle name="Percent 8" xfId="215"/>
    <cellStyle name="Percent 8 2" xfId="216"/>
    <cellStyle name="Percent 9" xfId="217"/>
    <cellStyle name="SAPBEXaggData" xfId="218"/>
    <cellStyle name="SAPBEXaggDataEmph" xfId="219"/>
    <cellStyle name="SAPBEXaggItem" xfId="220"/>
    <cellStyle name="SAPBEXaggItemX" xfId="221"/>
    <cellStyle name="SAPBEXchaText" xfId="222"/>
    <cellStyle name="SAPBEXexcBad7" xfId="223"/>
    <cellStyle name="SAPBEXexcBad8" xfId="224"/>
    <cellStyle name="SAPBEXexcBad9" xfId="225"/>
    <cellStyle name="SAPBEXexcCritical4" xfId="226"/>
    <cellStyle name="SAPBEXexcCritical5" xfId="227"/>
    <cellStyle name="SAPBEXexcCritical6" xfId="228"/>
    <cellStyle name="SAPBEXexcGood1" xfId="229"/>
    <cellStyle name="SAPBEXexcGood2" xfId="230"/>
    <cellStyle name="SAPBEXexcGood3" xfId="231"/>
    <cellStyle name="SAPBEXfilterDrill" xfId="232"/>
    <cellStyle name="SAPBEXfilterItem" xfId="233"/>
    <cellStyle name="SAPBEXfilterText" xfId="234"/>
    <cellStyle name="SAPBEXformats" xfId="235"/>
    <cellStyle name="SAPBEXheaderItem" xfId="236"/>
    <cellStyle name="SAPBEXheaderText" xfId="237"/>
    <cellStyle name="SAPBEXHLevel0" xfId="238"/>
    <cellStyle name="SAPBEXHLevel0X" xfId="239"/>
    <cellStyle name="SAPBEXHLevel1" xfId="240"/>
    <cellStyle name="SAPBEXHLevel1X" xfId="241"/>
    <cellStyle name="SAPBEXHLevel2" xfId="242"/>
    <cellStyle name="SAPBEXHLevel2X" xfId="243"/>
    <cellStyle name="SAPBEXHLevel3" xfId="244"/>
    <cellStyle name="SAPBEXHLevel3X" xfId="245"/>
    <cellStyle name="SAPBEXresData" xfId="246"/>
    <cellStyle name="SAPBEXresDataEmph" xfId="247"/>
    <cellStyle name="SAPBEXresItem" xfId="248"/>
    <cellStyle name="SAPBEXresItemX" xfId="249"/>
    <cellStyle name="SAPBEXstdData" xfId="250"/>
    <cellStyle name="SAPBEXstdDataEmph" xfId="251"/>
    <cellStyle name="SAPBEXstdItem" xfId="252"/>
    <cellStyle name="SAPBEXstdItemX" xfId="253"/>
    <cellStyle name="SAPBEXtitle" xfId="254"/>
    <cellStyle name="SAPBEXundefined" xfId="255"/>
    <cellStyle name="Style 27" xfId="256"/>
    <cellStyle name="Style 35" xfId="257"/>
    <cellStyle name="Style 36" xfId="258"/>
    <cellStyle name="Title" xfId="50" builtinId="15" customBuiltin="1"/>
    <cellStyle name="Total" xfId="51" builtinId="25" customBuiltin="1"/>
    <cellStyle name="TRANSMISSION RELIABILITY PORTION OF PROJECT" xfId="52"/>
    <cellStyle name="Unprot" xfId="259"/>
    <cellStyle name="Unprot$" xfId="260"/>
    <cellStyle name="Unprotect" xfId="261"/>
    <cellStyle name="Warning Text" xfId="5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CA\PwrStat\Penny\LARGEQUALIFIED\Qf99\Hdiv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%20West%20Rate%20Migratio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arge%20Qf's\Qf03\FALLS\Falls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1\Integration%20plans\Rate%20design%20options\Wyo%202001%20COS%20Summary%20-%201st%20Draf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4618\Local%20Settings\Temporary%20Internet%20Files\Content.Outlook\0APVEUJB\COS%20UT%20June%202015%20_NS%20Curren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2-035-xx%20(GRC%202012)\Filed%20(direct)\Testimony%20and%20Exhibits\Exhibit%20RMP__(CCP-3)\Tabs%202,%204%20&amp;%205\COS%20UT%20May%20201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5">
          <cell r="C5" t="str">
            <v>State of Utah</v>
          </cell>
        </row>
        <row r="6">
          <cell r="C6" t="str">
            <v>12 Months Ended June 2015</v>
          </cell>
        </row>
        <row r="10">
          <cell r="D10">
            <v>0.5</v>
          </cell>
        </row>
        <row r="11">
          <cell r="W11">
            <v>1</v>
          </cell>
          <cell r="Y11">
            <v>1</v>
          </cell>
        </row>
        <row r="17">
          <cell r="H17">
            <v>0.37950999999999996</v>
          </cell>
        </row>
        <row r="20">
          <cell r="H20">
            <v>4.5400000000000003E-2</v>
          </cell>
        </row>
        <row r="23">
          <cell r="H23">
            <v>4.7625023134766025</v>
          </cell>
        </row>
        <row r="24">
          <cell r="D24">
            <v>0.3694468413935218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H58">
            <v>6016631101.3796072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4">
          <cell r="I4">
            <v>0.75882088818077265</v>
          </cell>
        </row>
      </sheetData>
      <sheetData sheetId="19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9630562.6399999969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136909.22123423105</v>
          </cell>
        </row>
        <row r="133">
          <cell r="F133">
            <v>2965395.6200000006</v>
          </cell>
          <cell r="Y133">
            <v>81138.986383682306</v>
          </cell>
        </row>
        <row r="139">
          <cell r="F139">
            <v>3627201.35</v>
          </cell>
          <cell r="Y139">
            <v>0</v>
          </cell>
        </row>
        <row r="140">
          <cell r="Y140">
            <v>0</v>
          </cell>
        </row>
        <row r="141">
          <cell r="Y141">
            <v>0</v>
          </cell>
        </row>
        <row r="144">
          <cell r="F144">
            <v>3919411.11</v>
          </cell>
          <cell r="Y144">
            <v>0</v>
          </cell>
        </row>
        <row r="145">
          <cell r="Y145">
            <v>0</v>
          </cell>
        </row>
        <row r="146">
          <cell r="Y146">
            <v>0</v>
          </cell>
        </row>
        <row r="151">
          <cell r="Y151">
            <v>0</v>
          </cell>
        </row>
        <row r="154">
          <cell r="F154">
            <v>3278177.8899999997</v>
          </cell>
          <cell r="Y154">
            <v>100360.72989939996</v>
          </cell>
        </row>
        <row r="155">
          <cell r="Y155">
            <v>0</v>
          </cell>
        </row>
        <row r="156">
          <cell r="Y156">
            <v>13182.346273948735</v>
          </cell>
        </row>
        <row r="157">
          <cell r="Y157">
            <v>113543.07617334869</v>
          </cell>
        </row>
        <row r="160">
          <cell r="F160">
            <v>-359934.7</v>
          </cell>
          <cell r="Y160">
            <v>0</v>
          </cell>
        </row>
        <row r="161">
          <cell r="Y161">
            <v>0</v>
          </cell>
        </row>
        <row r="162">
          <cell r="Y162">
            <v>0</v>
          </cell>
        </row>
        <row r="165">
          <cell r="Y165">
            <v>0</v>
          </cell>
        </row>
        <row r="178">
          <cell r="Y178">
            <v>0</v>
          </cell>
        </row>
        <row r="183">
          <cell r="Y183">
            <v>0</v>
          </cell>
        </row>
        <row r="187">
          <cell r="Y187">
            <v>0</v>
          </cell>
        </row>
        <row r="190">
          <cell r="Y190">
            <v>0</v>
          </cell>
        </row>
        <row r="194">
          <cell r="Y194">
            <v>0</v>
          </cell>
        </row>
        <row r="203">
          <cell r="Y203">
            <v>-1637.3830614395697</v>
          </cell>
        </row>
        <row r="210">
          <cell r="Y210">
            <v>0</v>
          </cell>
        </row>
        <row r="215">
          <cell r="Y215">
            <v>0</v>
          </cell>
        </row>
        <row r="226">
          <cell r="Y226">
            <v>0</v>
          </cell>
        </row>
        <row r="234">
          <cell r="Y234">
            <v>0</v>
          </cell>
        </row>
        <row r="239">
          <cell r="Y239">
            <v>0</v>
          </cell>
        </row>
        <row r="244">
          <cell r="Y244">
            <v>0</v>
          </cell>
        </row>
        <row r="249">
          <cell r="Y249">
            <v>0</v>
          </cell>
        </row>
        <row r="255">
          <cell r="Y255">
            <v>0</v>
          </cell>
        </row>
        <row r="260">
          <cell r="Y260">
            <v>0</v>
          </cell>
        </row>
        <row r="265">
          <cell r="Y265">
            <v>0</v>
          </cell>
        </row>
        <row r="270">
          <cell r="Y270">
            <v>0</v>
          </cell>
        </row>
        <row r="275">
          <cell r="Y275">
            <v>0</v>
          </cell>
        </row>
        <row r="280">
          <cell r="Y280">
            <v>0</v>
          </cell>
        </row>
        <row r="285">
          <cell r="Y285">
            <v>0</v>
          </cell>
        </row>
        <row r="291">
          <cell r="Y291">
            <v>0</v>
          </cell>
        </row>
        <row r="295">
          <cell r="Y295">
            <v>0</v>
          </cell>
        </row>
        <row r="300">
          <cell r="Y300">
            <v>0</v>
          </cell>
        </row>
        <row r="304">
          <cell r="Y304">
            <v>0</v>
          </cell>
        </row>
        <row r="308">
          <cell r="Y308">
            <v>0</v>
          </cell>
        </row>
        <row r="312">
          <cell r="Y312">
            <v>0</v>
          </cell>
        </row>
        <row r="316">
          <cell r="Y316">
            <v>0</v>
          </cell>
        </row>
        <row r="320">
          <cell r="Y320">
            <v>0</v>
          </cell>
        </row>
        <row r="324">
          <cell r="Y324">
            <v>0</v>
          </cell>
        </row>
        <row r="328">
          <cell r="Y328">
            <v>0</v>
          </cell>
        </row>
        <row r="332">
          <cell r="Y332">
            <v>0</v>
          </cell>
        </row>
        <row r="339">
          <cell r="Y339">
            <v>0</v>
          </cell>
        </row>
        <row r="343">
          <cell r="Y343">
            <v>0</v>
          </cell>
        </row>
        <row r="347">
          <cell r="Y347">
            <v>0</v>
          </cell>
        </row>
        <row r="351">
          <cell r="Y351">
            <v>0</v>
          </cell>
        </row>
        <row r="355">
          <cell r="Y355">
            <v>0</v>
          </cell>
        </row>
        <row r="359">
          <cell r="Y359">
            <v>0</v>
          </cell>
        </row>
        <row r="363">
          <cell r="Y363">
            <v>0</v>
          </cell>
        </row>
        <row r="367">
          <cell r="Y367">
            <v>0</v>
          </cell>
        </row>
        <row r="371">
          <cell r="Y371">
            <v>0</v>
          </cell>
        </row>
        <row r="375">
          <cell r="Y375">
            <v>0</v>
          </cell>
        </row>
        <row r="379">
          <cell r="Y379">
            <v>0</v>
          </cell>
        </row>
        <row r="386">
          <cell r="Y386">
            <v>0</v>
          </cell>
        </row>
        <row r="396">
          <cell r="Y396">
            <v>0</v>
          </cell>
        </row>
        <row r="401">
          <cell r="Y401">
            <v>0</v>
          </cell>
        </row>
        <row r="411">
          <cell r="Y411">
            <v>0</v>
          </cell>
        </row>
        <row r="416">
          <cell r="Y416">
            <v>0</v>
          </cell>
        </row>
        <row r="423">
          <cell r="Y423">
            <v>0</v>
          </cell>
        </row>
        <row r="429">
          <cell r="Y429">
            <v>0</v>
          </cell>
        </row>
        <row r="443">
          <cell r="Y443">
            <v>0</v>
          </cell>
        </row>
        <row r="452">
          <cell r="Y452">
            <v>0</v>
          </cell>
        </row>
        <row r="477">
          <cell r="Y477">
            <v>0</v>
          </cell>
        </row>
        <row r="481">
          <cell r="Y481">
            <v>0</v>
          </cell>
        </row>
        <row r="485">
          <cell r="Y485">
            <v>0</v>
          </cell>
        </row>
        <row r="489">
          <cell r="Y489">
            <v>0</v>
          </cell>
        </row>
        <row r="493">
          <cell r="Y493">
            <v>0</v>
          </cell>
        </row>
        <row r="498">
          <cell r="Y498">
            <v>0</v>
          </cell>
        </row>
        <row r="502">
          <cell r="Y502">
            <v>0</v>
          </cell>
        </row>
        <row r="506">
          <cell r="Y506">
            <v>0</v>
          </cell>
        </row>
        <row r="510">
          <cell r="Y510">
            <v>0</v>
          </cell>
        </row>
        <row r="514">
          <cell r="Y514">
            <v>0</v>
          </cell>
        </row>
        <row r="518">
          <cell r="Y518">
            <v>0</v>
          </cell>
        </row>
        <row r="522">
          <cell r="Y522">
            <v>0</v>
          </cell>
        </row>
        <row r="526">
          <cell r="Y526">
            <v>0</v>
          </cell>
        </row>
        <row r="530">
          <cell r="Y530">
            <v>0</v>
          </cell>
        </row>
        <row r="537">
          <cell r="F537">
            <v>6256097.0513632614</v>
          </cell>
          <cell r="Y537">
            <v>191529.10167309464</v>
          </cell>
        </row>
        <row r="542">
          <cell r="F542">
            <v>6111198.2320531048</v>
          </cell>
          <cell r="Y542">
            <v>0</v>
          </cell>
        </row>
        <row r="547">
          <cell r="F547">
            <v>2003133.4985437111</v>
          </cell>
          <cell r="Y547">
            <v>0</v>
          </cell>
        </row>
        <row r="552">
          <cell r="F552">
            <v>2099126.5118953795</v>
          </cell>
          <cell r="Y552">
            <v>0</v>
          </cell>
        </row>
        <row r="557">
          <cell r="F557">
            <v>204.49477941176468</v>
          </cell>
          <cell r="Y557">
            <v>0</v>
          </cell>
        </row>
        <row r="562">
          <cell r="F562">
            <v>105758.51996148308</v>
          </cell>
          <cell r="Y562">
            <v>105758.51996148308</v>
          </cell>
        </row>
        <row r="567">
          <cell r="F567">
            <v>2043000.1419758545</v>
          </cell>
          <cell r="Y567">
            <v>2043000.1419758545</v>
          </cell>
        </row>
        <row r="572">
          <cell r="F572">
            <v>4590622.9736733176</v>
          </cell>
          <cell r="Y572">
            <v>0</v>
          </cell>
        </row>
        <row r="577">
          <cell r="F577">
            <v>2136807.17078616</v>
          </cell>
          <cell r="Y577">
            <v>0</v>
          </cell>
        </row>
        <row r="582">
          <cell r="F582">
            <v>516544.05262487609</v>
          </cell>
          <cell r="Y582">
            <v>0</v>
          </cell>
        </row>
        <row r="587">
          <cell r="F587">
            <v>2438817.6519004065</v>
          </cell>
          <cell r="Y587">
            <v>74663.891908643651</v>
          </cell>
        </row>
        <row r="592">
          <cell r="F592">
            <v>459889.44610836147</v>
          </cell>
          <cell r="Y592">
            <v>0</v>
          </cell>
        </row>
        <row r="597">
          <cell r="F597">
            <v>4307155.1114984062</v>
          </cell>
          <cell r="Y597">
            <v>0</v>
          </cell>
        </row>
        <row r="602">
          <cell r="F602">
            <v>32898593.738431547</v>
          </cell>
          <cell r="Y602">
            <v>0</v>
          </cell>
        </row>
        <row r="607">
          <cell r="F607">
            <v>11094059.496539401</v>
          </cell>
          <cell r="Y607">
            <v>0</v>
          </cell>
        </row>
        <row r="612">
          <cell r="F612">
            <v>478120.19101535663</v>
          </cell>
          <cell r="Y612">
            <v>0</v>
          </cell>
        </row>
        <row r="617">
          <cell r="F617">
            <v>1723289.564210675</v>
          </cell>
          <cell r="Y617">
            <v>0</v>
          </cell>
        </row>
        <row r="622">
          <cell r="F622">
            <v>3587122.325285356</v>
          </cell>
          <cell r="Y622">
            <v>3587122.325285356</v>
          </cell>
        </row>
        <row r="627">
          <cell r="F627">
            <v>1585177.2075296966</v>
          </cell>
          <cell r="Y627">
            <v>0</v>
          </cell>
        </row>
        <row r="634">
          <cell r="Y634">
            <v>0</v>
          </cell>
        </row>
        <row r="639">
          <cell r="Y639">
            <v>0</v>
          </cell>
        </row>
        <row r="644">
          <cell r="Y644">
            <v>0</v>
          </cell>
        </row>
        <row r="650">
          <cell r="Y650">
            <v>0</v>
          </cell>
        </row>
        <row r="655">
          <cell r="Y655">
            <v>0</v>
          </cell>
        </row>
        <row r="662">
          <cell r="Y662">
            <v>0</v>
          </cell>
        </row>
        <row r="667">
          <cell r="Y667">
            <v>0</v>
          </cell>
        </row>
        <row r="672">
          <cell r="Y672">
            <v>0</v>
          </cell>
        </row>
        <row r="677">
          <cell r="Y677">
            <v>0</v>
          </cell>
        </row>
        <row r="684">
          <cell r="Y684">
            <v>0</v>
          </cell>
        </row>
        <row r="689">
          <cell r="Y689">
            <v>0</v>
          </cell>
        </row>
        <row r="694">
          <cell r="Y694">
            <v>0</v>
          </cell>
        </row>
        <row r="699">
          <cell r="Y699">
            <v>0</v>
          </cell>
        </row>
        <row r="706">
          <cell r="Y706">
            <v>0</v>
          </cell>
        </row>
        <row r="708">
          <cell r="Y708">
            <v>264919.13842461101</v>
          </cell>
        </row>
        <row r="712">
          <cell r="Y712">
            <v>0</v>
          </cell>
        </row>
        <row r="714">
          <cell r="Y714">
            <v>-74434.371594294629</v>
          </cell>
        </row>
        <row r="718">
          <cell r="Y718">
            <v>0</v>
          </cell>
        </row>
        <row r="720">
          <cell r="Y720">
            <v>48921.670441520371</v>
          </cell>
        </row>
        <row r="723">
          <cell r="Y723">
            <v>17318.325682945782</v>
          </cell>
        </row>
        <row r="724">
          <cell r="Y724">
            <v>0</v>
          </cell>
        </row>
        <row r="725">
          <cell r="Y725">
            <v>23523.980985977963</v>
          </cell>
        </row>
        <row r="730">
          <cell r="Y730">
            <v>34344.019441151198</v>
          </cell>
        </row>
        <row r="736">
          <cell r="Y736">
            <v>0</v>
          </cell>
        </row>
        <row r="741">
          <cell r="Y741">
            <v>0</v>
          </cell>
        </row>
        <row r="748">
          <cell r="Y748">
            <v>0</v>
          </cell>
        </row>
        <row r="750">
          <cell r="F750">
            <v>0</v>
          </cell>
          <cell r="Y750">
            <v>0</v>
          </cell>
        </row>
        <row r="755">
          <cell r="Y755">
            <v>-50241.176353957679</v>
          </cell>
        </row>
        <row r="758">
          <cell r="Y758">
            <v>387.06965023491381</v>
          </cell>
        </row>
        <row r="759">
          <cell r="Y759">
            <v>0</v>
          </cell>
        </row>
        <row r="760">
          <cell r="Y760">
            <v>103319.33538772036</v>
          </cell>
        </row>
        <row r="766">
          <cell r="Y766">
            <v>20471.853744598346</v>
          </cell>
        </row>
        <row r="772">
          <cell r="Y772">
            <v>126941.44367036701</v>
          </cell>
        </row>
        <row r="788">
          <cell r="Y788">
            <v>0</v>
          </cell>
        </row>
        <row r="793">
          <cell r="Y793">
            <v>0</v>
          </cell>
        </row>
        <row r="800">
          <cell r="Y800">
            <v>0</v>
          </cell>
        </row>
        <row r="806">
          <cell r="Y806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0</v>
          </cell>
        </row>
        <row r="818">
          <cell r="Y818">
            <v>2585986.9117674245</v>
          </cell>
        </row>
        <row r="819">
          <cell r="Y819">
            <v>0</v>
          </cell>
        </row>
        <row r="820">
          <cell r="Y820">
            <v>0</v>
          </cell>
        </row>
        <row r="821">
          <cell r="Y821">
            <v>0</v>
          </cell>
        </row>
        <row r="825">
          <cell r="Y825">
            <v>103658.14784089878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0</v>
          </cell>
        </row>
        <row r="831">
          <cell r="Y831">
            <v>48313.215439681102</v>
          </cell>
        </row>
        <row r="832">
          <cell r="Y832">
            <v>0</v>
          </cell>
        </row>
        <row r="833">
          <cell r="Y833">
            <v>0</v>
          </cell>
        </row>
        <row r="838">
          <cell r="Y838">
            <v>0</v>
          </cell>
        </row>
        <row r="842">
          <cell r="Y842">
            <v>0</v>
          </cell>
        </row>
        <row r="847">
          <cell r="Y847">
            <v>0</v>
          </cell>
        </row>
        <row r="854">
          <cell r="Y854">
            <v>5320.2297617159957</v>
          </cell>
        </row>
        <row r="856">
          <cell r="Y856">
            <v>0</v>
          </cell>
        </row>
        <row r="858">
          <cell r="Y858">
            <v>5332.0642420716376</v>
          </cell>
        </row>
        <row r="862">
          <cell r="Y862">
            <v>0</v>
          </cell>
        </row>
        <row r="865">
          <cell r="Y865">
            <v>73840.538027119866</v>
          </cell>
        </row>
        <row r="866">
          <cell r="Y866">
            <v>0</v>
          </cell>
        </row>
        <row r="867">
          <cell r="Y867">
            <v>69449.931649974911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1">
          <cell r="Y871">
            <v>0</v>
          </cell>
        </row>
        <row r="881">
          <cell r="Y881">
            <v>0</v>
          </cell>
        </row>
        <row r="889">
          <cell r="Y889">
            <v>0</v>
          </cell>
        </row>
        <row r="895">
          <cell r="Y895">
            <v>0</v>
          </cell>
        </row>
        <row r="904">
          <cell r="Y904">
            <v>5454.2988235499279</v>
          </cell>
        </row>
        <row r="909">
          <cell r="Y909">
            <v>0</v>
          </cell>
        </row>
        <row r="917">
          <cell r="Y917">
            <v>521687.76045183762</v>
          </cell>
        </row>
        <row r="922">
          <cell r="Y922">
            <v>-32976.673805536921</v>
          </cell>
        </row>
        <row r="927">
          <cell r="Y927">
            <v>0</v>
          </cell>
        </row>
        <row r="958">
          <cell r="Y958">
            <v>-141264.13589881599</v>
          </cell>
        </row>
        <row r="978">
          <cell r="Y978">
            <v>1163748.5598319599</v>
          </cell>
        </row>
        <row r="993">
          <cell r="Y993">
            <v>0</v>
          </cell>
        </row>
        <row r="1012">
          <cell r="Y1012">
            <v>-1283907.9731074879</v>
          </cell>
        </row>
        <row r="1027">
          <cell r="Y1027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37">
          <cell r="Y1037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0</v>
          </cell>
        </row>
        <row r="1044">
          <cell r="Y1044">
            <v>5865.037294209812</v>
          </cell>
        </row>
        <row r="1045">
          <cell r="Y1045">
            <v>0</v>
          </cell>
        </row>
        <row r="1046">
          <cell r="Y1046">
            <v>269.22662534525131</v>
          </cell>
        </row>
        <row r="1050">
          <cell r="Y1050">
            <v>-95378.056183645967</v>
          </cell>
        </row>
        <row r="1051">
          <cell r="Y1051">
            <v>0</v>
          </cell>
        </row>
        <row r="1052">
          <cell r="Y1052">
            <v>587722.49705902045</v>
          </cell>
        </row>
        <row r="1053">
          <cell r="Y1053">
            <v>464815.5507768165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0</v>
          </cell>
        </row>
        <row r="1059">
          <cell r="Y1059">
            <v>62793.15358111939</v>
          </cell>
        </row>
        <row r="1060">
          <cell r="Y1060">
            <v>-1303.7785884491213</v>
          </cell>
        </row>
        <row r="1061">
          <cell r="Y1061">
            <v>0</v>
          </cell>
        </row>
        <row r="1062">
          <cell r="Y1062">
            <v>0</v>
          </cell>
        </row>
        <row r="1063">
          <cell r="Y1063">
            <v>2720030.894067029</v>
          </cell>
        </row>
        <row r="1069">
          <cell r="Y1069">
            <v>0</v>
          </cell>
        </row>
        <row r="1070">
          <cell r="Y1070">
            <v>0</v>
          </cell>
        </row>
        <row r="1071">
          <cell r="Y1071">
            <v>0</v>
          </cell>
        </row>
        <row r="1074">
          <cell r="Y1074">
            <v>0</v>
          </cell>
        </row>
        <row r="1075">
          <cell r="Y1075">
            <v>0</v>
          </cell>
        </row>
        <row r="1076">
          <cell r="Y1076">
            <v>697.65143363421237</v>
          </cell>
        </row>
        <row r="1077">
          <cell r="Y1077">
            <v>-8.204625085103071E-5</v>
          </cell>
        </row>
        <row r="1078">
          <cell r="Y1078">
            <v>0</v>
          </cell>
        </row>
        <row r="1079">
          <cell r="Y1079">
            <v>-3.5049164371059854E-3</v>
          </cell>
        </row>
        <row r="1083">
          <cell r="Y1083">
            <v>227213.77416799765</v>
          </cell>
        </row>
        <row r="1084">
          <cell r="Y1084">
            <v>0</v>
          </cell>
        </row>
        <row r="1085">
          <cell r="Y1085">
            <v>655811.93233763962</v>
          </cell>
        </row>
        <row r="1086">
          <cell r="Y1086">
            <v>0</v>
          </cell>
        </row>
        <row r="1087">
          <cell r="Y1087">
            <v>457.9149883943976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0</v>
          </cell>
        </row>
        <row r="1091">
          <cell r="Y1091">
            <v>226545.36729948162</v>
          </cell>
        </row>
        <row r="1092">
          <cell r="Y1092">
            <v>52322.88542599506</v>
          </cell>
        </row>
        <row r="1093">
          <cell r="Y1093">
            <v>7033587.2606655629</v>
          </cell>
        </row>
        <row r="1094">
          <cell r="Y1094">
            <v>0</v>
          </cell>
        </row>
        <row r="1104">
          <cell r="Y1104">
            <v>0</v>
          </cell>
        </row>
        <row r="1121">
          <cell r="Y1121">
            <v>-4451822.2581002973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37">
          <cell r="Y1137">
            <v>0</v>
          </cell>
        </row>
        <row r="1143">
          <cell r="Y1143">
            <v>1133972.5501254315</v>
          </cell>
        </row>
        <row r="1152">
          <cell r="Y1152">
            <v>0</v>
          </cell>
        </row>
        <row r="1157">
          <cell r="Y1157">
            <v>0</v>
          </cell>
        </row>
        <row r="1162">
          <cell r="Y1162">
            <v>0</v>
          </cell>
        </row>
        <row r="1167">
          <cell r="Y1167">
            <v>0</v>
          </cell>
        </row>
        <row r="1172">
          <cell r="Y1172">
            <v>0</v>
          </cell>
        </row>
        <row r="1177">
          <cell r="Y1177">
            <v>0</v>
          </cell>
        </row>
        <row r="1182">
          <cell r="Y1182">
            <v>0</v>
          </cell>
        </row>
        <row r="1189">
          <cell r="Y1189">
            <v>0</v>
          </cell>
        </row>
        <row r="1193">
          <cell r="Y1193">
            <v>0</v>
          </cell>
        </row>
        <row r="1197">
          <cell r="Y1197">
            <v>0</v>
          </cell>
        </row>
        <row r="1201">
          <cell r="Y1201">
            <v>0</v>
          </cell>
        </row>
        <row r="1205">
          <cell r="Y1205">
            <v>0</v>
          </cell>
        </row>
        <row r="1209">
          <cell r="Y1209">
            <v>0</v>
          </cell>
        </row>
        <row r="1214">
          <cell r="Y1214">
            <v>0</v>
          </cell>
        </row>
        <row r="1222">
          <cell r="Y1222">
            <v>0</v>
          </cell>
        </row>
        <row r="1227">
          <cell r="Y1227">
            <v>0</v>
          </cell>
        </row>
        <row r="1232">
          <cell r="Y1232">
            <v>0</v>
          </cell>
        </row>
        <row r="1237">
          <cell r="Y1237">
            <v>0</v>
          </cell>
        </row>
        <row r="1242">
          <cell r="Y1242">
            <v>0</v>
          </cell>
        </row>
        <row r="1247">
          <cell r="Y1247">
            <v>0</v>
          </cell>
        </row>
        <row r="1252">
          <cell r="Y1252">
            <v>0</v>
          </cell>
        </row>
        <row r="1258">
          <cell r="Y1258">
            <v>0</v>
          </cell>
        </row>
        <row r="1267">
          <cell r="Y1267">
            <v>0</v>
          </cell>
        </row>
        <row r="1273">
          <cell r="Y1273">
            <v>0</v>
          </cell>
        </row>
        <row r="1278">
          <cell r="Y1278">
            <v>0</v>
          </cell>
        </row>
        <row r="1285">
          <cell r="Y1285">
            <v>0</v>
          </cell>
        </row>
        <row r="1292">
          <cell r="Y1292">
            <v>0</v>
          </cell>
        </row>
        <row r="1298">
          <cell r="Y1298">
            <v>0</v>
          </cell>
        </row>
        <row r="1304">
          <cell r="Y1304">
            <v>0</v>
          </cell>
        </row>
        <row r="1309">
          <cell r="Y1309">
            <v>0</v>
          </cell>
        </row>
        <row r="1316">
          <cell r="Y1316">
            <v>0</v>
          </cell>
        </row>
        <row r="1324">
          <cell r="F1324">
            <v>85569531.346058577</v>
          </cell>
          <cell r="Y1324">
            <v>0</v>
          </cell>
        </row>
        <row r="1331">
          <cell r="F1331">
            <v>71529686.13096413</v>
          </cell>
          <cell r="Y1331">
            <v>0</v>
          </cell>
        </row>
        <row r="1337">
          <cell r="F1337">
            <v>728756463.7260834</v>
          </cell>
          <cell r="Y1337">
            <v>0</v>
          </cell>
        </row>
        <row r="1343">
          <cell r="F1343">
            <v>422469372.97037697</v>
          </cell>
          <cell r="Y1343">
            <v>0</v>
          </cell>
        </row>
        <row r="1349">
          <cell r="F1349">
            <v>576063442.35809243</v>
          </cell>
          <cell r="Y1349">
            <v>0</v>
          </cell>
        </row>
        <row r="1355">
          <cell r="F1355">
            <v>388786973.08444273</v>
          </cell>
          <cell r="Y1355">
            <v>0</v>
          </cell>
        </row>
        <row r="1361">
          <cell r="F1361">
            <v>1406015.2819749713</v>
          </cell>
          <cell r="Y1361">
            <v>0</v>
          </cell>
        </row>
        <row r="1367">
          <cell r="F1367">
            <v>3191624.457660934</v>
          </cell>
          <cell r="Y1367">
            <v>0</v>
          </cell>
        </row>
        <row r="1373">
          <cell r="F1373">
            <v>4971299.8375081541</v>
          </cell>
          <cell r="Y1373">
            <v>0</v>
          </cell>
        </row>
        <row r="1377">
          <cell r="Y1377">
            <v>0</v>
          </cell>
        </row>
        <row r="1381">
          <cell r="F1381">
            <v>0</v>
          </cell>
        </row>
        <row r="1389">
          <cell r="F1389">
            <v>37492678.711491771</v>
          </cell>
          <cell r="Y1389">
            <v>0</v>
          </cell>
        </row>
        <row r="1395">
          <cell r="F1395">
            <v>47792824.068109125</v>
          </cell>
          <cell r="Y1395">
            <v>0</v>
          </cell>
        </row>
        <row r="1401">
          <cell r="F1401">
            <v>460967339.7220633</v>
          </cell>
          <cell r="Y1401">
            <v>0</v>
          </cell>
        </row>
        <row r="1408">
          <cell r="F1408">
            <v>347528243.70670736</v>
          </cell>
        </row>
        <row r="1415">
          <cell r="F1415">
            <v>227300937.27825716</v>
          </cell>
        </row>
        <row r="1422">
          <cell r="F1422">
            <v>180027445.5603523</v>
          </cell>
        </row>
        <row r="1429">
          <cell r="F1429">
            <v>492447044.19682282</v>
          </cell>
        </row>
        <row r="1435">
          <cell r="F1435">
            <v>461359804.94726652</v>
          </cell>
          <cell r="Y1435">
            <v>0</v>
          </cell>
        </row>
        <row r="1442">
          <cell r="F1442">
            <v>247394867.67844629</v>
          </cell>
          <cell r="Y1442">
            <v>0</v>
          </cell>
        </row>
        <row r="1448">
          <cell r="F1448">
            <v>77249232.033496663</v>
          </cell>
          <cell r="Y1448">
            <v>77249232.033496663</v>
          </cell>
        </row>
        <row r="1455">
          <cell r="F1455">
            <v>4572361.285618715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  <cell r="Y1461">
            <v>0</v>
          </cell>
        </row>
        <row r="1462">
          <cell r="F1462">
            <v>0</v>
          </cell>
        </row>
        <row r="1468">
          <cell r="F1468">
            <v>24417796.74786067</v>
          </cell>
          <cell r="Y1468">
            <v>0</v>
          </cell>
        </row>
        <row r="1472">
          <cell r="Y1472">
            <v>0</v>
          </cell>
        </row>
        <row r="1476">
          <cell r="Y1476">
            <v>0</v>
          </cell>
        </row>
        <row r="1482">
          <cell r="Y1482">
            <v>91035.970883532151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0</v>
          </cell>
        </row>
        <row r="1486">
          <cell r="Y1486">
            <v>19126.403460160356</v>
          </cell>
        </row>
        <row r="1490">
          <cell r="Y1490">
            <v>916781.59437653772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0</v>
          </cell>
        </row>
        <row r="1495">
          <cell r="Y1495">
            <v>334640.79904754309</v>
          </cell>
        </row>
        <row r="1499">
          <cell r="Y1499">
            <v>63604.375514638006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0</v>
          </cell>
        </row>
        <row r="1505">
          <cell r="Y1505">
            <v>201534.63847736822</v>
          </cell>
        </row>
        <row r="1506">
          <cell r="Y1506">
            <v>0</v>
          </cell>
        </row>
        <row r="1507">
          <cell r="Y1507">
            <v>0</v>
          </cell>
        </row>
        <row r="1511">
          <cell r="Y1511">
            <v>717930.06374907773</v>
          </cell>
        </row>
        <row r="1512">
          <cell r="Y1512">
            <v>23929.276352349676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19">
          <cell r="Y1519">
            <v>0</v>
          </cell>
        </row>
        <row r="1523">
          <cell r="Y1523">
            <v>76428.696751286727</v>
          </cell>
        </row>
        <row r="1524">
          <cell r="Y1524">
            <v>0</v>
          </cell>
        </row>
        <row r="1525">
          <cell r="Y1525">
            <v>0</v>
          </cell>
        </row>
        <row r="1526">
          <cell r="Y1526">
            <v>1089.1554576581761</v>
          </cell>
        </row>
        <row r="1527">
          <cell r="Y1527">
            <v>0</v>
          </cell>
        </row>
        <row r="1528">
          <cell r="Y1528">
            <v>0</v>
          </cell>
        </row>
        <row r="1532">
          <cell r="Y1532">
            <v>279894.49663525552</v>
          </cell>
        </row>
        <row r="1533">
          <cell r="Y1533">
            <v>0</v>
          </cell>
        </row>
        <row r="1534">
          <cell r="Y1534">
            <v>0</v>
          </cell>
        </row>
        <row r="1535">
          <cell r="Y1535">
            <v>12879.165329750234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39">
          <cell r="Y1539">
            <v>0</v>
          </cell>
        </row>
        <row r="1543">
          <cell r="Y1543">
            <v>170540.37812343103</v>
          </cell>
        </row>
        <row r="1544">
          <cell r="Y1544">
            <v>0</v>
          </cell>
        </row>
        <row r="1545">
          <cell r="Y1545">
            <v>0</v>
          </cell>
        </row>
        <row r="1546">
          <cell r="Y1546">
            <v>17799.505918575982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0">
          <cell r="Y1550">
            <v>0</v>
          </cell>
        </row>
        <row r="1554">
          <cell r="Y1554">
            <v>979786.78470997</v>
          </cell>
        </row>
        <row r="1555">
          <cell r="Y1555">
            <v>0</v>
          </cell>
        </row>
        <row r="1556">
          <cell r="Y1556">
            <v>0</v>
          </cell>
        </row>
        <row r="1557">
          <cell r="Y1557">
            <v>4710.5444313250064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1">
          <cell r="Y1561">
            <v>0</v>
          </cell>
        </row>
        <row r="1565">
          <cell r="Y1565">
            <v>1326201.0579544804</v>
          </cell>
        </row>
        <row r="1566">
          <cell r="Y1566">
            <v>0</v>
          </cell>
        </row>
        <row r="1567">
          <cell r="Y1567">
            <v>0</v>
          </cell>
        </row>
        <row r="1568">
          <cell r="Y1568">
            <v>210384.05460223794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3">
          <cell r="Y1573">
            <v>0</v>
          </cell>
        </row>
        <row r="1577">
          <cell r="Y1577">
            <v>19415.454003372866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0</v>
          </cell>
        </row>
        <row r="1581">
          <cell r="Y1581">
            <v>9974.7478413755543</v>
          </cell>
        </row>
        <row r="1582">
          <cell r="Y1582">
            <v>0</v>
          </cell>
        </row>
        <row r="1583">
          <cell r="Y1583">
            <v>0</v>
          </cell>
        </row>
        <row r="1584">
          <cell r="Y1584">
            <v>0</v>
          </cell>
        </row>
        <row r="1591">
          <cell r="Y1591">
            <v>0</v>
          </cell>
        </row>
        <row r="1595">
          <cell r="Y1595">
            <v>0</v>
          </cell>
        </row>
        <row r="1597">
          <cell r="Y1597">
            <v>0</v>
          </cell>
        </row>
        <row r="1602">
          <cell r="Y1602">
            <v>239184.6613204485</v>
          </cell>
        </row>
        <row r="1603">
          <cell r="Y1603">
            <v>0</v>
          </cell>
        </row>
        <row r="1604">
          <cell r="Y1604">
            <v>23232.041756508857</v>
          </cell>
        </row>
        <row r="1612">
          <cell r="Y1612">
            <v>0</v>
          </cell>
        </row>
        <row r="1615">
          <cell r="F1615">
            <v>0</v>
          </cell>
        </row>
        <row r="1624">
          <cell r="Y1624">
            <v>19957.353963900623</v>
          </cell>
        </row>
        <row r="1632">
          <cell r="Y1632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39">
          <cell r="Y1639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5">
          <cell r="Y1645">
            <v>0</v>
          </cell>
        </row>
        <row r="1649">
          <cell r="Y1649">
            <v>49073.631241914722</v>
          </cell>
        </row>
        <row r="1650">
          <cell r="Y1650">
            <v>0</v>
          </cell>
        </row>
        <row r="1651">
          <cell r="Y1651">
            <v>1257455.516793136</v>
          </cell>
        </row>
        <row r="1652">
          <cell r="Y1652">
            <v>0</v>
          </cell>
        </row>
        <row r="1653">
          <cell r="Y1653">
            <v>0</v>
          </cell>
        </row>
        <row r="1655">
          <cell r="Y1655">
            <v>0</v>
          </cell>
        </row>
        <row r="1666">
          <cell r="Y1666">
            <v>-662.52286852741815</v>
          </cell>
        </row>
        <row r="1674">
          <cell r="Y1674">
            <v>126748.78570137861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79">
          <cell r="Y1679">
            <v>0</v>
          </cell>
        </row>
        <row r="1686">
          <cell r="Y1686">
            <v>0</v>
          </cell>
        </row>
        <row r="1690">
          <cell r="Y1690">
            <v>0</v>
          </cell>
        </row>
        <row r="1695">
          <cell r="Y1695">
            <v>0</v>
          </cell>
        </row>
        <row r="1702">
          <cell r="Y1702">
            <v>0</v>
          </cell>
        </row>
        <row r="1710">
          <cell r="Y1710">
            <v>0</v>
          </cell>
        </row>
        <row r="1717">
          <cell r="Y1717">
            <v>0</v>
          </cell>
        </row>
        <row r="1725">
          <cell r="Y1725">
            <v>0</v>
          </cell>
        </row>
        <row r="1729">
          <cell r="Y1729">
            <v>0</v>
          </cell>
        </row>
        <row r="1733">
          <cell r="Y1733">
            <v>0</v>
          </cell>
        </row>
        <row r="1750">
          <cell r="Y1750">
            <v>0</v>
          </cell>
        </row>
        <row r="1751">
          <cell r="Y1751">
            <v>326413.26256160415</v>
          </cell>
        </row>
        <row r="1756">
          <cell r="Y1756">
            <v>0</v>
          </cell>
        </row>
        <row r="1761">
          <cell r="Y1761">
            <v>-436.94256924239335</v>
          </cell>
        </row>
        <row r="1769">
          <cell r="Y1769">
            <v>0</v>
          </cell>
        </row>
        <row r="1771">
          <cell r="Y1771">
            <v>65798.273227175989</v>
          </cell>
        </row>
        <row r="1779">
          <cell r="Y1779">
            <v>0</v>
          </cell>
        </row>
        <row r="1781">
          <cell r="Y1781">
            <v>926068.27192841598</v>
          </cell>
        </row>
        <row r="1789">
          <cell r="Y1789">
            <v>0</v>
          </cell>
        </row>
        <row r="1792">
          <cell r="Y1792">
            <v>572.24541349241588</v>
          </cell>
        </row>
        <row r="1810">
          <cell r="Y1810">
            <v>0</v>
          </cell>
        </row>
        <row r="1811">
          <cell r="Y1811">
            <v>90729.14118398659</v>
          </cell>
        </row>
        <row r="1825">
          <cell r="Y1825">
            <v>0</v>
          </cell>
        </row>
        <row r="1830">
          <cell r="Y1830">
            <v>0</v>
          </cell>
        </row>
        <row r="1835">
          <cell r="Y1835">
            <v>0</v>
          </cell>
        </row>
        <row r="1844">
          <cell r="Y1844">
            <v>0</v>
          </cell>
        </row>
        <row r="1848">
          <cell r="F1848">
            <v>0</v>
          </cell>
          <cell r="Y1848">
            <v>0</v>
          </cell>
        </row>
        <row r="1851">
          <cell r="F1851">
            <v>-14128347.326182602</v>
          </cell>
        </row>
        <row r="1852">
          <cell r="F1852">
            <v>-14128347.326182602</v>
          </cell>
          <cell r="Y1852">
            <v>-113686.10150402026</v>
          </cell>
        </row>
        <row r="1857">
          <cell r="F1857">
            <v>-1584587.3700411466</v>
          </cell>
          <cell r="Y1857">
            <v>-11321.987036251756</v>
          </cell>
        </row>
        <row r="1861">
          <cell r="F1861">
            <v>-627455.69229318167</v>
          </cell>
          <cell r="Y1861">
            <v>0</v>
          </cell>
        </row>
        <row r="1865">
          <cell r="Y1865">
            <v>0</v>
          </cell>
        </row>
        <row r="1866">
          <cell r="F1866">
            <v>-785401.74153845687</v>
          </cell>
          <cell r="Y1866">
            <v>0</v>
          </cell>
        </row>
        <row r="1870">
          <cell r="F1870">
            <v>-2099103.0174970319</v>
          </cell>
          <cell r="Y1870">
            <v>0</v>
          </cell>
        </row>
        <row r="1878">
          <cell r="Y1878">
            <v>-110359.71644512851</v>
          </cell>
        </row>
        <row r="1882">
          <cell r="F1882">
            <v>-23868.33297788144</v>
          </cell>
          <cell r="Y1882">
            <v>0</v>
          </cell>
        </row>
        <row r="1889">
          <cell r="F1889">
            <v>-11241834.580766117</v>
          </cell>
          <cell r="Y1889">
            <v>-85576.804255439041</v>
          </cell>
        </row>
        <row r="1893">
          <cell r="Y1893">
            <v>0</v>
          </cell>
        </row>
        <row r="1894">
          <cell r="Y1894">
            <v>984066.40217769565</v>
          </cell>
        </row>
        <row r="1896">
          <cell r="Y1896">
            <v>0</v>
          </cell>
        </row>
        <row r="1903">
          <cell r="Y1903">
            <v>0</v>
          </cell>
        </row>
        <row r="1904">
          <cell r="Y1904">
            <v>984066.40217769565</v>
          </cell>
        </row>
        <row r="1910">
          <cell r="Y1910">
            <v>0</v>
          </cell>
        </row>
        <row r="1914">
          <cell r="F1914">
            <v>3.9580702381867585</v>
          </cell>
        </row>
        <row r="1916">
          <cell r="Y1916">
            <v>263170.14222449891</v>
          </cell>
        </row>
        <row r="1928">
          <cell r="Y1928">
            <v>-14599399.154843062</v>
          </cell>
        </row>
        <row r="1934">
          <cell r="Y1934">
            <v>-1827867.3615424694</v>
          </cell>
        </row>
        <row r="1941">
          <cell r="Y1941">
            <v>-1903659.7839767339</v>
          </cell>
        </row>
        <row r="1954">
          <cell r="Y1954">
            <v>-649.69803156790942</v>
          </cell>
        </row>
        <row r="1964">
          <cell r="Y1964">
            <v>0</v>
          </cell>
        </row>
        <row r="1970">
          <cell r="Y1970">
            <v>0</v>
          </cell>
        </row>
        <row r="1977">
          <cell r="Y1977">
            <v>0</v>
          </cell>
        </row>
        <row r="1985">
          <cell r="Y1985">
            <v>0</v>
          </cell>
        </row>
        <row r="1990">
          <cell r="Y1990">
            <v>0</v>
          </cell>
        </row>
        <row r="2004">
          <cell r="Y2004">
            <v>0</v>
          </cell>
        </row>
        <row r="2008">
          <cell r="Y2008">
            <v>0</v>
          </cell>
        </row>
        <row r="2012">
          <cell r="Y2012">
            <v>0</v>
          </cell>
        </row>
        <row r="2016">
          <cell r="Y2016">
            <v>0</v>
          </cell>
        </row>
        <row r="2020">
          <cell r="Y2020">
            <v>0</v>
          </cell>
        </row>
        <row r="2024">
          <cell r="Y2024">
            <v>0</v>
          </cell>
        </row>
        <row r="2028">
          <cell r="Y2028">
            <v>0</v>
          </cell>
        </row>
        <row r="2032">
          <cell r="Y2032">
            <v>0</v>
          </cell>
        </row>
        <row r="2036">
          <cell r="Y2036">
            <v>0</v>
          </cell>
        </row>
        <row r="2040">
          <cell r="Y2040">
            <v>0</v>
          </cell>
        </row>
        <row r="2044">
          <cell r="Y2044">
            <v>-27116856.64456293</v>
          </cell>
        </row>
        <row r="2048">
          <cell r="Y2048">
            <v>0</v>
          </cell>
        </row>
        <row r="2052">
          <cell r="Y2052">
            <v>0</v>
          </cell>
        </row>
        <row r="2056">
          <cell r="Y2056">
            <v>0</v>
          </cell>
        </row>
        <row r="2059">
          <cell r="F2059">
            <v>0</v>
          </cell>
        </row>
        <row r="2060">
          <cell r="Y2060">
            <v>0</v>
          </cell>
        </row>
        <row r="2063">
          <cell r="F2063">
            <v>0</v>
          </cell>
        </row>
        <row r="2064">
          <cell r="Y2064">
            <v>0</v>
          </cell>
        </row>
        <row r="2067">
          <cell r="F2067">
            <v>3030553.9546153801</v>
          </cell>
        </row>
        <row r="2068">
          <cell r="Y2068">
            <v>92779.774951356463</v>
          </cell>
        </row>
        <row r="2074">
          <cell r="Y2074">
            <v>-1535375.4419455857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0</v>
          </cell>
        </row>
        <row r="2078">
          <cell r="Y2078">
            <v>0</v>
          </cell>
        </row>
        <row r="2079">
          <cell r="Y2079">
            <v>-265605.01997269789</v>
          </cell>
        </row>
        <row r="2080">
          <cell r="Y2080">
            <v>0</v>
          </cell>
        </row>
        <row r="2081">
          <cell r="Y2081">
            <v>0</v>
          </cell>
        </row>
        <row r="2082">
          <cell r="Y2082">
            <v>0</v>
          </cell>
        </row>
        <row r="2094">
          <cell r="Y2094">
            <v>0</v>
          </cell>
        </row>
        <row r="2101">
          <cell r="Y2101">
            <v>0</v>
          </cell>
        </row>
        <row r="2109">
          <cell r="Y2109">
            <v>0</v>
          </cell>
        </row>
        <row r="2121">
          <cell r="Y2121">
            <v>0</v>
          </cell>
        </row>
        <row r="2126">
          <cell r="Y2126">
            <v>0</v>
          </cell>
        </row>
        <row r="2128">
          <cell r="Y2128">
            <v>-51822.289726703915</v>
          </cell>
        </row>
        <row r="2129">
          <cell r="Y2129">
            <v>0</v>
          </cell>
        </row>
        <row r="2130">
          <cell r="Y2130">
            <v>-52150.516922938688</v>
          </cell>
        </row>
        <row r="2136">
          <cell r="Y2136">
            <v>0</v>
          </cell>
        </row>
        <row r="2140">
          <cell r="Y2140">
            <v>-1409.9473238885153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4">
          <cell r="Y2144">
            <v>0</v>
          </cell>
        </row>
        <row r="2145">
          <cell r="Y2145">
            <v>0</v>
          </cell>
        </row>
        <row r="2147">
          <cell r="Y2147">
            <v>0</v>
          </cell>
        </row>
        <row r="2148">
          <cell r="Y2148">
            <v>-980047.33501070621</v>
          </cell>
        </row>
        <row r="2161">
          <cell r="Y2161">
            <v>0</v>
          </cell>
        </row>
      </sheetData>
      <sheetData sheetId="20"/>
      <sheetData sheetId="2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0.75882088818077265</v>
          </cell>
          <cell r="C11">
            <v>0.12337075483162184</v>
          </cell>
          <cell r="D11">
            <v>0.11780835698760554</v>
          </cell>
          <cell r="E11">
            <v>0.11515328785426338</v>
          </cell>
          <cell r="F11">
            <v>2.6550691333421641E-3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0.53371384791183885</v>
          </cell>
          <cell r="C12">
            <v>0.16887985745628267</v>
          </cell>
          <cell r="D12">
            <v>0.29740629463187851</v>
          </cell>
          <cell r="E12">
            <v>0.29441056625444706</v>
          </cell>
          <cell r="F12">
            <v>2.9957283774314251E-3</v>
          </cell>
          <cell r="G12">
            <v>0</v>
          </cell>
          <cell r="H12">
            <v>0.99999999999999978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0.73250077119628121</v>
          </cell>
          <cell r="C14">
            <v>0.11019224885049846</v>
          </cell>
          <cell r="D14">
            <v>0.15730697995322038</v>
          </cell>
          <cell r="E14">
            <v>0.12157824138762542</v>
          </cell>
          <cell r="F14">
            <v>2.8838011669803289E-2</v>
          </cell>
          <cell r="G14">
            <v>6.890726895791675E-3</v>
          </cell>
          <cell r="H14">
            <v>0.99999999999999989</v>
          </cell>
        </row>
        <row r="15">
          <cell r="A15" t="str">
            <v>DDS2</v>
          </cell>
          <cell r="B15">
            <v>0.83456161209763025</v>
          </cell>
          <cell r="C15">
            <v>1.0253594452768628E-2</v>
          </cell>
          <cell r="D15">
            <v>0.15518479344960112</v>
          </cell>
          <cell r="E15">
            <v>1.2905826099431392E-2</v>
          </cell>
          <cell r="F15">
            <v>0.20647002462443814</v>
          </cell>
          <cell r="G15">
            <v>-6.4191057274268409E-2</v>
          </cell>
          <cell r="H15">
            <v>1.0000000000000002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0.12174462693738081</v>
          </cell>
          <cell r="C17">
            <v>4.0581542312460271E-2</v>
          </cell>
          <cell r="D17">
            <v>0.83767383075015889</v>
          </cell>
          <cell r="E17">
            <v>0.24348925387476161</v>
          </cell>
          <cell r="F17">
            <v>0</v>
          </cell>
          <cell r="G17">
            <v>0.59418457687539727</v>
          </cell>
          <cell r="H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1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</row>
        <row r="19">
          <cell r="A19" t="str">
            <v>DEFSG</v>
          </cell>
          <cell r="B19">
            <v>0.71880045322127173</v>
          </cell>
          <cell r="C19">
            <v>0.28119954677872822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0.53552737981222298</v>
          </cell>
          <cell r="C24">
            <v>0.46447262018777702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-0.23797004355754175</v>
          </cell>
          <cell r="C25">
            <v>0.48560201710091305</v>
          </cell>
          <cell r="D25">
            <v>0.75236802645662859</v>
          </cell>
          <cell r="E25">
            <v>0.73258846312407089</v>
          </cell>
          <cell r="F25">
            <v>-2.3087618034978396E-2</v>
          </cell>
          <cell r="G25">
            <v>4.286718136753611E-2</v>
          </cell>
          <cell r="H25">
            <v>1</v>
          </cell>
        </row>
        <row r="26">
          <cell r="A26" t="str">
            <v>G</v>
          </cell>
          <cell r="B26">
            <v>0.22743138322097689</v>
          </cell>
          <cell r="C26">
            <v>0.30456016948854858</v>
          </cell>
          <cell r="D26">
            <v>0.46800844729047453</v>
          </cell>
          <cell r="E26">
            <v>0.44471785536162151</v>
          </cell>
          <cell r="F26">
            <v>2.3290591928853015E-2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0.49930951392258588</v>
          </cell>
          <cell r="C29">
            <v>0.21864326640496584</v>
          </cell>
          <cell r="D29">
            <v>0.28204721967244845</v>
          </cell>
          <cell r="E29">
            <v>0.27544769835281174</v>
          </cell>
          <cell r="F29">
            <v>6.5995213196366831E-3</v>
          </cell>
          <cell r="G29">
            <v>0</v>
          </cell>
          <cell r="H29">
            <v>1.0000000000000002</v>
          </cell>
        </row>
        <row r="30">
          <cell r="A30" t="str">
            <v>G-SG</v>
          </cell>
          <cell r="B30">
            <v>0.49015193398945944</v>
          </cell>
          <cell r="C30">
            <v>0.50984806601054056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0.2690794931539684</v>
          </cell>
          <cell r="D31">
            <v>0.73092050684603171</v>
          </cell>
          <cell r="E31">
            <v>0.73092050684603171</v>
          </cell>
          <cell r="F31">
            <v>0</v>
          </cell>
          <cell r="G31">
            <v>0</v>
          </cell>
          <cell r="H31">
            <v>0.99999999999999989</v>
          </cell>
        </row>
        <row r="32">
          <cell r="A32" t="str">
            <v>I</v>
          </cell>
          <cell r="B32">
            <v>0.54516588138706712</v>
          </cell>
          <cell r="C32">
            <v>0.15020955628463989</v>
          </cell>
          <cell r="D32">
            <v>0.30462456232829299</v>
          </cell>
          <cell r="E32">
            <v>0.14625986668652755</v>
          </cell>
          <cell r="F32">
            <v>0.15836469564176545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0.19852720524362477</v>
          </cell>
          <cell r="C33">
            <v>0.31438305620608642</v>
          </cell>
          <cell r="D33">
            <v>0.48708973855028881</v>
          </cell>
          <cell r="E33">
            <v>0.47428427368003251</v>
          </cell>
          <cell r="F33">
            <v>-1.4947128847792465E-2</v>
          </cell>
          <cell r="G33">
            <v>2.7752593718048762E-2</v>
          </cell>
          <cell r="H33">
            <v>1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0.85170329991651883</v>
          </cell>
          <cell r="C36">
            <v>0.148296700083481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0.99999999999999978</v>
          </cell>
        </row>
        <row r="37">
          <cell r="A37" t="str">
            <v>I-SITUS</v>
          </cell>
          <cell r="B37">
            <v>1.7378370977639623E-2</v>
          </cell>
          <cell r="C37">
            <v>0.45155116817028357</v>
          </cell>
          <cell r="D37">
            <v>0.53107046085207688</v>
          </cell>
          <cell r="E37">
            <v>0.53107046085207688</v>
          </cell>
          <cell r="F37">
            <v>0</v>
          </cell>
          <cell r="G37">
            <v>0</v>
          </cell>
          <cell r="H37">
            <v>1</v>
          </cell>
        </row>
        <row r="38">
          <cell r="A38" t="str">
            <v>LABOR</v>
          </cell>
          <cell r="B38">
            <v>0.44037754002527002</v>
          </cell>
          <cell r="C38">
            <v>7.3398818350960335E-2</v>
          </cell>
          <cell r="D38">
            <v>0.48622364162376963</v>
          </cell>
          <cell r="E38">
            <v>0.34017577812492666</v>
          </cell>
          <cell r="F38">
            <v>0.14604786349884299</v>
          </cell>
          <cell r="G38">
            <v>0</v>
          </cell>
          <cell r="H38">
            <v>0.99999999999999989</v>
          </cell>
        </row>
        <row r="39">
          <cell r="A39" t="str">
            <v>MSS</v>
          </cell>
          <cell r="B39">
            <v>0.87069451336117754</v>
          </cell>
          <cell r="C39">
            <v>6.6654622233269607E-3</v>
          </cell>
          <cell r="D39">
            <v>0.1226400244154955</v>
          </cell>
          <cell r="E39">
            <v>0.1226400244154955</v>
          </cell>
          <cell r="F39">
            <v>0</v>
          </cell>
          <cell r="G39">
            <v>0</v>
          </cell>
          <cell r="H39">
            <v>1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0.58084691832672641</v>
          </cell>
          <cell r="C42">
            <v>0.4191530816732737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0.58084691832672641</v>
          </cell>
          <cell r="C43">
            <v>0.4191530816732737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0.58084691832672641</v>
          </cell>
          <cell r="C45">
            <v>0.4191530816732737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0.58084691832672641</v>
          </cell>
          <cell r="C46">
            <v>0.4191530816732737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0.68467944895178634</v>
          </cell>
          <cell r="C50">
            <v>0.31532055104821366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0.50472109618805916</v>
          </cell>
          <cell r="C51">
            <v>0.2324429839676467</v>
          </cell>
          <cell r="D51">
            <v>0.26283591984429405</v>
          </cell>
          <cell r="E51">
            <v>0.26283591984429405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0.67646114072238506</v>
          </cell>
          <cell r="C52">
            <v>0.14682403407767025</v>
          </cell>
          <cell r="D52">
            <v>0.17671482519994458</v>
          </cell>
          <cell r="E52">
            <v>0.15017777992413581</v>
          </cell>
          <cell r="F52">
            <v>1.9421573542126917E-2</v>
          </cell>
          <cell r="G52">
            <v>7.115471733681847E-3</v>
          </cell>
          <cell r="H52">
            <v>0.99999999999999978</v>
          </cell>
        </row>
        <row r="53">
          <cell r="A53" t="str">
            <v>SCHMA</v>
          </cell>
          <cell r="B53">
            <v>0.49568394801805704</v>
          </cell>
          <cell r="C53">
            <v>0.19702439905419841</v>
          </cell>
          <cell r="D53">
            <v>0.30729165292774446</v>
          </cell>
          <cell r="E53">
            <v>0.30003519341003915</v>
          </cell>
          <cell r="F53">
            <v>4.9339464289818212E-3</v>
          </cell>
          <cell r="G53">
            <v>2.3225130887234717E-3</v>
          </cell>
          <cell r="H53">
            <v>1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0.85703588802615649</v>
          </cell>
          <cell r="C55">
            <v>7.634091720767909E-2</v>
          </cell>
          <cell r="D55">
            <v>6.6623194766164337E-2</v>
          </cell>
          <cell r="E55">
            <v>7.7549490353594278E-2</v>
          </cell>
          <cell r="F55">
            <v>-1.0926295587429942E-2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0.5185853975623872</v>
          </cell>
          <cell r="C56">
            <v>0.25460395351573167</v>
          </cell>
          <cell r="D56">
            <v>0.22681064892188108</v>
          </cell>
          <cell r="E56">
            <v>0.26153901857619039</v>
          </cell>
          <cell r="F56">
            <v>-3.4728369654309296E-2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0.49742746673342875</v>
          </cell>
          <cell r="C57">
            <v>0.19644210272217674</v>
          </cell>
          <cell r="D57">
            <v>0.30613043054439443</v>
          </cell>
          <cell r="E57">
            <v>0.29896170259891236</v>
          </cell>
          <cell r="F57">
            <v>4.8574209541626771E-3</v>
          </cell>
          <cell r="G57">
            <v>2.3113069913193889E-3</v>
          </cell>
          <cell r="H57">
            <v>1.0000000000000002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1.1222336933550532</v>
          </cell>
          <cell r="C60">
            <v>0.15032397811618309</v>
          </cell>
          <cell r="D60">
            <v>-0.27255767147123605</v>
          </cell>
          <cell r="E60">
            <v>-0.38581093646311743</v>
          </cell>
          <cell r="F60">
            <v>2.1321586223432389E-4</v>
          </cell>
          <cell r="G60">
            <v>0.11304004912964703</v>
          </cell>
          <cell r="H60">
            <v>1.0000000000000002</v>
          </cell>
        </row>
        <row r="61">
          <cell r="A61" t="str">
            <v>SCHMAT-SNP</v>
          </cell>
          <cell r="B61">
            <v>0.50347962256978651</v>
          </cell>
          <cell r="C61">
            <v>0.21977114503294218</v>
          </cell>
          <cell r="D61">
            <v>0.27674923239727123</v>
          </cell>
          <cell r="E61">
            <v>0.27662272094283602</v>
          </cell>
          <cell r="F61">
            <v>1.2651145443517978E-4</v>
          </cell>
          <cell r="G61">
            <v>0</v>
          </cell>
          <cell r="H61">
            <v>0.99999999999999967</v>
          </cell>
        </row>
        <row r="62">
          <cell r="A62" t="str">
            <v>SCHMAT-SO</v>
          </cell>
          <cell r="B62">
            <v>0.4898338935961169</v>
          </cell>
          <cell r="C62">
            <v>0.18798762714563713</v>
          </cell>
          <cell r="D62">
            <v>0.32217847925824583</v>
          </cell>
          <cell r="E62">
            <v>0.29044819951094619</v>
          </cell>
          <cell r="F62">
            <v>3.1730279747299632E-2</v>
          </cell>
          <cell r="G62">
            <v>0</v>
          </cell>
          <cell r="H62">
            <v>0.99999999999999978</v>
          </cell>
        </row>
        <row r="63">
          <cell r="A63" t="str">
            <v>SCHMD</v>
          </cell>
          <cell r="B63">
            <v>0.62374965785684211</v>
          </cell>
          <cell r="C63">
            <v>0.16845780255570031</v>
          </cell>
          <cell r="D63">
            <v>0.20779253958745697</v>
          </cell>
          <cell r="E63">
            <v>0.19467999412704468</v>
          </cell>
          <cell r="F63">
            <v>-6.5698854467502107E-4</v>
          </cell>
          <cell r="G63">
            <v>1.376953400508733E-2</v>
          </cell>
          <cell r="H63">
            <v>0.99999999999999956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0.92209329047469424</v>
          </cell>
          <cell r="C65">
            <v>0.10538276099100162</v>
          </cell>
          <cell r="D65">
            <v>-2.7476051465695983E-2</v>
          </cell>
          <cell r="E65">
            <v>3.1900509001053394E-2</v>
          </cell>
          <cell r="F65">
            <v>-5.9376560466749377E-2</v>
          </cell>
          <cell r="G65">
            <v>0</v>
          </cell>
          <cell r="H65">
            <v>0.99999999999999978</v>
          </cell>
        </row>
        <row r="66">
          <cell r="A66" t="str">
            <v>SCHMDP-SO</v>
          </cell>
          <cell r="B66">
            <v>0.44037754002527002</v>
          </cell>
          <cell r="C66">
            <v>7.3398818350960335E-2</v>
          </cell>
          <cell r="D66">
            <v>0.48622364162376963</v>
          </cell>
          <cell r="E66">
            <v>0.34017577812492666</v>
          </cell>
          <cell r="F66">
            <v>0.14604786349884299</v>
          </cell>
          <cell r="G66">
            <v>0</v>
          </cell>
          <cell r="H66">
            <v>0.99999999999999989</v>
          </cell>
        </row>
        <row r="67">
          <cell r="A67" t="str">
            <v>SCHMDT</v>
          </cell>
          <cell r="B67">
            <v>0.62363302953734734</v>
          </cell>
          <cell r="C67">
            <v>0.16848245981429574</v>
          </cell>
          <cell r="D67">
            <v>0.20788451064835639</v>
          </cell>
          <cell r="E67">
            <v>0.1947436277887786</v>
          </cell>
          <cell r="F67">
            <v>-6.3403392374132496E-4</v>
          </cell>
          <cell r="G67">
            <v>1.377491678331909E-2</v>
          </cell>
          <cell r="H67">
            <v>0.99999999999999933</v>
          </cell>
        </row>
        <row r="68">
          <cell r="A68" t="str">
            <v>SCHMDT-GPS</v>
          </cell>
          <cell r="B68">
            <v>0.5035611250734281</v>
          </cell>
          <cell r="C68">
            <v>0.21979318880680054</v>
          </cell>
          <cell r="D68">
            <v>0.27664568611977131</v>
          </cell>
          <cell r="E68">
            <v>0.27664568611977131</v>
          </cell>
          <cell r="F68">
            <v>0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0.99763248413758299</v>
          </cell>
          <cell r="C69">
            <v>2.3675158624169791E-3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-1.8202268284573586</v>
          </cell>
          <cell r="C70">
            <v>1.5064221729023237</v>
          </cell>
          <cell r="D70">
            <v>1.3138046555550364</v>
          </cell>
          <cell r="E70">
            <v>1.8977071011113138</v>
          </cell>
          <cell r="F70">
            <v>4.3092506814886834E-2</v>
          </cell>
          <cell r="G70">
            <v>-0.6269949523711642</v>
          </cell>
          <cell r="H70">
            <v>1.0000000000000016</v>
          </cell>
        </row>
        <row r="71">
          <cell r="A71" t="str">
            <v>SCHMDT-SNP</v>
          </cell>
          <cell r="B71">
            <v>0.5035611250734281</v>
          </cell>
          <cell r="C71">
            <v>0.21979318880680054</v>
          </cell>
          <cell r="D71">
            <v>0.27664568611977131</v>
          </cell>
          <cell r="E71">
            <v>0.27664568611977131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0.50272470091120192</v>
          </cell>
          <cell r="C72">
            <v>-3.8582355200972407E-3</v>
          </cell>
          <cell r="D72">
            <v>0.50113353460889531</v>
          </cell>
          <cell r="E72">
            <v>0.20619848908889202</v>
          </cell>
          <cell r="F72">
            <v>0.29493504552000332</v>
          </cell>
          <cell r="G72">
            <v>0</v>
          </cell>
          <cell r="H72">
            <v>0.99999999999999989</v>
          </cell>
        </row>
        <row r="73">
          <cell r="A73" t="str">
            <v>SIT</v>
          </cell>
          <cell r="B73">
            <v>0.19852720524362483</v>
          </cell>
          <cell r="C73">
            <v>0.31438305620608659</v>
          </cell>
          <cell r="D73">
            <v>0.48708973855028898</v>
          </cell>
          <cell r="E73">
            <v>0.47428427368003268</v>
          </cell>
          <cell r="F73">
            <v>-1.494712884779247E-2</v>
          </cell>
          <cell r="G73">
            <v>2.7752593718048772E-2</v>
          </cell>
          <cell r="H73">
            <v>1.0000000000000004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0.59002884567004299</v>
          </cell>
          <cell r="C75">
            <v>0.18955104879382401</v>
          </cell>
          <cell r="D75">
            <v>0.22042010553613289</v>
          </cell>
          <cell r="E75">
            <v>0.21588007893827754</v>
          </cell>
          <cell r="F75">
            <v>4.540026597855345E-3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</sheetData>
      <sheetData sheetId="22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0.18268684674707628</v>
          </cell>
          <cell r="C19">
            <v>0.50581044471036496</v>
          </cell>
          <cell r="D19">
            <v>0.18284238538999506</v>
          </cell>
          <cell r="E19">
            <v>3.0614790675499298E-2</v>
          </cell>
          <cell r="F19">
            <v>9.8045532477064393E-2</v>
          </cell>
          <cell r="G19">
            <v>1</v>
          </cell>
        </row>
        <row r="20">
          <cell r="A20" t="str">
            <v>PLNT2</v>
          </cell>
          <cell r="B20">
            <v>0.26534141675467854</v>
          </cell>
          <cell r="C20">
            <v>0.73465858324532152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0.10457961964205044</v>
          </cell>
          <cell r="C21">
            <v>0.79418924286808334</v>
          </cell>
          <cell r="D21">
            <v>7.9238258041000719E-3</v>
          </cell>
          <cell r="E21">
            <v>9.3307311685766156E-2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0.18268684674707628</v>
          </cell>
          <cell r="C22">
            <v>0.50581044471036496</v>
          </cell>
          <cell r="D22">
            <v>0.18284238538999506</v>
          </cell>
          <cell r="E22">
            <v>3.0614790675499305E-2</v>
          </cell>
          <cell r="F22">
            <v>9.8045532477064393E-2</v>
          </cell>
          <cell r="G22">
            <v>1</v>
          </cell>
        </row>
        <row r="23">
          <cell r="A23" t="str">
            <v>GENL</v>
          </cell>
          <cell r="B23">
            <v>0.18268684674707628</v>
          </cell>
          <cell r="C23">
            <v>0.50581044471036485</v>
          </cell>
          <cell r="D23">
            <v>0.18284238538999506</v>
          </cell>
          <cell r="E23">
            <v>3.0614790675499288E-2</v>
          </cell>
          <cell r="F23">
            <v>9.8045532477064365E-2</v>
          </cell>
          <cell r="G23">
            <v>0.99999999999999989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0.22311659353384922</v>
          </cell>
          <cell r="C25">
            <v>0.44443954290497611</v>
          </cell>
          <cell r="D25">
            <v>0.20343962546535679</v>
          </cell>
          <cell r="E25">
            <v>2.736194315404104E-2</v>
          </cell>
          <cell r="F25">
            <v>0.10164229494177709</v>
          </cell>
          <cell r="G25">
            <v>1.0000000000000002</v>
          </cell>
        </row>
      </sheetData>
      <sheetData sheetId="23"/>
      <sheetData sheetId="24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0.75</v>
          </cell>
          <cell r="D15" t="str">
            <v>/</v>
          </cell>
          <cell r="E15">
            <v>0.25</v>
          </cell>
          <cell r="F15">
            <v>0.3329335352343239</v>
          </cell>
          <cell r="G15">
            <v>0.27261009065336367</v>
          </cell>
          <cell r="H15">
            <v>9.0753753296084788E-2</v>
          </cell>
          <cell r="I15">
            <v>2.1063773402141077E-3</v>
          </cell>
          <cell r="J15">
            <v>0.18662008271271904</v>
          </cell>
          <cell r="K15">
            <v>7.2517023988570399E-3</v>
          </cell>
          <cell r="L15">
            <v>2.3093446691258723E-4</v>
          </cell>
          <cell r="M15">
            <v>4.8788843700956505E-4</v>
          </cell>
          <cell r="N15">
            <v>6.9625194927364534E-2</v>
          </cell>
          <cell r="O15">
            <v>1.9625388259976569E-2</v>
          </cell>
          <cell r="P15">
            <v>1.7755052273174355E-2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0.31510766506775362</v>
          </cell>
          <cell r="G16">
            <v>0.27294949651806655</v>
          </cell>
          <cell r="H16">
            <v>9.3000149012663152E-2</v>
          </cell>
          <cell r="I16">
            <v>2.6874737426413474E-3</v>
          </cell>
          <cell r="J16">
            <v>0.19720172280314463</v>
          </cell>
          <cell r="K16">
            <v>7.6857014938404187E-3</v>
          </cell>
          <cell r="L16">
            <v>2.4671935024126119E-4</v>
          </cell>
          <cell r="M16">
            <v>5.8857189485080129E-4</v>
          </cell>
          <cell r="N16">
            <v>6.7301238546963904E-2</v>
          </cell>
          <cell r="O16">
            <v>2.0774726128298792E-2</v>
          </cell>
          <cell r="P16">
            <v>2.2456535441535589E-2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0.35075940540089418</v>
          </cell>
          <cell r="G17">
            <v>0.27227068478866079</v>
          </cell>
          <cell r="H17">
            <v>8.850735757950641E-2</v>
          </cell>
          <cell r="I17">
            <v>1.5252809377868681E-3</v>
          </cell>
          <cell r="J17">
            <v>0.17603844262229346</v>
          </cell>
          <cell r="K17">
            <v>6.8177033038736602E-3</v>
          </cell>
          <cell r="L17">
            <v>2.151495835839133E-4</v>
          </cell>
          <cell r="M17">
            <v>3.8720497916832887E-4</v>
          </cell>
          <cell r="N17">
            <v>7.194915130776515E-2</v>
          </cell>
          <cell r="O17">
            <v>1.8476050391654349E-2</v>
          </cell>
          <cell r="P17">
            <v>1.3053569104813119E-2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F18">
            <v>0.48185384449784452</v>
          </cell>
          <cell r="G18">
            <v>0.31157440623203314</v>
          </cell>
          <cell r="H18">
            <v>9.8833884475618791E-2</v>
          </cell>
          <cell r="I18">
            <v>6.9917563780139515E-4</v>
          </cell>
          <cell r="J18">
            <v>0</v>
          </cell>
          <cell r="K18">
            <v>1.3505359359867476E-2</v>
          </cell>
          <cell r="L18">
            <v>2.1092886397717852E-4</v>
          </cell>
          <cell r="M18">
            <v>1.6090354124717585E-4</v>
          </cell>
          <cell r="N18">
            <v>9.3161497391610545E-2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F19">
            <v>0.58833266525621186</v>
          </cell>
          <cell r="G19">
            <v>0.25399798927437112</v>
          </cell>
          <cell r="H19">
            <v>6.0681542529829526E-2</v>
          </cell>
          <cell r="I19">
            <v>3.6442674445197687E-3</v>
          </cell>
          <cell r="J19">
            <v>0</v>
          </cell>
          <cell r="K19">
            <v>1.8740864572651769E-2</v>
          </cell>
          <cell r="L19">
            <v>1.1866486860554856E-4</v>
          </cell>
          <cell r="M19">
            <v>7.0168637588579729E-4</v>
          </cell>
          <cell r="N19">
            <v>7.3782319677924674E-2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F20">
            <v>0.88856570028351778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0.11143429971648222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F21">
            <v>0.27945592473461306</v>
          </cell>
          <cell r="G21">
            <v>0.27362830824747236</v>
          </cell>
          <cell r="H21">
            <v>9.7492940445819909E-2</v>
          </cell>
          <cell r="I21">
            <v>3.8496665474958267E-3</v>
          </cell>
          <cell r="J21">
            <v>0.21836500298399578</v>
          </cell>
          <cell r="K21">
            <v>8.5536996838071772E-3</v>
          </cell>
          <cell r="L21">
            <v>2.7828911689860904E-4</v>
          </cell>
          <cell r="M21">
            <v>7.8993881053327365E-4</v>
          </cell>
          <cell r="N21">
            <v>6.2653325786162672E-2</v>
          </cell>
          <cell r="O21">
            <v>2.3073401864943235E-2</v>
          </cell>
          <cell r="P21">
            <v>3.1859501778258061E-2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F22">
            <v>0.86639548067903349</v>
          </cell>
          <cell r="G22">
            <v>1.7996331158627477E-2</v>
          </cell>
          <cell r="H22">
            <v>3.1994023103155088E-4</v>
          </cell>
          <cell r="I22">
            <v>1.134579027089248E-2</v>
          </cell>
          <cell r="J22">
            <v>1.8512081009412404E-4</v>
          </cell>
          <cell r="K22">
            <v>3.5620402321428607E-3</v>
          </cell>
          <cell r="L22">
            <v>2.8851161113984699E-3</v>
          </cell>
          <cell r="M22">
            <v>6.0264183675717484E-4</v>
          </cell>
          <cell r="N22">
            <v>9.6705199070526743E-2</v>
          </cell>
          <cell r="O22">
            <v>1.1697997478301677E-6</v>
          </cell>
          <cell r="P22">
            <v>1.1697997478301677E-6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F23">
            <v>0.79506511724052986</v>
          </cell>
          <cell r="G23">
            <v>3.4185413942639006E-2</v>
          </cell>
          <cell r="H23">
            <v>9.6241930237182093E-3</v>
          </cell>
          <cell r="I23">
            <v>0</v>
          </cell>
          <cell r="J23">
            <v>7.1536387475088434E-3</v>
          </cell>
          <cell r="K23">
            <v>1.5265190285937777E-2</v>
          </cell>
          <cell r="L23">
            <v>2.9388187102450981E-3</v>
          </cell>
          <cell r="M23">
            <v>6.1385921295902153E-4</v>
          </cell>
          <cell r="N23">
            <v>0.13489005525779793</v>
          </cell>
          <cell r="O23">
            <v>1.3185678933216153E-4</v>
          </cell>
          <cell r="P23">
            <v>1.3185678933216153E-4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F24">
            <v>0.87083139955935285</v>
          </cell>
          <cell r="G24">
            <v>1.9459829672089236E-2</v>
          </cell>
          <cell r="H24">
            <v>3.4595842598384894E-4</v>
          </cell>
          <cell r="I24">
            <v>1.0307045851633702E-2</v>
          </cell>
          <cell r="J24">
            <v>6.5144830588063777E-4</v>
          </cell>
          <cell r="K24">
            <v>3.4419518680686586E-3</v>
          </cell>
          <cell r="L24">
            <v>2.6223261067933588E-3</v>
          </cell>
          <cell r="M24">
            <v>5.4775037140818183E-4</v>
          </cell>
          <cell r="N24">
            <v>9.178405668484485E-2</v>
          </cell>
          <cell r="O24">
            <v>4.1165769723894958E-6</v>
          </cell>
          <cell r="P24">
            <v>4.1165769723894958E-6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F26">
            <v>0</v>
          </cell>
          <cell r="G26">
            <v>0.14954894829198281</v>
          </cell>
          <cell r="H26">
            <v>1.771637071444181E-3</v>
          </cell>
          <cell r="I26">
            <v>0</v>
          </cell>
          <cell r="J26">
            <v>3.8440342283469929E-4</v>
          </cell>
          <cell r="K26">
            <v>0</v>
          </cell>
          <cell r="L26">
            <v>0</v>
          </cell>
          <cell r="M26">
            <v>0</v>
          </cell>
          <cell r="N26">
            <v>0.84829501121373829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F27">
            <v>0</v>
          </cell>
          <cell r="G27">
            <v>0.17500822410237038</v>
          </cell>
          <cell r="H27">
            <v>1.3657184567698802E-2</v>
          </cell>
          <cell r="I27">
            <v>0</v>
          </cell>
          <cell r="J27">
            <v>1.5265156724391458E-2</v>
          </cell>
          <cell r="K27">
            <v>0.38654804345756333</v>
          </cell>
          <cell r="L27">
            <v>0</v>
          </cell>
          <cell r="M27">
            <v>0</v>
          </cell>
          <cell r="N27">
            <v>0.40926750080744562</v>
          </cell>
          <cell r="O27">
            <v>1.2694517026520962E-4</v>
          </cell>
          <cell r="P27">
            <v>1.2694517026520962E-4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F28">
            <v>0</v>
          </cell>
          <cell r="G28">
            <v>0</v>
          </cell>
          <cell r="H28">
            <v>0</v>
          </cell>
          <cell r="I28">
            <v>0.7648736568856177</v>
          </cell>
          <cell r="J28">
            <v>0</v>
          </cell>
          <cell r="K28">
            <v>0</v>
          </cell>
          <cell r="L28">
            <v>0.19449939210725198</v>
          </cell>
          <cell r="M28">
            <v>4.0626951007130423E-2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F29">
            <v>0.80054190078596055</v>
          </cell>
          <cell r="G29">
            <v>3.4420899198519171E-2</v>
          </cell>
          <cell r="H29">
            <v>9.6904890048238705E-3</v>
          </cell>
          <cell r="I29">
            <v>0</v>
          </cell>
          <cell r="J29">
            <v>7.2029163854440753E-3</v>
          </cell>
          <cell r="K29">
            <v>8.4818724349760306E-3</v>
          </cell>
          <cell r="L29">
            <v>2.9590626797090544E-3</v>
          </cell>
          <cell r="M29">
            <v>6.1808776476420381E-4</v>
          </cell>
          <cell r="N29">
            <v>0.13581924158362013</v>
          </cell>
          <cell r="O29">
            <v>1.3276508109155114E-4</v>
          </cell>
          <cell r="P29">
            <v>1.3276508109155114E-4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F30">
            <v>0.8721767908289928</v>
          </cell>
          <cell r="G30">
            <v>1.9489894142620222E-2</v>
          </cell>
          <cell r="H30">
            <v>3.4649291457281413E-4</v>
          </cell>
          <cell r="I30">
            <v>1.0322969725659815E-2</v>
          </cell>
          <cell r="J30">
            <v>6.5245476116440105E-4</v>
          </cell>
          <cell r="K30">
            <v>1.9023191695640171E-3</v>
          </cell>
          <cell r="L30">
            <v>2.6263774704120956E-3</v>
          </cell>
          <cell r="M30">
            <v>5.4859661853249014E-4</v>
          </cell>
          <cell r="N30">
            <v>9.1925858494722623E-2</v>
          </cell>
          <cell r="O30">
            <v>4.1229368793958985E-6</v>
          </cell>
          <cell r="P30">
            <v>4.1229368793958985E-6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F31">
            <v>0.3903724654670887</v>
          </cell>
          <cell r="G31">
            <v>5.5204783015432655E-2</v>
          </cell>
          <cell r="H31">
            <v>1.7687171638026796E-2</v>
          </cell>
          <cell r="I31">
            <v>9.5727964680011781E-4</v>
          </cell>
          <cell r="J31">
            <v>0.17243958688734101</v>
          </cell>
          <cell r="K31">
            <v>3.7704508937679939E-3</v>
          </cell>
          <cell r="L31">
            <v>2.8829628303520989E-3</v>
          </cell>
          <cell r="M31">
            <v>7.4093430854058747E-3</v>
          </cell>
          <cell r="N31">
            <v>0.34927595653578469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F32">
            <v>0.30790618562626315</v>
          </cell>
          <cell r="G32">
            <v>4.3118912685377882E-2</v>
          </cell>
          <cell r="H32">
            <v>0.10854889796137142</v>
          </cell>
          <cell r="I32">
            <v>1.6339777521456856E-3</v>
          </cell>
          <cell r="J32">
            <v>0.1830209451537054</v>
          </cell>
          <cell r="K32">
            <v>8.4299691261803377E-3</v>
          </cell>
          <cell r="L32">
            <v>0</v>
          </cell>
          <cell r="M32">
            <v>0</v>
          </cell>
          <cell r="N32">
            <v>0.34734111169495613</v>
          </cell>
          <cell r="O32">
            <v>0</v>
          </cell>
          <cell r="P32">
            <v>0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F33">
            <v>0.69060977318165673</v>
          </cell>
          <cell r="G33">
            <v>0.11723563419323522</v>
          </cell>
          <cell r="H33">
            <v>1.3443524665332229E-2</v>
          </cell>
          <cell r="I33">
            <v>0</v>
          </cell>
          <cell r="J33">
            <v>4.3248287020638508E-2</v>
          </cell>
          <cell r="K33">
            <v>9.9247322158145281E-3</v>
          </cell>
          <cell r="L33">
            <v>2.2547719302875332E-3</v>
          </cell>
          <cell r="M33">
            <v>4.7097581000937739E-4</v>
          </cell>
          <cell r="N33">
            <v>0.11692730019888024</v>
          </cell>
          <cell r="O33">
            <v>2.9425003920729052E-3</v>
          </cell>
          <cell r="P33">
            <v>2.9425003920729052E-3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F34">
            <v>0.79963259447844093</v>
          </cell>
          <cell r="G34">
            <v>7.6728663408577744E-2</v>
          </cell>
          <cell r="H34">
            <v>6.8875427433031404E-3</v>
          </cell>
          <cell r="I34">
            <v>0</v>
          </cell>
          <cell r="J34">
            <v>0</v>
          </cell>
          <cell r="K34">
            <v>0</v>
          </cell>
          <cell r="L34">
            <v>2.8991380892467692E-3</v>
          </cell>
          <cell r="M34">
            <v>6.0557074157735946E-4</v>
          </cell>
          <cell r="N34">
            <v>0.11324649053885388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F35">
            <v>0.88073750797343053</v>
          </cell>
          <cell r="G35">
            <v>5.4687449870511343E-2</v>
          </cell>
          <cell r="H35">
            <v>1.7051813441055764E-2</v>
          </cell>
          <cell r="I35">
            <v>0</v>
          </cell>
          <cell r="J35">
            <v>2.8855266766568535E-2</v>
          </cell>
          <cell r="K35">
            <v>4.2086547322533596E-3</v>
          </cell>
          <cell r="L35">
            <v>0</v>
          </cell>
          <cell r="M35">
            <v>0</v>
          </cell>
          <cell r="N35">
            <v>1.4459307216180496E-2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Utah Share</v>
          </cell>
          <cell r="F36">
            <v>0.33027079285264233</v>
          </cell>
          <cell r="G36">
            <v>0.27225439186896505</v>
          </cell>
          <cell r="H36">
            <v>9.142503255433046E-2</v>
          </cell>
          <cell r="I36">
            <v>2.5984732120268358E-3</v>
          </cell>
          <cell r="J36">
            <v>0.19061861022241913</v>
          </cell>
          <cell r="K36">
            <v>5.687123234262491E-3</v>
          </cell>
          <cell r="L36">
            <v>2.3972233978735173E-4</v>
          </cell>
          <cell r="M36">
            <v>6.1450223979842965E-4</v>
          </cell>
          <cell r="N36">
            <v>6.7983878466766526E-2</v>
          </cell>
          <cell r="O36">
            <v>2.0041623885235782E-2</v>
          </cell>
          <cell r="P36">
            <v>1.8265849123765748E-2</v>
          </cell>
          <cell r="Q36">
            <v>1</v>
          </cell>
        </row>
        <row r="37">
          <cell r="A37" t="str">
            <v>F86</v>
          </cell>
          <cell r="B37" t="str">
            <v>Non Firm Sales - Utah Share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Utah Share</v>
          </cell>
          <cell r="F38">
            <v>0.33078021683343489</v>
          </cell>
          <cell r="G38">
            <v>0.27298890499414485</v>
          </cell>
          <cell r="H38">
            <v>9.1214441053937612E-2</v>
          </cell>
          <cell r="I38">
            <v>2.2758221511082026E-3</v>
          </cell>
          <cell r="J38">
            <v>0.18864647173981891</v>
          </cell>
          <cell r="K38">
            <v>6.7193487403578401E-3</v>
          </cell>
          <cell r="L38">
            <v>2.3467064981776839E-4</v>
          </cell>
          <cell r="M38">
            <v>5.3021465214648426E-4</v>
          </cell>
          <cell r="N38">
            <v>6.894458494628336E-2</v>
          </cell>
          <cell r="O38">
            <v>1.9796956482226326E-2</v>
          </cell>
          <cell r="P38">
            <v>1.7868367756723815E-2</v>
          </cell>
          <cell r="Q38">
            <v>1</v>
          </cell>
        </row>
        <row r="39">
          <cell r="A39" t="str">
            <v>F88</v>
          </cell>
          <cell r="B39" t="str">
            <v>Seasonal Purchases - Utah Share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Utah Share</v>
          </cell>
          <cell r="F40">
            <v>0.27907710631798011</v>
          </cell>
          <cell r="G40">
            <v>0.27295657173072713</v>
          </cell>
          <cell r="H40">
            <v>9.7558847005941599E-2</v>
          </cell>
          <cell r="I40">
            <v>3.8731233480098831E-3</v>
          </cell>
          <cell r="J40">
            <v>0.21959164771494188</v>
          </cell>
          <cell r="K40">
            <v>7.7384580267798051E-3</v>
          </cell>
          <cell r="L40">
            <v>2.822509354790884E-4</v>
          </cell>
          <cell r="M40">
            <v>8.0179564932706966E-4</v>
          </cell>
          <cell r="N40">
            <v>6.2716759281034234E-2</v>
          </cell>
          <cell r="O40">
            <v>2.3288618820231522E-2</v>
          </cell>
          <cell r="P40">
            <v>3.2114821169547884E-2</v>
          </cell>
          <cell r="Q40">
            <v>1</v>
          </cell>
        </row>
        <row r="41">
          <cell r="A41" t="str">
            <v>F90</v>
          </cell>
          <cell r="B41" t="str">
            <v>Coal (Non-Seasonal) - Utah Share</v>
          </cell>
          <cell r="F41">
            <v>0.27910359070658769</v>
          </cell>
          <cell r="G41">
            <v>0.27368456163957378</v>
          </cell>
          <cell r="H41">
            <v>9.7493773577638887E-2</v>
          </cell>
          <cell r="I41">
            <v>3.8576352542499743E-3</v>
          </cell>
          <cell r="J41">
            <v>0.21870205073718121</v>
          </cell>
          <cell r="K41">
            <v>8.2049170222252554E-3</v>
          </cell>
          <cell r="L41">
            <v>2.7919034012954916E-4</v>
          </cell>
          <cell r="M41">
            <v>7.9513477205155601E-4</v>
          </cell>
          <cell r="N41">
            <v>6.2656578882328492E-2</v>
          </cell>
          <cell r="O41">
            <v>2.3119301335836565E-2</v>
          </cell>
          <cell r="P41">
            <v>3.21032657321971E-2</v>
          </cell>
          <cell r="Q41">
            <v>1</v>
          </cell>
        </row>
        <row r="42">
          <cell r="A42" t="str">
            <v>F91</v>
          </cell>
          <cell r="B42" t="str">
            <v>Seasonal Cholla Coal - Utah Share</v>
          </cell>
          <cell r="F42">
            <v>0.27979498555668009</v>
          </cell>
          <cell r="G42">
            <v>0.27367371521541839</v>
          </cell>
          <cell r="H42">
            <v>9.7301622347335026E-2</v>
          </cell>
          <cell r="I42">
            <v>3.8476569218884663E-3</v>
          </cell>
          <cell r="J42">
            <v>0.21833290106855613</v>
          </cell>
          <cell r="K42">
            <v>8.2101309776793606E-3</v>
          </cell>
          <cell r="L42">
            <v>2.8004168684711708E-4</v>
          </cell>
          <cell r="M42">
            <v>7.9922217746106563E-4</v>
          </cell>
          <cell r="N42">
            <v>6.2649312214350675E-2</v>
          </cell>
          <cell r="O42">
            <v>2.3012622755493869E-2</v>
          </cell>
          <cell r="P42">
            <v>3.2097789078289612E-2</v>
          </cell>
          <cell r="Q42">
            <v>1</v>
          </cell>
        </row>
        <row r="43">
          <cell r="A43" t="str">
            <v>F92</v>
          </cell>
          <cell r="B43" t="str">
            <v>Gas (Non-Seasonal) - Utah Share</v>
          </cell>
          <cell r="F43">
            <v>0.281642748645557</v>
          </cell>
          <cell r="G43">
            <v>0.2739370338402935</v>
          </cell>
          <cell r="H43">
            <v>9.7036473536116497E-2</v>
          </cell>
          <cell r="I43">
            <v>3.8203378719877637E-3</v>
          </cell>
          <cell r="J43">
            <v>0.21689878887682401</v>
          </cell>
          <cell r="K43">
            <v>8.7113767490486493E-3</v>
          </cell>
          <cell r="L43">
            <v>2.7433456564367415E-4</v>
          </cell>
          <cell r="M43">
            <v>7.8375080146534325E-4</v>
          </cell>
          <cell r="N43">
            <v>6.2562185793477776E-2</v>
          </cell>
          <cell r="O43">
            <v>2.2716544874413529E-2</v>
          </cell>
          <cell r="P43">
            <v>3.1616424445172271E-2</v>
          </cell>
          <cell r="Q43">
            <v>1</v>
          </cell>
        </row>
        <row r="44">
          <cell r="A44" t="str">
            <v>F93</v>
          </cell>
          <cell r="B44" t="str">
            <v>Seasonal CT Gas - Utah Share</v>
          </cell>
          <cell r="F44" t="e">
            <v>#DIV/0!</v>
          </cell>
          <cell r="G44" t="e">
            <v>#DIV/0!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  <cell r="L44" t="e">
            <v>#DIV/0!</v>
          </cell>
          <cell r="M44" t="e">
            <v>#DIV/0!</v>
          </cell>
          <cell r="N44" t="e">
            <v>#DIV/0!</v>
          </cell>
          <cell r="O44" t="e">
            <v>#DIV/0!</v>
          </cell>
          <cell r="P44" t="e">
            <v>#DIV/0!</v>
          </cell>
          <cell r="Q44">
            <v>1</v>
          </cell>
        </row>
        <row r="45">
          <cell r="A45" t="str">
            <v>F94</v>
          </cell>
          <cell r="B45" t="str">
            <v>Other Generation - Utah Share</v>
          </cell>
          <cell r="F45">
            <v>0.27822435733455941</v>
          </cell>
          <cell r="G45">
            <v>0.2736618446988961</v>
          </cell>
          <cell r="H45">
            <v>9.7632835544146604E-2</v>
          </cell>
          <cell r="I45">
            <v>3.8711467529064202E-3</v>
          </cell>
          <cell r="J45">
            <v>0.2193790883576007</v>
          </cell>
          <cell r="K45">
            <v>7.9779572345957013E-3</v>
          </cell>
          <cell r="L45">
            <v>2.8101400355773061E-4</v>
          </cell>
          <cell r="M45">
            <v>8.0005396652873628E-4</v>
          </cell>
          <cell r="N45">
            <v>6.2683394421090555E-2</v>
          </cell>
          <cell r="O45">
            <v>2.3196353943467425E-2</v>
          </cell>
          <cell r="P45">
            <v>3.2291953742650724E-2</v>
          </cell>
          <cell r="Q45">
            <v>1</v>
          </cell>
        </row>
        <row r="46">
          <cell r="A46" t="str">
            <v>F95</v>
          </cell>
          <cell r="B46" t="str">
            <v>Firm Wheeling - Utah Share</v>
          </cell>
          <cell r="F46">
            <v>0.32783082131018582</v>
          </cell>
          <cell r="G46">
            <v>0.27416726813661968</v>
          </cell>
          <cell r="H46">
            <v>9.1611391464725508E-2</v>
          </cell>
          <cell r="I46">
            <v>2.200918706264285E-3</v>
          </cell>
          <cell r="J46">
            <v>0.18923834161925235</v>
          </cell>
          <cell r="K46">
            <v>6.7095306476601278E-3</v>
          </cell>
          <cell r="L46">
            <v>2.3636107201642904E-4</v>
          </cell>
          <cell r="M46">
            <v>5.1378310722113016E-4</v>
          </cell>
          <cell r="N46">
            <v>6.9340517611859179E-2</v>
          </cell>
          <cell r="O46">
            <v>1.9924867065668483E-2</v>
          </cell>
          <cell r="P46">
            <v>1.8226199258526952E-2</v>
          </cell>
          <cell r="Q46">
            <v>1</v>
          </cell>
        </row>
        <row r="47">
          <cell r="A47" t="str">
            <v>F96</v>
          </cell>
          <cell r="B47" t="str">
            <v>Non-Firm Wheeling - Utah Share</v>
          </cell>
          <cell r="F47">
            <v>0.28492689994217996</v>
          </cell>
          <cell r="G47">
            <v>0.27232579937415669</v>
          </cell>
          <cell r="H47">
            <v>9.6072956745290594E-2</v>
          </cell>
          <cell r="I47">
            <v>3.8313291828557965E-3</v>
          </cell>
          <cell r="J47">
            <v>0.21791851161116635</v>
          </cell>
          <cell r="K47">
            <v>5.9734310561588106E-3</v>
          </cell>
          <cell r="L47">
            <v>2.8518355290553055E-4</v>
          </cell>
          <cell r="M47">
            <v>8.3192912075409284E-4</v>
          </cell>
          <cell r="N47">
            <v>6.2632335776113615E-2</v>
          </cell>
          <cell r="O47">
            <v>2.280463217764557E-2</v>
          </cell>
          <cell r="P47">
            <v>3.2396991460772885E-2</v>
          </cell>
          <cell r="Q47">
            <v>1</v>
          </cell>
        </row>
        <row r="48">
          <cell r="A48" t="str">
            <v>F101</v>
          </cell>
          <cell r="B48" t="str">
            <v>Rate Base</v>
          </cell>
          <cell r="F48">
            <v>0.39045832951005677</v>
          </cell>
          <cell r="G48">
            <v>0.26470806978628553</v>
          </cell>
          <cell r="H48">
            <v>8.5605585626839675E-2</v>
          </cell>
          <cell r="I48">
            <v>4.4008353966680453E-3</v>
          </cell>
          <cell r="J48">
            <v>0.14289171181069354</v>
          </cell>
          <cell r="K48">
            <v>8.3718810714484317E-3</v>
          </cell>
          <cell r="L48">
            <v>2.9367172114554081E-4</v>
          </cell>
          <cell r="M48">
            <v>4.4316599185694659E-4</v>
          </cell>
          <cell r="N48">
            <v>7.3813392755789381E-2</v>
          </cell>
          <cell r="O48">
            <v>1.5031595286221416E-2</v>
          </cell>
          <cell r="P48">
            <v>1.3981761042994773E-2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F49">
            <v>0.32910889995835746</v>
          </cell>
          <cell r="G49">
            <v>0.27279269162763781</v>
          </cell>
          <cell r="H49">
            <v>9.1239276459887275E-2</v>
          </cell>
          <cell r="I49">
            <v>2.2333403673259994E-3</v>
          </cell>
          <cell r="J49">
            <v>0.1887729146015332</v>
          </cell>
          <cell r="K49">
            <v>7.3472668709408462E-3</v>
          </cell>
          <cell r="L49">
            <v>2.3418146162250704E-4</v>
          </cell>
          <cell r="M49">
            <v>5.0971993775871004E-4</v>
          </cell>
          <cell r="N49">
            <v>6.9115386314680075E-2</v>
          </cell>
          <cell r="O49">
            <v>1.9868062500116881E-2</v>
          </cell>
          <cell r="P49">
            <v>1.8778259900139534E-2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F50">
            <v>0.33124105907904311</v>
          </cell>
          <cell r="G50">
            <v>0.27244301164119333</v>
          </cell>
          <cell r="H50">
            <v>9.0671237221904247E-2</v>
          </cell>
          <cell r="I50">
            <v>2.1028701247274954E-3</v>
          </cell>
          <cell r="J50">
            <v>0.19002882200086871</v>
          </cell>
          <cell r="K50">
            <v>7.2355237234140802E-3</v>
          </cell>
          <cell r="L50">
            <v>2.1809028190282871E-4</v>
          </cell>
          <cell r="M50">
            <v>4.5524207083348471E-4</v>
          </cell>
          <cell r="N50">
            <v>6.8083165180373065E-2</v>
          </cell>
          <cell r="O50">
            <v>1.9766871993762796E-2</v>
          </cell>
          <cell r="P50">
            <v>1.7754106681976745E-2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F51">
            <v>0.57761837659543536</v>
          </cell>
          <cell r="G51">
            <v>0.2371592510681671</v>
          </cell>
          <cell r="H51">
            <v>6.8832017207372129E-2</v>
          </cell>
          <cell r="I51">
            <v>1.1124073311790165E-2</v>
          </cell>
          <cell r="J51">
            <v>4.5566023112245064E-4</v>
          </cell>
          <cell r="K51">
            <v>1.1618671855101395E-2</v>
          </cell>
          <cell r="L51">
            <v>4.8968633773916229E-4</v>
          </cell>
          <cell r="M51">
            <v>2.848702719044285E-4</v>
          </cell>
          <cell r="N51">
            <v>9.2318772586643741E-2</v>
          </cell>
          <cell r="O51">
            <v>4.7382331945678371E-5</v>
          </cell>
          <cell r="P51">
            <v>5.1238202778266529E-5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F52">
            <v>0.41855433276604559</v>
          </cell>
          <cell r="G52">
            <v>5.0359796690674967E-2</v>
          </cell>
          <cell r="H52">
            <v>8.575005537808858E-2</v>
          </cell>
          <cell r="I52">
            <v>2.3629653867639354E-3</v>
          </cell>
          <cell r="J52">
            <v>0.14434212980380864</v>
          </cell>
          <cell r="K52">
            <v>6.8472279467446688E-3</v>
          </cell>
          <cell r="L52">
            <v>8.9134693390886176E-5</v>
          </cell>
          <cell r="M52">
            <v>-3.3989324324310839E-5</v>
          </cell>
          <cell r="N52">
            <v>0.28979899489093547</v>
          </cell>
          <cell r="O52">
            <v>1.0136806478458114E-3</v>
          </cell>
          <cell r="P52">
            <v>9.156711200250105E-4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F53">
            <v>0.39129986710048026</v>
          </cell>
          <cell r="G53">
            <v>0.26324404794941669</v>
          </cell>
          <cell r="H53">
            <v>8.5378539000541986E-2</v>
          </cell>
          <cell r="I53">
            <v>5.2916344890605932E-3</v>
          </cell>
          <cell r="J53">
            <v>0.14203176700838702</v>
          </cell>
          <cell r="K53">
            <v>8.2987640427206674E-3</v>
          </cell>
          <cell r="L53">
            <v>2.9422344530452376E-4</v>
          </cell>
          <cell r="M53">
            <v>4.4398314595630255E-4</v>
          </cell>
          <cell r="N53">
            <v>7.5228580876107509E-2</v>
          </cell>
          <cell r="O53">
            <v>1.4859422318672417E-2</v>
          </cell>
          <cell r="P53">
            <v>1.3629170623352218E-2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F54">
            <v>0.39593990413133667</v>
          </cell>
          <cell r="G54">
            <v>0.2626206937122651</v>
          </cell>
          <cell r="H54">
            <v>8.4914709946003669E-2</v>
          </cell>
          <cell r="I54">
            <v>5.4479084699230185E-3</v>
          </cell>
          <cell r="J54">
            <v>0.13870694063173358</v>
          </cell>
          <cell r="K54">
            <v>8.3366868608218125E-3</v>
          </cell>
          <cell r="L54">
            <v>2.9717852086393233E-4</v>
          </cell>
          <cell r="M54">
            <v>4.3487041372034186E-4</v>
          </cell>
          <cell r="N54">
            <v>7.5703726236430943E-2</v>
          </cell>
          <cell r="O54">
            <v>1.4504388641501E-2</v>
          </cell>
          <cell r="P54">
            <v>1.3092992435400096E-2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F55">
            <v>0.33293353523432395</v>
          </cell>
          <cell r="G55">
            <v>0.27261009065336367</v>
          </cell>
          <cell r="H55">
            <v>9.0753753296084774E-2</v>
          </cell>
          <cell r="I55">
            <v>2.1063773402141077E-3</v>
          </cell>
          <cell r="J55">
            <v>0.18662008271271907</v>
          </cell>
          <cell r="K55">
            <v>7.2517023988570408E-3</v>
          </cell>
          <cell r="L55">
            <v>2.309344669125872E-4</v>
          </cell>
          <cell r="M55">
            <v>4.8788843700956511E-4</v>
          </cell>
          <cell r="N55">
            <v>6.9625194927364534E-2</v>
          </cell>
          <cell r="O55">
            <v>1.9625388259976565E-2</v>
          </cell>
          <cell r="P55">
            <v>1.7755052273174355E-2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F56">
            <v>0.33146140229619098</v>
          </cell>
          <cell r="G56">
            <v>0.27140469002156553</v>
          </cell>
          <cell r="H56">
            <v>9.0352467227403463E-2</v>
          </cell>
          <cell r="I56">
            <v>2.0970635669395605E-3</v>
          </cell>
          <cell r="J56">
            <v>0.19006786453427613</v>
          </cell>
          <cell r="K56">
            <v>7.2196375305601844E-3</v>
          </cell>
          <cell r="L56">
            <v>2.2991334347708558E-4</v>
          </cell>
          <cell r="M56">
            <v>4.8573113964464067E-4</v>
          </cell>
          <cell r="N56">
            <v>6.9317333051256549E-2</v>
          </cell>
          <cell r="O56">
            <v>1.9687352568832247E-2</v>
          </cell>
          <cell r="P56">
            <v>1.7676544719853794E-2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F57">
            <v>0.5739529358835106</v>
          </cell>
          <cell r="G57">
            <v>0.23566989607448438</v>
          </cell>
          <cell r="H57">
            <v>6.8893091244048674E-2</v>
          </cell>
          <cell r="I57">
            <v>1.4827987282042739E-2</v>
          </cell>
          <cell r="J57">
            <v>1.2780076853921979E-3</v>
          </cell>
          <cell r="K57">
            <v>1.1408051029894195E-2</v>
          </cell>
          <cell r="L57">
            <v>4.838732850508254E-4</v>
          </cell>
          <cell r="M57">
            <v>2.880809879990726E-4</v>
          </cell>
          <cell r="N57">
            <v>9.3024171923515558E-2</v>
          </cell>
          <cell r="O57">
            <v>8.6952302030925813E-5</v>
          </cell>
          <cell r="P57">
            <v>8.6952302030925813E-5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F58">
            <v>0.39593990413133667</v>
          </cell>
          <cell r="G58">
            <v>0.2626206937122651</v>
          </cell>
          <cell r="H58">
            <v>8.4914709946003669E-2</v>
          </cell>
          <cell r="I58">
            <v>5.4479084699230185E-3</v>
          </cell>
          <cell r="J58">
            <v>0.13870694063173358</v>
          </cell>
          <cell r="K58">
            <v>8.3366868608218125E-3</v>
          </cell>
          <cell r="L58">
            <v>2.9717852086393233E-4</v>
          </cell>
          <cell r="M58">
            <v>4.3487041372034186E-4</v>
          </cell>
          <cell r="N58">
            <v>7.5703726236430943E-2</v>
          </cell>
          <cell r="O58">
            <v>1.4504388641501E-2</v>
          </cell>
          <cell r="P58">
            <v>1.3092992435400096E-2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F59">
            <v>0.39593990413133667</v>
          </cell>
          <cell r="G59">
            <v>0.2626206937122651</v>
          </cell>
          <cell r="H59">
            <v>8.4914709946003669E-2</v>
          </cell>
          <cell r="I59">
            <v>5.4479084699230185E-3</v>
          </cell>
          <cell r="J59">
            <v>0.13870694063173358</v>
          </cell>
          <cell r="K59">
            <v>8.3366868608218125E-3</v>
          </cell>
          <cell r="L59">
            <v>2.9717852086393233E-4</v>
          </cell>
          <cell r="M59">
            <v>4.3487041372034186E-4</v>
          </cell>
          <cell r="N59">
            <v>7.5703726236430943E-2</v>
          </cell>
          <cell r="O59">
            <v>1.4504388641501E-2</v>
          </cell>
          <cell r="P59">
            <v>1.3092992435400096E-2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F61">
            <v>0.39488101325317992</v>
          </cell>
          <cell r="G61">
            <v>0.26280948922391939</v>
          </cell>
          <cell r="H61">
            <v>8.5011720702503124E-2</v>
          </cell>
          <cell r="I61">
            <v>4.43388505331733E-3</v>
          </cell>
          <cell r="J61">
            <v>0.14021759352771426</v>
          </cell>
          <cell r="K61">
            <v>8.3744446341026662E-3</v>
          </cell>
          <cell r="L61">
            <v>3.0223501915676866E-4</v>
          </cell>
          <cell r="M61">
            <v>4.4522774745416548E-4</v>
          </cell>
          <cell r="N61">
            <v>7.5437624760281638E-2</v>
          </cell>
          <cell r="O61">
            <v>1.4662716847602736E-2</v>
          </cell>
          <cell r="P61">
            <v>1.3424049230767997E-2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F62">
            <v>0.33081790990451632</v>
          </cell>
          <cell r="G62">
            <v>0.27239650050782976</v>
          </cell>
          <cell r="H62">
            <v>9.1009364732331274E-2</v>
          </cell>
          <cell r="I62">
            <v>2.1685911590666033E-3</v>
          </cell>
          <cell r="J62">
            <v>0.18815915300026828</v>
          </cell>
          <cell r="K62">
            <v>7.2919117431573793E-3</v>
          </cell>
          <cell r="L62">
            <v>2.3306066501924664E-4</v>
          </cell>
          <cell r="M62">
            <v>5.0007908066181854E-4</v>
          </cell>
          <cell r="N62">
            <v>6.9410705561719285E-2</v>
          </cell>
          <cell r="O62">
            <v>1.9756506076079997E-2</v>
          </cell>
          <cell r="P62">
            <v>1.825621756935052E-2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F63">
            <v>0.33127783968524077</v>
          </cell>
          <cell r="G63">
            <v>0.27122128251560546</v>
          </cell>
          <cell r="H63">
            <v>9.0368010087630485E-2</v>
          </cell>
          <cell r="I63">
            <v>2.0985111475570039E-3</v>
          </cell>
          <cell r="J63">
            <v>0.19037926912602063</v>
          </cell>
          <cell r="K63">
            <v>7.2160542894175971E-3</v>
          </cell>
          <cell r="L63">
            <v>2.302703093986096E-4</v>
          </cell>
          <cell r="M63">
            <v>4.8699987365836918E-4</v>
          </cell>
          <cell r="N63">
            <v>6.9339201345467866E-2</v>
          </cell>
          <cell r="O63">
            <v>1.9696364124372721E-2</v>
          </cell>
          <cell r="P63">
            <v>1.7686197495630454E-2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F64">
            <v>0.57673956317183483</v>
          </cell>
          <cell r="G64">
            <v>0.23663855672135062</v>
          </cell>
          <cell r="H64">
            <v>6.8804401698936923E-2</v>
          </cell>
          <cell r="I64">
            <v>1.1011052733648642E-2</v>
          </cell>
          <cell r="J64">
            <v>1.2223698106757365E-3</v>
          </cell>
          <cell r="K64">
            <v>1.157335181217045E-2</v>
          </cell>
          <cell r="L64">
            <v>4.9643797637292117E-4</v>
          </cell>
          <cell r="M64">
            <v>3.0329220654279365E-4</v>
          </cell>
          <cell r="N64">
            <v>9.3044903749283148E-2</v>
          </cell>
          <cell r="O64">
            <v>8.3035059591975946E-5</v>
          </cell>
          <cell r="P64">
            <v>8.3035059591975946E-5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F65">
            <v>0.86202833186085193</v>
          </cell>
          <cell r="G65">
            <v>1.9475207867597401E-2</v>
          </cell>
          <cell r="H65">
            <v>2.3596090027591939E-4</v>
          </cell>
          <cell r="I65">
            <v>8.4750495327868408E-3</v>
          </cell>
          <cell r="J65">
            <v>-3.6126982270377602E-3</v>
          </cell>
          <cell r="K65">
            <v>2.4785969411679739E-3</v>
          </cell>
          <cell r="L65">
            <v>1.6920537006960001E-3</v>
          </cell>
          <cell r="M65">
            <v>2.0188466264427826E-4</v>
          </cell>
          <cell r="N65">
            <v>0.10907563257143914</v>
          </cell>
          <cell r="O65">
            <v>-2.5009905211254069E-5</v>
          </cell>
          <cell r="P65">
            <v>-2.5009905211254069E-5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F66">
            <v>0.39488101325317992</v>
          </cell>
          <cell r="G66">
            <v>0.26280948922391939</v>
          </cell>
          <cell r="H66">
            <v>8.5011720702503124E-2</v>
          </cell>
          <cell r="I66">
            <v>4.43388505331733E-3</v>
          </cell>
          <cell r="J66">
            <v>0.14021759352771426</v>
          </cell>
          <cell r="K66">
            <v>8.3744446341026662E-3</v>
          </cell>
          <cell r="L66">
            <v>3.0223501915676866E-4</v>
          </cell>
          <cell r="M66">
            <v>4.4522774745416548E-4</v>
          </cell>
          <cell r="N66">
            <v>7.5437624760281638E-2</v>
          </cell>
          <cell r="O66">
            <v>1.4662716847602736E-2</v>
          </cell>
          <cell r="P66">
            <v>1.3424049230767997E-2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F67">
            <v>0.33246934146505569</v>
          </cell>
          <cell r="G67">
            <v>0.27223000306191125</v>
          </cell>
          <cell r="H67">
            <v>9.0627219551780228E-2</v>
          </cell>
          <cell r="I67">
            <v>2.1034405160928397E-3</v>
          </cell>
          <cell r="J67">
            <v>0.18770723917658649</v>
          </cell>
          <cell r="K67">
            <v>7.2415916869163878E-3</v>
          </cell>
          <cell r="L67">
            <v>2.3061248570821659E-4</v>
          </cell>
          <cell r="M67">
            <v>4.8720819681568234E-4</v>
          </cell>
          <cell r="N67">
            <v>6.9528119750943432E-2</v>
          </cell>
          <cell r="O67">
            <v>1.9644926879990265E-2</v>
          </cell>
          <cell r="P67">
            <v>1.7730297228199868E-2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F68">
            <v>0.33293353523432395</v>
          </cell>
          <cell r="G68">
            <v>0.27261009065336367</v>
          </cell>
          <cell r="H68">
            <v>9.0753753296084774E-2</v>
          </cell>
          <cell r="I68">
            <v>2.1063773402141077E-3</v>
          </cell>
          <cell r="J68">
            <v>0.18662008271271907</v>
          </cell>
          <cell r="K68">
            <v>7.2517023988570408E-3</v>
          </cell>
          <cell r="L68">
            <v>2.309344669125872E-4</v>
          </cell>
          <cell r="M68">
            <v>4.8788843700956511E-4</v>
          </cell>
          <cell r="N68">
            <v>6.9625194927364534E-2</v>
          </cell>
          <cell r="O68">
            <v>1.9625388259976565E-2</v>
          </cell>
          <cell r="P68">
            <v>1.7755052273174355E-2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F69">
            <v>0.33146140229619098</v>
          </cell>
          <cell r="G69">
            <v>0.27140469002156553</v>
          </cell>
          <cell r="H69">
            <v>9.0352467227403463E-2</v>
          </cell>
          <cell r="I69">
            <v>2.0970635669395605E-3</v>
          </cell>
          <cell r="J69">
            <v>0.19006786453427613</v>
          </cell>
          <cell r="K69">
            <v>7.2196375305601844E-3</v>
          </cell>
          <cell r="L69">
            <v>2.2991334347708558E-4</v>
          </cell>
          <cell r="M69">
            <v>4.8573113964464067E-4</v>
          </cell>
          <cell r="N69">
            <v>6.9317333051256549E-2</v>
          </cell>
          <cell r="O69">
            <v>1.9687352568832247E-2</v>
          </cell>
          <cell r="P69">
            <v>1.7676544719853794E-2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F73">
            <v>0.33146140229619098</v>
          </cell>
          <cell r="G73">
            <v>0.27140469002156553</v>
          </cell>
          <cell r="H73">
            <v>9.0352467227403463E-2</v>
          </cell>
          <cell r="I73">
            <v>2.0970635669395605E-3</v>
          </cell>
          <cell r="J73">
            <v>0.19006786453427613</v>
          </cell>
          <cell r="K73">
            <v>7.2196375305601844E-3</v>
          </cell>
          <cell r="L73">
            <v>2.2991334347708558E-4</v>
          </cell>
          <cell r="M73">
            <v>4.8573113964464067E-4</v>
          </cell>
          <cell r="N73">
            <v>6.9317333051256549E-2</v>
          </cell>
          <cell r="O73">
            <v>1.9687352568832247E-2</v>
          </cell>
          <cell r="P73">
            <v>1.7676544719853794E-2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F74">
            <v>0.46014745129673001</v>
          </cell>
          <cell r="G74">
            <v>0.2524408549677436</v>
          </cell>
          <cell r="H74">
            <v>7.8964348770391116E-2</v>
          </cell>
          <cell r="I74">
            <v>8.8531438670955004E-3</v>
          </cell>
          <cell r="J74">
            <v>8.9880363511639833E-2</v>
          </cell>
          <cell r="K74">
            <v>9.4423558945220705E-3</v>
          </cell>
          <cell r="L74">
            <v>3.6468547758858051E-4</v>
          </cell>
          <cell r="M74">
            <v>3.80841633923128E-4</v>
          </cell>
          <cell r="N74">
            <v>8.1898141063940652E-2</v>
          </cell>
          <cell r="O74">
            <v>9.2857602664127067E-3</v>
          </cell>
          <cell r="P74">
            <v>8.3420532500129325E-3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F75">
            <v>0.33293353523432395</v>
          </cell>
          <cell r="G75">
            <v>0.27261009065336367</v>
          </cell>
          <cell r="H75">
            <v>9.0753753296084774E-2</v>
          </cell>
          <cell r="I75">
            <v>2.1063773402141077E-3</v>
          </cell>
          <cell r="J75">
            <v>0.18662008271271907</v>
          </cell>
          <cell r="K75">
            <v>7.2517023988570408E-3</v>
          </cell>
          <cell r="L75">
            <v>2.309344669125872E-4</v>
          </cell>
          <cell r="M75">
            <v>4.8788843700956511E-4</v>
          </cell>
          <cell r="N75">
            <v>6.9625194927364534E-2</v>
          </cell>
          <cell r="O75">
            <v>1.9625388259976565E-2</v>
          </cell>
          <cell r="P75">
            <v>1.7755052273174355E-2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F76">
            <v>0.33146140229619098</v>
          </cell>
          <cell r="G76">
            <v>0.27140469002156553</v>
          </cell>
          <cell r="H76">
            <v>9.0352467227403463E-2</v>
          </cell>
          <cell r="I76">
            <v>2.0970635669395605E-3</v>
          </cell>
          <cell r="J76">
            <v>0.19006786453427613</v>
          </cell>
          <cell r="K76">
            <v>7.2196375305601844E-3</v>
          </cell>
          <cell r="L76">
            <v>2.2991334347708558E-4</v>
          </cell>
          <cell r="M76">
            <v>4.8573113964464067E-4</v>
          </cell>
          <cell r="N76">
            <v>6.9317333051256549E-2</v>
          </cell>
          <cell r="O76">
            <v>1.9687352568832247E-2</v>
          </cell>
          <cell r="P76">
            <v>1.7676544719853794E-2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F77">
            <v>0.5739529358835106</v>
          </cell>
          <cell r="G77">
            <v>0.23566989607448438</v>
          </cell>
          <cell r="H77">
            <v>6.8893091244048674E-2</v>
          </cell>
          <cell r="I77">
            <v>1.4827987282042739E-2</v>
          </cell>
          <cell r="J77">
            <v>1.2780076853921979E-3</v>
          </cell>
          <cell r="K77">
            <v>1.1408051029894195E-2</v>
          </cell>
          <cell r="L77">
            <v>4.838732850508254E-4</v>
          </cell>
          <cell r="M77">
            <v>2.880809879990726E-4</v>
          </cell>
          <cell r="N77">
            <v>9.3024171923515558E-2</v>
          </cell>
          <cell r="O77">
            <v>8.6952302030925813E-5</v>
          </cell>
          <cell r="P77">
            <v>8.6952302030925813E-5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F78">
            <v>0.5739529358835106</v>
          </cell>
          <cell r="G78">
            <v>0.23566989607448438</v>
          </cell>
          <cell r="H78">
            <v>6.8893091244048674E-2</v>
          </cell>
          <cell r="I78">
            <v>1.4827987282042739E-2</v>
          </cell>
          <cell r="J78">
            <v>1.2780076853921979E-3</v>
          </cell>
          <cell r="K78">
            <v>1.1408051029894195E-2</v>
          </cell>
          <cell r="L78">
            <v>4.838732850508254E-4</v>
          </cell>
          <cell r="M78">
            <v>2.880809879990726E-4</v>
          </cell>
          <cell r="N78">
            <v>9.3024171923515558E-2</v>
          </cell>
          <cell r="O78">
            <v>8.6952302030925813E-5</v>
          </cell>
          <cell r="P78">
            <v>8.6952302030925813E-5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F79">
            <v>0.5739529358835106</v>
          </cell>
          <cell r="G79">
            <v>0.23566989607448438</v>
          </cell>
          <cell r="H79">
            <v>6.8893091244048674E-2</v>
          </cell>
          <cell r="I79">
            <v>1.4827987282042739E-2</v>
          </cell>
          <cell r="J79">
            <v>1.2780076853921979E-3</v>
          </cell>
          <cell r="K79">
            <v>1.1408051029894195E-2</v>
          </cell>
          <cell r="L79">
            <v>4.838732850508254E-4</v>
          </cell>
          <cell r="M79">
            <v>2.880809879990726E-4</v>
          </cell>
          <cell r="N79">
            <v>9.3024171923515558E-2</v>
          </cell>
          <cell r="O79">
            <v>8.6952302030925813E-5</v>
          </cell>
          <cell r="P79">
            <v>8.6952302030925813E-5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F80">
            <v>0.39128497873386026</v>
          </cell>
          <cell r="G80">
            <v>0.25832388186894628</v>
          </cell>
          <cell r="H80">
            <v>8.5311326881063188E-2</v>
          </cell>
          <cell r="I80">
            <v>6.3770700652306528E-3</v>
          </cell>
          <cell r="J80">
            <v>0.14275304035426253</v>
          </cell>
          <cell r="K80">
            <v>8.7783835536624985E-3</v>
          </cell>
          <cell r="L80">
            <v>3.549939540221832E-4</v>
          </cell>
          <cell r="M80">
            <v>5.3118044699141049E-4</v>
          </cell>
          <cell r="N80">
            <v>7.4198455453486634E-2</v>
          </cell>
          <cell r="O80">
            <v>1.4971085298712708E-2</v>
          </cell>
          <cell r="P80">
            <v>1.7115603389761716E-2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F81">
            <v>0.29752862327153262</v>
          </cell>
          <cell r="G81">
            <v>0.27328420275264265</v>
          </cell>
          <cell r="H81">
            <v>9.5215439701060486E-2</v>
          </cell>
          <cell r="I81">
            <v>3.2605239135698335E-3</v>
          </cell>
          <cell r="J81">
            <v>0.20763684275431549</v>
          </cell>
          <cell r="K81">
            <v>8.1136911604847133E-3</v>
          </cell>
          <cell r="L81">
            <v>2.6228566600539191E-4</v>
          </cell>
          <cell r="M81">
            <v>6.8786122530370463E-4</v>
          </cell>
          <cell r="N81">
            <v>6.5009461149175468E-2</v>
          </cell>
          <cell r="O81">
            <v>2.1908149531275546E-2</v>
          </cell>
          <cell r="P81">
            <v>2.7092918874634116E-2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F82">
            <v>0.33146283520828129</v>
          </cell>
          <cell r="G82">
            <v>0.27140586330768268</v>
          </cell>
          <cell r="H82">
            <v>9.0352857822331795E-2</v>
          </cell>
          <cell r="I82">
            <v>2.0970726325735024E-3</v>
          </cell>
          <cell r="J82">
            <v>0.19006450860891858</v>
          </cell>
          <cell r="K82">
            <v>7.2196687411501146E-3</v>
          </cell>
          <cell r="L82">
            <v>2.2991433739555484E-4</v>
          </cell>
          <cell r="M82">
            <v>4.8573323946687571E-4</v>
          </cell>
          <cell r="N82">
            <v>6.9317632711017554E-2</v>
          </cell>
          <cell r="O82">
            <v>1.9687292255388383E-2</v>
          </cell>
          <cell r="P82">
            <v>1.7676621135793835E-2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F83">
            <v>0.57395293588351048</v>
          </cell>
          <cell r="G83">
            <v>0.23566989607448433</v>
          </cell>
          <cell r="H83">
            <v>6.889309124404866E-2</v>
          </cell>
          <cell r="I83">
            <v>1.4827987282042739E-2</v>
          </cell>
          <cell r="J83">
            <v>1.2780076853921975E-3</v>
          </cell>
          <cell r="K83">
            <v>1.140805102989419E-2</v>
          </cell>
          <cell r="L83">
            <v>4.8387328505082529E-4</v>
          </cell>
          <cell r="M83">
            <v>2.8808098799907255E-4</v>
          </cell>
          <cell r="N83">
            <v>9.3024171923515545E-2</v>
          </cell>
          <cell r="O83">
            <v>8.6952302030925786E-5</v>
          </cell>
          <cell r="P83">
            <v>8.6952302030925786E-5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F84">
            <v>0.87083139955935285</v>
          </cell>
          <cell r="G84">
            <v>1.9459829672089233E-2</v>
          </cell>
          <cell r="H84">
            <v>3.4595842598384894E-4</v>
          </cell>
          <cell r="I84">
            <v>1.03070458516337E-2</v>
          </cell>
          <cell r="J84">
            <v>6.5144830588063777E-4</v>
          </cell>
          <cell r="K84">
            <v>3.441951868068659E-3</v>
          </cell>
          <cell r="L84">
            <v>2.6223261067933588E-3</v>
          </cell>
          <cell r="M84">
            <v>5.4775037140818194E-4</v>
          </cell>
          <cell r="N84">
            <v>9.178405668484485E-2</v>
          </cell>
          <cell r="O84">
            <v>4.1165769723894958E-6</v>
          </cell>
          <cell r="P84">
            <v>4.1165769723894958E-6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F86">
            <v>0.45717110673234435</v>
          </cell>
          <cell r="G86">
            <v>0.22365183716233725</v>
          </cell>
          <cell r="H86">
            <v>7.2182970686318584E-2</v>
          </cell>
          <cell r="I86">
            <v>5.1975921666243203E-3</v>
          </cell>
          <cell r="J86">
            <v>0.13093320545128567</v>
          </cell>
          <cell r="K86">
            <v>7.1347473642123281E-3</v>
          </cell>
          <cell r="L86">
            <v>6.7920965920121896E-4</v>
          </cell>
          <cell r="M86">
            <v>4.7372218094951404E-4</v>
          </cell>
          <cell r="N86">
            <v>7.6429372734086551E-2</v>
          </cell>
          <cell r="O86">
            <v>1.370308092472365E-2</v>
          </cell>
          <cell r="P86">
            <v>1.2443154937916782E-2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F87">
            <v>0.48185384449784452</v>
          </cell>
          <cell r="G87">
            <v>0.31157440623203314</v>
          </cell>
          <cell r="H87">
            <v>9.8833884475618791E-2</v>
          </cell>
          <cell r="I87">
            <v>6.9917563780139515E-4</v>
          </cell>
          <cell r="J87">
            <v>0</v>
          </cell>
          <cell r="K87">
            <v>1.3505359359867476E-2</v>
          </cell>
          <cell r="L87">
            <v>2.1092886397717852E-4</v>
          </cell>
          <cell r="M87">
            <v>1.6090354124717585E-4</v>
          </cell>
          <cell r="N87">
            <v>9.3161497391610545E-2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F88">
            <v>0.48185384449784452</v>
          </cell>
          <cell r="G88">
            <v>0.31157440623203314</v>
          </cell>
          <cell r="H88">
            <v>9.8833884475618791E-2</v>
          </cell>
          <cell r="I88">
            <v>6.9917563780139515E-4</v>
          </cell>
          <cell r="J88">
            <v>0</v>
          </cell>
          <cell r="K88">
            <v>1.3505359359867476E-2</v>
          </cell>
          <cell r="L88">
            <v>2.1092886397717852E-4</v>
          </cell>
          <cell r="M88">
            <v>1.6090354124717585E-4</v>
          </cell>
          <cell r="N88">
            <v>9.3161497391610532E-2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F89">
            <v>0.48185384449784452</v>
          </cell>
          <cell r="G89">
            <v>0.3115744062320332</v>
          </cell>
          <cell r="H89">
            <v>9.8833884475618791E-2</v>
          </cell>
          <cell r="I89">
            <v>6.9917563780139515E-4</v>
          </cell>
          <cell r="J89">
            <v>0</v>
          </cell>
          <cell r="K89">
            <v>1.3505359359867478E-2</v>
          </cell>
          <cell r="L89">
            <v>2.1092886397717852E-4</v>
          </cell>
          <cell r="M89">
            <v>1.6090354124717585E-4</v>
          </cell>
          <cell r="N89">
            <v>9.3161497391610545E-2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F90">
            <v>0.47728536827533213</v>
          </cell>
          <cell r="G90">
            <v>0.30720056894242442</v>
          </cell>
          <cell r="H90">
            <v>9.744646843389676E-2</v>
          </cell>
          <cell r="I90">
            <v>1.2256135706272308E-2</v>
          </cell>
          <cell r="J90">
            <v>0</v>
          </cell>
          <cell r="K90">
            <v>1.3315773042133267E-2</v>
          </cell>
          <cell r="L90">
            <v>2.0796787452404886E-4</v>
          </cell>
          <cell r="M90">
            <v>1.5864480017390269E-4</v>
          </cell>
          <cell r="N90">
            <v>9.2129072925243291E-2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F91">
            <v>0.6331720706805366</v>
          </cell>
          <cell r="G91">
            <v>0.19055426646468338</v>
          </cell>
          <cell r="H91">
            <v>6.0445331777609093E-2</v>
          </cell>
          <cell r="I91">
            <v>7.9168838076370974E-3</v>
          </cell>
          <cell r="J91">
            <v>0</v>
          </cell>
          <cell r="K91">
            <v>8.2596766444448383E-3</v>
          </cell>
          <cell r="L91">
            <v>1.2900095177094788E-4</v>
          </cell>
          <cell r="M91">
            <v>9.8406209433941807E-5</v>
          </cell>
          <cell r="N91">
            <v>9.9424363463884211E-2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F92">
            <v>0.61240133399423002</v>
          </cell>
          <cell r="G92">
            <v>0.21146619615258039</v>
          </cell>
          <cell r="H92">
            <v>6.7078762513883047E-2</v>
          </cell>
          <cell r="I92">
            <v>6.1879329348561414E-4</v>
          </cell>
          <cell r="J92">
            <v>0</v>
          </cell>
          <cell r="K92">
            <v>9.1661154266245489E-3</v>
          </cell>
          <cell r="L92">
            <v>1.4315785774400742E-4</v>
          </cell>
          <cell r="M92">
            <v>1.0920556738437877E-4</v>
          </cell>
          <cell r="N92">
            <v>9.9016435194068192E-2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F93">
            <v>0.58801113178297126</v>
          </cell>
          <cell r="G93">
            <v>0.22847113330021493</v>
          </cell>
          <cell r="H93">
            <v>7.2472864083037145E-2</v>
          </cell>
          <cell r="I93">
            <v>3.1248685008323125E-3</v>
          </cell>
          <cell r="J93">
            <v>0</v>
          </cell>
          <cell r="K93">
            <v>9.9032035265365012E-3</v>
          </cell>
          <cell r="L93">
            <v>1.546698176573089E-4</v>
          </cell>
          <cell r="M93">
            <v>1.179872726560961E-4</v>
          </cell>
          <cell r="N93">
            <v>9.7744141716094621E-2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F94">
            <v>0.58833266525621186</v>
          </cell>
          <cell r="G94">
            <v>0.25399798927437112</v>
          </cell>
          <cell r="H94">
            <v>6.0681542529829526E-2</v>
          </cell>
          <cell r="I94">
            <v>3.6442674445197687E-3</v>
          </cell>
          <cell r="J94">
            <v>0</v>
          </cell>
          <cell r="K94">
            <v>1.8740864572651769E-2</v>
          </cell>
          <cell r="L94">
            <v>1.1866486860554856E-4</v>
          </cell>
          <cell r="M94">
            <v>7.0168637588579729E-4</v>
          </cell>
          <cell r="N94">
            <v>7.3782319677924674E-2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F95">
            <v>0.79963259447844093</v>
          </cell>
          <cell r="G95">
            <v>7.6728663408577744E-2</v>
          </cell>
          <cell r="H95">
            <v>6.8875427433031404E-3</v>
          </cell>
          <cell r="I95">
            <v>0</v>
          </cell>
          <cell r="J95">
            <v>0</v>
          </cell>
          <cell r="K95">
            <v>0</v>
          </cell>
          <cell r="L95">
            <v>2.8991380892467692E-3</v>
          </cell>
          <cell r="M95">
            <v>6.0557074157735946E-4</v>
          </cell>
          <cell r="N95">
            <v>0.11324649053885387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F96">
            <v>0.69060977318165673</v>
          </cell>
          <cell r="G96">
            <v>0.11723563419323522</v>
          </cell>
          <cell r="H96">
            <v>1.3443524665332229E-2</v>
          </cell>
          <cell r="I96">
            <v>0</v>
          </cell>
          <cell r="J96">
            <v>4.3248287020638508E-2</v>
          </cell>
          <cell r="K96">
            <v>9.9247322158145281E-3</v>
          </cell>
          <cell r="L96">
            <v>2.2547719302875332E-3</v>
          </cell>
          <cell r="M96">
            <v>4.7097581000937739E-4</v>
          </cell>
          <cell r="N96">
            <v>0.11692730019888024</v>
          </cell>
          <cell r="O96">
            <v>2.9425003920729052E-3</v>
          </cell>
          <cell r="P96">
            <v>2.9425003920729052E-3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F100">
            <v>0.55454580007144583</v>
          </cell>
          <cell r="G100">
            <v>0.23366163055648898</v>
          </cell>
          <cell r="H100">
            <v>7.0505231700654217E-2</v>
          </cell>
          <cell r="I100">
            <v>3.0578751931953477E-2</v>
          </cell>
          <cell r="J100">
            <v>3.4054379448933744E-3</v>
          </cell>
          <cell r="K100">
            <v>1.0254137391634282E-2</v>
          </cell>
          <cell r="L100">
            <v>5.9202579714308129E-4</v>
          </cell>
          <cell r="M100">
            <v>2.0905908365479977E-4</v>
          </cell>
          <cell r="N100">
            <v>9.5784531331132544E-2</v>
          </cell>
          <cell r="O100">
            <v>2.3169709549991703E-4</v>
          </cell>
          <cell r="P100">
            <v>2.3169709549991703E-4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F101">
            <v>0.53892662577935324</v>
          </cell>
          <cell r="G101">
            <v>0.26107588571426532</v>
          </cell>
          <cell r="H101">
            <v>8.2815351363737022E-2</v>
          </cell>
          <cell r="I101">
            <v>1.0540293754831714E-2</v>
          </cell>
          <cell r="J101">
            <v>0</v>
          </cell>
          <cell r="K101">
            <v>1.1316473966546045E-2</v>
          </cell>
          <cell r="L101">
            <v>1.7674250157933562E-4</v>
          </cell>
          <cell r="M101">
            <v>1.3482504886612665E-4</v>
          </cell>
          <cell r="N101">
            <v>9.5013801870821396E-2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F102">
            <v>0.59454060742505677</v>
          </cell>
          <cell r="G102">
            <v>0.22391875927973956</v>
          </cell>
          <cell r="H102">
            <v>7.1028814767592402E-2</v>
          </cell>
          <cell r="I102">
            <v>2.4539697160714698E-3</v>
          </cell>
          <cell r="J102">
            <v>0</v>
          </cell>
          <cell r="K102">
            <v>9.7058784386688576E-3</v>
          </cell>
          <cell r="L102">
            <v>1.5158796285366693E-4</v>
          </cell>
          <cell r="M102">
            <v>1.1563633148016835E-4</v>
          </cell>
          <cell r="N102">
            <v>9.8084746078537247E-2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F103">
            <v>0.5746926325278473</v>
          </cell>
          <cell r="G103">
            <v>0.23578546359638292</v>
          </cell>
          <cell r="H103">
            <v>7.2398886681061314E-2</v>
          </cell>
          <cell r="I103">
            <v>9.0942807638459029E-3</v>
          </cell>
          <cell r="J103">
            <v>0</v>
          </cell>
          <cell r="K103">
            <v>9.7639775420249458E-3</v>
          </cell>
          <cell r="L103">
            <v>5.5022539284742744E-4</v>
          </cell>
          <cell r="M103">
            <v>1.9940620788733702E-4</v>
          </cell>
          <cell r="N103">
            <v>9.7515127288102965E-2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F104">
            <v>0.63315811517557363</v>
          </cell>
          <cell r="G104">
            <v>0.19620380683440405</v>
          </cell>
          <cell r="H104">
            <v>5.8951424006922375E-2</v>
          </cell>
          <cell r="I104">
            <v>1.9919029337877891E-3</v>
          </cell>
          <cell r="J104">
            <v>0</v>
          </cell>
          <cell r="K104">
            <v>7.878323685233727E-3</v>
          </cell>
          <cell r="L104">
            <v>6.6893405630831277E-4</v>
          </cell>
          <cell r="M104">
            <v>2.0788784335541482E-4</v>
          </cell>
          <cell r="N104">
            <v>0.10093960546441481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F105">
            <v>0.86235826893202772</v>
          </cell>
          <cell r="G105">
            <v>2.5592837996875121E-2</v>
          </cell>
          <cell r="H105">
            <v>3.5820601263342471E-3</v>
          </cell>
          <cell r="I105">
            <v>7.6404524420265948E-3</v>
          </cell>
          <cell r="J105">
            <v>4.7296432902012766E-3</v>
          </cell>
          <cell r="K105">
            <v>3.1433572757685047E-3</v>
          </cell>
          <cell r="L105">
            <v>2.3882566193309516E-3</v>
          </cell>
          <cell r="M105">
            <v>4.9885803556912916E-4</v>
          </cell>
          <cell r="N105">
            <v>9.0020287086435821E-2</v>
          </cell>
          <cell r="O105">
            <v>2.2989097715358116E-5</v>
          </cell>
          <cell r="P105">
            <v>2.2989097715358116E-5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F106">
            <v>0.34691609455512024</v>
          </cell>
          <cell r="G106">
            <v>0.26162783484135405</v>
          </cell>
          <cell r="H106">
            <v>8.8932726474006199E-2</v>
          </cell>
          <cell r="I106">
            <v>5.1777146697906196E-3</v>
          </cell>
          <cell r="J106">
            <v>0.17860147418075994</v>
          </cell>
          <cell r="K106">
            <v>7.9153237085492628E-3</v>
          </cell>
          <cell r="L106">
            <v>3.5191914803707686E-4</v>
          </cell>
          <cell r="M106">
            <v>5.9072883061971916E-4</v>
          </cell>
          <cell r="N106">
            <v>6.9575389581748096E-2</v>
          </cell>
          <cell r="O106">
            <v>1.8793821061590867E-2</v>
          </cell>
          <cell r="P106">
            <v>2.151697294842413E-2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F107">
            <v>0.30581440549898015</v>
          </cell>
          <cell r="G107">
            <v>0.27308647675752384</v>
          </cell>
          <cell r="H107">
            <v>9.4178116047407237E-2</v>
          </cell>
          <cell r="I107">
            <v>3.0107592194451435E-3</v>
          </cell>
          <cell r="J107">
            <v>0.20268480662838889</v>
          </cell>
          <cell r="K107">
            <v>7.921726141386894E-3</v>
          </cell>
          <cell r="L107">
            <v>2.5548767883337112E-4</v>
          </cell>
          <cell r="M107">
            <v>6.4226118941823715E-4</v>
          </cell>
          <cell r="N107">
            <v>6.6080333512755995E-2</v>
          </cell>
          <cell r="O107">
            <v>2.1370624842668041E-2</v>
          </cell>
          <cell r="P107">
            <v>2.4955002483192247E-2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F108">
            <v>0.33288004395456611</v>
          </cell>
          <cell r="G108">
            <v>0.27171870678621096</v>
          </cell>
          <cell r="H108">
            <v>9.0623113039099493E-2</v>
          </cell>
          <cell r="I108">
            <v>2.3109312055330324E-3</v>
          </cell>
          <cell r="J108">
            <v>0.18721810926302077</v>
          </cell>
          <cell r="K108">
            <v>7.3357019318659828E-3</v>
          </cell>
          <cell r="L108">
            <v>2.3618420326831032E-4</v>
          </cell>
          <cell r="M108">
            <v>4.9768588003707413E-4</v>
          </cell>
          <cell r="N108">
            <v>6.9472004999443823E-2</v>
          </cell>
          <cell r="O108">
            <v>1.9581861189196633E-2</v>
          </cell>
          <cell r="P108">
            <v>1.8125657547757971E-2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F109">
            <v>0.54980339732568873</v>
          </cell>
          <cell r="G109">
            <v>0.23489214552262752</v>
          </cell>
          <cell r="H109">
            <v>7.0950711061295746E-2</v>
          </cell>
          <cell r="I109">
            <v>2.7937052526922794E-2</v>
          </cell>
          <cell r="J109">
            <v>8.9557607417306041E-3</v>
          </cell>
          <cell r="K109">
            <v>1.0313106544464525E-2</v>
          </cell>
          <cell r="L109">
            <v>5.7095195261179293E-4</v>
          </cell>
          <cell r="M109">
            <v>2.3062552085483299E-4</v>
          </cell>
          <cell r="N109">
            <v>9.4603155901342148E-2</v>
          </cell>
          <cell r="O109">
            <v>8.2713379679515272E-4</v>
          </cell>
          <cell r="P109">
            <v>9.1595910566649079E-4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F110">
            <v>0.86239855335147719</v>
          </cell>
          <cell r="G110">
            <v>2.4854607285035652E-2</v>
          </cell>
          <cell r="H110">
            <v>3.2595719533954157E-3</v>
          </cell>
          <cell r="I110">
            <v>8.0978233450643526E-3</v>
          </cell>
          <cell r="J110">
            <v>4.3241271332414549E-3</v>
          </cell>
          <cell r="K110">
            <v>3.202369342380424E-3</v>
          </cell>
          <cell r="L110">
            <v>2.4471698798235221E-3</v>
          </cell>
          <cell r="M110">
            <v>5.1207691206735185E-4</v>
          </cell>
          <cell r="N110">
            <v>9.0807238400404694E-2</v>
          </cell>
          <cell r="O110">
            <v>3.6962177257382196E-5</v>
          </cell>
          <cell r="P110">
            <v>5.9500219852374264E-5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F111">
            <v>0.39593990413133667</v>
          </cell>
          <cell r="G111">
            <v>0.2626206937122651</v>
          </cell>
          <cell r="H111">
            <v>8.4914709946003655E-2</v>
          </cell>
          <cell r="I111">
            <v>5.4479084699230185E-3</v>
          </cell>
          <cell r="J111">
            <v>0.13870694063173358</v>
          </cell>
          <cell r="K111">
            <v>8.3366868608218125E-3</v>
          </cell>
          <cell r="L111">
            <v>2.9717852086393233E-4</v>
          </cell>
          <cell r="M111">
            <v>4.3487041372034186E-4</v>
          </cell>
          <cell r="N111">
            <v>7.5703726236430943E-2</v>
          </cell>
          <cell r="O111">
            <v>1.4504388641501E-2</v>
          </cell>
          <cell r="P111">
            <v>1.3092992435400096E-2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F112">
            <v>0.45003656976339573</v>
          </cell>
          <cell r="G112">
            <v>0.23376747953762961</v>
          </cell>
          <cell r="H112">
            <v>7.5440933951881575E-2</v>
          </cell>
          <cell r="I112">
            <v>9.9447222534804203E-3</v>
          </cell>
          <cell r="J112">
            <v>0.11982753837324711</v>
          </cell>
          <cell r="K112">
            <v>7.5326759188435004E-3</v>
          </cell>
          <cell r="L112">
            <v>5.8081868903783079E-4</v>
          </cell>
          <cell r="M112">
            <v>4.2203865902678693E-4</v>
          </cell>
          <cell r="N112">
            <v>7.8598968290033308E-2</v>
          </cell>
          <cell r="O112">
            <v>1.2496537703950065E-2</v>
          </cell>
          <cell r="P112">
            <v>1.1351716859474191E-2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F113">
            <v>0.33247925775564097</v>
          </cell>
          <cell r="G113">
            <v>0.2726187401296038</v>
          </cell>
          <cell r="H113">
            <v>9.0811000823005833E-2</v>
          </cell>
          <cell r="I113">
            <v>2.1211860988384901E-3</v>
          </cell>
          <cell r="J113">
            <v>0.18688974701161101</v>
          </cell>
          <cell r="K113">
            <v>7.2627625049151026E-3</v>
          </cell>
          <cell r="L113">
            <v>2.313367315388212E-4</v>
          </cell>
          <cell r="M113">
            <v>4.9045427121265214E-4</v>
          </cell>
          <cell r="N113">
            <v>6.9565970831419022E-2</v>
          </cell>
          <cell r="O113">
            <v>1.9654678179856885E-2</v>
          </cell>
          <cell r="P113">
            <v>1.7874865662357339E-2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F114">
            <v>0.33146140229619087</v>
          </cell>
          <cell r="G114">
            <v>0.27140469002156548</v>
          </cell>
          <cell r="H114">
            <v>9.0352467227403421E-2</v>
          </cell>
          <cell r="I114">
            <v>2.0970635669395601E-3</v>
          </cell>
          <cell r="J114">
            <v>0.19006786453427613</v>
          </cell>
          <cell r="K114">
            <v>7.2196375305601853E-3</v>
          </cell>
          <cell r="L114">
            <v>2.2991334347708552E-4</v>
          </cell>
          <cell r="M114">
            <v>4.8573113964464062E-4</v>
          </cell>
          <cell r="N114">
            <v>6.9317333051256522E-2</v>
          </cell>
          <cell r="O114">
            <v>1.9687352568832247E-2</v>
          </cell>
          <cell r="P114">
            <v>1.767654471985379E-2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F115">
            <v>0.55454580007144583</v>
          </cell>
          <cell r="G115">
            <v>0.23366163055648895</v>
          </cell>
          <cell r="H115">
            <v>7.0505231700654203E-2</v>
          </cell>
          <cell r="I115">
            <v>3.057875193195347E-2</v>
          </cell>
          <cell r="J115">
            <v>3.4054379448933744E-3</v>
          </cell>
          <cell r="K115">
            <v>1.0254137391634282E-2</v>
          </cell>
          <cell r="L115">
            <v>5.9202579714308107E-4</v>
          </cell>
          <cell r="M115">
            <v>2.0905908365479971E-4</v>
          </cell>
          <cell r="N115">
            <v>9.5784531331132516E-2</v>
          </cell>
          <cell r="O115">
            <v>2.3169709549991698E-4</v>
          </cell>
          <cell r="P115">
            <v>2.3169709549991698E-4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F116">
            <v>0.86284679695736199</v>
          </cell>
          <cell r="G116">
            <v>2.4673612868819531E-2</v>
          </cell>
          <cell r="H116">
            <v>3.1873230922813659E-3</v>
          </cell>
          <cell r="I116">
            <v>8.0888216349666153E-3</v>
          </cell>
          <cell r="J116">
            <v>4.1797274739349081E-3</v>
          </cell>
          <cell r="K116">
            <v>3.1940205480307181E-3</v>
          </cell>
          <cell r="L116">
            <v>2.4483797443338581E-3</v>
          </cell>
          <cell r="M116">
            <v>5.1141652856710068E-4</v>
          </cell>
          <cell r="N116">
            <v>9.0829203500974801E-2</v>
          </cell>
          <cell r="O116">
            <v>2.0348825364479716E-5</v>
          </cell>
          <cell r="P116">
            <v>2.0348825364479716E-5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F118">
            <v>0.36291502004735204</v>
          </cell>
          <cell r="G118">
            <v>0.26873303635525853</v>
          </cell>
          <cell r="H118">
            <v>8.7404307664736863E-2</v>
          </cell>
          <cell r="I118">
            <v>5.6263487687379923E-3</v>
          </cell>
          <cell r="J118">
            <v>0.15894079068656969</v>
          </cell>
          <cell r="K118">
            <v>7.9135453075103151E-3</v>
          </cell>
          <cell r="L118">
            <v>3.1622595314719643E-4</v>
          </cell>
          <cell r="M118">
            <v>6.0013630389558451E-4</v>
          </cell>
          <cell r="N118">
            <v>7.2696262505916404E-2</v>
          </cell>
          <cell r="O118">
            <v>1.6393465152462337E-2</v>
          </cell>
          <cell r="P118">
            <v>1.8460861204237303E-2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F119">
            <v>0.31114267940700896</v>
          </cell>
          <cell r="G119">
            <v>0.27877944859878495</v>
          </cell>
          <cell r="H119">
            <v>9.3550057519757285E-2</v>
          </cell>
          <cell r="I119">
            <v>2.8663313905332027E-3</v>
          </cell>
          <cell r="J119">
            <v>0.19394882610956868</v>
          </cell>
          <cell r="K119">
            <v>7.63643327021616E-3</v>
          </cell>
          <cell r="L119">
            <v>2.3950696992560097E-4</v>
          </cell>
          <cell r="M119">
            <v>6.6065780598196545E-4</v>
          </cell>
          <cell r="N119">
            <v>6.7923849558387372E-2</v>
          </cell>
          <cell r="O119">
            <v>2.0124843929691241E-2</v>
          </cell>
          <cell r="P119">
            <v>2.3127365440144786E-2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F120">
            <v>0.32687647823364613</v>
          </cell>
          <cell r="G120">
            <v>0.28463106212936795</v>
          </cell>
          <cell r="H120">
            <v>9.1350625580580783E-2</v>
          </cell>
          <cell r="I120">
            <v>2.3967633025696569E-3</v>
          </cell>
          <cell r="J120">
            <v>0.18001093228787673</v>
          </cell>
          <cell r="K120">
            <v>7.0618679456209048E-3</v>
          </cell>
          <cell r="L120">
            <v>2.0753038960689502E-4</v>
          </cell>
          <cell r="M120">
            <v>5.9266426155809323E-4</v>
          </cell>
          <cell r="N120">
            <v>7.0523264151926252E-2</v>
          </cell>
          <cell r="O120">
            <v>1.8076917492750467E-2</v>
          </cell>
          <cell r="P120">
            <v>1.8271894224496051E-2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F121">
            <v>0.56130069472595967</v>
          </cell>
          <cell r="G121">
            <v>0.2397843705785199</v>
          </cell>
          <cell r="H121">
            <v>6.7490510263440592E-2</v>
          </cell>
          <cell r="I121">
            <v>2.0774854981060294E-2</v>
          </cell>
          <cell r="J121">
            <v>3.5635625424511709E-3</v>
          </cell>
          <cell r="K121">
            <v>1.0604293269247193E-2</v>
          </cell>
          <cell r="L121">
            <v>4.8404877510644094E-4</v>
          </cell>
          <cell r="M121">
            <v>3.469874466612015E-4</v>
          </cell>
          <cell r="N121">
            <v>9.4979316518516571E-2</v>
          </cell>
          <cell r="O121">
            <v>3.1865546295926168E-4</v>
          </cell>
          <cell r="P121">
            <v>3.5270543607797839E-4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F122">
            <v>0.88736645199394937</v>
          </cell>
          <cell r="G122">
            <v>2.1154657439795412E-2</v>
          </cell>
          <cell r="H122">
            <v>-9.8839609118332272E-4</v>
          </cell>
          <cell r="I122">
            <v>8.2601730060492904E-3</v>
          </cell>
          <cell r="J122">
            <v>-1.890095635943616E-3</v>
          </cell>
          <cell r="K122">
            <v>3.0478105840977807E-3</v>
          </cell>
          <cell r="L122">
            <v>2.5206273772457317E-3</v>
          </cell>
          <cell r="M122">
            <v>5.2568159064511741E-4</v>
          </cell>
          <cell r="N122">
            <v>8.0311699385698168E-2</v>
          </cell>
          <cell r="O122">
            <v>-1.7007769085157574E-4</v>
          </cell>
          <cell r="P122">
            <v>-1.3853195950257506E-4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F123">
            <v>0.38573521963283786</v>
          </cell>
          <cell r="G123">
            <v>0.27658155686736469</v>
          </cell>
          <cell r="H123">
            <v>8.5809995142821532E-2</v>
          </cell>
          <cell r="I123">
            <v>6.0073453561877268E-3</v>
          </cell>
          <cell r="J123">
            <v>0.1323871140801898</v>
          </cell>
          <cell r="K123">
            <v>8.0241564947196257E-3</v>
          </cell>
          <cell r="L123">
            <v>2.6646764948736975E-4</v>
          </cell>
          <cell r="M123">
            <v>5.7472910827803926E-4</v>
          </cell>
          <cell r="N123">
            <v>7.7629843096128887E-2</v>
          </cell>
          <cell r="O123">
            <v>1.3257222280020638E-2</v>
          </cell>
          <cell r="P123">
            <v>1.3726343241116969E-2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F124">
            <v>0.35748442675349185</v>
          </cell>
          <cell r="G124">
            <v>0.28242151654330827</v>
          </cell>
          <cell r="H124">
            <v>8.7928451405412486E-2</v>
          </cell>
          <cell r="I124">
            <v>6.550665447298625E-3</v>
          </cell>
          <cell r="J124">
            <v>0.14860322826041317</v>
          </cell>
          <cell r="K124">
            <v>7.6482821501796371E-3</v>
          </cell>
          <cell r="L124">
            <v>2.9259225696807198E-4</v>
          </cell>
          <cell r="M124">
            <v>7.4550190295359382E-4</v>
          </cell>
          <cell r="N124">
            <v>7.4696526466217258E-2</v>
          </cell>
          <cell r="O124">
            <v>1.4683978840252359E-2</v>
          </cell>
          <cell r="P124">
            <v>1.894482997350461E-2</v>
          </cell>
          <cell r="Q124">
            <v>1</v>
          </cell>
        </row>
        <row r="125">
          <cell r="A125" t="str">
            <v>F150</v>
          </cell>
          <cell r="B125" t="str">
            <v>Income Before State Taxes</v>
          </cell>
          <cell r="F125">
            <v>0.36178861210198698</v>
          </cell>
          <cell r="G125">
            <v>0.40885866791325781</v>
          </cell>
          <cell r="H125">
            <v>8.7274781493680467E-2</v>
          </cell>
          <cell r="I125">
            <v>1.3855137423424089E-2</v>
          </cell>
          <cell r="J125">
            <v>9.4869287521968035E-3</v>
          </cell>
          <cell r="K125">
            <v>6.0821251545547985E-3</v>
          </cell>
          <cell r="L125">
            <v>2.7037568682898802E-5</v>
          </cell>
          <cell r="M125">
            <v>1.9097553951545605E-3</v>
          </cell>
          <cell r="N125">
            <v>0.10214807996175654</v>
          </cell>
          <cell r="O125">
            <v>-5.6452571541118603E-3</v>
          </cell>
          <cell r="P125">
            <v>1.421413023594629E-2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F126">
            <v>0.14038346234486507</v>
          </cell>
          <cell r="G126">
            <v>0.71318574498991649</v>
          </cell>
          <cell r="H126">
            <v>0.11842203170051734</v>
          </cell>
          <cell r="I126">
            <v>1.1060434979082505E-2</v>
          </cell>
          <cell r="J126">
            <v>-0.12085475304450499</v>
          </cell>
          <cell r="K126">
            <v>3.3622719516811168E-4</v>
          </cell>
          <cell r="L126">
            <v>-4.3774400615966349E-4</v>
          </cell>
          <cell r="M126">
            <v>5.279651421631666E-3</v>
          </cell>
          <cell r="N126">
            <v>0.13162705179441272</v>
          </cell>
          <cell r="O126">
            <v>-3.6425052993483052E-2</v>
          </cell>
          <cell r="P126">
            <v>3.7422945618559834E-2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F127">
            <v>0.28148037534607262</v>
          </cell>
          <cell r="G127">
            <v>0.39901081200512756</v>
          </cell>
          <cell r="H127">
            <v>9.8169621122604647E-2</v>
          </cell>
          <cell r="I127">
            <v>4.3593145459427246E-3</v>
          </cell>
          <cell r="J127">
            <v>9.8849079409230267E-2</v>
          </cell>
          <cell r="K127">
            <v>5.1764946969195293E-3</v>
          </cell>
          <cell r="L127">
            <v>3.1742575416249624E-5</v>
          </cell>
          <cell r="M127">
            <v>1.643252752715722E-3</v>
          </cell>
          <cell r="N127">
            <v>8.5916514614877676E-2</v>
          </cell>
          <cell r="O127">
            <v>3.5425281012199513E-3</v>
          </cell>
          <cell r="P127">
            <v>2.1820264829873048E-2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F128">
            <v>0.50308082342474425</v>
          </cell>
          <cell r="G128">
            <v>0.2928146238880775</v>
          </cell>
          <cell r="H128">
            <v>6.7673158748372139E-2</v>
          </cell>
          <cell r="I128">
            <v>2.099679626077226E-2</v>
          </cell>
          <cell r="J128">
            <v>7.2398855852942232E-4</v>
          </cell>
          <cell r="K128">
            <v>8.8378337321451915E-3</v>
          </cell>
          <cell r="L128">
            <v>2.2020509054368839E-4</v>
          </cell>
          <cell r="M128">
            <v>7.6731347979933898E-4</v>
          </cell>
          <cell r="N128">
            <v>0.10476570215521881</v>
          </cell>
          <cell r="O128">
            <v>4.2130568806219436E-5</v>
          </cell>
          <cell r="P128">
            <v>7.7424092991167456E-5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F129">
            <v>0.50139742707528989</v>
          </cell>
          <cell r="G129">
            <v>0.12033252263872518</v>
          </cell>
          <cell r="H129">
            <v>6.8114651595801032E-2</v>
          </cell>
          <cell r="I129">
            <v>6.0714193682481297E-3</v>
          </cell>
          <cell r="J129">
            <v>8.9423350243807501E-2</v>
          </cell>
          <cell r="K129">
            <v>6.0029540948875063E-3</v>
          </cell>
          <cell r="L129">
            <v>7.7865419244107701E-4</v>
          </cell>
          <cell r="M129">
            <v>2.4738599267528489E-4</v>
          </cell>
          <cell r="N129">
            <v>0.19772037452580613</v>
          </cell>
          <cell r="O129">
            <v>5.0536599669946591E-3</v>
          </cell>
          <cell r="P129">
            <v>4.857600305322788E-3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F130">
            <v>0.35003193557026691</v>
          </cell>
          <cell r="G130">
            <v>0.33718781650695512</v>
          </cell>
          <cell r="H130">
            <v>8.8825758651886022E-2</v>
          </cell>
          <cell r="I130">
            <v>8.8083305543686825E-3</v>
          </cell>
          <cell r="J130">
            <v>9.7541188902669079E-2</v>
          </cell>
          <cell r="K130">
            <v>6.7166567176732356E-3</v>
          </cell>
          <cell r="L130">
            <v>1.3640099412637528E-4</v>
          </cell>
          <cell r="M130">
            <v>1.1759849285107031E-3</v>
          </cell>
          <cell r="N130">
            <v>8.7144287010571989E-2</v>
          </cell>
          <cell r="O130">
            <v>6.9992584159977748E-3</v>
          </cell>
          <cell r="P130">
            <v>1.543234021073161E-2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F131">
            <v>0.3856856628537067</v>
          </cell>
          <cell r="G131">
            <v>0.2587265979626876</v>
          </cell>
          <cell r="H131">
            <v>8.4028318824677803E-2</v>
          </cell>
          <cell r="I131">
            <v>7.2373745199493652E-3</v>
          </cell>
          <cell r="J131">
            <v>0.15149665204258275</v>
          </cell>
          <cell r="K131">
            <v>7.8623508660907518E-3</v>
          </cell>
          <cell r="L131">
            <v>2.9850537202399588E-4</v>
          </cell>
          <cell r="M131">
            <v>4.5538109804565572E-4</v>
          </cell>
          <cell r="N131">
            <v>7.4013040352536308E-2</v>
          </cell>
          <cell r="O131">
            <v>1.5863516775958177E-2</v>
          </cell>
          <cell r="P131">
            <v>1.4332599331741113E-2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F132">
            <v>0.33292648772097772</v>
          </cell>
          <cell r="G132">
            <v>0.27261022483853048</v>
          </cell>
          <cell r="H132">
            <v>9.0754641415634926E-2</v>
          </cell>
          <cell r="I132">
            <v>2.1066070784884934E-3</v>
          </cell>
          <cell r="J132">
            <v>0.18662426619711922</v>
          </cell>
          <cell r="K132">
            <v>7.2518739817523199E-3</v>
          </cell>
          <cell r="L132">
            <v>2.3094070751542381E-4</v>
          </cell>
          <cell r="M132">
            <v>4.8792824252852368E-4</v>
          </cell>
          <cell r="N132">
            <v>6.9624276143964117E-2</v>
          </cell>
          <cell r="O132">
            <v>1.9625842654286102E-2</v>
          </cell>
          <cell r="P132">
            <v>1.7756911019202796E-2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F133">
            <v>0.33146140229619098</v>
          </cell>
          <cell r="G133">
            <v>0.27140469002156553</v>
          </cell>
          <cell r="H133">
            <v>9.0352467227403463E-2</v>
          </cell>
          <cell r="I133">
            <v>2.0970635669395601E-3</v>
          </cell>
          <cell r="J133">
            <v>0.19006786453427613</v>
          </cell>
          <cell r="K133">
            <v>7.2196375305601844E-3</v>
          </cell>
          <cell r="L133">
            <v>2.2991334347708555E-4</v>
          </cell>
          <cell r="M133">
            <v>4.8573113964464062E-4</v>
          </cell>
          <cell r="N133">
            <v>6.9317333051256549E-2</v>
          </cell>
          <cell r="O133">
            <v>1.9687352568832247E-2</v>
          </cell>
          <cell r="P133">
            <v>1.7676544719853794E-2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F134">
            <v>0.60299989761271666</v>
          </cell>
          <cell r="G134">
            <v>0.20441163728761835</v>
          </cell>
          <cell r="H134">
            <v>5.71319705394066E-2</v>
          </cell>
          <cell r="I134">
            <v>2.8826795619965689E-2</v>
          </cell>
          <cell r="J134">
            <v>2.364544331504459E-3</v>
          </cell>
          <cell r="K134">
            <v>1.0521175550498769E-2</v>
          </cell>
          <cell r="L134">
            <v>5.5387744663401648E-4</v>
          </cell>
          <cell r="M134">
            <v>3.1898428376861589E-4</v>
          </cell>
          <cell r="N134">
            <v>9.2549362497726731E-2</v>
          </cell>
          <cell r="O134">
            <v>1.6087741508017108E-4</v>
          </cell>
          <cell r="P134">
            <v>1.6087741508017108E-4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F135">
            <v>0.87083139955935274</v>
          </cell>
          <cell r="G135">
            <v>1.9459829672089236E-2</v>
          </cell>
          <cell r="H135">
            <v>3.4595842598384894E-4</v>
          </cell>
          <cell r="I135">
            <v>1.0307045851633702E-2</v>
          </cell>
          <cell r="J135">
            <v>6.5144830588063777E-4</v>
          </cell>
          <cell r="K135">
            <v>3.4419518680686586E-3</v>
          </cell>
          <cell r="L135">
            <v>2.6223261067933588E-3</v>
          </cell>
          <cell r="M135">
            <v>5.4775037140818183E-4</v>
          </cell>
          <cell r="N135">
            <v>9.178405668484485E-2</v>
          </cell>
          <cell r="O135">
            <v>4.1165769723894958E-6</v>
          </cell>
          <cell r="P135">
            <v>4.1165769723894958E-6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6">
          <cell r="L6">
            <v>7.9056500159581822E-2</v>
          </cell>
        </row>
        <row r="19">
          <cell r="K19">
            <v>0.47599999999999998</v>
          </cell>
        </row>
        <row r="20">
          <cell r="K20">
            <v>3.0000000000000001E-3</v>
          </cell>
        </row>
        <row r="21">
          <cell r="K21">
            <v>0.52100000000000002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1">
          <cell r="H61">
            <v>6.0515965194137822E-2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61">
          <cell r="E61">
            <v>6.6413560461439841E-2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showGridLines="0" tabSelected="1" workbookViewId="0">
      <selection activeCell="I27" sqref="I27"/>
    </sheetView>
  </sheetViews>
  <sheetFormatPr defaultRowHeight="15"/>
  <cols>
    <col min="1" max="1" width="9.140625" style="267"/>
    <col min="2" max="2" width="17.85546875" style="267" customWidth="1"/>
    <col min="3" max="18" width="15.7109375" style="267" customWidth="1"/>
    <col min="19" max="16384" width="9.140625" style="267"/>
  </cols>
  <sheetData>
    <row r="1" spans="2:17">
      <c r="B1" s="267" t="s">
        <v>269</v>
      </c>
    </row>
    <row r="2" spans="2:17">
      <c r="I2" s="268" t="s">
        <v>248</v>
      </c>
      <c r="J2" s="268" t="s">
        <v>272</v>
      </c>
    </row>
    <row r="3" spans="2:17" s="268" customFormat="1">
      <c r="D3" s="268">
        <v>2010</v>
      </c>
      <c r="E3" s="268">
        <v>2011</v>
      </c>
      <c r="F3" s="268">
        <v>2012</v>
      </c>
      <c r="G3" s="268">
        <v>2013</v>
      </c>
      <c r="H3" s="268">
        <v>2014</v>
      </c>
      <c r="I3" s="268">
        <v>2015</v>
      </c>
      <c r="J3" s="268" t="s">
        <v>273</v>
      </c>
    </row>
    <row r="4" spans="2:17">
      <c r="D4" s="268"/>
      <c r="E4" s="268"/>
      <c r="F4" s="268" t="s">
        <v>66</v>
      </c>
      <c r="G4" s="268"/>
      <c r="H4" s="268"/>
      <c r="I4" s="268"/>
    </row>
    <row r="7" spans="2:17">
      <c r="B7" s="267" t="s">
        <v>49</v>
      </c>
      <c r="D7" s="269">
        <v>27268</v>
      </c>
      <c r="E7" s="269">
        <v>29860</v>
      </c>
      <c r="F7" s="269">
        <v>32452</v>
      </c>
      <c r="G7" s="269">
        <v>27840</v>
      </c>
      <c r="H7" s="269">
        <v>25961</v>
      </c>
      <c r="I7" s="273">
        <v>24667.11</v>
      </c>
      <c r="J7" s="269">
        <f>I7</f>
        <v>24667.11</v>
      </c>
      <c r="K7" s="279"/>
      <c r="M7" s="279"/>
      <c r="N7" s="279"/>
      <c r="O7" s="279"/>
      <c r="P7" s="279"/>
      <c r="Q7" s="279"/>
    </row>
    <row r="8" spans="2:17">
      <c r="B8" s="267" t="s">
        <v>50</v>
      </c>
      <c r="D8" s="269">
        <v>29218</v>
      </c>
      <c r="E8" s="269">
        <v>29629</v>
      </c>
      <c r="F8" s="269">
        <v>33941</v>
      </c>
      <c r="G8" s="269">
        <v>29223</v>
      </c>
      <c r="H8" s="269">
        <v>27390</v>
      </c>
      <c r="I8" s="273">
        <v>25931.41</v>
      </c>
      <c r="J8" s="269">
        <f t="shared" ref="J8:J18" si="0">I8</f>
        <v>25931.41</v>
      </c>
      <c r="K8" s="279"/>
      <c r="M8" s="279"/>
      <c r="N8" s="279"/>
      <c r="O8" s="279"/>
      <c r="P8" s="279"/>
      <c r="Q8" s="279"/>
    </row>
    <row r="9" spans="2:17">
      <c r="B9" s="267" t="s">
        <v>51</v>
      </c>
      <c r="D9" s="269">
        <v>31588</v>
      </c>
      <c r="E9" s="269">
        <v>29138</v>
      </c>
      <c r="F9" s="269">
        <v>35519</v>
      </c>
      <c r="G9" s="269">
        <v>30963</v>
      </c>
      <c r="H9" s="269">
        <v>29319</v>
      </c>
      <c r="I9" s="273">
        <v>27192.59</v>
      </c>
      <c r="J9" s="269">
        <f t="shared" si="0"/>
        <v>27192.59</v>
      </c>
      <c r="K9" s="279"/>
      <c r="M9" s="279"/>
      <c r="N9" s="279"/>
      <c r="O9" s="279"/>
      <c r="P9" s="279"/>
      <c r="Q9" s="279"/>
    </row>
    <row r="10" spans="2:17">
      <c r="B10" s="267" t="s">
        <v>52</v>
      </c>
      <c r="D10" s="269">
        <v>33960</v>
      </c>
      <c r="E10" s="269">
        <v>37135</v>
      </c>
      <c r="F10" s="269">
        <v>36407</v>
      </c>
      <c r="G10" s="269">
        <v>32389</v>
      </c>
      <c r="H10" s="269">
        <v>30951</v>
      </c>
      <c r="I10" s="273">
        <v>30192.69</v>
      </c>
      <c r="J10" s="269">
        <f t="shared" si="0"/>
        <v>30192.69</v>
      </c>
      <c r="K10" s="279"/>
      <c r="M10" s="279"/>
      <c r="N10" s="279"/>
      <c r="O10" s="279"/>
      <c r="P10" s="279"/>
      <c r="Q10" s="279"/>
    </row>
    <row r="11" spans="2:17">
      <c r="B11" s="267" t="s">
        <v>53</v>
      </c>
      <c r="D11" s="269">
        <v>35732</v>
      </c>
      <c r="E11" s="269">
        <v>40319</v>
      </c>
      <c r="F11" s="269">
        <v>36620</v>
      </c>
      <c r="G11" s="269">
        <v>32711</v>
      </c>
      <c r="H11" s="269">
        <v>31362</v>
      </c>
      <c r="I11" s="273">
        <v>30172.16</v>
      </c>
      <c r="J11" s="269">
        <f t="shared" si="0"/>
        <v>30172.16</v>
      </c>
      <c r="K11" s="279"/>
      <c r="M11" s="279"/>
      <c r="N11" s="279"/>
      <c r="O11" s="279"/>
      <c r="P11" s="279"/>
      <c r="Q11" s="279"/>
    </row>
    <row r="12" spans="2:17">
      <c r="B12" s="267" t="s">
        <v>243</v>
      </c>
      <c r="D12" s="269">
        <v>36494</v>
      </c>
      <c r="E12" s="274">
        <v>39514</v>
      </c>
      <c r="F12" s="269">
        <v>36507</v>
      </c>
      <c r="G12" s="269">
        <v>32329</v>
      </c>
      <c r="H12" s="274">
        <v>31096</v>
      </c>
      <c r="I12" s="273">
        <v>29563.26</v>
      </c>
      <c r="J12" s="269">
        <f t="shared" si="0"/>
        <v>29563.26</v>
      </c>
      <c r="K12" s="279"/>
      <c r="M12" s="279"/>
      <c r="N12" s="279"/>
      <c r="O12" s="279"/>
      <c r="P12" s="279"/>
      <c r="Q12" s="279"/>
    </row>
    <row r="13" spans="2:17">
      <c r="B13" s="267" t="s">
        <v>244</v>
      </c>
      <c r="D13" s="269">
        <v>36016</v>
      </c>
      <c r="E13" s="274">
        <v>34697</v>
      </c>
      <c r="F13" s="269">
        <v>35904</v>
      </c>
      <c r="G13" s="269">
        <v>31882</v>
      </c>
      <c r="H13" s="274">
        <v>29255</v>
      </c>
      <c r="I13" s="273">
        <v>26682.36</v>
      </c>
      <c r="J13" s="269">
        <f t="shared" si="0"/>
        <v>26682.36</v>
      </c>
      <c r="K13" s="279"/>
      <c r="M13" s="279"/>
      <c r="N13" s="279"/>
      <c r="O13" s="279"/>
      <c r="P13" s="279"/>
      <c r="Q13" s="279"/>
    </row>
    <row r="14" spans="2:17">
      <c r="B14" s="267" t="s">
        <v>264</v>
      </c>
      <c r="D14" s="269">
        <v>34582</v>
      </c>
      <c r="E14" s="274">
        <v>30969</v>
      </c>
      <c r="F14" s="269">
        <v>29882</v>
      </c>
      <c r="G14" s="269">
        <v>27173</v>
      </c>
      <c r="H14" s="274">
        <v>25758</v>
      </c>
      <c r="I14" s="273">
        <v>22459.42</v>
      </c>
      <c r="J14" s="269">
        <f t="shared" si="0"/>
        <v>22459.42</v>
      </c>
      <c r="K14" s="279"/>
      <c r="M14" s="279"/>
      <c r="N14" s="279"/>
      <c r="O14" s="279"/>
      <c r="P14" s="279"/>
      <c r="Q14" s="279"/>
    </row>
    <row r="15" spans="2:17">
      <c r="B15" s="267" t="s">
        <v>265</v>
      </c>
      <c r="D15" s="269">
        <v>31528</v>
      </c>
      <c r="E15" s="274">
        <v>30706</v>
      </c>
      <c r="F15" s="269">
        <v>27127</v>
      </c>
      <c r="G15" s="269">
        <v>24261</v>
      </c>
      <c r="H15" s="273">
        <f t="shared" ref="H15:H18" si="1">H14/G14*G15</f>
        <v>22997.638759062305</v>
      </c>
      <c r="I15" s="273">
        <v>22064.42</v>
      </c>
      <c r="J15" s="269">
        <f t="shared" si="0"/>
        <v>22064.42</v>
      </c>
      <c r="K15" s="279"/>
      <c r="M15" s="279"/>
      <c r="N15" s="279"/>
      <c r="O15" s="279"/>
      <c r="P15" s="279"/>
      <c r="Q15" s="279"/>
    </row>
    <row r="16" spans="2:17">
      <c r="B16" s="267" t="s">
        <v>266</v>
      </c>
      <c r="D16" s="269">
        <v>31404</v>
      </c>
      <c r="E16" s="274">
        <v>30233</v>
      </c>
      <c r="F16" s="269">
        <v>26772</v>
      </c>
      <c r="G16" s="269">
        <v>23941</v>
      </c>
      <c r="H16" s="273">
        <f t="shared" si="1"/>
        <v>22694.302358959263</v>
      </c>
      <c r="I16" s="273">
        <v>21533.87</v>
      </c>
      <c r="J16" s="269">
        <f t="shared" si="0"/>
        <v>21533.87</v>
      </c>
      <c r="K16" s="279"/>
      <c r="M16" s="279"/>
      <c r="N16" s="279"/>
      <c r="O16" s="279"/>
      <c r="P16" s="279"/>
      <c r="Q16" s="279"/>
    </row>
    <row r="17" spans="2:17">
      <c r="B17" s="267" t="s">
        <v>267</v>
      </c>
      <c r="D17" s="269">
        <v>30918</v>
      </c>
      <c r="E17" s="274">
        <v>30296</v>
      </c>
      <c r="F17" s="269">
        <v>26588</v>
      </c>
      <c r="G17" s="269">
        <v>23968</v>
      </c>
      <c r="H17" s="273">
        <f t="shared" si="1"/>
        <v>22719.89636771796</v>
      </c>
      <c r="I17" s="273">
        <v>21669.07</v>
      </c>
      <c r="J17" s="269">
        <f t="shared" si="0"/>
        <v>21669.07</v>
      </c>
      <c r="K17" s="279"/>
      <c r="M17" s="279"/>
      <c r="N17" s="279"/>
      <c r="O17" s="279"/>
      <c r="P17" s="279"/>
      <c r="Q17" s="279"/>
    </row>
    <row r="18" spans="2:17">
      <c r="B18" s="267" t="s">
        <v>268</v>
      </c>
      <c r="D18" s="269">
        <v>30313</v>
      </c>
      <c r="E18" s="274">
        <v>31132</v>
      </c>
      <c r="F18" s="269">
        <v>27078</v>
      </c>
      <c r="G18" s="269">
        <v>24737</v>
      </c>
      <c r="H18" s="273">
        <f t="shared" si="1"/>
        <v>23448.851654215588</v>
      </c>
      <c r="I18" s="273">
        <v>22310.23</v>
      </c>
      <c r="J18" s="269">
        <f t="shared" si="0"/>
        <v>22310.23</v>
      </c>
      <c r="K18" s="279"/>
      <c r="M18" s="279"/>
      <c r="N18" s="279"/>
      <c r="O18" s="279"/>
      <c r="P18" s="279"/>
      <c r="Q18" s="279"/>
    </row>
    <row r="19" spans="2:17">
      <c r="M19" s="279"/>
      <c r="N19" s="279"/>
      <c r="O19" s="279"/>
      <c r="P19" s="279"/>
    </row>
    <row r="20" spans="2:17">
      <c r="M20" s="279"/>
      <c r="N20" s="279"/>
      <c r="O20" s="279"/>
      <c r="P20" s="279"/>
    </row>
    <row r="21" spans="2:17">
      <c r="B21" s="267" t="s">
        <v>246</v>
      </c>
      <c r="D21" s="281">
        <f t="shared" ref="D21:E21" si="2">SUM(D7:D18)</f>
        <v>389021</v>
      </c>
      <c r="E21" s="281">
        <f t="shared" si="2"/>
        <v>393628</v>
      </c>
      <c r="F21" s="281">
        <f t="shared" ref="F21:J21" si="3">SUM(F7:F18)</f>
        <v>384797</v>
      </c>
      <c r="G21" s="281">
        <f t="shared" si="3"/>
        <v>341417</v>
      </c>
      <c r="H21" s="281">
        <f t="shared" ref="H21:I21" si="4">SUM(H7:H18)</f>
        <v>322952.6891399551</v>
      </c>
      <c r="I21" s="281">
        <f t="shared" si="4"/>
        <v>304438.58999999997</v>
      </c>
      <c r="J21" s="281">
        <f t="shared" si="3"/>
        <v>304438.58999999997</v>
      </c>
      <c r="K21" s="279"/>
      <c r="M21" s="279"/>
      <c r="N21" s="279"/>
      <c r="O21" s="279"/>
      <c r="P21" s="279"/>
    </row>
    <row r="22" spans="2:17">
      <c r="B22" s="267" t="s">
        <v>270</v>
      </c>
      <c r="D22" s="281">
        <f t="shared" ref="D22:E22" si="5">SUM(D7:D18)/12</f>
        <v>32418.416666666668</v>
      </c>
      <c r="E22" s="281">
        <f t="shared" si="5"/>
        <v>32802.333333333336</v>
      </c>
      <c r="F22" s="281">
        <f t="shared" ref="F22:J22" si="6">SUM(F7:F18)/12</f>
        <v>32066.416666666668</v>
      </c>
      <c r="G22" s="281">
        <f t="shared" si="6"/>
        <v>28451.416666666668</v>
      </c>
      <c r="H22" s="281">
        <f t="shared" ref="H22:I22" si="7">SUM(H7:H18)/12</f>
        <v>26912.724094996258</v>
      </c>
      <c r="I22" s="281">
        <f t="shared" si="7"/>
        <v>25369.882499999996</v>
      </c>
      <c r="J22" s="281">
        <f t="shared" si="6"/>
        <v>25369.882499999996</v>
      </c>
      <c r="K22" s="279"/>
    </row>
    <row r="23" spans="2:17">
      <c r="B23" s="267" t="s">
        <v>271</v>
      </c>
      <c r="D23" s="275" t="s">
        <v>66</v>
      </c>
      <c r="E23" s="275">
        <f>(E21-D21)/D21</f>
        <v>1.1842548345719127E-2</v>
      </c>
      <c r="F23" s="275">
        <f>(F21-E21)/E21</f>
        <v>-2.2434887762049448E-2</v>
      </c>
      <c r="G23" s="275">
        <f>(G21-F21)/F21</f>
        <v>-0.11273476664319108</v>
      </c>
      <c r="H23" s="275">
        <f t="shared" ref="H23:I23" si="8">(H21-G21)/G21</f>
        <v>-5.4081404441035173E-2</v>
      </c>
      <c r="I23" s="275">
        <f t="shared" si="8"/>
        <v>-5.7327589342139953E-2</v>
      </c>
      <c r="J23" s="275">
        <f>I23</f>
        <v>-5.7327589342139953E-2</v>
      </c>
      <c r="M23" s="279"/>
      <c r="N23" s="279"/>
      <c r="O23" s="279"/>
      <c r="P23" s="279"/>
    </row>
    <row r="24" spans="2:17">
      <c r="J24" s="267" t="s">
        <v>66</v>
      </c>
    </row>
    <row r="25" spans="2:17">
      <c r="J25" s="267" t="s">
        <v>66</v>
      </c>
    </row>
    <row r="28" spans="2:17">
      <c r="M28" s="267" t="s">
        <v>66</v>
      </c>
    </row>
    <row r="30" spans="2:17">
      <c r="K30" s="267" t="s">
        <v>66</v>
      </c>
    </row>
    <row r="31" spans="2:17">
      <c r="I31" s="267" t="s">
        <v>66</v>
      </c>
    </row>
  </sheetData>
  <phoneticPr fontId="66" type="noConversion"/>
  <pageMargins left="0.7" right="0.7" top="0.75" bottom="0.75" header="0.3" footer="0.3"/>
  <pageSetup scale="62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zoomScale="80" zoomScaleNormal="80" zoomScaleSheetLayoutView="100" workbookViewId="0">
      <selection activeCell="P21" sqref="P21"/>
    </sheetView>
  </sheetViews>
  <sheetFormatPr defaultRowHeight="12.75"/>
  <cols>
    <col min="1" max="1" width="22.5703125" customWidth="1"/>
    <col min="2" max="2" width="11.140625" bestFit="1" customWidth="1"/>
    <col min="3" max="3" width="11.5703125" bestFit="1" customWidth="1"/>
    <col min="4" max="4" width="10" bestFit="1" customWidth="1"/>
    <col min="5" max="5" width="14.42578125" bestFit="1" customWidth="1"/>
    <col min="6" max="6" width="1.7109375" bestFit="1" customWidth="1"/>
    <col min="7" max="7" width="12.7109375" customWidth="1"/>
    <col min="8" max="8" width="17.5703125" bestFit="1" customWidth="1"/>
    <col min="9" max="9" width="8.7109375" bestFit="1" customWidth="1"/>
    <col min="10" max="10" width="2.85546875" customWidth="1"/>
  </cols>
  <sheetData>
    <row r="1" spans="1:14" ht="18">
      <c r="A1" s="263" t="s">
        <v>285</v>
      </c>
      <c r="B1" s="263"/>
      <c r="C1" s="263"/>
      <c r="D1" s="263"/>
      <c r="E1" s="263"/>
      <c r="F1" s="264"/>
      <c r="G1" s="263"/>
      <c r="H1" s="263"/>
      <c r="I1" s="263"/>
    </row>
    <row r="2" spans="1:14" ht="18">
      <c r="A2" s="263" t="s">
        <v>263</v>
      </c>
      <c r="B2" s="263"/>
      <c r="C2" s="263"/>
      <c r="D2" s="263"/>
      <c r="E2" s="263"/>
      <c r="F2" s="264"/>
      <c r="G2" s="263"/>
      <c r="H2" s="263"/>
      <c r="I2" s="263"/>
    </row>
    <row r="3" spans="1:14" ht="18">
      <c r="A3" s="263" t="s">
        <v>276</v>
      </c>
      <c r="B3" s="263"/>
      <c r="C3" s="263"/>
      <c r="D3" s="263"/>
      <c r="E3" s="263"/>
      <c r="F3" s="264"/>
      <c r="G3" s="263"/>
      <c r="H3" s="263"/>
      <c r="I3" s="263"/>
    </row>
    <row r="4" spans="1:14" ht="15.75">
      <c r="A4" s="77"/>
      <c r="B4" s="76"/>
      <c r="C4" s="76"/>
      <c r="D4" s="76"/>
      <c r="E4" s="76"/>
      <c r="G4" s="76"/>
      <c r="H4" s="76"/>
      <c r="I4" s="76"/>
    </row>
    <row r="5" spans="1:14">
      <c r="A5" s="59"/>
      <c r="B5" s="78"/>
      <c r="C5" s="78"/>
      <c r="D5" s="80"/>
      <c r="E5" s="80"/>
      <c r="G5" s="80"/>
      <c r="H5" s="80"/>
      <c r="I5" s="80"/>
    </row>
    <row r="6" spans="1:14">
      <c r="B6" s="78" t="s">
        <v>27</v>
      </c>
      <c r="C6" s="78" t="s">
        <v>254</v>
      </c>
      <c r="D6" s="238" t="s">
        <v>256</v>
      </c>
      <c r="E6" s="238"/>
      <c r="F6" s="78"/>
      <c r="G6" s="238" t="s">
        <v>258</v>
      </c>
      <c r="H6" s="238"/>
      <c r="I6" s="238"/>
    </row>
    <row r="7" spans="1:14">
      <c r="A7" s="59"/>
      <c r="B7" s="78" t="s">
        <v>28</v>
      </c>
      <c r="C7" s="78" t="s">
        <v>30</v>
      </c>
      <c r="D7" s="80" t="s">
        <v>245</v>
      </c>
      <c r="E7" s="258" t="s">
        <v>30</v>
      </c>
      <c r="F7" s="78"/>
      <c r="G7" s="80" t="s">
        <v>245</v>
      </c>
      <c r="H7" s="238" t="s">
        <v>30</v>
      </c>
      <c r="I7" s="238"/>
    </row>
    <row r="8" spans="1:14">
      <c r="A8" s="79" t="s">
        <v>70</v>
      </c>
      <c r="B8" s="79" t="s">
        <v>29</v>
      </c>
      <c r="C8" s="235" t="s">
        <v>250</v>
      </c>
      <c r="D8" s="79" t="s">
        <v>255</v>
      </c>
      <c r="E8" s="79" t="s">
        <v>130</v>
      </c>
      <c r="F8" s="230"/>
      <c r="G8" s="79" t="s">
        <v>255</v>
      </c>
      <c r="H8" s="79" t="s">
        <v>130</v>
      </c>
      <c r="I8" s="79" t="s">
        <v>249</v>
      </c>
    </row>
    <row r="9" spans="1:14">
      <c r="A9" s="239">
        <v>1</v>
      </c>
      <c r="B9" s="240">
        <f>A9+1</f>
        <v>2</v>
      </c>
      <c r="C9" s="240">
        <f>MAX($A9:B9)+1</f>
        <v>3</v>
      </c>
      <c r="D9" s="240">
        <f>MAX($A9:C9)+1</f>
        <v>4</v>
      </c>
      <c r="E9" s="240">
        <f>MAX($A9:D9)+1</f>
        <v>5</v>
      </c>
      <c r="F9" s="230"/>
      <c r="G9" s="240">
        <f>MAX($A9:F9)+1</f>
        <v>6</v>
      </c>
      <c r="H9" s="240">
        <f>MAX($A9:G9)+1</f>
        <v>7</v>
      </c>
      <c r="I9" s="240">
        <f>MAX($A9:H9)+1</f>
        <v>8</v>
      </c>
    </row>
    <row r="10" spans="1:14">
      <c r="A10" s="59"/>
      <c r="B10" s="80"/>
      <c r="C10" s="236"/>
      <c r="D10" s="80"/>
      <c r="E10" s="237" t="s">
        <v>288</v>
      </c>
      <c r="F10" s="230"/>
      <c r="G10" s="80"/>
      <c r="H10" s="237" t="s">
        <v>287</v>
      </c>
      <c r="I10" s="237"/>
    </row>
    <row r="11" spans="1:14" ht="24" customHeight="1">
      <c r="A11" s="59" t="s">
        <v>290</v>
      </c>
      <c r="B11" s="81">
        <v>715266.11750000005</v>
      </c>
      <c r="C11" s="287">
        <v>658892</v>
      </c>
      <c r="D11" s="241">
        <v>0.26</v>
      </c>
      <c r="E11" s="82">
        <f>D11*B11*12</f>
        <v>2231630.2866000002</v>
      </c>
      <c r="F11" s="126"/>
      <c r="G11" s="241">
        <f>MIN(50,ROUND(H11/(B11*12),2))</f>
        <v>0.2</v>
      </c>
      <c r="H11" s="287">
        <f>C11*I11*1000</f>
        <v>1758252.8565530051</v>
      </c>
      <c r="I11" s="265">
        <f>(H24-H14-H15-H22)/SUM(C11:C13,C16:C21,C23)/1000</f>
        <v>2.6684993239453583E-3</v>
      </c>
      <c r="J11" s="241"/>
      <c r="K11" s="272"/>
      <c r="N11" s="280"/>
    </row>
    <row r="12" spans="1:14">
      <c r="A12" s="59" t="s">
        <v>32</v>
      </c>
      <c r="B12" s="81">
        <v>15385</v>
      </c>
      <c r="C12" s="81">
        <v>523880.57099999994</v>
      </c>
      <c r="D12" s="241">
        <v>8.91</v>
      </c>
      <c r="E12" s="82">
        <f t="shared" ref="E12:E22" si="0">D12*B12*12</f>
        <v>1644964.2000000002</v>
      </c>
      <c r="F12" s="126"/>
      <c r="G12" s="241">
        <f>MIN(50,ROUND(H12/(B12*12),2))</f>
        <v>7.57</v>
      </c>
      <c r="H12" s="82">
        <f>C12*I12*1000</f>
        <v>1397974.9495416081</v>
      </c>
      <c r="I12" s="243">
        <f>$I$11</f>
        <v>2.6684993239453583E-3</v>
      </c>
      <c r="J12" s="241"/>
      <c r="K12" s="272"/>
      <c r="N12" s="280"/>
    </row>
    <row r="13" spans="1:14">
      <c r="A13" s="59" t="s">
        <v>33</v>
      </c>
      <c r="B13" s="81">
        <v>8046</v>
      </c>
      <c r="C13" s="81">
        <v>2999.06</v>
      </c>
      <c r="D13" s="241">
        <v>0.13</v>
      </c>
      <c r="E13" s="82">
        <f t="shared" si="0"/>
        <v>12551.76</v>
      </c>
      <c r="F13" s="126"/>
      <c r="G13" s="241">
        <f>MIN(50,ROUND(H13/(B13*12),2))</f>
        <v>0.08</v>
      </c>
      <c r="H13" s="82">
        <f>C13*I13*1000</f>
        <v>8002.9895824715659</v>
      </c>
      <c r="I13" s="243">
        <f>$I$11</f>
        <v>2.6684993239453583E-3</v>
      </c>
      <c r="J13" s="241"/>
      <c r="K13" s="272"/>
      <c r="N13" s="280"/>
    </row>
    <row r="14" spans="1:14">
      <c r="A14" s="59" t="s">
        <v>34</v>
      </c>
      <c r="B14" s="81">
        <v>274</v>
      </c>
      <c r="C14" s="81">
        <v>165622.60700000002</v>
      </c>
      <c r="D14" s="241">
        <v>50</v>
      </c>
      <c r="E14" s="82">
        <f t="shared" si="0"/>
        <v>164400</v>
      </c>
      <c r="F14" s="126"/>
      <c r="G14" s="253">
        <v>50</v>
      </c>
      <c r="H14" s="254">
        <f>G14*B14*12</f>
        <v>164400</v>
      </c>
      <c r="I14" s="255">
        <f>H14/($C14*1000)</f>
        <v>9.926181152310927E-4</v>
      </c>
      <c r="J14" s="253"/>
      <c r="K14" s="272"/>
      <c r="N14" s="280"/>
    </row>
    <row r="15" spans="1:14">
      <c r="A15" s="59" t="s">
        <v>251</v>
      </c>
      <c r="B15" s="81">
        <v>158</v>
      </c>
      <c r="C15" s="81">
        <v>284116.64299999998</v>
      </c>
      <c r="D15" s="241">
        <v>50</v>
      </c>
      <c r="E15" s="82">
        <f t="shared" si="0"/>
        <v>94800</v>
      </c>
      <c r="F15" s="126"/>
      <c r="G15" s="253">
        <v>50</v>
      </c>
      <c r="H15" s="254">
        <f>G15*B15*12</f>
        <v>94800</v>
      </c>
      <c r="I15" s="255">
        <f>H15/($C15*1000)</f>
        <v>3.3366577543294428E-4</v>
      </c>
      <c r="J15" s="253"/>
      <c r="K15" s="272"/>
      <c r="N15" s="280"/>
    </row>
    <row r="16" spans="1:14">
      <c r="A16" s="59" t="s">
        <v>36</v>
      </c>
      <c r="B16" s="81">
        <v>3045.3333333333335</v>
      </c>
      <c r="C16" s="81">
        <v>14348.057999999999</v>
      </c>
      <c r="D16" s="241">
        <v>1.25</v>
      </c>
      <c r="E16" s="82">
        <f t="shared" si="0"/>
        <v>45680</v>
      </c>
      <c r="F16" s="126"/>
      <c r="G16" s="241">
        <f t="shared" ref="G16:G21" si="1">MIN(50,ROUND(H16/(B16*12),2))</f>
        <v>1.05</v>
      </c>
      <c r="H16" s="82">
        <f t="shared" ref="H16:H21" si="2">C16*I16*1000</f>
        <v>38287.783072928789</v>
      </c>
      <c r="I16" s="243">
        <f t="shared" ref="I16:I21" si="3">$I$11</f>
        <v>2.6684993239453583E-3</v>
      </c>
      <c r="J16" s="241"/>
      <c r="K16" s="272"/>
      <c r="N16" s="280"/>
    </row>
    <row r="17" spans="1:14">
      <c r="A17" s="59" t="s">
        <v>37</v>
      </c>
      <c r="B17" s="81">
        <v>809.41666666666663</v>
      </c>
      <c r="C17" s="81">
        <v>4979.3900000000003</v>
      </c>
      <c r="D17" s="241">
        <v>2.2400000000000002</v>
      </c>
      <c r="E17" s="82">
        <f t="shared" si="0"/>
        <v>21757.120000000003</v>
      </c>
      <c r="F17" s="126"/>
      <c r="G17" s="241">
        <f t="shared" si="1"/>
        <v>1.37</v>
      </c>
      <c r="H17" s="82">
        <f t="shared" si="2"/>
        <v>13287.49884866028</v>
      </c>
      <c r="I17" s="243">
        <f t="shared" si="3"/>
        <v>2.6684993239453583E-3</v>
      </c>
      <c r="J17" s="241"/>
      <c r="K17" s="272"/>
      <c r="N17" s="280"/>
    </row>
    <row r="18" spans="1:14">
      <c r="A18" s="59" t="s">
        <v>252</v>
      </c>
      <c r="B18" s="81">
        <v>839</v>
      </c>
      <c r="C18" s="81">
        <v>4144.8670000000002</v>
      </c>
      <c r="D18" s="241">
        <v>1.35</v>
      </c>
      <c r="E18" s="82">
        <f t="shared" si="0"/>
        <v>13591.800000000001</v>
      </c>
      <c r="F18" s="126"/>
      <c r="G18" s="241">
        <f t="shared" si="1"/>
        <v>1.1000000000000001</v>
      </c>
      <c r="H18" s="82">
        <f t="shared" si="2"/>
        <v>11060.574787343427</v>
      </c>
      <c r="I18" s="243">
        <f t="shared" si="3"/>
        <v>2.6684993239453583E-3</v>
      </c>
      <c r="J18" s="241"/>
      <c r="K18" s="272"/>
      <c r="N18" s="280"/>
    </row>
    <row r="19" spans="1:14">
      <c r="A19" s="59" t="s">
        <v>253</v>
      </c>
      <c r="B19" s="81">
        <v>2981</v>
      </c>
      <c r="C19" s="81">
        <v>1916.63</v>
      </c>
      <c r="D19" s="241">
        <v>0.19</v>
      </c>
      <c r="E19" s="82">
        <f t="shared" si="0"/>
        <v>6796.68</v>
      </c>
      <c r="F19" s="126"/>
      <c r="G19" s="241">
        <f t="shared" si="1"/>
        <v>0.14000000000000001</v>
      </c>
      <c r="H19" s="82">
        <f t="shared" si="2"/>
        <v>5114.5258592533928</v>
      </c>
      <c r="I19" s="243">
        <f t="shared" si="3"/>
        <v>2.6684993239453583E-3</v>
      </c>
      <c r="J19" s="241"/>
      <c r="K19" s="272"/>
      <c r="N19" s="280"/>
    </row>
    <row r="20" spans="1:14">
      <c r="A20" s="59" t="s">
        <v>39</v>
      </c>
      <c r="B20" s="81">
        <v>5</v>
      </c>
      <c r="C20" s="81">
        <v>469.04300000000001</v>
      </c>
      <c r="D20" s="241">
        <v>16.64</v>
      </c>
      <c r="E20" s="82">
        <f t="shared" si="0"/>
        <v>998.40000000000009</v>
      </c>
      <c r="F20" s="126"/>
      <c r="G20" s="241">
        <f t="shared" si="1"/>
        <v>20.86</v>
      </c>
      <c r="H20" s="82">
        <f t="shared" si="2"/>
        <v>1251.6409284013027</v>
      </c>
      <c r="I20" s="243">
        <f t="shared" si="3"/>
        <v>2.6684993239453583E-3</v>
      </c>
      <c r="J20" s="241"/>
      <c r="K20" s="272"/>
      <c r="N20" s="280"/>
    </row>
    <row r="21" spans="1:14">
      <c r="A21" s="59" t="s">
        <v>261</v>
      </c>
      <c r="B21" s="81">
        <v>82668</v>
      </c>
      <c r="C21" s="81">
        <v>139064.459</v>
      </c>
      <c r="D21" s="241">
        <v>0.45</v>
      </c>
      <c r="E21" s="82">
        <f t="shared" si="0"/>
        <v>446407.19999999995</v>
      </c>
      <c r="F21" s="126"/>
      <c r="G21" s="241">
        <f t="shared" si="1"/>
        <v>0.37</v>
      </c>
      <c r="H21" s="82">
        <f t="shared" si="2"/>
        <v>371093.41482632706</v>
      </c>
      <c r="I21" s="243">
        <f t="shared" si="3"/>
        <v>2.6684993239453583E-3</v>
      </c>
      <c r="J21" s="241"/>
      <c r="K21" s="272"/>
      <c r="N21" s="280"/>
    </row>
    <row r="22" spans="1:14">
      <c r="A22" s="59" t="s">
        <v>41</v>
      </c>
      <c r="B22" s="81">
        <v>4</v>
      </c>
      <c r="C22" s="81">
        <v>4361.3409999999994</v>
      </c>
      <c r="D22" s="241">
        <v>50</v>
      </c>
      <c r="E22" s="82">
        <f t="shared" si="0"/>
        <v>2400</v>
      </c>
      <c r="F22" s="126"/>
      <c r="G22" s="253">
        <v>50</v>
      </c>
      <c r="H22" s="254">
        <f>G22*B22*12</f>
        <v>2400</v>
      </c>
      <c r="I22" s="255">
        <f>H22/($C22*1000)</f>
        <v>5.5028946372228185E-4</v>
      </c>
      <c r="J22" s="253"/>
      <c r="K22" s="272"/>
      <c r="N22" s="280"/>
    </row>
    <row r="23" spans="1:14" ht="5.25" customHeight="1">
      <c r="A23" s="251"/>
      <c r="B23" s="233"/>
      <c r="C23" s="233"/>
      <c r="D23" s="242"/>
      <c r="E23" s="234"/>
      <c r="F23" s="126"/>
      <c r="G23" s="259"/>
      <c r="H23" s="86"/>
      <c r="I23" s="244"/>
      <c r="K23" s="270"/>
    </row>
    <row r="24" spans="1:14">
      <c r="A24" s="59" t="s">
        <v>171</v>
      </c>
      <c r="B24" s="81">
        <f>SUM(B11:B23)</f>
        <v>829480.86750000005</v>
      </c>
      <c r="C24" s="82">
        <f>SUM(C11:C23)</f>
        <v>1804794.669</v>
      </c>
      <c r="D24" s="76"/>
      <c r="E24" s="82">
        <f>SUM(E11:E23)</f>
        <v>4685977.4466000004</v>
      </c>
      <c r="G24" s="76"/>
      <c r="H24" s="82">
        <f>SUM(H25:H27)</f>
        <v>3865926.2339999992</v>
      </c>
      <c r="I24" s="243">
        <f>H24/($C24*1000)</f>
        <v>2.1420310578277751E-3</v>
      </c>
      <c r="K24" s="285">
        <f>E24-H24</f>
        <v>820051.21260000113</v>
      </c>
    </row>
    <row r="25" spans="1:14" s="249" customFormat="1">
      <c r="A25" s="245" t="s">
        <v>262</v>
      </c>
      <c r="B25" s="245"/>
      <c r="C25" s="245"/>
      <c r="D25" s="245"/>
      <c r="E25" s="256">
        <v>30000</v>
      </c>
      <c r="G25" s="252"/>
      <c r="H25" s="256">
        <v>30000</v>
      </c>
      <c r="I25" s="250"/>
    </row>
    <row r="26" spans="1:14" s="249" customFormat="1">
      <c r="A26" s="245" t="s">
        <v>257</v>
      </c>
      <c r="B26" s="245"/>
      <c r="C26" s="245"/>
      <c r="D26" s="245"/>
      <c r="E26" s="256">
        <v>0</v>
      </c>
      <c r="G26" s="245"/>
      <c r="H26" s="256">
        <v>0</v>
      </c>
      <c r="I26" s="250"/>
    </row>
    <row r="27" spans="1:14" s="228" customFormat="1">
      <c r="A27" s="59" t="s">
        <v>67</v>
      </c>
      <c r="B27" s="59"/>
      <c r="C27" s="59"/>
      <c r="D27" s="59"/>
      <c r="E27" s="232">
        <f>E24-E25-E26</f>
        <v>4655977.4466000004</v>
      </c>
      <c r="G27" s="59"/>
      <c r="H27" s="283">
        <f>-H29</f>
        <v>3835926.2339999992</v>
      </c>
      <c r="I27" s="232"/>
    </row>
    <row r="28" spans="1:14" s="249" customFormat="1">
      <c r="A28" s="245" t="s">
        <v>275</v>
      </c>
      <c r="B28" s="246">
        <f>370465/12</f>
        <v>30872.083333333332</v>
      </c>
      <c r="C28" s="286">
        <f>23113292/1000</f>
        <v>23113.292000000001</v>
      </c>
      <c r="D28" s="257">
        <v>-12.6</v>
      </c>
      <c r="G28" s="247">
        <v>-12.6</v>
      </c>
      <c r="I28" s="248"/>
    </row>
    <row r="29" spans="1:14" s="249" customFormat="1">
      <c r="A29" s="245" t="s">
        <v>274</v>
      </c>
      <c r="B29" s="246">
        <f>'Page 1 - Est Participants'!J22</f>
        <v>25369.882499999996</v>
      </c>
      <c r="C29" s="286">
        <v>18994</v>
      </c>
      <c r="D29" s="257"/>
      <c r="E29" s="266">
        <f>$B29*D28*12</f>
        <v>-3835926.2339999992</v>
      </c>
      <c r="G29" s="247"/>
      <c r="H29" s="266">
        <f>$B29*G28*12</f>
        <v>-3835926.2339999992</v>
      </c>
      <c r="I29" s="248"/>
    </row>
    <row r="30" spans="1:14" ht="13.5" thickBot="1">
      <c r="A30" s="260" t="s">
        <v>259</v>
      </c>
      <c r="B30" s="261"/>
      <c r="C30" s="261"/>
      <c r="D30" s="261"/>
      <c r="E30" s="262">
        <f>SUM(E27:E29)</f>
        <v>820051.21260000113</v>
      </c>
      <c r="G30" s="261"/>
      <c r="H30" s="262">
        <f>SUM(H27:H29)</f>
        <v>0</v>
      </c>
      <c r="I30" s="262"/>
    </row>
    <row r="31" spans="1:14" ht="13.5" thickTop="1">
      <c r="A31" s="271"/>
      <c r="B31" s="276"/>
      <c r="C31" s="276"/>
      <c r="D31" s="276"/>
      <c r="E31" s="277"/>
      <c r="G31" s="276"/>
      <c r="H31" s="277"/>
      <c r="I31" s="277"/>
    </row>
    <row r="32" spans="1:14">
      <c r="A32" s="85"/>
      <c r="B32" s="76"/>
      <c r="C32" s="76"/>
      <c r="D32" s="76" t="s">
        <v>278</v>
      </c>
      <c r="E32" s="82"/>
      <c r="G32" s="76"/>
      <c r="H32" s="278">
        <f>(H24-E24)/E24</f>
        <v>-0.17500110103923031</v>
      </c>
      <c r="I32" s="82"/>
    </row>
    <row r="33" spans="1:9" ht="15" customHeight="1">
      <c r="A33" s="85"/>
      <c r="B33" s="76"/>
      <c r="C33" s="76"/>
      <c r="D33" s="76"/>
      <c r="E33" s="82"/>
      <c r="G33" s="76"/>
      <c r="H33" s="82"/>
      <c r="I33" s="82"/>
    </row>
    <row r="34" spans="1:9">
      <c r="A34" s="85"/>
      <c r="B34" s="76"/>
      <c r="C34" s="76"/>
      <c r="D34" s="76"/>
      <c r="E34" s="82"/>
      <c r="F34" t="s">
        <v>66</v>
      </c>
      <c r="G34" s="76"/>
      <c r="H34" s="82"/>
      <c r="I34" s="82"/>
    </row>
    <row r="35" spans="1:9">
      <c r="A35" s="87"/>
      <c r="B35" s="76"/>
      <c r="C35" s="76"/>
      <c r="D35" s="76"/>
      <c r="E35" s="76"/>
      <c r="G35" s="76"/>
      <c r="H35" s="76"/>
      <c r="I35" s="76"/>
    </row>
    <row r="36" spans="1:9">
      <c r="A36" s="85"/>
      <c r="B36" s="82"/>
      <c r="C36" s="82"/>
      <c r="D36" s="76"/>
      <c r="E36" s="76"/>
      <c r="G36" s="76"/>
      <c r="H36" s="288"/>
      <c r="I36" s="76"/>
    </row>
    <row r="37" spans="1:9">
      <c r="A37" s="231"/>
      <c r="B37" s="81"/>
      <c r="C37" s="81"/>
      <c r="D37" s="76"/>
      <c r="E37" s="76"/>
      <c r="G37" s="76"/>
      <c r="H37" s="76"/>
      <c r="I37" s="76"/>
    </row>
    <row r="38" spans="1:9">
      <c r="A38" s="85"/>
      <c r="B38" s="229"/>
      <c r="C38" s="229"/>
      <c r="D38" s="76"/>
      <c r="E38" s="76"/>
      <c r="G38" s="76"/>
      <c r="H38" s="76"/>
      <c r="I38" s="76"/>
    </row>
    <row r="39" spans="1:9">
      <c r="A39" s="85"/>
      <c r="B39" s="82"/>
      <c r="C39" s="82"/>
      <c r="D39" s="76"/>
      <c r="E39" s="76"/>
      <c r="G39" s="76"/>
      <c r="H39" s="76"/>
      <c r="I39" s="76"/>
    </row>
    <row r="40" spans="1:9">
      <c r="A40" s="85"/>
      <c r="B40" s="82"/>
      <c r="C40" s="82"/>
      <c r="D40" s="76"/>
      <c r="E40" s="76"/>
      <c r="G40" s="76"/>
      <c r="H40" s="76"/>
      <c r="I40" s="76"/>
    </row>
    <row r="41" spans="1:9">
      <c r="A41" s="85"/>
      <c r="B41" s="82"/>
      <c r="C41" s="82"/>
      <c r="D41" s="76"/>
      <c r="E41" s="76"/>
      <c r="G41" s="76"/>
      <c r="H41" s="76"/>
      <c r="I41" s="76"/>
    </row>
    <row r="42" spans="1:9">
      <c r="A42" s="231"/>
      <c r="B42" s="81"/>
      <c r="C42" s="81"/>
      <c r="D42" s="76"/>
      <c r="E42" s="76"/>
      <c r="G42" s="76"/>
      <c r="H42" s="76"/>
      <c r="I42" s="76"/>
    </row>
    <row r="43" spans="1:9">
      <c r="A43" s="85"/>
      <c r="B43" s="229"/>
      <c r="C43" s="229"/>
      <c r="D43" s="76"/>
      <c r="E43" s="76"/>
      <c r="G43" s="76"/>
      <c r="H43" s="76"/>
      <c r="I43" s="76"/>
    </row>
    <row r="44" spans="1:9">
      <c r="A44" s="85"/>
      <c r="B44" s="82"/>
      <c r="C44" s="82"/>
      <c r="D44" s="76"/>
      <c r="E44" s="76"/>
      <c r="G44" s="76"/>
      <c r="H44" s="76"/>
      <c r="I44" s="76"/>
    </row>
    <row r="45" spans="1:9">
      <c r="A45" s="85"/>
      <c r="B45" s="84"/>
      <c r="C45" s="84"/>
      <c r="D45" s="76"/>
      <c r="E45" s="76"/>
      <c r="G45" s="76"/>
      <c r="H45" s="76"/>
      <c r="I45" s="76"/>
    </row>
    <row r="46" spans="1:9">
      <c r="A46" s="85"/>
      <c r="B46" s="82"/>
      <c r="C46" s="82"/>
      <c r="D46" s="76"/>
      <c r="E46" s="76"/>
      <c r="G46" s="76"/>
      <c r="H46" s="76"/>
      <c r="I46" s="76"/>
    </row>
    <row r="47" spans="1:9">
      <c r="A47" s="76"/>
      <c r="B47" s="76"/>
      <c r="C47" s="76"/>
      <c r="D47" s="76"/>
      <c r="E47" s="76"/>
      <c r="G47" s="76"/>
      <c r="H47" s="76"/>
      <c r="I47" s="76"/>
    </row>
    <row r="48" spans="1:9">
      <c r="A48" s="59"/>
      <c r="B48" s="76"/>
      <c r="C48" s="76"/>
      <c r="D48" s="76"/>
      <c r="E48" s="76"/>
      <c r="G48" s="76"/>
      <c r="H48" s="76"/>
      <c r="I48" s="76"/>
    </row>
    <row r="49" spans="1:9">
      <c r="A49" s="59"/>
      <c r="B49" s="76"/>
      <c r="C49" s="76"/>
      <c r="D49" s="76"/>
      <c r="E49" s="76"/>
      <c r="G49" s="76"/>
      <c r="H49" s="76"/>
      <c r="I49" s="76"/>
    </row>
    <row r="50" spans="1:9">
      <c r="A50" s="59"/>
      <c r="B50" s="76"/>
      <c r="C50" s="76"/>
      <c r="D50" s="76"/>
      <c r="E50" s="76"/>
      <c r="G50" s="76"/>
      <c r="H50" s="76"/>
      <c r="I50" s="76"/>
    </row>
    <row r="51" spans="1:9">
      <c r="A51" s="59"/>
      <c r="B51" s="76"/>
      <c r="C51" s="76"/>
      <c r="D51" s="76"/>
      <c r="E51" s="76"/>
      <c r="G51" s="76"/>
      <c r="H51" s="76"/>
      <c r="I51" s="76"/>
    </row>
    <row r="52" spans="1:9">
      <c r="A52" s="59"/>
      <c r="B52" s="76"/>
      <c r="C52" s="76"/>
      <c r="D52" s="76"/>
      <c r="E52" s="76"/>
      <c r="G52" s="76"/>
      <c r="H52" s="76"/>
      <c r="I52" s="76"/>
    </row>
    <row r="53" spans="1:9">
      <c r="A53" s="59"/>
      <c r="B53" s="76"/>
      <c r="C53" s="76"/>
      <c r="D53" s="76"/>
      <c r="E53" s="76"/>
      <c r="G53" s="76"/>
      <c r="H53" s="76"/>
      <c r="I53" s="76"/>
    </row>
    <row r="54" spans="1:9">
      <c r="A54" s="59"/>
      <c r="B54" s="76"/>
      <c r="C54" s="76"/>
      <c r="D54" s="76"/>
      <c r="E54" s="76"/>
      <c r="G54" s="76"/>
      <c r="H54" s="76"/>
      <c r="I54" s="76"/>
    </row>
  </sheetData>
  <phoneticPr fontId="18" type="noConversion"/>
  <pageMargins left="0.7" right="0.7" top="0.75" bottom="0.75" header="0.3" footer="0.3"/>
  <pageSetup orientation="landscape" r:id="rId1"/>
  <headerFooter scaleWithDoc="0">
    <oddHeader xml:space="preserve">&amp;RDocket No. 14-035-T12
DPU Revised Attachment-A, pg 2
November 25, 2014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zoomScale="80" zoomScaleNormal="80" zoomScaleSheetLayoutView="100" workbookViewId="0">
      <selection activeCell="R12" sqref="R12"/>
    </sheetView>
  </sheetViews>
  <sheetFormatPr defaultRowHeight="12.75"/>
  <cols>
    <col min="1" max="1" width="22.5703125" customWidth="1"/>
    <col min="2" max="2" width="11.140625" bestFit="1" customWidth="1"/>
    <col min="3" max="3" width="11.5703125" bestFit="1" customWidth="1"/>
    <col min="4" max="4" width="10" bestFit="1" customWidth="1"/>
    <col min="5" max="5" width="14.42578125" bestFit="1" customWidth="1"/>
    <col min="6" max="6" width="1.7109375" bestFit="1" customWidth="1"/>
    <col min="7" max="7" width="12.7109375" customWidth="1"/>
    <col min="8" max="8" width="15" customWidth="1"/>
    <col min="9" max="9" width="11.5703125" customWidth="1"/>
  </cols>
  <sheetData>
    <row r="1" spans="1:13" ht="18">
      <c r="A1" s="263" t="s">
        <v>286</v>
      </c>
      <c r="B1" s="263"/>
      <c r="C1" s="263"/>
      <c r="D1" s="263"/>
      <c r="E1" s="263"/>
      <c r="F1" s="264"/>
      <c r="G1" s="263"/>
      <c r="H1" s="263"/>
      <c r="I1" s="263"/>
    </row>
    <row r="2" spans="1:13" ht="18">
      <c r="A2" s="263" t="s">
        <v>281</v>
      </c>
      <c r="B2" s="263"/>
      <c r="C2" s="263"/>
      <c r="D2" s="263"/>
      <c r="E2" s="263"/>
      <c r="F2" s="264"/>
      <c r="G2" s="263"/>
      <c r="H2" s="263"/>
      <c r="I2" s="263"/>
    </row>
    <row r="3" spans="1:13" ht="18">
      <c r="A3" s="263" t="s">
        <v>276</v>
      </c>
      <c r="B3" s="263"/>
      <c r="C3" s="263"/>
      <c r="D3" s="263"/>
      <c r="E3" s="263"/>
      <c r="F3" s="264"/>
      <c r="G3" s="263"/>
      <c r="H3" s="263"/>
      <c r="I3" s="263"/>
    </row>
    <row r="4" spans="1:13" ht="15.75">
      <c r="A4" s="77"/>
      <c r="B4" s="76"/>
      <c r="C4" s="76"/>
      <c r="D4" s="76"/>
      <c r="E4" s="76"/>
      <c r="G4" s="76"/>
      <c r="H4" s="76"/>
      <c r="I4" s="76"/>
    </row>
    <row r="5" spans="1:13">
      <c r="A5" s="59"/>
      <c r="B5" s="78"/>
      <c r="C5" s="78"/>
      <c r="D5" s="80"/>
      <c r="E5" s="80"/>
      <c r="G5" s="80"/>
      <c r="H5" s="80"/>
      <c r="I5" s="80"/>
    </row>
    <row r="6" spans="1:13">
      <c r="B6" s="78" t="s">
        <v>27</v>
      </c>
      <c r="C6" s="78" t="s">
        <v>254</v>
      </c>
      <c r="D6" s="238" t="s">
        <v>256</v>
      </c>
      <c r="E6" s="238"/>
      <c r="F6" s="78"/>
      <c r="G6" s="238" t="s">
        <v>283</v>
      </c>
      <c r="H6" s="238"/>
      <c r="I6" s="238"/>
    </row>
    <row r="7" spans="1:13">
      <c r="A7" s="59"/>
      <c r="B7" s="78" t="s">
        <v>28</v>
      </c>
      <c r="C7" s="78" t="s">
        <v>30</v>
      </c>
      <c r="D7" s="80" t="s">
        <v>245</v>
      </c>
      <c r="E7" s="258" t="s">
        <v>30</v>
      </c>
      <c r="F7" s="78"/>
      <c r="G7" s="80" t="s">
        <v>245</v>
      </c>
      <c r="H7" s="238" t="s">
        <v>30</v>
      </c>
      <c r="I7" s="238"/>
    </row>
    <row r="8" spans="1:13">
      <c r="A8" s="79" t="s">
        <v>70</v>
      </c>
      <c r="B8" s="79" t="s">
        <v>29</v>
      </c>
      <c r="C8" s="235" t="s">
        <v>250</v>
      </c>
      <c r="D8" s="79" t="s">
        <v>255</v>
      </c>
      <c r="E8" s="79" t="s">
        <v>130</v>
      </c>
      <c r="F8" s="230"/>
      <c r="G8" s="79" t="s">
        <v>282</v>
      </c>
      <c r="H8" s="79" t="s">
        <v>130</v>
      </c>
      <c r="I8" s="79" t="s">
        <v>284</v>
      </c>
    </row>
    <row r="9" spans="1:13">
      <c r="A9" s="239">
        <v>1</v>
      </c>
      <c r="B9" s="240">
        <f>A9+1</f>
        <v>2</v>
      </c>
      <c r="C9" s="240">
        <f>MAX($A9:B9)+1</f>
        <v>3</v>
      </c>
      <c r="D9" s="240">
        <f>MAX($A9:C9)+1</f>
        <v>4</v>
      </c>
      <c r="E9" s="240">
        <f>MAX($A9:D9)+1</f>
        <v>5</v>
      </c>
      <c r="F9" s="230"/>
      <c r="G9" s="240">
        <f>MAX($A9:F9)+1</f>
        <v>6</v>
      </c>
      <c r="H9" s="240">
        <f>MAX($A9:G9)+1</f>
        <v>7</v>
      </c>
      <c r="I9" s="240">
        <f>MAX($A9:H9)+1</f>
        <v>8</v>
      </c>
    </row>
    <row r="10" spans="1:13">
      <c r="A10" s="59"/>
      <c r="B10" s="80"/>
      <c r="C10" s="236"/>
      <c r="D10" s="80"/>
      <c r="E10" s="237" t="s">
        <v>288</v>
      </c>
      <c r="F10" s="230"/>
      <c r="G10" s="80"/>
      <c r="H10" s="237" t="s">
        <v>289</v>
      </c>
      <c r="I10" s="237"/>
    </row>
    <row r="11" spans="1:13" ht="24" customHeight="1">
      <c r="A11" s="59" t="s">
        <v>260</v>
      </c>
      <c r="B11" s="81">
        <v>715266.11750000005</v>
      </c>
      <c r="C11" s="287">
        <v>658892</v>
      </c>
      <c r="D11" s="241">
        <v>0.26</v>
      </c>
      <c r="E11" s="82">
        <f t="shared" ref="E11:E22" si="0">D11*B11*12</f>
        <v>2231630.2866000002</v>
      </c>
      <c r="F11" s="126"/>
      <c r="G11" s="241">
        <f>MIN(50,ROUND(H11/(B11),2))</f>
        <v>-0.87</v>
      </c>
      <c r="H11" s="82">
        <f>E11*I11</f>
        <v>-623746.94918575662</v>
      </c>
      <c r="I11" s="265">
        <f>(H24-H14-H15-H22)/SUM(E11:E13,E16:E21,E23)</f>
        <v>-0.27950281591493642</v>
      </c>
      <c r="J11" s="241"/>
      <c r="M11" s="280"/>
    </row>
    <row r="12" spans="1:13">
      <c r="A12" s="59" t="s">
        <v>32</v>
      </c>
      <c r="B12" s="81">
        <v>15385</v>
      </c>
      <c r="C12" s="81">
        <v>523880.57099999994</v>
      </c>
      <c r="D12" s="241">
        <v>8.91</v>
      </c>
      <c r="E12" s="82">
        <f t="shared" si="0"/>
        <v>1644964.2000000002</v>
      </c>
      <c r="F12" s="126"/>
      <c r="G12" s="241">
        <f t="shared" ref="G12:G13" si="1">MIN(50,ROUND(H12/(B12),2))</f>
        <v>-29.88</v>
      </c>
      <c r="H12" s="82">
        <f>E12*I12</f>
        <v>-459772.12597926072</v>
      </c>
      <c r="I12" s="243">
        <f>$I$11</f>
        <v>-0.27950281591493642</v>
      </c>
      <c r="J12" s="241"/>
      <c r="M12" s="280"/>
    </row>
    <row r="13" spans="1:13">
      <c r="A13" s="59" t="s">
        <v>33</v>
      </c>
      <c r="B13" s="81">
        <v>8046</v>
      </c>
      <c r="C13" s="81">
        <v>2999.06</v>
      </c>
      <c r="D13" s="241">
        <v>0.13</v>
      </c>
      <c r="E13" s="82">
        <f t="shared" si="0"/>
        <v>12551.76</v>
      </c>
      <c r="F13" s="126"/>
      <c r="G13" s="241">
        <f t="shared" si="1"/>
        <v>-0.44</v>
      </c>
      <c r="H13" s="82">
        <f>E13*I13</f>
        <v>-3508.2522646884622</v>
      </c>
      <c r="I13" s="243">
        <f>$I$11</f>
        <v>-0.27950281591493642</v>
      </c>
      <c r="J13" s="241"/>
      <c r="M13" s="280"/>
    </row>
    <row r="14" spans="1:13">
      <c r="A14" s="59" t="s">
        <v>34</v>
      </c>
      <c r="B14" s="81">
        <v>274</v>
      </c>
      <c r="C14" s="81">
        <v>165622.60700000002</v>
      </c>
      <c r="D14" s="241">
        <v>50</v>
      </c>
      <c r="E14" s="82">
        <f t="shared" si="0"/>
        <v>164400</v>
      </c>
      <c r="F14" s="126"/>
      <c r="G14" s="253">
        <v>0</v>
      </c>
      <c r="H14" s="254">
        <f>G14*B14*12</f>
        <v>0</v>
      </c>
      <c r="I14" s="255">
        <f>H14/($C14*1000)</f>
        <v>0</v>
      </c>
      <c r="J14" s="253"/>
      <c r="M14" s="280"/>
    </row>
    <row r="15" spans="1:13">
      <c r="A15" s="59" t="s">
        <v>251</v>
      </c>
      <c r="B15" s="81">
        <v>158</v>
      </c>
      <c r="C15" s="81">
        <v>284116.64299999998</v>
      </c>
      <c r="D15" s="241">
        <v>50</v>
      </c>
      <c r="E15" s="82">
        <f t="shared" si="0"/>
        <v>94800</v>
      </c>
      <c r="F15" s="126"/>
      <c r="G15" s="253">
        <v>0</v>
      </c>
      <c r="H15" s="254">
        <f>G15*B15*12</f>
        <v>0</v>
      </c>
      <c r="I15" s="255">
        <f>H15/($C15*1000)</f>
        <v>0</v>
      </c>
      <c r="J15" s="253"/>
      <c r="M15" s="280"/>
    </row>
    <row r="16" spans="1:13">
      <c r="A16" s="59" t="s">
        <v>36</v>
      </c>
      <c r="B16" s="81">
        <v>3045.3333333333335</v>
      </c>
      <c r="C16" s="81">
        <v>14348.057999999999</v>
      </c>
      <c r="D16" s="241">
        <v>1.25</v>
      </c>
      <c r="E16" s="82">
        <f t="shared" si="0"/>
        <v>45680</v>
      </c>
      <c r="F16" s="126"/>
      <c r="G16" s="241">
        <f t="shared" ref="G16:G21" si="2">MIN(50,ROUND(H16/(B16),2))</f>
        <v>-4.1900000000000004</v>
      </c>
      <c r="H16" s="82">
        <f t="shared" ref="H16:H21" si="3">E16*I16</f>
        <v>-12767.688630994297</v>
      </c>
      <c r="I16" s="243">
        <f t="shared" ref="I16:I21" si="4">$I$11</f>
        <v>-0.27950281591493642</v>
      </c>
      <c r="J16" s="241"/>
      <c r="M16" s="284"/>
    </row>
    <row r="17" spans="1:13">
      <c r="A17" s="59" t="s">
        <v>37</v>
      </c>
      <c r="B17" s="81">
        <v>809.41666666666663</v>
      </c>
      <c r="C17" s="81">
        <v>4979.3900000000003</v>
      </c>
      <c r="D17" s="241">
        <v>2.2400000000000002</v>
      </c>
      <c r="E17" s="82">
        <f t="shared" si="0"/>
        <v>21757.120000000003</v>
      </c>
      <c r="F17" s="126"/>
      <c r="G17" s="241">
        <f t="shared" si="2"/>
        <v>-7.51</v>
      </c>
      <c r="H17" s="82">
        <f t="shared" si="3"/>
        <v>-6081.1763061991824</v>
      </c>
      <c r="I17" s="243">
        <f t="shared" si="4"/>
        <v>-0.27950281591493642</v>
      </c>
      <c r="J17" s="241"/>
      <c r="M17" s="280"/>
    </row>
    <row r="18" spans="1:13">
      <c r="A18" s="59" t="s">
        <v>252</v>
      </c>
      <c r="B18" s="81">
        <v>839</v>
      </c>
      <c r="C18" s="81">
        <v>4144.8670000000002</v>
      </c>
      <c r="D18" s="241">
        <v>1.35</v>
      </c>
      <c r="E18" s="82">
        <f t="shared" si="0"/>
        <v>13591.800000000001</v>
      </c>
      <c r="F18" s="126"/>
      <c r="G18" s="241">
        <f t="shared" si="2"/>
        <v>-4.53</v>
      </c>
      <c r="H18" s="82">
        <f t="shared" si="3"/>
        <v>-3798.9463733526331</v>
      </c>
      <c r="I18" s="243">
        <f t="shared" si="4"/>
        <v>-0.27950281591493642</v>
      </c>
      <c r="J18" s="241"/>
      <c r="M18" s="280"/>
    </row>
    <row r="19" spans="1:13">
      <c r="A19" s="59" t="s">
        <v>253</v>
      </c>
      <c r="B19" s="81">
        <v>2981</v>
      </c>
      <c r="C19" s="81">
        <v>1916.63</v>
      </c>
      <c r="D19" s="241">
        <v>0.19</v>
      </c>
      <c r="E19" s="82">
        <f t="shared" si="0"/>
        <v>6796.68</v>
      </c>
      <c r="F19" s="126"/>
      <c r="G19" s="241">
        <f t="shared" si="2"/>
        <v>-0.64</v>
      </c>
      <c r="H19" s="82">
        <f t="shared" si="3"/>
        <v>-1899.6911988727302</v>
      </c>
      <c r="I19" s="243">
        <f t="shared" si="4"/>
        <v>-0.27950281591493642</v>
      </c>
      <c r="J19" s="241"/>
      <c r="M19" s="280"/>
    </row>
    <row r="20" spans="1:13">
      <c r="A20" s="59" t="s">
        <v>39</v>
      </c>
      <c r="B20" s="81">
        <v>5</v>
      </c>
      <c r="C20" s="81">
        <v>469.04300000000001</v>
      </c>
      <c r="D20" s="241">
        <v>16.64</v>
      </c>
      <c r="E20" s="82">
        <f t="shared" si="0"/>
        <v>998.40000000000009</v>
      </c>
      <c r="F20" s="126"/>
      <c r="G20" s="241">
        <f t="shared" si="2"/>
        <v>-55.81</v>
      </c>
      <c r="H20" s="82">
        <f t="shared" si="3"/>
        <v>-279.05561140947253</v>
      </c>
      <c r="I20" s="243">
        <f t="shared" si="4"/>
        <v>-0.27950281591493642</v>
      </c>
      <c r="J20" s="241"/>
      <c r="M20" s="280"/>
    </row>
    <row r="21" spans="1:13">
      <c r="A21" s="59" t="s">
        <v>261</v>
      </c>
      <c r="B21" s="81">
        <v>82668</v>
      </c>
      <c r="C21" s="81">
        <v>139064.459</v>
      </c>
      <c r="D21" s="241">
        <v>0.45</v>
      </c>
      <c r="E21" s="82">
        <f t="shared" si="0"/>
        <v>446407.19999999995</v>
      </c>
      <c r="F21" s="126"/>
      <c r="G21" s="241">
        <f t="shared" si="2"/>
        <v>-1.51</v>
      </c>
      <c r="H21" s="82">
        <f t="shared" si="3"/>
        <v>-124772.0694447022</v>
      </c>
      <c r="I21" s="243">
        <f t="shared" si="4"/>
        <v>-0.27950281591493642</v>
      </c>
      <c r="J21" s="241"/>
      <c r="M21" s="280"/>
    </row>
    <row r="22" spans="1:13">
      <c r="A22" s="59" t="s">
        <v>41</v>
      </c>
      <c r="B22" s="81">
        <v>4</v>
      </c>
      <c r="C22" s="81">
        <v>4361.3409999999994</v>
      </c>
      <c r="D22" s="241">
        <v>50</v>
      </c>
      <c r="E22" s="82">
        <f t="shared" si="0"/>
        <v>2400</v>
      </c>
      <c r="F22" s="126"/>
      <c r="G22" s="253">
        <v>0</v>
      </c>
      <c r="H22" s="254">
        <f>G22*B22*12</f>
        <v>0</v>
      </c>
      <c r="I22" s="255">
        <f>H22/($C22*1000)</f>
        <v>0</v>
      </c>
      <c r="J22" s="253"/>
      <c r="M22" s="280"/>
    </row>
    <row r="23" spans="1:13" ht="6.75" customHeight="1">
      <c r="A23" s="251"/>
      <c r="B23" s="233"/>
      <c r="C23" s="233"/>
      <c r="D23" s="242"/>
      <c r="E23" s="234"/>
      <c r="F23" s="126"/>
      <c r="G23" s="259"/>
      <c r="H23" s="86"/>
      <c r="I23" s="244"/>
    </row>
    <row r="24" spans="1:13">
      <c r="A24" s="59" t="s">
        <v>171</v>
      </c>
      <c r="B24" s="81">
        <f>SUM(B11:B23)</f>
        <v>829480.86750000005</v>
      </c>
      <c r="C24" s="82">
        <f>SUM(C11:C23)</f>
        <v>1804794.669</v>
      </c>
      <c r="D24" s="76"/>
      <c r="E24" s="82">
        <f>SUM(E11:E23)</f>
        <v>4685977.4466000004</v>
      </c>
      <c r="G24" s="76"/>
      <c r="H24" s="82">
        <f>SUM(H25:H27)</f>
        <v>-1236625.9549952364</v>
      </c>
      <c r="I24" s="243">
        <f>H24/($E24)</f>
        <v>-0.26389925454986851</v>
      </c>
    </row>
    <row r="25" spans="1:13" s="249" customFormat="1">
      <c r="A25" s="245" t="s">
        <v>262</v>
      </c>
      <c r="B25" s="245"/>
      <c r="C25" s="245"/>
      <c r="D25" s="245"/>
      <c r="E25" s="256">
        <v>30000</v>
      </c>
      <c r="G25" s="252"/>
      <c r="H25" s="256">
        <v>0</v>
      </c>
      <c r="I25" s="250"/>
    </row>
    <row r="26" spans="1:13" s="249" customFormat="1">
      <c r="A26" s="245" t="s">
        <v>257</v>
      </c>
      <c r="B26" s="245"/>
      <c r="C26" s="245"/>
      <c r="D26" s="245"/>
      <c r="E26" s="256">
        <v>0</v>
      </c>
      <c r="G26" s="245"/>
      <c r="H26" s="256">
        <v>0</v>
      </c>
      <c r="I26" s="250"/>
    </row>
    <row r="27" spans="1:13" s="228" customFormat="1">
      <c r="A27" s="59" t="s">
        <v>67</v>
      </c>
      <c r="B27" s="59"/>
      <c r="C27" s="59"/>
      <c r="D27" s="59"/>
      <c r="E27" s="232">
        <f>E24-E25-E26</f>
        <v>4655977.4466000004</v>
      </c>
      <c r="G27" s="59"/>
      <c r="H27" s="283">
        <f>-H34</f>
        <v>-1236625.9549952364</v>
      </c>
      <c r="I27" s="232"/>
    </row>
    <row r="28" spans="1:13" s="249" customFormat="1">
      <c r="A28" s="245" t="s">
        <v>275</v>
      </c>
      <c r="B28" s="246">
        <f>370465/12</f>
        <v>30872.083333333332</v>
      </c>
      <c r="C28" s="286">
        <f>23113292/1000</f>
        <v>23113.292000000001</v>
      </c>
      <c r="D28" s="257">
        <v>-12.6</v>
      </c>
      <c r="G28" s="247" t="s">
        <v>66</v>
      </c>
      <c r="I28" s="248"/>
    </row>
    <row r="29" spans="1:13" s="249" customFormat="1">
      <c r="A29" s="245" t="s">
        <v>274</v>
      </c>
      <c r="B29" s="246">
        <f>'Page 1 - Est Participants'!J22</f>
        <v>25369.882499999996</v>
      </c>
      <c r="C29" s="286">
        <v>18994</v>
      </c>
      <c r="D29" s="257"/>
      <c r="E29" s="266">
        <f>$B29*D28*12</f>
        <v>-3835926.2339999992</v>
      </c>
      <c r="G29" s="247"/>
      <c r="H29" s="266" t="s">
        <v>66</v>
      </c>
      <c r="I29" s="248"/>
    </row>
    <row r="30" spans="1:13" ht="13.5" thickBot="1">
      <c r="A30" s="260" t="s">
        <v>259</v>
      </c>
      <c r="B30" s="261"/>
      <c r="C30" s="261"/>
      <c r="D30" s="261"/>
      <c r="E30" s="262">
        <f>SUM(E27:E29)</f>
        <v>820051.21260000113</v>
      </c>
      <c r="G30" s="261"/>
      <c r="H30" s="262">
        <f>SUM(H27:H29)</f>
        <v>-1236625.9549952364</v>
      </c>
      <c r="I30" s="262"/>
    </row>
    <row r="31" spans="1:13" ht="13.5" thickTop="1">
      <c r="A31" s="271"/>
      <c r="B31" s="276"/>
      <c r="C31" s="276"/>
      <c r="D31" s="276"/>
      <c r="E31" s="277"/>
      <c r="G31" s="276"/>
      <c r="H31" s="277"/>
      <c r="I31" s="277"/>
    </row>
    <row r="32" spans="1:13">
      <c r="A32" s="85"/>
      <c r="B32" s="76"/>
      <c r="C32" s="76"/>
      <c r="D32" s="82" t="s">
        <v>279</v>
      </c>
      <c r="F32" s="282"/>
      <c r="G32" s="85"/>
      <c r="H32" s="82">
        <v>2195607.5134952362</v>
      </c>
      <c r="I32" s="84"/>
    </row>
    <row r="33" spans="1:9">
      <c r="A33" s="85"/>
      <c r="B33" s="76"/>
      <c r="C33" s="76"/>
      <c r="D33" s="82" t="s">
        <v>277</v>
      </c>
      <c r="G33" s="76"/>
      <c r="H33" s="82">
        <f>-E29/12*3</f>
        <v>958981.55849999981</v>
      </c>
      <c r="I33" s="82"/>
    </row>
    <row r="34" spans="1:9">
      <c r="A34" s="85"/>
      <c r="B34" s="76"/>
      <c r="C34" s="76"/>
      <c r="D34" s="82" t="s">
        <v>280</v>
      </c>
      <c r="G34" s="76"/>
      <c r="H34" s="82">
        <f>H32-H33</f>
        <v>1236625.9549952364</v>
      </c>
      <c r="I34" s="82"/>
    </row>
    <row r="35" spans="1:9">
      <c r="A35" s="85"/>
      <c r="B35" s="76"/>
      <c r="C35" s="76"/>
      <c r="D35" s="76"/>
      <c r="E35" s="82"/>
      <c r="F35" t="s">
        <v>66</v>
      </c>
      <c r="G35" s="76"/>
      <c r="H35" s="82"/>
      <c r="I35" s="82"/>
    </row>
    <row r="36" spans="1:9">
      <c r="A36" s="87"/>
      <c r="B36" s="76"/>
      <c r="C36" s="76"/>
      <c r="D36" s="76"/>
      <c r="E36" s="76"/>
      <c r="G36" s="76"/>
      <c r="H36" s="76"/>
      <c r="I36" s="76"/>
    </row>
    <row r="37" spans="1:9">
      <c r="A37" s="85"/>
      <c r="B37" s="82"/>
      <c r="C37" s="82"/>
      <c r="D37" s="76"/>
      <c r="E37" s="76"/>
      <c r="G37" s="76"/>
      <c r="H37" s="76"/>
      <c r="I37" s="76"/>
    </row>
    <row r="38" spans="1:9">
      <c r="A38" s="231"/>
      <c r="B38" s="81"/>
      <c r="C38" s="81"/>
      <c r="D38" s="76"/>
      <c r="E38" s="76"/>
      <c r="G38" s="76"/>
      <c r="H38" s="76"/>
      <c r="I38" s="76"/>
    </row>
    <row r="39" spans="1:9">
      <c r="A39" s="85"/>
      <c r="B39" s="229"/>
      <c r="C39" s="229"/>
      <c r="D39" s="76"/>
      <c r="E39" s="76"/>
      <c r="G39" s="76"/>
      <c r="H39" s="76"/>
      <c r="I39" s="76"/>
    </row>
    <row r="40" spans="1:9">
      <c r="A40" s="85"/>
      <c r="B40" s="82"/>
      <c r="C40" s="82"/>
      <c r="D40" s="76"/>
      <c r="E40" s="76"/>
      <c r="G40" s="76"/>
      <c r="H40" s="76"/>
      <c r="I40" s="76"/>
    </row>
    <row r="41" spans="1:9">
      <c r="A41" s="85"/>
      <c r="B41" s="82"/>
      <c r="C41" s="82"/>
      <c r="D41" s="76"/>
      <c r="E41" s="76"/>
      <c r="G41" s="76"/>
      <c r="H41" s="76"/>
      <c r="I41" s="76"/>
    </row>
    <row r="42" spans="1:9">
      <c r="A42" s="85"/>
      <c r="B42" s="82"/>
      <c r="C42" s="82"/>
      <c r="D42" s="76"/>
      <c r="E42" s="76"/>
      <c r="G42" s="76"/>
      <c r="H42" s="76"/>
      <c r="I42" s="76"/>
    </row>
    <row r="43" spans="1:9">
      <c r="A43" s="231"/>
      <c r="B43" s="81"/>
      <c r="C43" s="81"/>
      <c r="D43" s="76"/>
      <c r="E43" s="76"/>
      <c r="G43" s="76"/>
      <c r="H43" s="76"/>
      <c r="I43" s="76"/>
    </row>
    <row r="44" spans="1:9">
      <c r="A44" s="85"/>
      <c r="B44" s="229"/>
      <c r="C44" s="229"/>
      <c r="D44" s="76"/>
      <c r="E44" s="76"/>
      <c r="G44" s="76"/>
      <c r="H44" s="76"/>
      <c r="I44" s="76"/>
    </row>
    <row r="45" spans="1:9">
      <c r="A45" s="85"/>
      <c r="B45" s="82"/>
      <c r="C45" s="82"/>
      <c r="D45" s="76"/>
      <c r="E45" s="76"/>
      <c r="G45" s="76"/>
      <c r="H45" s="76"/>
      <c r="I45" s="76"/>
    </row>
    <row r="46" spans="1:9">
      <c r="A46" s="85"/>
      <c r="B46" s="84"/>
      <c r="C46" s="84"/>
      <c r="D46" s="76"/>
      <c r="E46" s="76"/>
      <c r="G46" s="76"/>
      <c r="H46" s="76"/>
      <c r="I46" s="76"/>
    </row>
    <row r="47" spans="1:9">
      <c r="A47" s="85"/>
      <c r="B47" s="82"/>
      <c r="C47" s="82"/>
      <c r="D47" s="76"/>
      <c r="E47" s="76"/>
      <c r="G47" s="76"/>
      <c r="H47" s="76"/>
      <c r="I47" s="76"/>
    </row>
    <row r="48" spans="1:9">
      <c r="A48" s="76"/>
      <c r="B48" s="76"/>
      <c r="C48" s="76"/>
      <c r="D48" s="76"/>
      <c r="E48" s="76"/>
      <c r="G48" s="76"/>
      <c r="H48" s="76"/>
      <c r="I48" s="76"/>
    </row>
    <row r="49" spans="1:9">
      <c r="A49" s="59"/>
      <c r="B49" s="76"/>
      <c r="C49" s="76"/>
      <c r="D49" s="76"/>
      <c r="E49" s="76"/>
      <c r="G49" s="76"/>
      <c r="H49" s="76"/>
      <c r="I49" s="76"/>
    </row>
    <row r="50" spans="1:9">
      <c r="A50" s="59"/>
      <c r="B50" s="76"/>
      <c r="C50" s="76"/>
      <c r="D50" s="76"/>
      <c r="E50" s="76"/>
      <c r="G50" s="76"/>
      <c r="H50" s="76"/>
      <c r="I50" s="76"/>
    </row>
    <row r="51" spans="1:9">
      <c r="A51" s="59"/>
      <c r="B51" s="76"/>
      <c r="C51" s="76"/>
      <c r="D51" s="76"/>
      <c r="E51" s="76"/>
      <c r="G51" s="76"/>
      <c r="H51" s="76"/>
      <c r="I51" s="76"/>
    </row>
    <row r="52" spans="1:9">
      <c r="A52" s="59"/>
      <c r="B52" s="76"/>
      <c r="C52" s="76"/>
      <c r="D52" s="76"/>
      <c r="E52" s="76"/>
      <c r="G52" s="76"/>
      <c r="H52" s="76"/>
      <c r="I52" s="76"/>
    </row>
    <row r="53" spans="1:9">
      <c r="A53" s="59"/>
      <c r="B53" s="76"/>
      <c r="C53" s="76"/>
      <c r="D53" s="76"/>
      <c r="E53" s="76"/>
      <c r="G53" s="76"/>
      <c r="H53" s="76"/>
      <c r="I53" s="76"/>
    </row>
    <row r="54" spans="1:9">
      <c r="A54" s="59"/>
      <c r="B54" s="76"/>
      <c r="C54" s="76"/>
      <c r="D54" s="76"/>
      <c r="E54" s="76"/>
      <c r="G54" s="76"/>
      <c r="H54" s="76"/>
      <c r="I54" s="76"/>
    </row>
    <row r="55" spans="1:9">
      <c r="A55" s="59"/>
      <c r="B55" s="76"/>
      <c r="C55" s="76"/>
      <c r="D55" s="76"/>
      <c r="E55" s="76"/>
      <c r="G55" s="76"/>
      <c r="H55" s="76"/>
      <c r="I55" s="76"/>
    </row>
  </sheetData>
  <pageMargins left="0.7" right="0.7" top="0.75" bottom="0.75" header="0.3" footer="0.3"/>
  <pageSetup orientation="landscape" r:id="rId1"/>
  <headerFooter scaleWithDoc="0">
    <oddHeader>&amp;RDocket No. 14-035-T12
DPU Revised Attachment-A, pg3
November 25,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139"/>
  <sheetViews>
    <sheetView view="pageBreakPreview" zoomScale="75" zoomScaleNormal="55" workbookViewId="0">
      <selection activeCell="D15" sqref="D15"/>
    </sheetView>
  </sheetViews>
  <sheetFormatPr defaultColWidth="10.28515625" defaultRowHeight="15.75"/>
  <cols>
    <col min="1" max="1" width="3.7109375" style="187" customWidth="1"/>
    <col min="2" max="2" width="36.85546875" style="196" bestFit="1" customWidth="1"/>
    <col min="3" max="3" width="1.5703125" style="187" customWidth="1"/>
    <col min="4" max="4" width="11.140625" style="187" bestFit="1" customWidth="1"/>
    <col min="5" max="5" width="17.28515625" style="187" bestFit="1" customWidth="1"/>
    <col min="6" max="6" width="17.140625" style="187" bestFit="1" customWidth="1"/>
    <col min="7" max="7" width="17.28515625" style="187" bestFit="1" customWidth="1"/>
    <col min="8" max="8" width="16.140625" style="187" bestFit="1" customWidth="1"/>
    <col min="9" max="10" width="14.42578125" style="187" bestFit="1" customWidth="1"/>
    <col min="11" max="11" width="13.140625" style="187" bestFit="1" customWidth="1"/>
    <col min="12" max="12" width="13.85546875" style="187" bestFit="1" customWidth="1"/>
    <col min="13" max="13" width="16.140625" style="187" bestFit="1" customWidth="1"/>
    <col min="14" max="16" width="10.28515625" style="187" customWidth="1"/>
    <col min="17" max="19" width="15.5703125" style="187" bestFit="1" customWidth="1"/>
    <col min="20" max="16384" width="10.28515625" style="187"/>
  </cols>
  <sheetData>
    <row r="1" spans="1:13" ht="18.75">
      <c r="A1" s="185" t="s">
        <v>152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8.75">
      <c r="A2" s="185" t="s">
        <v>45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8.75">
      <c r="A3" s="185" t="s">
        <v>153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</row>
    <row r="4" spans="1:13" ht="18.75">
      <c r="A4" s="185" t="s">
        <v>154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8.75">
      <c r="A5" s="185" t="s">
        <v>247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8.75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1:13" ht="18.75">
      <c r="A7" s="185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</row>
    <row r="8" spans="1:13" ht="18.75">
      <c r="A8" s="185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</row>
    <row r="9" spans="1:13" ht="18.75">
      <c r="A9" s="185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</row>
    <row r="10" spans="1:13" s="191" customFormat="1" ht="18.75">
      <c r="A10" s="188"/>
      <c r="B10" s="189"/>
      <c r="C10" s="189"/>
      <c r="D10" s="189" t="s">
        <v>155</v>
      </c>
      <c r="E10" s="189" t="s">
        <v>156</v>
      </c>
      <c r="F10" s="189" t="s">
        <v>157</v>
      </c>
      <c r="G10" s="189" t="s">
        <v>158</v>
      </c>
      <c r="H10" s="189" t="s">
        <v>159</v>
      </c>
      <c r="I10" s="189" t="s">
        <v>160</v>
      </c>
      <c r="J10" s="189" t="s">
        <v>161</v>
      </c>
      <c r="K10" s="189" t="s">
        <v>162</v>
      </c>
      <c r="L10" s="189" t="s">
        <v>163</v>
      </c>
      <c r="M10" s="190" t="s">
        <v>164</v>
      </c>
    </row>
    <row r="11" spans="1:13" ht="18.75">
      <c r="A11" s="185"/>
      <c r="B11" s="186"/>
      <c r="C11" s="186"/>
      <c r="D11" s="189" t="s">
        <v>27</v>
      </c>
      <c r="E11" s="192"/>
      <c r="F11" s="193"/>
      <c r="G11" s="194" t="s">
        <v>165</v>
      </c>
      <c r="H11" s="193"/>
      <c r="I11" s="189"/>
      <c r="J11" s="189"/>
      <c r="K11" s="189"/>
      <c r="L11" s="189"/>
      <c r="M11" s="189"/>
    </row>
    <row r="12" spans="1:13" ht="18.75">
      <c r="A12" s="185"/>
      <c r="B12" s="186"/>
      <c r="C12" s="186"/>
      <c r="D12" s="191" t="s">
        <v>166</v>
      </c>
      <c r="E12" s="192" t="s">
        <v>166</v>
      </c>
      <c r="F12" s="193" t="s">
        <v>167</v>
      </c>
      <c r="G12" s="195" t="s">
        <v>168</v>
      </c>
      <c r="H12" s="189" t="s">
        <v>166</v>
      </c>
      <c r="I12" s="189" t="s">
        <v>167</v>
      </c>
      <c r="J12" s="189" t="s">
        <v>169</v>
      </c>
      <c r="K12" s="189" t="s">
        <v>170</v>
      </c>
      <c r="L12" s="189" t="s">
        <v>171</v>
      </c>
      <c r="M12" s="189" t="s">
        <v>171</v>
      </c>
    </row>
    <row r="13" spans="1:13" ht="18.75">
      <c r="A13" s="196"/>
      <c r="B13" s="197"/>
      <c r="C13" s="198"/>
      <c r="D13" s="183" t="s">
        <v>172</v>
      </c>
      <c r="E13" s="184" t="s">
        <v>173</v>
      </c>
      <c r="F13" s="183" t="s">
        <v>239</v>
      </c>
      <c r="G13" s="199" t="s">
        <v>173</v>
      </c>
      <c r="H13" s="183" t="s">
        <v>174</v>
      </c>
      <c r="I13" s="183" t="s">
        <v>240</v>
      </c>
      <c r="J13" s="183" t="s">
        <v>241</v>
      </c>
      <c r="K13" s="183" t="s">
        <v>242</v>
      </c>
      <c r="L13" s="183" t="s">
        <v>175</v>
      </c>
      <c r="M13" s="199" t="s">
        <v>30</v>
      </c>
    </row>
    <row r="14" spans="1:13">
      <c r="A14" s="197" t="s">
        <v>176</v>
      </c>
      <c r="B14" s="197"/>
      <c r="C14" s="196"/>
      <c r="D14" s="200"/>
      <c r="E14" s="201"/>
      <c r="F14" s="200"/>
      <c r="G14" s="202"/>
      <c r="H14" s="198"/>
      <c r="I14" s="198"/>
      <c r="J14" s="198"/>
      <c r="K14" s="198"/>
      <c r="L14" s="198"/>
      <c r="M14" s="203"/>
    </row>
    <row r="15" spans="1:13">
      <c r="A15" s="196"/>
      <c r="B15" s="196" t="s">
        <v>177</v>
      </c>
      <c r="C15" s="196"/>
      <c r="D15" s="200">
        <v>666845.0833333336</v>
      </c>
      <c r="E15" s="201">
        <v>6432808384</v>
      </c>
      <c r="F15" s="200">
        <v>-540456000</v>
      </c>
      <c r="G15" s="202">
        <f>E15+F15</f>
        <v>5892352384</v>
      </c>
      <c r="H15" s="200">
        <v>530142134.72000003</v>
      </c>
      <c r="I15" s="200">
        <v>-44332799.730000004</v>
      </c>
      <c r="J15" s="200">
        <v>0</v>
      </c>
      <c r="K15" s="200">
        <v>11657294</v>
      </c>
      <c r="L15" s="200">
        <f>I15+J15+K15</f>
        <v>-32675505.730000004</v>
      </c>
      <c r="M15" s="202">
        <f>H15+L15</f>
        <v>497466628.99000001</v>
      </c>
    </row>
    <row r="16" spans="1:13">
      <c r="A16" s="196"/>
      <c r="B16" s="196" t="s">
        <v>178</v>
      </c>
      <c r="C16" s="196"/>
      <c r="D16" s="200">
        <v>289.08333333333297</v>
      </c>
      <c r="E16" s="201">
        <v>2624861</v>
      </c>
      <c r="F16" s="200">
        <v>7000</v>
      </c>
      <c r="G16" s="202">
        <f>E16+F16</f>
        <v>2631861</v>
      </c>
      <c r="H16" s="200">
        <v>213623.67</v>
      </c>
      <c r="I16" s="200">
        <v>635.91</v>
      </c>
      <c r="J16" s="200">
        <v>0</v>
      </c>
      <c r="K16" s="200">
        <v>5141</v>
      </c>
      <c r="L16" s="200">
        <f>I16+J16+K16</f>
        <v>5776.91</v>
      </c>
      <c r="M16" s="202">
        <f>H16+L16</f>
        <v>219400.58000000002</v>
      </c>
    </row>
    <row r="17" spans="1:13">
      <c r="A17" s="196"/>
      <c r="B17" s="196" t="s">
        <v>179</v>
      </c>
      <c r="C17" s="196"/>
      <c r="D17" s="200">
        <v>23123.75</v>
      </c>
      <c r="E17" s="201">
        <v>182901831</v>
      </c>
      <c r="F17" s="200"/>
      <c r="G17" s="202">
        <f>E17+F17</f>
        <v>182901831</v>
      </c>
      <c r="H17" s="200">
        <v>14830679.32</v>
      </c>
      <c r="I17" s="200">
        <v>0</v>
      </c>
      <c r="J17" s="200">
        <v>0</v>
      </c>
      <c r="K17" s="200">
        <v>355871</v>
      </c>
      <c r="L17" s="200">
        <f>I17+J17+K17</f>
        <v>355871</v>
      </c>
      <c r="M17" s="202">
        <f>H17+L17</f>
        <v>15186550.32</v>
      </c>
    </row>
    <row r="18" spans="1:13" s="204" customFormat="1">
      <c r="B18" s="204" t="s">
        <v>180</v>
      </c>
      <c r="D18" s="205">
        <v>11</v>
      </c>
      <c r="E18" s="206">
        <v>11966496</v>
      </c>
      <c r="F18" s="205">
        <v>-586000</v>
      </c>
      <c r="G18" s="207">
        <f>E18+F18</f>
        <v>11380496</v>
      </c>
      <c r="H18" s="205">
        <v>811056.97</v>
      </c>
      <c r="I18" s="205">
        <v>-32312.04</v>
      </c>
      <c r="J18" s="205">
        <v>0</v>
      </c>
      <c r="K18" s="205">
        <v>18686</v>
      </c>
      <c r="L18" s="205">
        <f>I18+J18+K18</f>
        <v>-13626.04</v>
      </c>
      <c r="M18" s="207">
        <f>H18+L18</f>
        <v>797430.92999999993</v>
      </c>
    </row>
    <row r="19" spans="1:13">
      <c r="A19" s="196"/>
      <c r="B19" s="196" t="s">
        <v>181</v>
      </c>
      <c r="C19" s="196"/>
      <c r="D19" s="200">
        <f t="shared" ref="D19:M19" si="0">SUM(D15:D18)</f>
        <v>690268.91666666698</v>
      </c>
      <c r="E19" s="201">
        <f t="shared" si="0"/>
        <v>6630301572</v>
      </c>
      <c r="F19" s="200">
        <f t="shared" si="0"/>
        <v>-541035000</v>
      </c>
      <c r="G19" s="202">
        <f t="shared" si="0"/>
        <v>6089266572</v>
      </c>
      <c r="H19" s="200">
        <f t="shared" si="0"/>
        <v>545997494.68000007</v>
      </c>
      <c r="I19" s="200">
        <f t="shared" si="0"/>
        <v>-44364475.860000007</v>
      </c>
      <c r="J19" s="200">
        <f t="shared" si="0"/>
        <v>0</v>
      </c>
      <c r="K19" s="200">
        <f t="shared" si="0"/>
        <v>12036992</v>
      </c>
      <c r="L19" s="200">
        <f t="shared" si="0"/>
        <v>-32327483.860000003</v>
      </c>
      <c r="M19" s="202">
        <f t="shared" si="0"/>
        <v>513670010.81999999</v>
      </c>
    </row>
    <row r="20" spans="1:13">
      <c r="A20" s="196"/>
      <c r="C20" s="196"/>
      <c r="D20" s="200"/>
      <c r="E20" s="201"/>
      <c r="F20" s="200"/>
      <c r="G20" s="202"/>
      <c r="H20" s="200"/>
      <c r="I20" s="200"/>
      <c r="J20" s="200"/>
      <c r="K20" s="200"/>
      <c r="L20" s="200"/>
      <c r="M20" s="202"/>
    </row>
    <row r="21" spans="1:13">
      <c r="A21" s="196"/>
      <c r="B21" s="196" t="s">
        <v>182</v>
      </c>
      <c r="C21" s="196"/>
      <c r="D21" s="200">
        <v>3283.75</v>
      </c>
      <c r="E21" s="201">
        <v>2950823</v>
      </c>
      <c r="F21" s="200"/>
      <c r="G21" s="202">
        <f>E21+F21</f>
        <v>2950823</v>
      </c>
      <c r="H21" s="200">
        <v>781044.21</v>
      </c>
      <c r="I21" s="200">
        <v>0</v>
      </c>
      <c r="J21" s="200">
        <v>0</v>
      </c>
      <c r="K21" s="200">
        <v>18742</v>
      </c>
      <c r="L21" s="200">
        <f>I21+J21+K21</f>
        <v>18742</v>
      </c>
      <c r="M21" s="202">
        <f>H21+L21</f>
        <v>799786.21</v>
      </c>
    </row>
    <row r="22" spans="1:13" s="204" customFormat="1">
      <c r="B22" s="204" t="s">
        <v>183</v>
      </c>
      <c r="D22" s="205">
        <v>66.3333333333333</v>
      </c>
      <c r="E22" s="206">
        <v>223626</v>
      </c>
      <c r="F22" s="205"/>
      <c r="G22" s="207">
        <f>E22+F22</f>
        <v>223626</v>
      </c>
      <c r="H22" s="205">
        <v>16810.36</v>
      </c>
      <c r="I22" s="205">
        <v>0</v>
      </c>
      <c r="J22" s="205">
        <v>0</v>
      </c>
      <c r="K22" s="205">
        <v>0</v>
      </c>
      <c r="L22" s="205">
        <f>I22+J22+K22</f>
        <v>0</v>
      </c>
      <c r="M22" s="207">
        <f>H22+L22</f>
        <v>16810.36</v>
      </c>
    </row>
    <row r="23" spans="1:13">
      <c r="A23" s="196"/>
      <c r="B23" s="196" t="s">
        <v>181</v>
      </c>
      <c r="C23" s="196"/>
      <c r="D23" s="200">
        <f t="shared" ref="D23:M23" si="1">SUM(D21:D22)</f>
        <v>3350.0833333333335</v>
      </c>
      <c r="E23" s="201">
        <f t="shared" si="1"/>
        <v>3174449</v>
      </c>
      <c r="F23" s="200">
        <f t="shared" si="1"/>
        <v>0</v>
      </c>
      <c r="G23" s="202">
        <f t="shared" si="1"/>
        <v>3174449</v>
      </c>
      <c r="H23" s="200">
        <f t="shared" si="1"/>
        <v>797854.57</v>
      </c>
      <c r="I23" s="200">
        <f t="shared" si="1"/>
        <v>0</v>
      </c>
      <c r="J23" s="200">
        <f t="shared" si="1"/>
        <v>0</v>
      </c>
      <c r="K23" s="200">
        <f t="shared" si="1"/>
        <v>18742</v>
      </c>
      <c r="L23" s="200">
        <f t="shared" si="1"/>
        <v>18742</v>
      </c>
      <c r="M23" s="202">
        <f t="shared" si="1"/>
        <v>816596.57</v>
      </c>
    </row>
    <row r="24" spans="1:13">
      <c r="A24" s="196"/>
      <c r="C24" s="196"/>
      <c r="D24" s="200"/>
      <c r="E24" s="201"/>
      <c r="F24" s="200"/>
      <c r="G24" s="202"/>
      <c r="H24" s="200"/>
      <c r="I24" s="200"/>
      <c r="J24" s="200"/>
      <c r="K24" s="200"/>
      <c r="L24" s="200"/>
      <c r="M24" s="202"/>
    </row>
    <row r="25" spans="1:13">
      <c r="A25" s="196"/>
      <c r="B25" s="196" t="s">
        <v>184</v>
      </c>
      <c r="C25" s="196"/>
      <c r="D25" s="200">
        <v>0</v>
      </c>
      <c r="E25" s="201">
        <v>0</v>
      </c>
      <c r="F25" s="200"/>
      <c r="G25" s="202"/>
      <c r="H25" s="200">
        <v>-4.12</v>
      </c>
      <c r="I25" s="200">
        <v>4.12</v>
      </c>
      <c r="J25" s="200"/>
      <c r="K25" s="200"/>
      <c r="L25" s="200">
        <f>I25+J25+K25</f>
        <v>4.12</v>
      </c>
      <c r="M25" s="202">
        <f>H25+L25</f>
        <v>0</v>
      </c>
    </row>
    <row r="26" spans="1:13">
      <c r="A26" s="196"/>
      <c r="B26" s="208" t="s">
        <v>185</v>
      </c>
      <c r="C26" s="196"/>
      <c r="D26" s="200">
        <v>0</v>
      </c>
      <c r="E26" s="201">
        <v>0</v>
      </c>
      <c r="F26" s="200"/>
      <c r="G26" s="202"/>
      <c r="H26" s="200">
        <v>0</v>
      </c>
      <c r="I26" s="200">
        <v>0</v>
      </c>
      <c r="J26" s="200"/>
      <c r="K26" s="200"/>
      <c r="L26" s="200">
        <f>I26+J26+K26</f>
        <v>0</v>
      </c>
      <c r="M26" s="202">
        <f>H26+L26</f>
        <v>0</v>
      </c>
    </row>
    <row r="27" spans="1:13">
      <c r="A27" s="196"/>
      <c r="B27" s="208" t="s">
        <v>186</v>
      </c>
      <c r="C27" s="196"/>
      <c r="D27" s="200">
        <v>0</v>
      </c>
      <c r="E27" s="201">
        <v>0</v>
      </c>
      <c r="F27" s="200"/>
      <c r="G27" s="202"/>
      <c r="H27" s="200">
        <v>-20.91</v>
      </c>
      <c r="I27" s="200">
        <v>20.91</v>
      </c>
      <c r="J27" s="200"/>
      <c r="K27" s="200"/>
      <c r="L27" s="200">
        <f>I27+J27+K27</f>
        <v>20.91</v>
      </c>
      <c r="M27" s="202">
        <f>H27+L27</f>
        <v>0</v>
      </c>
    </row>
    <row r="28" spans="1:13">
      <c r="A28" s="196"/>
      <c r="B28" s="196" t="s">
        <v>187</v>
      </c>
      <c r="C28" s="196"/>
      <c r="D28" s="200">
        <v>68112.5</v>
      </c>
      <c r="E28" s="201">
        <v>0</v>
      </c>
      <c r="F28" s="200"/>
      <c r="G28" s="202"/>
      <c r="H28" s="200">
        <v>-20</v>
      </c>
      <c r="I28" s="200">
        <v>20</v>
      </c>
      <c r="J28" s="200"/>
      <c r="K28" s="200"/>
      <c r="L28" s="200">
        <f>I28+J28+K28</f>
        <v>20</v>
      </c>
      <c r="M28" s="202">
        <f>H28+L28</f>
        <v>0</v>
      </c>
    </row>
    <row r="29" spans="1:13" s="204" customFormat="1" ht="18">
      <c r="B29" s="204" t="s">
        <v>188</v>
      </c>
      <c r="D29" s="205">
        <v>0</v>
      </c>
      <c r="E29" s="206">
        <v>0</v>
      </c>
      <c r="F29" s="205"/>
      <c r="G29" s="207"/>
      <c r="H29" s="205">
        <v>697598.04</v>
      </c>
      <c r="I29" s="209">
        <v>-697598.04</v>
      </c>
      <c r="J29" s="209"/>
      <c r="K29" s="209"/>
      <c r="L29" s="205">
        <f>I29+J29+K29</f>
        <v>-697598.04</v>
      </c>
      <c r="M29" s="207">
        <f>H29+L29</f>
        <v>0</v>
      </c>
    </row>
    <row r="30" spans="1:13">
      <c r="A30" s="196"/>
      <c r="B30" s="196" t="s">
        <v>181</v>
      </c>
      <c r="C30" s="196"/>
      <c r="D30" s="200">
        <f t="shared" ref="D30:M30" si="2">SUM(D25:D29)</f>
        <v>68112.5</v>
      </c>
      <c r="E30" s="200">
        <f t="shared" si="2"/>
        <v>0</v>
      </c>
      <c r="F30" s="200">
        <f t="shared" si="2"/>
        <v>0</v>
      </c>
      <c r="G30" s="200">
        <f t="shared" si="2"/>
        <v>0</v>
      </c>
      <c r="H30" s="200">
        <f t="shared" si="2"/>
        <v>697553.01</v>
      </c>
      <c r="I30" s="200">
        <f t="shared" si="2"/>
        <v>-697553.01</v>
      </c>
      <c r="J30" s="200">
        <f t="shared" si="2"/>
        <v>0</v>
      </c>
      <c r="K30" s="200">
        <f t="shared" si="2"/>
        <v>0</v>
      </c>
      <c r="L30" s="200">
        <f t="shared" si="2"/>
        <v>-697553.01</v>
      </c>
      <c r="M30" s="200">
        <f t="shared" si="2"/>
        <v>0</v>
      </c>
    </row>
    <row r="31" spans="1:13">
      <c r="A31" s="196"/>
      <c r="C31" s="196"/>
      <c r="D31" s="200"/>
      <c r="E31" s="201"/>
      <c r="F31" s="200"/>
      <c r="G31" s="202"/>
      <c r="H31" s="200"/>
      <c r="I31" s="200"/>
      <c r="J31" s="200"/>
      <c r="K31" s="200"/>
      <c r="L31" s="200"/>
      <c r="M31" s="202"/>
    </row>
    <row r="32" spans="1:13">
      <c r="A32" s="196"/>
      <c r="B32" s="196" t="s">
        <v>189</v>
      </c>
      <c r="C32" s="196"/>
      <c r="D32" s="200">
        <v>0</v>
      </c>
      <c r="E32" s="201">
        <v>-19325000</v>
      </c>
      <c r="F32" s="200"/>
      <c r="G32" s="202">
        <f>E32+F32</f>
        <v>-19325000</v>
      </c>
      <c r="H32" s="200">
        <v>-1504000</v>
      </c>
      <c r="I32" s="200">
        <v>0</v>
      </c>
      <c r="J32" s="200"/>
      <c r="K32" s="200"/>
      <c r="L32" s="200">
        <f>I32+J32+K32</f>
        <v>0</v>
      </c>
      <c r="M32" s="202">
        <f>H32+L32</f>
        <v>-1504000</v>
      </c>
    </row>
    <row r="33" spans="1:13" s="204" customFormat="1">
      <c r="A33" s="196"/>
      <c r="B33" s="204" t="s">
        <v>190</v>
      </c>
      <c r="C33" s="196"/>
      <c r="D33" s="210">
        <v>4.4166666666666696</v>
      </c>
      <c r="E33" s="211">
        <v>0</v>
      </c>
      <c r="F33" s="210">
        <v>0</v>
      </c>
      <c r="G33" s="212"/>
      <c r="H33" s="210">
        <v>305075.88</v>
      </c>
      <c r="I33" s="210">
        <v>0</v>
      </c>
      <c r="J33" s="210"/>
      <c r="K33" s="210"/>
      <c r="L33" s="210">
        <f>I33+J33+K33</f>
        <v>0</v>
      </c>
      <c r="M33" s="212">
        <f>H33+L33</f>
        <v>305075.88</v>
      </c>
    </row>
    <row r="34" spans="1:13">
      <c r="A34" s="196"/>
      <c r="B34" s="196" t="s">
        <v>171</v>
      </c>
      <c r="C34" s="196"/>
      <c r="D34" s="200">
        <f t="shared" ref="D34:M34" si="3">D19+D23+D30+D32+D33</f>
        <v>761735.91666666698</v>
      </c>
      <c r="E34" s="200">
        <f t="shared" si="3"/>
        <v>6614151021</v>
      </c>
      <c r="F34" s="200">
        <f t="shared" si="3"/>
        <v>-541035000</v>
      </c>
      <c r="G34" s="200">
        <f t="shared" si="3"/>
        <v>6073116021</v>
      </c>
      <c r="H34" s="200">
        <f t="shared" si="3"/>
        <v>546293978.1400001</v>
      </c>
      <c r="I34" s="200">
        <f t="shared" si="3"/>
        <v>-45062028.870000005</v>
      </c>
      <c r="J34" s="200">
        <f t="shared" si="3"/>
        <v>0</v>
      </c>
      <c r="K34" s="200">
        <f t="shared" si="3"/>
        <v>12055734</v>
      </c>
      <c r="L34" s="200">
        <f t="shared" si="3"/>
        <v>-33006294.870000005</v>
      </c>
      <c r="M34" s="200">
        <f t="shared" si="3"/>
        <v>513287683.26999998</v>
      </c>
    </row>
    <row r="35" spans="1:13">
      <c r="A35" s="196"/>
      <c r="C35" s="196"/>
      <c r="D35" s="200"/>
      <c r="E35" s="201"/>
      <c r="F35" s="200"/>
      <c r="G35" s="202"/>
      <c r="H35" s="213"/>
      <c r="I35" s="213"/>
      <c r="J35" s="213"/>
      <c r="K35" s="213"/>
      <c r="L35" s="200"/>
      <c r="M35" s="202"/>
    </row>
    <row r="36" spans="1:13">
      <c r="A36" s="197" t="s">
        <v>191</v>
      </c>
      <c r="B36" s="197"/>
      <c r="C36" s="196"/>
      <c r="D36" s="200"/>
      <c r="E36" s="201"/>
      <c r="F36" s="200"/>
      <c r="G36" s="202"/>
      <c r="H36" s="200"/>
      <c r="I36" s="200"/>
      <c r="J36" s="200"/>
      <c r="K36" s="200"/>
      <c r="L36" s="200"/>
      <c r="M36" s="202"/>
    </row>
    <row r="37" spans="1:13">
      <c r="A37" s="196"/>
      <c r="B37" s="196" t="s">
        <v>192</v>
      </c>
      <c r="C37" s="196"/>
      <c r="D37" s="200">
        <v>11619.916666666631</v>
      </c>
      <c r="E37" s="201">
        <v>4786790349</v>
      </c>
      <c r="F37" s="200">
        <v>-212112000</v>
      </c>
      <c r="G37" s="202">
        <f>E37+F37</f>
        <v>4574678349</v>
      </c>
      <c r="H37" s="200">
        <v>301962017.07000005</v>
      </c>
      <c r="I37" s="200">
        <v>-6005991.3599999994</v>
      </c>
      <c r="J37" s="200">
        <v>0</v>
      </c>
      <c r="K37" s="200">
        <v>7101647</v>
      </c>
      <c r="L37" s="200">
        <f>I37+J37+K37</f>
        <v>1095655.6400000006</v>
      </c>
      <c r="M37" s="202">
        <f>H37+L37</f>
        <v>303057672.71000004</v>
      </c>
    </row>
    <row r="38" spans="1:13">
      <c r="A38" s="196"/>
      <c r="B38" s="196" t="s">
        <v>193</v>
      </c>
      <c r="C38" s="196"/>
      <c r="D38" s="200">
        <v>1664.3333333333301</v>
      </c>
      <c r="E38" s="201">
        <v>195314098</v>
      </c>
      <c r="F38" s="200">
        <v>-6409000</v>
      </c>
      <c r="G38" s="202">
        <f>E38+F38</f>
        <v>188905098</v>
      </c>
      <c r="H38" s="200">
        <v>16282689.109999999</v>
      </c>
      <c r="I38" s="200">
        <v>-334612.76</v>
      </c>
      <c r="J38" s="200">
        <v>0</v>
      </c>
      <c r="K38" s="200">
        <v>382684</v>
      </c>
      <c r="L38" s="200">
        <f>I38+J38+K38</f>
        <v>48071.239999999991</v>
      </c>
      <c r="M38" s="202">
        <f>H38+L38</f>
        <v>16330760.35</v>
      </c>
    </row>
    <row r="39" spans="1:13" s="204" customFormat="1">
      <c r="B39" s="204" t="s">
        <v>194</v>
      </c>
      <c r="D39" s="205">
        <v>10</v>
      </c>
      <c r="E39" s="206">
        <v>2951480</v>
      </c>
      <c r="F39" s="205">
        <v>-7000</v>
      </c>
      <c r="G39" s="207">
        <f>E39+F39</f>
        <v>2944480</v>
      </c>
      <c r="H39" s="205">
        <v>191995.4</v>
      </c>
      <c r="I39" s="205">
        <v>-198.08</v>
      </c>
      <c r="J39" s="205">
        <v>0</v>
      </c>
      <c r="K39" s="205">
        <v>4602</v>
      </c>
      <c r="L39" s="205">
        <f>I39+J39+K39</f>
        <v>4403.92</v>
      </c>
      <c r="M39" s="207">
        <f>H39+L39</f>
        <v>196399.32</v>
      </c>
    </row>
    <row r="40" spans="1:13">
      <c r="A40" s="196"/>
      <c r="B40" s="196" t="s">
        <v>181</v>
      </c>
      <c r="C40" s="196"/>
      <c r="D40" s="200">
        <f t="shared" ref="D40:M40" si="4">SUM(D37:D39)</f>
        <v>13294.249999999962</v>
      </c>
      <c r="E40" s="201">
        <f t="shared" si="4"/>
        <v>4985055927</v>
      </c>
      <c r="F40" s="200">
        <f t="shared" si="4"/>
        <v>-218528000</v>
      </c>
      <c r="G40" s="202">
        <f t="shared" si="4"/>
        <v>4766527927</v>
      </c>
      <c r="H40" s="200">
        <f t="shared" si="4"/>
        <v>318436701.58000004</v>
      </c>
      <c r="I40" s="200">
        <f t="shared" si="4"/>
        <v>-6340802.1999999993</v>
      </c>
      <c r="J40" s="200">
        <f t="shared" si="4"/>
        <v>0</v>
      </c>
      <c r="K40" s="200">
        <f t="shared" si="4"/>
        <v>7488933</v>
      </c>
      <c r="L40" s="200">
        <f t="shared" si="4"/>
        <v>1148130.8000000005</v>
      </c>
      <c r="M40" s="202">
        <f t="shared" si="4"/>
        <v>319584832.38000005</v>
      </c>
    </row>
    <row r="41" spans="1:13">
      <c r="A41" s="196"/>
      <c r="C41" s="196"/>
      <c r="D41" s="198"/>
      <c r="E41" s="214"/>
      <c r="F41" s="198"/>
      <c r="G41" s="203"/>
      <c r="H41" s="198"/>
      <c r="I41" s="198"/>
      <c r="J41" s="198"/>
      <c r="K41" s="198"/>
      <c r="L41" s="198"/>
      <c r="M41" s="203"/>
    </row>
    <row r="42" spans="1:13">
      <c r="A42" s="196"/>
      <c r="B42" s="196" t="s">
        <v>195</v>
      </c>
      <c r="C42" s="196"/>
      <c r="D42" s="200">
        <v>138.5</v>
      </c>
      <c r="E42" s="201">
        <v>961266467</v>
      </c>
      <c r="F42" s="200">
        <v>-88593000</v>
      </c>
      <c r="G42" s="202">
        <f>E42+F42</f>
        <v>872673467</v>
      </c>
      <c r="H42" s="200">
        <v>52855986.369999997</v>
      </c>
      <c r="I42" s="200">
        <v>-2390217.35</v>
      </c>
      <c r="J42" s="200">
        <v>0</v>
      </c>
      <c r="K42" s="200">
        <v>1210957</v>
      </c>
      <c r="L42" s="200">
        <f>I42+J42+K42</f>
        <v>-1179260.3500000001</v>
      </c>
      <c r="M42" s="202">
        <f>H42+L42</f>
        <v>51676726.019999996</v>
      </c>
    </row>
    <row r="43" spans="1:13">
      <c r="A43" s="196"/>
      <c r="C43" s="196"/>
      <c r="D43" s="200"/>
      <c r="E43" s="201"/>
      <c r="F43" s="200"/>
      <c r="G43" s="202"/>
      <c r="H43" s="200"/>
      <c r="I43" s="200"/>
      <c r="J43" s="200"/>
      <c r="K43" s="200"/>
      <c r="L43" s="200"/>
      <c r="M43" s="202"/>
    </row>
    <row r="44" spans="1:13">
      <c r="A44" s="196"/>
      <c r="B44" s="196" t="s">
        <v>196</v>
      </c>
      <c r="C44" s="196"/>
      <c r="D44" s="200">
        <v>19.1666666666667</v>
      </c>
      <c r="E44" s="201">
        <v>260779982</v>
      </c>
      <c r="F44" s="200">
        <v>-64000</v>
      </c>
      <c r="G44" s="202">
        <f>E44+F44</f>
        <v>260715982</v>
      </c>
      <c r="H44" s="200">
        <v>10997210.76</v>
      </c>
      <c r="I44" s="200">
        <v>-1487.81</v>
      </c>
      <c r="J44" s="200">
        <v>0</v>
      </c>
      <c r="K44" s="200">
        <v>263849</v>
      </c>
      <c r="L44" s="200">
        <f>I44+J44+K44</f>
        <v>262361.19</v>
      </c>
      <c r="M44" s="202">
        <f>H44+L44</f>
        <v>11259571.949999999</v>
      </c>
    </row>
    <row r="45" spans="1:13" s="204" customFormat="1">
      <c r="B45" s="204" t="s">
        <v>197</v>
      </c>
      <c r="D45" s="205">
        <v>3</v>
      </c>
      <c r="E45" s="206">
        <v>25534800</v>
      </c>
      <c r="F45" s="205"/>
      <c r="G45" s="207">
        <f>E45+F45</f>
        <v>25534800</v>
      </c>
      <c r="H45" s="205">
        <v>1193058.2</v>
      </c>
      <c r="I45" s="205">
        <v>0</v>
      </c>
      <c r="J45" s="205">
        <v>0</v>
      </c>
      <c r="K45" s="205">
        <v>28628</v>
      </c>
      <c r="L45" s="205">
        <f>I45+J45+K45</f>
        <v>28628</v>
      </c>
      <c r="M45" s="207">
        <f>H45+L45</f>
        <v>1221686.2</v>
      </c>
    </row>
    <row r="46" spans="1:13">
      <c r="A46" s="196"/>
      <c r="B46" s="196" t="s">
        <v>181</v>
      </c>
      <c r="C46" s="196"/>
      <c r="D46" s="200">
        <f t="shared" ref="D46:M46" si="5">SUM(D44:D45)</f>
        <v>22.1666666666667</v>
      </c>
      <c r="E46" s="201">
        <f t="shared" si="5"/>
        <v>286314782</v>
      </c>
      <c r="F46" s="200">
        <f t="shared" si="5"/>
        <v>-64000</v>
      </c>
      <c r="G46" s="202">
        <f t="shared" si="5"/>
        <v>286250782</v>
      </c>
      <c r="H46" s="200">
        <f t="shared" si="5"/>
        <v>12190268.959999999</v>
      </c>
      <c r="I46" s="200">
        <f t="shared" si="5"/>
        <v>-1487.81</v>
      </c>
      <c r="J46" s="200">
        <f t="shared" si="5"/>
        <v>0</v>
      </c>
      <c r="K46" s="200">
        <f t="shared" si="5"/>
        <v>292477</v>
      </c>
      <c r="L46" s="200">
        <f t="shared" si="5"/>
        <v>290989.19</v>
      </c>
      <c r="M46" s="202">
        <f t="shared" si="5"/>
        <v>12481258.149999999</v>
      </c>
    </row>
    <row r="47" spans="1:13">
      <c r="A47" s="196"/>
      <c r="C47" s="196"/>
      <c r="D47" s="198"/>
      <c r="E47" s="214"/>
      <c r="F47" s="198"/>
      <c r="G47" s="203"/>
      <c r="H47" s="198"/>
      <c r="I47" s="198"/>
      <c r="J47" s="198"/>
      <c r="K47" s="198"/>
      <c r="L47" s="198"/>
      <c r="M47" s="203"/>
    </row>
    <row r="48" spans="1:13">
      <c r="A48" s="196"/>
      <c r="B48" s="196" t="s">
        <v>198</v>
      </c>
      <c r="C48" s="196"/>
      <c r="D48" s="200">
        <v>64695.916666666701</v>
      </c>
      <c r="E48" s="201">
        <v>1195247285</v>
      </c>
      <c r="F48" s="200">
        <v>-60680000</v>
      </c>
      <c r="G48" s="202">
        <f>E48+F48</f>
        <v>1134567285</v>
      </c>
      <c r="H48" s="200">
        <v>90792758.75</v>
      </c>
      <c r="I48" s="200">
        <v>-4197378.62</v>
      </c>
      <c r="J48" s="200">
        <v>0</v>
      </c>
      <c r="K48" s="200">
        <v>2077910</v>
      </c>
      <c r="L48" s="200">
        <f>I48+J48+K48</f>
        <v>-2119468.62</v>
      </c>
      <c r="M48" s="202">
        <f>H48+L48</f>
        <v>88673290.129999995</v>
      </c>
    </row>
    <row r="49" spans="1:13" s="204" customFormat="1">
      <c r="B49" s="204" t="s">
        <v>199</v>
      </c>
      <c r="D49" s="205">
        <v>3</v>
      </c>
      <c r="E49" s="206">
        <v>14955579</v>
      </c>
      <c r="F49" s="205"/>
      <c r="G49" s="207">
        <f>E49+F49</f>
        <v>14955579</v>
      </c>
      <c r="H49" s="205">
        <v>894499.24</v>
      </c>
      <c r="I49" s="205">
        <v>0</v>
      </c>
      <c r="J49" s="205">
        <v>0</v>
      </c>
      <c r="K49" s="205">
        <v>21464</v>
      </c>
      <c r="L49" s="205">
        <f>I49+J49+K49</f>
        <v>21464</v>
      </c>
      <c r="M49" s="207">
        <f>H49+L49</f>
        <v>915963.24</v>
      </c>
    </row>
    <row r="50" spans="1:13">
      <c r="A50" s="196"/>
      <c r="B50" s="196" t="s">
        <v>181</v>
      </c>
      <c r="C50" s="196"/>
      <c r="D50" s="200">
        <f t="shared" ref="D50:M50" si="6">SUM(D48:D49)</f>
        <v>64698.916666666701</v>
      </c>
      <c r="E50" s="201">
        <f t="shared" si="6"/>
        <v>1210202864</v>
      </c>
      <c r="F50" s="200">
        <f t="shared" si="6"/>
        <v>-60680000</v>
      </c>
      <c r="G50" s="202">
        <f t="shared" si="6"/>
        <v>1149522864</v>
      </c>
      <c r="H50" s="200">
        <f t="shared" si="6"/>
        <v>91687257.989999995</v>
      </c>
      <c r="I50" s="200">
        <f t="shared" si="6"/>
        <v>-4197378.62</v>
      </c>
      <c r="J50" s="200">
        <f t="shared" si="6"/>
        <v>0</v>
      </c>
      <c r="K50" s="200">
        <f t="shared" si="6"/>
        <v>2099374</v>
      </c>
      <c r="L50" s="200">
        <f t="shared" si="6"/>
        <v>-2098004.62</v>
      </c>
      <c r="M50" s="202">
        <f t="shared" si="6"/>
        <v>89589253.36999999</v>
      </c>
    </row>
    <row r="51" spans="1:13">
      <c r="A51" s="196"/>
      <c r="C51" s="196"/>
      <c r="D51" s="198"/>
      <c r="E51" s="214"/>
      <c r="F51" s="198"/>
      <c r="G51" s="203"/>
      <c r="H51" s="198"/>
      <c r="I51" s="198"/>
      <c r="J51" s="198"/>
      <c r="K51" s="198"/>
      <c r="L51" s="198"/>
      <c r="M51" s="203"/>
    </row>
    <row r="52" spans="1:13">
      <c r="A52" s="196"/>
      <c r="B52" s="196" t="s">
        <v>200</v>
      </c>
      <c r="C52" s="196"/>
      <c r="D52" s="200">
        <v>4756.4166666666697</v>
      </c>
      <c r="E52" s="201">
        <v>9187088</v>
      </c>
      <c r="F52" s="200"/>
      <c r="G52" s="202">
        <f>E52+F52</f>
        <v>9187088</v>
      </c>
      <c r="H52" s="200">
        <v>1969383.89</v>
      </c>
      <c r="I52" s="200">
        <v>0</v>
      </c>
      <c r="J52" s="200">
        <v>0</v>
      </c>
      <c r="K52" s="200">
        <v>47257</v>
      </c>
      <c r="L52" s="200">
        <f>I52+J52+K52</f>
        <v>47257</v>
      </c>
      <c r="M52" s="202">
        <f>H52+L52</f>
        <v>2016640.89</v>
      </c>
    </row>
    <row r="53" spans="1:13">
      <c r="A53" s="196"/>
      <c r="B53" s="196" t="s">
        <v>201</v>
      </c>
      <c r="C53" s="196"/>
      <c r="D53" s="200">
        <v>459.83333333333297</v>
      </c>
      <c r="E53" s="201">
        <v>1328715</v>
      </c>
      <c r="F53" s="200"/>
      <c r="G53" s="202">
        <f>E53+F53</f>
        <v>1328715</v>
      </c>
      <c r="H53" s="200">
        <v>109038.2</v>
      </c>
      <c r="I53" s="200">
        <v>0</v>
      </c>
      <c r="J53" s="200">
        <v>0</v>
      </c>
      <c r="K53" s="200">
        <v>2616</v>
      </c>
      <c r="L53" s="200">
        <f>I53+J53+K53</f>
        <v>2616</v>
      </c>
      <c r="M53" s="202">
        <f>H53+L53</f>
        <v>111654.2</v>
      </c>
    </row>
    <row r="54" spans="1:13">
      <c r="A54" s="196"/>
      <c r="B54" s="196" t="s">
        <v>202</v>
      </c>
      <c r="C54" s="196"/>
      <c r="D54" s="200">
        <v>276.5</v>
      </c>
      <c r="E54" s="201">
        <v>10722365</v>
      </c>
      <c r="F54" s="200"/>
      <c r="G54" s="202">
        <f>E54+F54</f>
        <v>10722365</v>
      </c>
      <c r="H54" s="200">
        <v>739277.86</v>
      </c>
      <c r="I54" s="200">
        <v>0</v>
      </c>
      <c r="J54" s="200">
        <v>0</v>
      </c>
      <c r="K54" s="200">
        <v>17739</v>
      </c>
      <c r="L54" s="200">
        <f>I54+J54+K54</f>
        <v>17739</v>
      </c>
      <c r="M54" s="202">
        <f>H54+L54</f>
        <v>757016.86</v>
      </c>
    </row>
    <row r="55" spans="1:13" s="204" customFormat="1">
      <c r="B55" s="204" t="s">
        <v>203</v>
      </c>
      <c r="D55" s="205">
        <v>7.8333333333333304</v>
      </c>
      <c r="E55" s="206">
        <v>64080</v>
      </c>
      <c r="F55" s="205"/>
      <c r="G55" s="207">
        <f>E55+F55</f>
        <v>64080</v>
      </c>
      <c r="H55" s="205">
        <v>4796.3599999999997</v>
      </c>
      <c r="I55" s="205">
        <v>0</v>
      </c>
      <c r="J55" s="205">
        <v>0</v>
      </c>
      <c r="K55" s="205">
        <v>0</v>
      </c>
      <c r="L55" s="205">
        <f>I55+J55+K55</f>
        <v>0</v>
      </c>
      <c r="M55" s="207">
        <f>H55+L55</f>
        <v>4796.3599999999997</v>
      </c>
    </row>
    <row r="56" spans="1:13">
      <c r="A56" s="196"/>
      <c r="B56" s="196" t="s">
        <v>181</v>
      </c>
      <c r="C56" s="196"/>
      <c r="D56" s="200">
        <f t="shared" ref="D56:M56" si="7">SUM(D52:D55)</f>
        <v>5500.5833333333358</v>
      </c>
      <c r="E56" s="201">
        <f t="shared" si="7"/>
        <v>21302248</v>
      </c>
      <c r="F56" s="200">
        <f t="shared" si="7"/>
        <v>0</v>
      </c>
      <c r="G56" s="202">
        <f t="shared" si="7"/>
        <v>21302248</v>
      </c>
      <c r="H56" s="200">
        <f t="shared" si="7"/>
        <v>2822496.3099999996</v>
      </c>
      <c r="I56" s="200">
        <f t="shared" si="7"/>
        <v>0</v>
      </c>
      <c r="J56" s="200">
        <f t="shared" si="7"/>
        <v>0</v>
      </c>
      <c r="K56" s="200">
        <f t="shared" si="7"/>
        <v>67612</v>
      </c>
      <c r="L56" s="200">
        <f t="shared" si="7"/>
        <v>67612</v>
      </c>
      <c r="M56" s="202">
        <f t="shared" si="7"/>
        <v>2890108.3099999996</v>
      </c>
    </row>
    <row r="57" spans="1:13">
      <c r="A57" s="196"/>
      <c r="C57" s="196"/>
      <c r="D57" s="198"/>
      <c r="E57" s="214"/>
      <c r="F57" s="198"/>
      <c r="G57" s="203"/>
      <c r="H57" s="198"/>
      <c r="I57" s="198"/>
      <c r="J57" s="198"/>
      <c r="K57" s="198"/>
      <c r="L57" s="198"/>
      <c r="M57" s="203"/>
    </row>
    <row r="58" spans="1:13">
      <c r="A58" s="196"/>
      <c r="B58" s="196" t="s">
        <v>204</v>
      </c>
      <c r="C58" s="196"/>
      <c r="D58" s="200">
        <v>0</v>
      </c>
      <c r="E58" s="201">
        <v>0</v>
      </c>
      <c r="F58" s="200"/>
      <c r="G58" s="202"/>
      <c r="H58" s="200">
        <v>0</v>
      </c>
      <c r="I58" s="200">
        <v>0</v>
      </c>
      <c r="J58" s="200"/>
      <c r="K58" s="200"/>
      <c r="L58" s="200">
        <f>I58+J58+K58</f>
        <v>0</v>
      </c>
      <c r="M58" s="202">
        <f>H58+L58</f>
        <v>0</v>
      </c>
    </row>
    <row r="59" spans="1:13">
      <c r="A59" s="196"/>
      <c r="B59" s="208" t="s">
        <v>186</v>
      </c>
      <c r="C59" s="196"/>
      <c r="D59" s="200">
        <v>0</v>
      </c>
      <c r="E59" s="201">
        <v>0</v>
      </c>
      <c r="F59" s="200"/>
      <c r="G59" s="202"/>
      <c r="H59" s="200">
        <v>0</v>
      </c>
      <c r="I59" s="200">
        <v>0</v>
      </c>
      <c r="J59" s="200"/>
      <c r="K59" s="200"/>
      <c r="L59" s="200">
        <f>I59+J59+K59</f>
        <v>0</v>
      </c>
      <c r="M59" s="202">
        <f>H59+L59</f>
        <v>0</v>
      </c>
    </row>
    <row r="60" spans="1:13">
      <c r="A60" s="196"/>
      <c r="B60" s="196" t="s">
        <v>205</v>
      </c>
      <c r="C60" s="196"/>
      <c r="D60" s="200">
        <v>2690.5</v>
      </c>
      <c r="E60" s="201">
        <v>0</v>
      </c>
      <c r="F60" s="200"/>
      <c r="G60" s="202"/>
      <c r="H60" s="200">
        <v>0</v>
      </c>
      <c r="I60" s="200">
        <v>0</v>
      </c>
      <c r="J60" s="200"/>
      <c r="K60" s="200"/>
      <c r="L60" s="200">
        <f>I60+J60+K60</f>
        <v>0</v>
      </c>
      <c r="M60" s="202">
        <f>H60+L60</f>
        <v>0</v>
      </c>
    </row>
    <row r="61" spans="1:13" s="204" customFormat="1">
      <c r="B61" s="204" t="s">
        <v>188</v>
      </c>
      <c r="D61" s="205">
        <v>0</v>
      </c>
      <c r="E61" s="206">
        <v>0</v>
      </c>
      <c r="F61" s="205"/>
      <c r="G61" s="207"/>
      <c r="H61" s="205">
        <v>797277.66</v>
      </c>
      <c r="I61" s="205">
        <v>-797277.66</v>
      </c>
      <c r="J61" s="205"/>
      <c r="K61" s="205"/>
      <c r="L61" s="205">
        <f>I61+J61+K61</f>
        <v>-797277.66</v>
      </c>
      <c r="M61" s="207">
        <f>H61+L61</f>
        <v>0</v>
      </c>
    </row>
    <row r="62" spans="1:13">
      <c r="A62" s="196"/>
      <c r="B62" s="196" t="s">
        <v>181</v>
      </c>
      <c r="C62" s="196"/>
      <c r="D62" s="200">
        <f t="shared" ref="D62:M62" si="8">SUM(D58:D61)</f>
        <v>2690.5</v>
      </c>
      <c r="E62" s="200">
        <f t="shared" si="8"/>
        <v>0</v>
      </c>
      <c r="F62" s="200">
        <f t="shared" si="8"/>
        <v>0</v>
      </c>
      <c r="G62" s="200">
        <f t="shared" si="8"/>
        <v>0</v>
      </c>
      <c r="H62" s="200">
        <f t="shared" si="8"/>
        <v>797277.66</v>
      </c>
      <c r="I62" s="200">
        <f t="shared" si="8"/>
        <v>-797277.66</v>
      </c>
      <c r="J62" s="200">
        <f t="shared" si="8"/>
        <v>0</v>
      </c>
      <c r="K62" s="200">
        <f t="shared" si="8"/>
        <v>0</v>
      </c>
      <c r="L62" s="200">
        <f t="shared" si="8"/>
        <v>-797277.66</v>
      </c>
      <c r="M62" s="200">
        <f t="shared" si="8"/>
        <v>0</v>
      </c>
    </row>
    <row r="63" spans="1:13">
      <c r="A63" s="196"/>
      <c r="C63" s="196"/>
      <c r="D63" s="198"/>
      <c r="E63" s="214"/>
      <c r="F63" s="198"/>
      <c r="G63" s="203"/>
      <c r="H63" s="198"/>
      <c r="I63" s="198"/>
      <c r="J63" s="198"/>
      <c r="K63" s="198"/>
      <c r="L63" s="198"/>
      <c r="M63" s="203"/>
    </row>
    <row r="64" spans="1:13">
      <c r="A64" s="196"/>
      <c r="B64" s="196" t="s">
        <v>189</v>
      </c>
      <c r="C64" s="196"/>
      <c r="D64" s="200">
        <v>0</v>
      </c>
      <c r="E64" s="201">
        <v>-9051000</v>
      </c>
      <c r="F64" s="200"/>
      <c r="G64" s="202">
        <f>E64+F64</f>
        <v>-9051000</v>
      </c>
      <c r="H64" s="200">
        <v>549000</v>
      </c>
      <c r="I64" s="200">
        <v>0</v>
      </c>
      <c r="J64" s="200"/>
      <c r="K64" s="200"/>
      <c r="L64" s="200">
        <f>I64+J64+K64</f>
        <v>0</v>
      </c>
      <c r="M64" s="202">
        <f>H64+L64</f>
        <v>549000</v>
      </c>
    </row>
    <row r="65" spans="1:13" s="204" customFormat="1">
      <c r="A65" s="196"/>
      <c r="B65" s="204" t="s">
        <v>190</v>
      </c>
      <c r="C65" s="196"/>
      <c r="D65" s="210">
        <v>8.0833333333333304</v>
      </c>
      <c r="E65" s="211">
        <v>0</v>
      </c>
      <c r="F65" s="210"/>
      <c r="G65" s="212"/>
      <c r="H65" s="210">
        <v>3297858.03</v>
      </c>
      <c r="I65" s="210">
        <v>0</v>
      </c>
      <c r="J65" s="210"/>
      <c r="K65" s="210"/>
      <c r="L65" s="210">
        <f>I65+J65+K65</f>
        <v>0</v>
      </c>
      <c r="M65" s="212">
        <f>H65+L65</f>
        <v>3297858.03</v>
      </c>
    </row>
    <row r="66" spans="1:13">
      <c r="A66" s="196"/>
      <c r="B66" s="196" t="s">
        <v>171</v>
      </c>
      <c r="C66" s="196"/>
      <c r="D66" s="200">
        <f t="shared" ref="D66:M66" si="9">D40+D42+D46+D50+D56+D62+D65+D64</f>
        <v>86352.999999999985</v>
      </c>
      <c r="E66" s="200">
        <f t="shared" si="9"/>
        <v>7455091288</v>
      </c>
      <c r="F66" s="200">
        <f t="shared" si="9"/>
        <v>-367865000</v>
      </c>
      <c r="G66" s="200">
        <f t="shared" si="9"/>
        <v>7087226288</v>
      </c>
      <c r="H66" s="200">
        <f t="shared" si="9"/>
        <v>482636846.90000004</v>
      </c>
      <c r="I66" s="200">
        <f t="shared" si="9"/>
        <v>-13727163.640000001</v>
      </c>
      <c r="J66" s="200">
        <f t="shared" si="9"/>
        <v>0</v>
      </c>
      <c r="K66" s="200">
        <f t="shared" si="9"/>
        <v>11159353</v>
      </c>
      <c r="L66" s="200">
        <f t="shared" si="9"/>
        <v>-2567810.6399999997</v>
      </c>
      <c r="M66" s="200">
        <f t="shared" si="9"/>
        <v>480069036.25999999</v>
      </c>
    </row>
    <row r="67" spans="1:13">
      <c r="A67" s="196"/>
      <c r="C67" s="196"/>
      <c r="D67" s="200"/>
      <c r="E67" s="201"/>
      <c r="F67" s="200"/>
      <c r="G67" s="202"/>
      <c r="H67" s="213"/>
      <c r="I67" s="213"/>
      <c r="J67" s="213"/>
      <c r="K67" s="213"/>
      <c r="L67" s="200"/>
      <c r="M67" s="202"/>
    </row>
    <row r="68" spans="1:13">
      <c r="A68" s="197" t="s">
        <v>206</v>
      </c>
      <c r="B68" s="197"/>
      <c r="C68" s="196"/>
      <c r="D68" s="200"/>
      <c r="E68" s="201"/>
      <c r="F68" s="200"/>
      <c r="G68" s="202"/>
      <c r="H68" s="200"/>
      <c r="I68" s="200"/>
      <c r="J68" s="200"/>
      <c r="K68" s="200"/>
      <c r="L68" s="200"/>
      <c r="M68" s="202"/>
    </row>
    <row r="69" spans="1:13">
      <c r="A69" s="196"/>
      <c r="B69" s="196" t="s">
        <v>192</v>
      </c>
      <c r="C69" s="196"/>
      <c r="D69" s="200">
        <v>1360.8333333333333</v>
      </c>
      <c r="E69" s="201">
        <v>794869170</v>
      </c>
      <c r="F69" s="200"/>
      <c r="G69" s="202">
        <f>E69+F69</f>
        <v>794869170</v>
      </c>
      <c r="H69" s="200">
        <v>52977427.569999993</v>
      </c>
      <c r="I69" s="200">
        <v>0</v>
      </c>
      <c r="J69" s="200">
        <v>0</v>
      </c>
      <c r="K69" s="200">
        <v>1271226</v>
      </c>
      <c r="L69" s="200">
        <f>I69+J69+K69</f>
        <v>1271226</v>
      </c>
      <c r="M69" s="202">
        <f>H69+L69</f>
        <v>54248653.569999993</v>
      </c>
    </row>
    <row r="70" spans="1:13">
      <c r="A70" s="196"/>
      <c r="B70" s="196" t="s">
        <v>193</v>
      </c>
      <c r="C70" s="196"/>
      <c r="D70" s="200">
        <v>244.75</v>
      </c>
      <c r="E70" s="201">
        <v>38591927</v>
      </c>
      <c r="F70" s="200"/>
      <c r="G70" s="202">
        <f>E70+F70</f>
        <v>38591927</v>
      </c>
      <c r="H70" s="200">
        <v>4067919.46</v>
      </c>
      <c r="I70" s="200">
        <v>0</v>
      </c>
      <c r="J70" s="200">
        <v>0</v>
      </c>
      <c r="K70" s="200">
        <v>97612</v>
      </c>
      <c r="L70" s="200">
        <f>I70+J70+K70</f>
        <v>97612</v>
      </c>
      <c r="M70" s="202">
        <f>H70+L70</f>
        <v>4165531.46</v>
      </c>
    </row>
    <row r="71" spans="1:13" s="204" customFormat="1">
      <c r="B71" s="204" t="s">
        <v>207</v>
      </c>
      <c r="D71" s="205">
        <v>6.0833333333333304</v>
      </c>
      <c r="E71" s="206">
        <v>2962180</v>
      </c>
      <c r="F71" s="205"/>
      <c r="G71" s="207">
        <f>E71+F71</f>
        <v>2962180</v>
      </c>
      <c r="H71" s="205">
        <v>220580.93</v>
      </c>
      <c r="I71" s="205">
        <v>0</v>
      </c>
      <c r="J71" s="205">
        <v>0</v>
      </c>
      <c r="K71" s="205">
        <v>5293</v>
      </c>
      <c r="L71" s="205">
        <f>I71+J71+K71</f>
        <v>5293</v>
      </c>
      <c r="M71" s="207">
        <f>H71+L71</f>
        <v>225873.93</v>
      </c>
    </row>
    <row r="72" spans="1:13">
      <c r="A72" s="196"/>
      <c r="B72" s="196" t="s">
        <v>181</v>
      </c>
      <c r="C72" s="196"/>
      <c r="D72" s="200">
        <f t="shared" ref="D72:M72" si="10">SUM(D69:D71)</f>
        <v>1611.6666666666665</v>
      </c>
      <c r="E72" s="201">
        <f t="shared" si="10"/>
        <v>836423277</v>
      </c>
      <c r="F72" s="200">
        <f t="shared" si="10"/>
        <v>0</v>
      </c>
      <c r="G72" s="202">
        <f t="shared" si="10"/>
        <v>836423277</v>
      </c>
      <c r="H72" s="200">
        <f t="shared" si="10"/>
        <v>57265927.959999993</v>
      </c>
      <c r="I72" s="200">
        <f t="shared" si="10"/>
        <v>0</v>
      </c>
      <c r="J72" s="200">
        <f t="shared" si="10"/>
        <v>0</v>
      </c>
      <c r="K72" s="200">
        <f t="shared" si="10"/>
        <v>1374131</v>
      </c>
      <c r="L72" s="200">
        <f t="shared" si="10"/>
        <v>1374131</v>
      </c>
      <c r="M72" s="202">
        <f t="shared" si="10"/>
        <v>58640058.959999993</v>
      </c>
    </row>
    <row r="73" spans="1:13">
      <c r="A73" s="196"/>
      <c r="C73" s="196"/>
      <c r="D73" s="198"/>
      <c r="E73" s="214"/>
      <c r="F73" s="198"/>
      <c r="G73" s="203"/>
      <c r="H73" s="198"/>
      <c r="I73" s="198"/>
      <c r="J73" s="198"/>
      <c r="K73" s="198"/>
      <c r="L73" s="198"/>
      <c r="M73" s="203"/>
    </row>
    <row r="74" spans="1:13">
      <c r="A74" s="196"/>
      <c r="B74" s="196" t="s">
        <v>195</v>
      </c>
      <c r="C74" s="196"/>
      <c r="D74" s="200">
        <v>121.58333333333333</v>
      </c>
      <c r="E74" s="201">
        <v>1045365470</v>
      </c>
      <c r="F74" s="200"/>
      <c r="G74" s="202">
        <f>E74+F74</f>
        <v>1045365470</v>
      </c>
      <c r="H74" s="200">
        <v>59470862.219999999</v>
      </c>
      <c r="I74" s="200">
        <v>0</v>
      </c>
      <c r="J74" s="200">
        <v>0</v>
      </c>
      <c r="K74" s="200">
        <v>1427040</v>
      </c>
      <c r="L74" s="200">
        <f>I74+J74+K74</f>
        <v>1427040</v>
      </c>
      <c r="M74" s="202">
        <f>H74+L74</f>
        <v>60897902.219999999</v>
      </c>
    </row>
    <row r="75" spans="1:13">
      <c r="A75" s="196"/>
      <c r="C75" s="196"/>
      <c r="D75" s="200"/>
      <c r="E75" s="201"/>
      <c r="F75" s="200"/>
      <c r="G75" s="202"/>
      <c r="H75" s="200"/>
      <c r="I75" s="200"/>
      <c r="J75" s="200"/>
      <c r="K75" s="200"/>
      <c r="L75" s="200"/>
      <c r="M75" s="202"/>
    </row>
    <row r="76" spans="1:13">
      <c r="A76" s="196"/>
      <c r="B76" s="196" t="s">
        <v>196</v>
      </c>
      <c r="C76" s="196"/>
      <c r="D76" s="200">
        <v>121.6666666666667</v>
      </c>
      <c r="E76" s="201">
        <v>3458813663</v>
      </c>
      <c r="F76" s="200"/>
      <c r="G76" s="202">
        <f>E76+F76</f>
        <v>3458813663</v>
      </c>
      <c r="H76" s="200">
        <v>136141382.15000001</v>
      </c>
      <c r="I76" s="200">
        <v>0</v>
      </c>
      <c r="J76" s="200">
        <v>0</v>
      </c>
      <c r="K76" s="200">
        <v>3266796</v>
      </c>
      <c r="L76" s="200">
        <f>I76+J76+K76</f>
        <v>3266796</v>
      </c>
      <c r="M76" s="202">
        <f>H76+L76</f>
        <v>139408178.15000001</v>
      </c>
    </row>
    <row r="77" spans="1:13" s="204" customFormat="1">
      <c r="B77" s="204" t="s">
        <v>208</v>
      </c>
      <c r="D77" s="205">
        <v>7</v>
      </c>
      <c r="E77" s="206">
        <v>19666958</v>
      </c>
      <c r="F77" s="205"/>
      <c r="G77" s="207">
        <f>E77+F77</f>
        <v>19666958</v>
      </c>
      <c r="H77" s="205">
        <v>1179612.98</v>
      </c>
      <c r="I77" s="205">
        <v>0</v>
      </c>
      <c r="J77" s="205">
        <v>0</v>
      </c>
      <c r="K77" s="205">
        <v>28306</v>
      </c>
      <c r="L77" s="205">
        <f>I77+J77+K77</f>
        <v>28306</v>
      </c>
      <c r="M77" s="207">
        <f>H77+L77</f>
        <v>1207918.98</v>
      </c>
    </row>
    <row r="78" spans="1:13">
      <c r="A78" s="196"/>
      <c r="B78" s="196" t="s">
        <v>181</v>
      </c>
      <c r="C78" s="196"/>
      <c r="D78" s="200">
        <f t="shared" ref="D78:M78" si="11">SUM(D76:D77)</f>
        <v>128.66666666666669</v>
      </c>
      <c r="E78" s="201">
        <f t="shared" si="11"/>
        <v>3478480621</v>
      </c>
      <c r="F78" s="200">
        <f t="shared" si="11"/>
        <v>0</v>
      </c>
      <c r="G78" s="202">
        <f t="shared" si="11"/>
        <v>3478480621</v>
      </c>
      <c r="H78" s="200">
        <f t="shared" si="11"/>
        <v>137320995.13</v>
      </c>
      <c r="I78" s="200">
        <f t="shared" si="11"/>
        <v>0</v>
      </c>
      <c r="J78" s="200">
        <f t="shared" si="11"/>
        <v>0</v>
      </c>
      <c r="K78" s="200">
        <f t="shared" si="11"/>
        <v>3295102</v>
      </c>
      <c r="L78" s="200">
        <f t="shared" si="11"/>
        <v>3295102</v>
      </c>
      <c r="M78" s="202">
        <f t="shared" si="11"/>
        <v>140616097.13</v>
      </c>
    </row>
    <row r="79" spans="1:13">
      <c r="A79" s="196"/>
      <c r="C79" s="196"/>
      <c r="D79" s="198"/>
      <c r="E79" s="214"/>
      <c r="F79" s="198"/>
      <c r="G79" s="203"/>
      <c r="H79" s="198"/>
      <c r="I79" s="198"/>
      <c r="J79" s="198"/>
      <c r="K79" s="198"/>
      <c r="L79" s="198"/>
      <c r="M79" s="203"/>
    </row>
    <row r="80" spans="1:13">
      <c r="A80" s="196"/>
      <c r="B80" s="196" t="s">
        <v>209</v>
      </c>
      <c r="C80" s="196"/>
      <c r="D80" s="200">
        <v>2532.6666666666702</v>
      </c>
      <c r="E80" s="201">
        <v>188426373</v>
      </c>
      <c r="F80" s="200"/>
      <c r="G80" s="202">
        <f>E80+F80</f>
        <v>188426373</v>
      </c>
      <c r="H80" s="200">
        <v>10266190.870000001</v>
      </c>
      <c r="I80" s="200">
        <v>0</v>
      </c>
      <c r="J80" s="200">
        <v>0</v>
      </c>
      <c r="K80" s="200">
        <v>246344</v>
      </c>
      <c r="L80" s="200">
        <f>I80+J80+K80</f>
        <v>246344</v>
      </c>
      <c r="M80" s="202">
        <f>H80+L80</f>
        <v>10512534.870000001</v>
      </c>
    </row>
    <row r="81" spans="1:13" s="204" customFormat="1">
      <c r="B81" s="204" t="s">
        <v>210</v>
      </c>
      <c r="D81" s="205">
        <v>77.75</v>
      </c>
      <c r="E81" s="206">
        <v>13434709</v>
      </c>
      <c r="F81" s="205"/>
      <c r="G81" s="207">
        <f>E81+F81</f>
        <v>13434709</v>
      </c>
      <c r="H81" s="205">
        <v>724121.23</v>
      </c>
      <c r="I81" s="205">
        <v>0</v>
      </c>
      <c r="J81" s="205">
        <v>0</v>
      </c>
      <c r="K81" s="205">
        <v>17376</v>
      </c>
      <c r="L81" s="205">
        <f>I81+J81+K81</f>
        <v>17376</v>
      </c>
      <c r="M81" s="207">
        <f>H81+L81</f>
        <v>741497.23</v>
      </c>
    </row>
    <row r="82" spans="1:13">
      <c r="A82" s="196"/>
      <c r="B82" s="196" t="s">
        <v>181</v>
      </c>
      <c r="C82" s="196"/>
      <c r="D82" s="200">
        <f t="shared" ref="D82:M82" si="12">SUM(D80:D81)</f>
        <v>2610.4166666666702</v>
      </c>
      <c r="E82" s="201">
        <f t="shared" si="12"/>
        <v>201861082</v>
      </c>
      <c r="F82" s="200">
        <f t="shared" si="12"/>
        <v>0</v>
      </c>
      <c r="G82" s="202">
        <f t="shared" si="12"/>
        <v>201861082</v>
      </c>
      <c r="H82" s="200">
        <f t="shared" si="12"/>
        <v>10990312.100000001</v>
      </c>
      <c r="I82" s="200">
        <f t="shared" si="12"/>
        <v>0</v>
      </c>
      <c r="J82" s="200">
        <f t="shared" si="12"/>
        <v>0</v>
      </c>
      <c r="K82" s="200">
        <f t="shared" si="12"/>
        <v>263720</v>
      </c>
      <c r="L82" s="200">
        <f t="shared" si="12"/>
        <v>263720</v>
      </c>
      <c r="M82" s="202">
        <f t="shared" si="12"/>
        <v>11254032.100000001</v>
      </c>
    </row>
    <row r="83" spans="1:13">
      <c r="A83" s="196"/>
      <c r="C83" s="196"/>
      <c r="D83" s="200"/>
      <c r="E83" s="201"/>
      <c r="F83" s="200"/>
      <c r="G83" s="202"/>
      <c r="H83" s="200"/>
      <c r="I83" s="200"/>
      <c r="J83" s="200"/>
      <c r="K83" s="200"/>
      <c r="L83" s="200"/>
      <c r="M83" s="202"/>
    </row>
    <row r="84" spans="1:13">
      <c r="A84" s="196"/>
      <c r="B84" s="196" t="s">
        <v>211</v>
      </c>
      <c r="C84" s="196"/>
      <c r="D84" s="200">
        <v>5</v>
      </c>
      <c r="E84" s="201">
        <v>3351146</v>
      </c>
      <c r="F84" s="200"/>
      <c r="G84" s="202">
        <f>E84+F84</f>
        <v>3351146</v>
      </c>
      <c r="H84" s="200">
        <v>277712.88</v>
      </c>
      <c r="I84" s="200">
        <v>0</v>
      </c>
      <c r="J84" s="200">
        <v>0</v>
      </c>
      <c r="K84" s="200">
        <v>6664</v>
      </c>
      <c r="L84" s="200">
        <f>I84+J84+K84</f>
        <v>6664</v>
      </c>
      <c r="M84" s="202">
        <f>H84+L84</f>
        <v>284376.88</v>
      </c>
    </row>
    <row r="85" spans="1:13">
      <c r="A85" s="196"/>
      <c r="B85" s="196" t="s">
        <v>212</v>
      </c>
      <c r="C85" s="196"/>
      <c r="D85" s="200">
        <v>3769.0833333333298</v>
      </c>
      <c r="E85" s="201">
        <v>61484477</v>
      </c>
      <c r="F85" s="200"/>
      <c r="G85" s="202">
        <f>E85+F85</f>
        <v>61484477</v>
      </c>
      <c r="H85" s="200">
        <v>4735900.59</v>
      </c>
      <c r="I85" s="200">
        <v>0</v>
      </c>
      <c r="J85" s="200">
        <v>0</v>
      </c>
      <c r="K85" s="200">
        <v>113641</v>
      </c>
      <c r="L85" s="200">
        <f>I85+J85+K85</f>
        <v>113641</v>
      </c>
      <c r="M85" s="202">
        <f>H85+L85</f>
        <v>4849541.59</v>
      </c>
    </row>
    <row r="86" spans="1:13">
      <c r="A86" s="196"/>
      <c r="B86" s="196" t="s">
        <v>199</v>
      </c>
      <c r="C86" s="196"/>
      <c r="D86" s="200">
        <v>1</v>
      </c>
      <c r="E86" s="201">
        <v>550000</v>
      </c>
      <c r="F86" s="200"/>
      <c r="G86" s="202">
        <f>E86+F86</f>
        <v>550000</v>
      </c>
      <c r="H86" s="200">
        <v>193710.56</v>
      </c>
      <c r="I86" s="200">
        <v>0</v>
      </c>
      <c r="J86" s="200">
        <v>0</v>
      </c>
      <c r="K86" s="200">
        <v>4648</v>
      </c>
      <c r="L86" s="200">
        <f>I86+J86+K86</f>
        <v>4648</v>
      </c>
      <c r="M86" s="202">
        <f>H86+L86</f>
        <v>198358.56</v>
      </c>
    </row>
    <row r="87" spans="1:13" s="204" customFormat="1">
      <c r="B87" s="204" t="s">
        <v>213</v>
      </c>
      <c r="C87" s="215"/>
      <c r="D87" s="205">
        <v>4</v>
      </c>
      <c r="E87" s="206">
        <v>2422460410</v>
      </c>
      <c r="F87" s="205">
        <v>-15729997</v>
      </c>
      <c r="G87" s="207">
        <f>E87+F87</f>
        <v>2406730413</v>
      </c>
      <c r="H87" s="205">
        <v>79833457.260000005</v>
      </c>
      <c r="I87" s="205">
        <v>-2244868.0009414386</v>
      </c>
      <c r="J87" s="205">
        <v>1389252.7091939999</v>
      </c>
      <c r="K87" s="205">
        <v>1467765.4175270009</v>
      </c>
      <c r="L87" s="205">
        <f>I87+J87+K87</f>
        <v>612150.12577956216</v>
      </c>
      <c r="M87" s="207">
        <f>H87+L87</f>
        <v>80445607.385779575</v>
      </c>
    </row>
    <row r="88" spans="1:13">
      <c r="A88" s="196"/>
      <c r="B88" s="196" t="s">
        <v>181</v>
      </c>
      <c r="C88" s="196"/>
      <c r="D88" s="200">
        <f t="shared" ref="D88:M88" si="13">SUM(D84:D87)</f>
        <v>3779.0833333333298</v>
      </c>
      <c r="E88" s="201">
        <f t="shared" si="13"/>
        <v>2487846033</v>
      </c>
      <c r="F88" s="200">
        <f t="shared" si="13"/>
        <v>-15729997</v>
      </c>
      <c r="G88" s="202">
        <f t="shared" si="13"/>
        <v>2472116036</v>
      </c>
      <c r="H88" s="200">
        <f t="shared" si="13"/>
        <v>85040781.290000007</v>
      </c>
      <c r="I88" s="200">
        <f t="shared" si="13"/>
        <v>-2244868.0009414386</v>
      </c>
      <c r="J88" s="200">
        <f t="shared" si="13"/>
        <v>1389252.7091939999</v>
      </c>
      <c r="K88" s="200">
        <f t="shared" si="13"/>
        <v>1592718.4175270009</v>
      </c>
      <c r="L88" s="200">
        <f t="shared" si="13"/>
        <v>737103.12577956216</v>
      </c>
      <c r="M88" s="202">
        <f t="shared" si="13"/>
        <v>85777884.415779576</v>
      </c>
    </row>
    <row r="89" spans="1:13">
      <c r="A89" s="196"/>
      <c r="C89" s="196"/>
      <c r="D89" s="198"/>
      <c r="E89" s="214"/>
      <c r="F89" s="198"/>
      <c r="G89" s="203"/>
      <c r="H89" s="198"/>
      <c r="I89" s="198"/>
      <c r="J89" s="198"/>
      <c r="K89" s="198"/>
      <c r="L89" s="198"/>
      <c r="M89" s="203"/>
    </row>
    <row r="90" spans="1:13">
      <c r="A90" s="196"/>
      <c r="B90" s="196" t="s">
        <v>200</v>
      </c>
      <c r="C90" s="196"/>
      <c r="D90" s="200">
        <v>541.75</v>
      </c>
      <c r="E90" s="201">
        <v>1507147</v>
      </c>
      <c r="F90" s="200"/>
      <c r="G90" s="202">
        <f>E90+F90</f>
        <v>1507147</v>
      </c>
      <c r="H90" s="200">
        <v>294594.26</v>
      </c>
      <c r="I90" s="200">
        <v>0</v>
      </c>
      <c r="J90" s="200">
        <v>0</v>
      </c>
      <c r="K90" s="200">
        <v>7069</v>
      </c>
      <c r="L90" s="200">
        <f>I90+J90+K90</f>
        <v>7069</v>
      </c>
      <c r="M90" s="202">
        <f>H90+L90</f>
        <v>301663.26</v>
      </c>
    </row>
    <row r="91" spans="1:13">
      <c r="A91" s="196"/>
      <c r="B91" s="196" t="s">
        <v>214</v>
      </c>
      <c r="C91" s="196"/>
      <c r="D91" s="200">
        <v>7.75</v>
      </c>
      <c r="E91" s="201">
        <v>43367</v>
      </c>
      <c r="F91" s="200"/>
      <c r="G91" s="202">
        <f>E91+F91</f>
        <v>43367</v>
      </c>
      <c r="H91" s="200">
        <v>3164.88</v>
      </c>
      <c r="I91" s="200">
        <v>0</v>
      </c>
      <c r="J91" s="200">
        <v>0</v>
      </c>
      <c r="K91" s="200">
        <v>76</v>
      </c>
      <c r="L91" s="200">
        <f>I91+J91+K91</f>
        <v>76</v>
      </c>
      <c r="M91" s="202">
        <f>H91+L91</f>
        <v>3240.88</v>
      </c>
    </row>
    <row r="92" spans="1:13" s="204" customFormat="1">
      <c r="B92" s="204" t="s">
        <v>202</v>
      </c>
      <c r="C92" s="215"/>
      <c r="D92" s="205">
        <v>6</v>
      </c>
      <c r="E92" s="206">
        <v>11773</v>
      </c>
      <c r="F92" s="205"/>
      <c r="G92" s="207">
        <f>E92+F92</f>
        <v>11773</v>
      </c>
      <c r="H92" s="205">
        <v>2936.32</v>
      </c>
      <c r="I92" s="205">
        <v>0</v>
      </c>
      <c r="J92" s="205">
        <v>0</v>
      </c>
      <c r="K92" s="205">
        <v>70</v>
      </c>
      <c r="L92" s="205">
        <f>I92+J92+K92</f>
        <v>70</v>
      </c>
      <c r="M92" s="207">
        <f>H92+L92</f>
        <v>3006.32</v>
      </c>
    </row>
    <row r="93" spans="1:13">
      <c r="A93" s="196"/>
      <c r="B93" s="196" t="s">
        <v>181</v>
      </c>
      <c r="C93" s="196"/>
      <c r="D93" s="200">
        <f t="shared" ref="D93:M93" si="14">SUM(D90:D92)</f>
        <v>555.5</v>
      </c>
      <c r="E93" s="201">
        <f t="shared" si="14"/>
        <v>1562287</v>
      </c>
      <c r="F93" s="200">
        <f t="shared" si="14"/>
        <v>0</v>
      </c>
      <c r="G93" s="202">
        <f t="shared" si="14"/>
        <v>1562287</v>
      </c>
      <c r="H93" s="200">
        <f t="shared" si="14"/>
        <v>300695.46000000002</v>
      </c>
      <c r="I93" s="200">
        <f t="shared" si="14"/>
        <v>0</v>
      </c>
      <c r="J93" s="200">
        <f t="shared" si="14"/>
        <v>0</v>
      </c>
      <c r="K93" s="200">
        <f t="shared" si="14"/>
        <v>7215</v>
      </c>
      <c r="L93" s="200">
        <f t="shared" si="14"/>
        <v>7215</v>
      </c>
      <c r="M93" s="202">
        <f t="shared" si="14"/>
        <v>307910.46000000002</v>
      </c>
    </row>
    <row r="94" spans="1:13">
      <c r="A94" s="196"/>
      <c r="C94" s="196"/>
      <c r="D94" s="200"/>
      <c r="E94" s="201"/>
      <c r="F94" s="200"/>
      <c r="G94" s="202"/>
      <c r="H94" s="200"/>
      <c r="I94" s="200"/>
      <c r="J94" s="200"/>
      <c r="K94" s="200"/>
      <c r="L94" s="200"/>
      <c r="M94" s="202"/>
    </row>
    <row r="95" spans="1:13">
      <c r="A95" s="196"/>
      <c r="B95" s="196" t="s">
        <v>215</v>
      </c>
      <c r="C95" s="196"/>
      <c r="D95" s="198">
        <v>0</v>
      </c>
      <c r="E95" s="214">
        <v>0</v>
      </c>
      <c r="F95" s="198"/>
      <c r="G95" s="203"/>
      <c r="H95" s="200">
        <v>0</v>
      </c>
      <c r="I95" s="200">
        <v>0</v>
      </c>
      <c r="J95" s="200"/>
      <c r="K95" s="200"/>
      <c r="L95" s="200">
        <f>I95+J95+K95</f>
        <v>0</v>
      </c>
      <c r="M95" s="202">
        <f>H95+L95</f>
        <v>0</v>
      </c>
    </row>
    <row r="96" spans="1:13">
      <c r="A96" s="196"/>
      <c r="B96" s="208" t="s">
        <v>186</v>
      </c>
      <c r="C96" s="196"/>
      <c r="D96" s="198">
        <v>0</v>
      </c>
      <c r="E96" s="214">
        <v>0</v>
      </c>
      <c r="F96" s="198"/>
      <c r="G96" s="203"/>
      <c r="H96" s="200">
        <v>4.1900000000000004</v>
      </c>
      <c r="I96" s="200">
        <v>-4.1900000000000004</v>
      </c>
      <c r="J96" s="200"/>
      <c r="K96" s="200"/>
      <c r="L96" s="200">
        <f>I96+J96+K96</f>
        <v>-4.1900000000000004</v>
      </c>
      <c r="M96" s="202">
        <f>H96+L96</f>
        <v>0</v>
      </c>
    </row>
    <row r="97" spans="1:13" s="204" customFormat="1">
      <c r="B97" s="204" t="s">
        <v>188</v>
      </c>
      <c r="D97" s="205">
        <v>0</v>
      </c>
      <c r="E97" s="206">
        <v>0</v>
      </c>
      <c r="F97" s="205"/>
      <c r="G97" s="207"/>
      <c r="H97" s="205">
        <v>819388.44</v>
      </c>
      <c r="I97" s="205">
        <v>-819388.44</v>
      </c>
      <c r="J97" s="205"/>
      <c r="K97" s="205"/>
      <c r="L97" s="205">
        <f>I97+J97+K97</f>
        <v>-819388.44</v>
      </c>
      <c r="M97" s="207">
        <f>H97+L97</f>
        <v>0</v>
      </c>
    </row>
    <row r="98" spans="1:13">
      <c r="A98" s="196"/>
      <c r="B98" s="196" t="s">
        <v>181</v>
      </c>
      <c r="C98" s="196"/>
      <c r="D98" s="200">
        <f t="shared" ref="D98:M98" si="15">SUM(D95:D97)</f>
        <v>0</v>
      </c>
      <c r="E98" s="201">
        <f t="shared" si="15"/>
        <v>0</v>
      </c>
      <c r="F98" s="200">
        <f t="shared" si="15"/>
        <v>0</v>
      </c>
      <c r="G98" s="202">
        <f t="shared" si="15"/>
        <v>0</v>
      </c>
      <c r="H98" s="200">
        <f t="shared" si="15"/>
        <v>819392.62999999989</v>
      </c>
      <c r="I98" s="200">
        <f t="shared" si="15"/>
        <v>-819392.62999999989</v>
      </c>
      <c r="J98" s="200">
        <f t="shared" si="15"/>
        <v>0</v>
      </c>
      <c r="K98" s="200">
        <f t="shared" si="15"/>
        <v>0</v>
      </c>
      <c r="L98" s="200">
        <f t="shared" si="15"/>
        <v>-819392.62999999989</v>
      </c>
      <c r="M98" s="200">
        <f t="shared" si="15"/>
        <v>0</v>
      </c>
    </row>
    <row r="99" spans="1:13">
      <c r="A99" s="196"/>
      <c r="C99" s="196"/>
      <c r="D99" s="198"/>
      <c r="E99" s="214"/>
      <c r="F99" s="198"/>
      <c r="G99" s="203"/>
      <c r="H99" s="198"/>
      <c r="I99" s="198"/>
      <c r="J99" s="198"/>
      <c r="K99" s="198"/>
      <c r="L99" s="198"/>
      <c r="M99" s="203"/>
    </row>
    <row r="100" spans="1:13">
      <c r="A100" s="196"/>
      <c r="B100" s="196" t="s">
        <v>189</v>
      </c>
      <c r="C100" s="196"/>
      <c r="D100" s="200">
        <v>0</v>
      </c>
      <c r="E100" s="201">
        <v>51182000</v>
      </c>
      <c r="F100" s="200"/>
      <c r="G100" s="202">
        <f>E100+F100</f>
        <v>51182000</v>
      </c>
      <c r="H100" s="200">
        <v>2929000</v>
      </c>
      <c r="I100" s="200">
        <v>0</v>
      </c>
      <c r="J100" s="200"/>
      <c r="K100" s="200"/>
      <c r="L100" s="200">
        <f>I100+J100+K100</f>
        <v>0</v>
      </c>
      <c r="M100" s="202">
        <f>H100+L100</f>
        <v>2929000</v>
      </c>
    </row>
    <row r="101" spans="1:13" s="204" customFormat="1">
      <c r="A101" s="196"/>
      <c r="B101" s="204" t="s">
        <v>190</v>
      </c>
      <c r="C101" s="196"/>
      <c r="D101" s="210">
        <v>0</v>
      </c>
      <c r="E101" s="211">
        <v>0</v>
      </c>
      <c r="F101" s="210">
        <v>0</v>
      </c>
      <c r="G101" s="212"/>
      <c r="H101" s="210">
        <v>615624.46</v>
      </c>
      <c r="I101" s="210">
        <v>0</v>
      </c>
      <c r="J101" s="210"/>
      <c r="K101" s="210"/>
      <c r="L101" s="210">
        <f>I101+J101+K101</f>
        <v>0</v>
      </c>
      <c r="M101" s="212">
        <f>H101+L101</f>
        <v>615624.46</v>
      </c>
    </row>
    <row r="102" spans="1:13">
      <c r="A102" s="196"/>
      <c r="B102" s="196" t="s">
        <v>171</v>
      </c>
      <c r="C102" s="196"/>
      <c r="D102" s="200">
        <f t="shared" ref="D102:M102" si="16">D72+D74+D78+D82+D88+D93+D98+D100+D101</f>
        <v>8806.9166666666661</v>
      </c>
      <c r="E102" s="201">
        <f t="shared" si="16"/>
        <v>8102720770</v>
      </c>
      <c r="F102" s="200">
        <f t="shared" si="16"/>
        <v>-15729997</v>
      </c>
      <c r="G102" s="202">
        <f t="shared" si="16"/>
        <v>8086990773</v>
      </c>
      <c r="H102" s="213">
        <f t="shared" si="16"/>
        <v>354753591.24999994</v>
      </c>
      <c r="I102" s="213">
        <f t="shared" si="16"/>
        <v>-3064260.6309414385</v>
      </c>
      <c r="J102" s="213">
        <f t="shared" si="16"/>
        <v>1389252.7091939999</v>
      </c>
      <c r="K102" s="213">
        <f t="shared" si="16"/>
        <v>7959926.4175270014</v>
      </c>
      <c r="L102" s="200">
        <f t="shared" si="16"/>
        <v>6284918.4957795618</v>
      </c>
      <c r="M102" s="202">
        <f t="shared" si="16"/>
        <v>361038509.74577957</v>
      </c>
    </row>
    <row r="103" spans="1:13">
      <c r="A103" s="196"/>
      <c r="C103" s="196"/>
      <c r="D103" s="200"/>
      <c r="E103" s="201"/>
      <c r="F103" s="200"/>
      <c r="G103" s="202"/>
      <c r="H103" s="213"/>
      <c r="I103" s="213"/>
      <c r="J103" s="213"/>
      <c r="K103" s="213"/>
      <c r="L103" s="200"/>
      <c r="M103" s="202"/>
    </row>
    <row r="104" spans="1:13">
      <c r="A104" s="197" t="s">
        <v>216</v>
      </c>
      <c r="B104" s="197"/>
      <c r="C104" s="196"/>
      <c r="D104" s="198"/>
      <c r="E104" s="214"/>
      <c r="F104" s="198"/>
      <c r="G104" s="203"/>
      <c r="H104" s="198"/>
      <c r="I104" s="198"/>
      <c r="J104" s="198"/>
      <c r="K104" s="198"/>
      <c r="L104" s="198"/>
      <c r="M104" s="203"/>
    </row>
    <row r="105" spans="1:13">
      <c r="A105" s="196"/>
      <c r="B105" s="196" t="s">
        <v>200</v>
      </c>
      <c r="C105" s="196"/>
      <c r="D105" s="200">
        <v>3.0833333333333299</v>
      </c>
      <c r="E105" s="201">
        <v>2500</v>
      </c>
      <c r="F105" s="200"/>
      <c r="G105" s="202">
        <f t="shared" ref="G105:G113" si="17">E105+F105</f>
        <v>2500</v>
      </c>
      <c r="H105" s="200">
        <v>836.08</v>
      </c>
      <c r="I105" s="200">
        <v>0</v>
      </c>
      <c r="J105" s="200">
        <v>0</v>
      </c>
      <c r="K105" s="200">
        <v>20</v>
      </c>
      <c r="L105" s="200">
        <f t="shared" ref="L105:L113" si="18">I105+J105+K105</f>
        <v>20</v>
      </c>
      <c r="M105" s="202">
        <f t="shared" ref="M105:M113" si="19">H105+L105</f>
        <v>856.08</v>
      </c>
    </row>
    <row r="106" spans="1:13">
      <c r="A106" s="196"/>
      <c r="B106" s="196" t="s">
        <v>217</v>
      </c>
      <c r="C106" s="196"/>
      <c r="D106" s="200">
        <v>1097.8333333333301</v>
      </c>
      <c r="E106" s="201">
        <v>22464185</v>
      </c>
      <c r="F106" s="200"/>
      <c r="G106" s="202">
        <f t="shared" si="17"/>
        <v>22464185</v>
      </c>
      <c r="H106" s="200">
        <v>6301501.8600000003</v>
      </c>
      <c r="I106" s="200">
        <v>0</v>
      </c>
      <c r="J106" s="200">
        <v>0</v>
      </c>
      <c r="K106" s="200">
        <v>151208</v>
      </c>
      <c r="L106" s="200">
        <f t="shared" si="18"/>
        <v>151208</v>
      </c>
      <c r="M106" s="202">
        <f t="shared" si="19"/>
        <v>6452709.8600000003</v>
      </c>
    </row>
    <row r="107" spans="1:13">
      <c r="A107" s="196"/>
      <c r="B107" s="196" t="s">
        <v>218</v>
      </c>
      <c r="C107" s="196"/>
      <c r="D107" s="200">
        <v>363.166666666666</v>
      </c>
      <c r="E107" s="201">
        <v>8621022</v>
      </c>
      <c r="F107" s="200"/>
      <c r="G107" s="202">
        <f t="shared" si="17"/>
        <v>8621022</v>
      </c>
      <c r="H107" s="200">
        <v>989876.93</v>
      </c>
      <c r="I107" s="200">
        <v>0</v>
      </c>
      <c r="J107" s="200">
        <v>0</v>
      </c>
      <c r="K107" s="200">
        <v>23753</v>
      </c>
      <c r="L107" s="200">
        <f t="shared" si="18"/>
        <v>23753</v>
      </c>
      <c r="M107" s="202">
        <f t="shared" si="19"/>
        <v>1013629.93</v>
      </c>
    </row>
    <row r="108" spans="1:13">
      <c r="A108" s="196"/>
      <c r="B108" s="196" t="s">
        <v>201</v>
      </c>
      <c r="C108" s="196"/>
      <c r="D108" s="200">
        <v>1679.75</v>
      </c>
      <c r="E108" s="201">
        <v>4260523</v>
      </c>
      <c r="F108" s="200"/>
      <c r="G108" s="202">
        <f t="shared" si="17"/>
        <v>4260523</v>
      </c>
      <c r="H108" s="200">
        <v>353245.15</v>
      </c>
      <c r="I108" s="200">
        <v>0</v>
      </c>
      <c r="J108" s="200">
        <v>0</v>
      </c>
      <c r="K108" s="200">
        <v>8476</v>
      </c>
      <c r="L108" s="200">
        <f t="shared" si="18"/>
        <v>8476</v>
      </c>
      <c r="M108" s="202">
        <f t="shared" si="19"/>
        <v>361721.15</v>
      </c>
    </row>
    <row r="109" spans="1:13">
      <c r="A109" s="196"/>
      <c r="B109" s="196" t="s">
        <v>202</v>
      </c>
      <c r="C109" s="196"/>
      <c r="D109" s="200">
        <v>48.8333333333333</v>
      </c>
      <c r="E109" s="201">
        <v>943511</v>
      </c>
      <c r="F109" s="200"/>
      <c r="G109" s="202">
        <f t="shared" si="17"/>
        <v>943511</v>
      </c>
      <c r="H109" s="200">
        <v>70267.12</v>
      </c>
      <c r="I109" s="200">
        <v>0</v>
      </c>
      <c r="J109" s="200">
        <v>0</v>
      </c>
      <c r="K109" s="200">
        <v>1686</v>
      </c>
      <c r="L109" s="200">
        <f t="shared" si="18"/>
        <v>1686</v>
      </c>
      <c r="M109" s="202">
        <f t="shared" si="19"/>
        <v>71953.119999999995</v>
      </c>
    </row>
    <row r="110" spans="1:13">
      <c r="A110" s="196"/>
      <c r="B110" s="196" t="s">
        <v>219</v>
      </c>
      <c r="C110" s="196"/>
      <c r="D110" s="200">
        <v>99.166666666666671</v>
      </c>
      <c r="E110" s="201">
        <v>7021521</v>
      </c>
      <c r="F110" s="200"/>
      <c r="G110" s="202">
        <f t="shared" si="17"/>
        <v>7021521</v>
      </c>
      <c r="H110" s="200">
        <v>535488.79</v>
      </c>
      <c r="I110" s="200">
        <v>0</v>
      </c>
      <c r="J110" s="200">
        <v>0</v>
      </c>
      <c r="K110" s="200">
        <v>12849</v>
      </c>
      <c r="L110" s="200">
        <f t="shared" si="18"/>
        <v>12849</v>
      </c>
      <c r="M110" s="202">
        <f t="shared" si="19"/>
        <v>548337.79</v>
      </c>
    </row>
    <row r="111" spans="1:13">
      <c r="A111" s="196"/>
      <c r="B111" s="196" t="s">
        <v>220</v>
      </c>
      <c r="C111" s="196"/>
      <c r="D111" s="200">
        <v>288.33333333333297</v>
      </c>
      <c r="E111" s="201">
        <v>31385053</v>
      </c>
      <c r="F111" s="200"/>
      <c r="G111" s="202">
        <f t="shared" si="17"/>
        <v>31385053</v>
      </c>
      <c r="H111" s="200">
        <v>2105932.0299999998</v>
      </c>
      <c r="I111" s="200">
        <v>0</v>
      </c>
      <c r="J111" s="200">
        <v>0</v>
      </c>
      <c r="K111" s="200">
        <v>50533</v>
      </c>
      <c r="L111" s="200">
        <f t="shared" si="18"/>
        <v>50533</v>
      </c>
      <c r="M111" s="202">
        <f t="shared" si="19"/>
        <v>2156465.0299999998</v>
      </c>
    </row>
    <row r="112" spans="1:13">
      <c r="A112" s="196"/>
      <c r="B112" s="196" t="s">
        <v>221</v>
      </c>
      <c r="C112" s="196"/>
      <c r="D112" s="200">
        <v>1</v>
      </c>
      <c r="E112" s="201">
        <v>156</v>
      </c>
      <c r="F112" s="200"/>
      <c r="G112" s="202">
        <f t="shared" si="17"/>
        <v>156</v>
      </c>
      <c r="H112" s="200">
        <v>93</v>
      </c>
      <c r="I112" s="200">
        <v>0</v>
      </c>
      <c r="J112" s="200">
        <v>0</v>
      </c>
      <c r="K112" s="200">
        <v>0</v>
      </c>
      <c r="L112" s="200">
        <f t="shared" si="18"/>
        <v>0</v>
      </c>
      <c r="M112" s="202">
        <f t="shared" si="19"/>
        <v>93</v>
      </c>
    </row>
    <row r="113" spans="1:13">
      <c r="A113" s="196"/>
      <c r="B113" s="196" t="s">
        <v>222</v>
      </c>
      <c r="C113" s="196"/>
      <c r="D113" s="200">
        <v>1</v>
      </c>
      <c r="E113" s="201">
        <v>140940</v>
      </c>
      <c r="F113" s="200"/>
      <c r="G113" s="202">
        <f t="shared" si="17"/>
        <v>140940</v>
      </c>
      <c r="H113" s="200">
        <v>17277.36</v>
      </c>
      <c r="I113" s="200">
        <v>0</v>
      </c>
      <c r="J113" s="200">
        <v>0</v>
      </c>
      <c r="K113" s="200">
        <v>0</v>
      </c>
      <c r="L113" s="200">
        <f t="shared" si="18"/>
        <v>0</v>
      </c>
      <c r="M113" s="202">
        <f t="shared" si="19"/>
        <v>17277.36</v>
      </c>
    </row>
    <row r="114" spans="1:13">
      <c r="A114" s="196"/>
      <c r="C114" s="196"/>
      <c r="D114" s="200"/>
      <c r="E114" s="201"/>
      <c r="F114" s="200"/>
      <c r="G114" s="202"/>
      <c r="H114" s="200"/>
      <c r="I114" s="200"/>
      <c r="J114" s="200"/>
      <c r="K114" s="200"/>
      <c r="L114" s="200"/>
      <c r="M114" s="202"/>
    </row>
    <row r="115" spans="1:13">
      <c r="A115" s="196"/>
      <c r="B115" s="196" t="s">
        <v>189</v>
      </c>
      <c r="C115" s="196"/>
      <c r="D115" s="200">
        <v>0</v>
      </c>
      <c r="E115" s="201">
        <v>340000</v>
      </c>
      <c r="F115" s="200"/>
      <c r="G115" s="202">
        <f>E115+F115</f>
        <v>340000</v>
      </c>
      <c r="H115" s="200">
        <v>58000</v>
      </c>
      <c r="I115" s="200">
        <v>0</v>
      </c>
      <c r="J115" s="200"/>
      <c r="K115" s="200"/>
      <c r="L115" s="200">
        <f>I115+J115+K115</f>
        <v>0</v>
      </c>
      <c r="M115" s="202">
        <f>H115+L115</f>
        <v>58000</v>
      </c>
    </row>
    <row r="116" spans="1:13" s="204" customFormat="1">
      <c r="A116" s="196"/>
      <c r="B116" s="204" t="s">
        <v>190</v>
      </c>
      <c r="C116" s="213"/>
      <c r="D116" s="210">
        <v>0</v>
      </c>
      <c r="E116" s="211">
        <v>0</v>
      </c>
      <c r="F116" s="210"/>
      <c r="G116" s="212"/>
      <c r="H116" s="210">
        <v>4788.84</v>
      </c>
      <c r="I116" s="210">
        <v>0</v>
      </c>
      <c r="J116" s="210"/>
      <c r="K116" s="210"/>
      <c r="L116" s="210">
        <f>I116+J116+K116</f>
        <v>0</v>
      </c>
      <c r="M116" s="212">
        <f>H116+L116</f>
        <v>4788.84</v>
      </c>
    </row>
    <row r="117" spans="1:13">
      <c r="A117" s="196"/>
      <c r="B117" s="196" t="s">
        <v>171</v>
      </c>
      <c r="C117" s="196"/>
      <c r="D117" s="200">
        <f t="shared" ref="D117:M117" si="20">SUM(D105:D116)</f>
        <v>3582.1666666666624</v>
      </c>
      <c r="E117" s="201">
        <f t="shared" si="20"/>
        <v>75179411</v>
      </c>
      <c r="F117" s="200">
        <f t="shared" si="20"/>
        <v>0</v>
      </c>
      <c r="G117" s="202">
        <f t="shared" si="20"/>
        <v>75179411</v>
      </c>
      <c r="H117" s="200">
        <f t="shared" si="20"/>
        <v>10437307.16</v>
      </c>
      <c r="I117" s="200">
        <f t="shared" si="20"/>
        <v>0</v>
      </c>
      <c r="J117" s="200">
        <f t="shared" si="20"/>
        <v>0</v>
      </c>
      <c r="K117" s="200">
        <f t="shared" si="20"/>
        <v>248525</v>
      </c>
      <c r="L117" s="200">
        <f t="shared" si="20"/>
        <v>248525</v>
      </c>
      <c r="M117" s="202">
        <f t="shared" si="20"/>
        <v>10685832.159999998</v>
      </c>
    </row>
    <row r="118" spans="1:13">
      <c r="A118" s="196"/>
      <c r="C118" s="196"/>
      <c r="D118" s="200"/>
      <c r="E118" s="201"/>
      <c r="F118" s="200"/>
      <c r="G118" s="202"/>
      <c r="H118" s="200"/>
      <c r="I118" s="200"/>
      <c r="J118" s="200"/>
      <c r="K118" s="200"/>
      <c r="L118" s="200"/>
      <c r="M118" s="202"/>
    </row>
    <row r="119" spans="1:13">
      <c r="A119" s="197" t="s">
        <v>223</v>
      </c>
      <c r="B119" s="197"/>
      <c r="C119" s="196"/>
      <c r="D119" s="200"/>
      <c r="E119" s="201"/>
      <c r="F119" s="200"/>
      <c r="G119" s="202"/>
      <c r="H119" s="200"/>
      <c r="I119" s="200"/>
      <c r="J119" s="200"/>
      <c r="K119" s="200"/>
      <c r="L119" s="200"/>
      <c r="M119" s="202"/>
    </row>
    <row r="120" spans="1:13">
      <c r="A120" s="196"/>
      <c r="B120" s="196" t="s">
        <v>224</v>
      </c>
      <c r="C120" s="196"/>
      <c r="D120" s="200">
        <v>4</v>
      </c>
      <c r="E120" s="201">
        <v>2320040</v>
      </c>
      <c r="F120" s="200"/>
      <c r="G120" s="202">
        <f>E120+F120</f>
        <v>2320040</v>
      </c>
      <c r="H120" s="200">
        <v>143780.66</v>
      </c>
      <c r="I120" s="200">
        <v>0</v>
      </c>
      <c r="J120" s="200">
        <v>0</v>
      </c>
      <c r="K120" s="200">
        <v>3450</v>
      </c>
      <c r="L120" s="200">
        <f>I120+J120+K120</f>
        <v>3450</v>
      </c>
      <c r="M120" s="202">
        <f>H120+L120</f>
        <v>147230.66</v>
      </c>
    </row>
    <row r="121" spans="1:13">
      <c r="A121" s="196"/>
      <c r="B121" s="196" t="s">
        <v>225</v>
      </c>
      <c r="C121" s="196"/>
      <c r="D121" s="200">
        <v>4</v>
      </c>
      <c r="E121" s="201">
        <v>442082033</v>
      </c>
      <c r="F121" s="200"/>
      <c r="G121" s="202">
        <f>E121+F121</f>
        <v>442082033</v>
      </c>
      <c r="H121" s="200">
        <v>17762938.399999999</v>
      </c>
      <c r="I121" s="200">
        <v>0</v>
      </c>
      <c r="J121" s="200">
        <v>0</v>
      </c>
      <c r="K121" s="200">
        <v>426233</v>
      </c>
      <c r="L121" s="200">
        <f>I121+J121+K121</f>
        <v>426233</v>
      </c>
      <c r="M121" s="202">
        <f>H121+L121</f>
        <v>18189171.399999999</v>
      </c>
    </row>
    <row r="122" spans="1:13" s="204" customFormat="1">
      <c r="B122" s="204" t="s">
        <v>226</v>
      </c>
      <c r="D122" s="205">
        <v>2.75</v>
      </c>
      <c r="E122" s="206">
        <v>29880</v>
      </c>
      <c r="F122" s="205"/>
      <c r="G122" s="207">
        <f>E122+F122</f>
        <v>29880</v>
      </c>
      <c r="H122" s="205">
        <v>2657.28</v>
      </c>
      <c r="I122" s="205">
        <v>0</v>
      </c>
      <c r="J122" s="205">
        <v>0</v>
      </c>
      <c r="K122" s="205">
        <v>64</v>
      </c>
      <c r="L122" s="205">
        <f>I122+J122+K122</f>
        <v>64</v>
      </c>
      <c r="M122" s="207">
        <f>H122+L122</f>
        <v>2721.28</v>
      </c>
    </row>
    <row r="123" spans="1:13">
      <c r="A123" s="196"/>
      <c r="B123" s="196" t="s">
        <v>181</v>
      </c>
      <c r="C123" s="196"/>
      <c r="D123" s="200">
        <f t="shared" ref="D123:M123" si="21">SUM(D120:D122)</f>
        <v>10.75</v>
      </c>
      <c r="E123" s="201">
        <f t="shared" si="21"/>
        <v>444431953</v>
      </c>
      <c r="F123" s="200">
        <f t="shared" si="21"/>
        <v>0</v>
      </c>
      <c r="G123" s="202">
        <f t="shared" si="21"/>
        <v>444431953</v>
      </c>
      <c r="H123" s="200">
        <f t="shared" si="21"/>
        <v>17909376.34</v>
      </c>
      <c r="I123" s="200">
        <f t="shared" si="21"/>
        <v>0</v>
      </c>
      <c r="J123" s="200">
        <f t="shared" si="21"/>
        <v>0</v>
      </c>
      <c r="K123" s="200">
        <f t="shared" si="21"/>
        <v>429747</v>
      </c>
      <c r="L123" s="200">
        <f t="shared" si="21"/>
        <v>429747</v>
      </c>
      <c r="M123" s="202">
        <f t="shared" si="21"/>
        <v>18339123.34</v>
      </c>
    </row>
    <row r="124" spans="1:13">
      <c r="A124" s="196"/>
      <c r="C124" s="196"/>
      <c r="D124" s="200"/>
      <c r="E124" s="201"/>
      <c r="F124" s="200"/>
      <c r="G124" s="202"/>
      <c r="H124" s="200"/>
      <c r="I124" s="200"/>
      <c r="J124" s="200"/>
      <c r="K124" s="200"/>
      <c r="L124" s="200"/>
      <c r="M124" s="202"/>
    </row>
    <row r="125" spans="1:13">
      <c r="A125" s="196"/>
      <c r="B125" s="196" t="s">
        <v>200</v>
      </c>
      <c r="C125" s="196"/>
      <c r="D125" s="200">
        <v>2.0833333333333299</v>
      </c>
      <c r="E125" s="201">
        <v>19099</v>
      </c>
      <c r="F125" s="200"/>
      <c r="G125" s="202">
        <f>E125+F125</f>
        <v>19099</v>
      </c>
      <c r="H125" s="200">
        <v>4542.75</v>
      </c>
      <c r="I125" s="200">
        <v>0</v>
      </c>
      <c r="J125" s="200">
        <v>0</v>
      </c>
      <c r="K125" s="200">
        <v>109</v>
      </c>
      <c r="L125" s="200">
        <f>I125+J125+K125</f>
        <v>109</v>
      </c>
      <c r="M125" s="202">
        <f>H125+L125</f>
        <v>4651.75</v>
      </c>
    </row>
    <row r="126" spans="1:13">
      <c r="A126" s="196"/>
      <c r="C126" s="196"/>
      <c r="D126" s="200"/>
      <c r="E126" s="201"/>
      <c r="F126" s="200"/>
      <c r="G126" s="202"/>
      <c r="H126" s="200"/>
      <c r="I126" s="200"/>
      <c r="J126" s="200"/>
      <c r="K126" s="200"/>
      <c r="L126" s="200"/>
      <c r="M126" s="202"/>
    </row>
    <row r="127" spans="1:13">
      <c r="A127" s="196"/>
      <c r="B127" s="196" t="s">
        <v>189</v>
      </c>
      <c r="C127" s="196"/>
      <c r="D127" s="200">
        <v>0</v>
      </c>
      <c r="E127" s="201">
        <v>3247000</v>
      </c>
      <c r="F127" s="200"/>
      <c r="G127" s="202">
        <f>E127+F127</f>
        <v>3247000</v>
      </c>
      <c r="H127" s="200">
        <v>213000</v>
      </c>
      <c r="I127" s="200">
        <v>0</v>
      </c>
      <c r="J127" s="200"/>
      <c r="K127" s="200"/>
      <c r="L127" s="200">
        <f>I127+J127+K127</f>
        <v>0</v>
      </c>
      <c r="M127" s="202">
        <f>H127+L127</f>
        <v>213000</v>
      </c>
    </row>
    <row r="128" spans="1:13" s="204" customFormat="1">
      <c r="A128" s="196"/>
      <c r="B128" s="204" t="s">
        <v>190</v>
      </c>
      <c r="C128" s="213"/>
      <c r="D128" s="210">
        <v>0</v>
      </c>
      <c r="E128" s="211">
        <v>0</v>
      </c>
      <c r="F128" s="210"/>
      <c r="G128" s="212"/>
      <c r="H128" s="210">
        <v>0</v>
      </c>
      <c r="I128" s="210">
        <v>0</v>
      </c>
      <c r="J128" s="210"/>
      <c r="K128" s="210"/>
      <c r="L128" s="210">
        <f>I128+J128+K128</f>
        <v>0</v>
      </c>
      <c r="M128" s="212">
        <f>H128+L128</f>
        <v>0</v>
      </c>
    </row>
    <row r="129" spans="1:13">
      <c r="A129" s="196"/>
      <c r="B129" s="196" t="s">
        <v>171</v>
      </c>
      <c r="C129" s="196"/>
      <c r="D129" s="200">
        <f t="shared" ref="D129:M129" si="22">D123+D125+D128+D127</f>
        <v>12.83333333333333</v>
      </c>
      <c r="E129" s="201">
        <f t="shared" si="22"/>
        <v>447698052</v>
      </c>
      <c r="F129" s="200">
        <f t="shared" si="22"/>
        <v>0</v>
      </c>
      <c r="G129" s="202">
        <f t="shared" si="22"/>
        <v>447698052</v>
      </c>
      <c r="H129" s="200">
        <f t="shared" si="22"/>
        <v>18126919.09</v>
      </c>
      <c r="I129" s="200">
        <f t="shared" si="22"/>
        <v>0</v>
      </c>
      <c r="J129" s="200">
        <f t="shared" si="22"/>
        <v>0</v>
      </c>
      <c r="K129" s="200">
        <f t="shared" si="22"/>
        <v>429856</v>
      </c>
      <c r="L129" s="200">
        <f t="shared" si="22"/>
        <v>429856</v>
      </c>
      <c r="M129" s="202">
        <f t="shared" si="22"/>
        <v>18556775.09</v>
      </c>
    </row>
    <row r="130" spans="1:13">
      <c r="A130" s="196"/>
      <c r="C130" s="196"/>
      <c r="D130" s="200"/>
      <c r="E130" s="201"/>
      <c r="F130" s="200"/>
      <c r="G130" s="216"/>
      <c r="H130" s="213"/>
      <c r="I130" s="213"/>
      <c r="J130" s="213"/>
      <c r="K130" s="213"/>
      <c r="L130" s="200"/>
      <c r="M130" s="202"/>
    </row>
    <row r="131" spans="1:13" s="220" customFormat="1" ht="16.5" thickBot="1">
      <c r="A131" s="217"/>
      <c r="B131" s="218" t="s">
        <v>171</v>
      </c>
      <c r="C131" s="219"/>
      <c r="D131" s="219">
        <f t="shared" ref="D131:M131" si="23">D129+D117+D102+D66+D34</f>
        <v>860490.8333333336</v>
      </c>
      <c r="E131" s="219">
        <f t="shared" si="23"/>
        <v>22694840542</v>
      </c>
      <c r="F131" s="219">
        <f t="shared" si="23"/>
        <v>-924629997</v>
      </c>
      <c r="G131" s="219">
        <f t="shared" si="23"/>
        <v>21770210545</v>
      </c>
      <c r="H131" s="219">
        <f t="shared" si="23"/>
        <v>1412248642.54</v>
      </c>
      <c r="I131" s="219">
        <f t="shared" si="23"/>
        <v>-61853453.140941441</v>
      </c>
      <c r="J131" s="219">
        <f t="shared" si="23"/>
        <v>1389252.7091939999</v>
      </c>
      <c r="K131" s="219">
        <f t="shared" si="23"/>
        <v>31853394.417527001</v>
      </c>
      <c r="L131" s="219">
        <f t="shared" si="23"/>
        <v>-28610806.014220443</v>
      </c>
      <c r="M131" s="219">
        <f t="shared" si="23"/>
        <v>1383637836.5257795</v>
      </c>
    </row>
    <row r="132" spans="1:13" ht="16.5" thickTop="1">
      <c r="A132" s="198"/>
      <c r="B132" s="198"/>
      <c r="C132" s="198"/>
      <c r="D132" s="221">
        <f>D131-D17-D22-D28-D33-D55-D60-D65-D87-D112-D113</f>
        <v>766471.41666666686</v>
      </c>
      <c r="E132" s="221"/>
      <c r="F132" s="221"/>
      <c r="G132" s="222"/>
      <c r="H132" s="200"/>
      <c r="I132" s="198"/>
      <c r="J132" s="198"/>
      <c r="K132" s="198"/>
      <c r="L132" s="198"/>
      <c r="M132" s="196"/>
    </row>
    <row r="133" spans="1:13" s="191" customFormat="1">
      <c r="A133" s="223"/>
      <c r="B133" s="224" t="s">
        <v>227</v>
      </c>
      <c r="C133" s="223"/>
      <c r="D133" s="223" t="s">
        <v>228</v>
      </c>
      <c r="E133" s="223" t="s">
        <v>228</v>
      </c>
      <c r="F133" s="223" t="s">
        <v>229</v>
      </c>
      <c r="G133" s="223" t="s">
        <v>230</v>
      </c>
      <c r="H133" s="223" t="s">
        <v>228</v>
      </c>
      <c r="I133" s="223" t="s">
        <v>231</v>
      </c>
      <c r="J133" s="223" t="s">
        <v>231</v>
      </c>
      <c r="K133" s="223" t="s">
        <v>231</v>
      </c>
      <c r="L133" s="223" t="s">
        <v>232</v>
      </c>
      <c r="M133" s="223" t="s">
        <v>233</v>
      </c>
    </row>
    <row r="134" spans="1:13" s="191" customFormat="1">
      <c r="A134" s="223"/>
      <c r="B134" s="224"/>
      <c r="C134" s="223"/>
      <c r="D134" s="223"/>
      <c r="E134" s="223"/>
      <c r="F134" s="223" t="s">
        <v>234</v>
      </c>
      <c r="G134" s="223"/>
      <c r="H134" s="223"/>
      <c r="I134" s="223"/>
      <c r="J134" s="223"/>
      <c r="K134" s="223"/>
      <c r="L134" s="223"/>
      <c r="M134" s="223"/>
    </row>
    <row r="135" spans="1:13">
      <c r="A135" s="225"/>
      <c r="B135" s="198"/>
      <c r="C135" s="225"/>
      <c r="D135" s="225"/>
      <c r="E135" s="225"/>
      <c r="F135" s="225"/>
      <c r="G135" s="225"/>
      <c r="H135" s="225"/>
      <c r="I135" s="225"/>
      <c r="J135" s="225"/>
      <c r="K135" s="225"/>
      <c r="L135" s="225"/>
      <c r="M135" s="225"/>
    </row>
    <row r="136" spans="1:13">
      <c r="A136" s="226" t="s">
        <v>235</v>
      </c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</row>
    <row r="137" spans="1:13">
      <c r="A137" s="226" t="s">
        <v>236</v>
      </c>
    </row>
    <row r="138" spans="1:13">
      <c r="A138" s="227" t="s">
        <v>237</v>
      </c>
    </row>
    <row r="139" spans="1:13">
      <c r="A139" s="227" t="s">
        <v>238</v>
      </c>
      <c r="B139" s="187"/>
    </row>
  </sheetData>
  <phoneticPr fontId="31" type="noConversion"/>
  <printOptions horizontalCentered="1"/>
  <pageMargins left="0" right="0" top="0.75" bottom="0.5" header="0.5" footer="0.25"/>
  <pageSetup scale="62" fitToHeight="4" orientation="landscape" r:id="rId1"/>
  <headerFooter alignWithMargins="0">
    <oddFooter>Page &amp;P of &amp;N</oddFooter>
  </headerFooter>
  <rowBreaks count="2" manualBreakCount="2">
    <brk id="50" max="12" man="1"/>
    <brk id="118" max="12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>
      <selection activeCell="A5" sqref="A5:I5"/>
    </sheetView>
  </sheetViews>
  <sheetFormatPr defaultRowHeight="12.75"/>
  <cols>
    <col min="1" max="1" width="19.85546875" customWidth="1"/>
    <col min="2" max="2" width="8.85546875" customWidth="1"/>
    <col min="3" max="8" width="10.7109375" customWidth="1"/>
    <col min="9" max="9" width="14.28515625" customWidth="1"/>
  </cols>
  <sheetData>
    <row r="1" spans="1:9" ht="18">
      <c r="A1" s="289" t="s">
        <v>148</v>
      </c>
      <c r="B1" s="289"/>
      <c r="C1" s="289"/>
      <c r="D1" s="289"/>
      <c r="E1" s="289"/>
      <c r="F1" s="289"/>
      <c r="G1" s="289"/>
      <c r="H1" s="289"/>
      <c r="I1" s="289"/>
    </row>
    <row r="3" spans="1:9" ht="18">
      <c r="A3" s="289" t="s">
        <v>44</v>
      </c>
      <c r="B3" s="289"/>
      <c r="C3" s="289"/>
      <c r="D3" s="289"/>
      <c r="E3" s="289"/>
      <c r="F3" s="289"/>
      <c r="G3" s="289"/>
      <c r="H3" s="289"/>
      <c r="I3" s="289"/>
    </row>
    <row r="4" spans="1:9" ht="18">
      <c r="A4" s="289" t="s">
        <v>45</v>
      </c>
      <c r="B4" s="289"/>
      <c r="C4" s="289"/>
      <c r="D4" s="289"/>
      <c r="E4" s="289"/>
      <c r="F4" s="289"/>
      <c r="G4" s="289"/>
      <c r="H4" s="289"/>
      <c r="I4" s="289"/>
    </row>
    <row r="5" spans="1:9" ht="18">
      <c r="A5" s="289" t="s">
        <v>46</v>
      </c>
      <c r="B5" s="289"/>
      <c r="C5" s="289"/>
      <c r="D5" s="289"/>
      <c r="E5" s="289"/>
      <c r="F5" s="289"/>
      <c r="G5" s="289"/>
      <c r="H5" s="289"/>
      <c r="I5" s="289"/>
    </row>
    <row r="6" spans="1:9" ht="18">
      <c r="A6" s="289" t="s">
        <v>47</v>
      </c>
      <c r="B6" s="289"/>
      <c r="C6" s="289"/>
      <c r="D6" s="289"/>
      <c r="E6" s="289"/>
      <c r="F6" s="289"/>
      <c r="G6" s="289"/>
      <c r="H6" s="289"/>
      <c r="I6" s="289"/>
    </row>
    <row r="7" spans="1:9" ht="18">
      <c r="A7" s="61"/>
      <c r="B7" s="61"/>
      <c r="C7" s="61"/>
      <c r="D7" s="61"/>
      <c r="E7" s="61"/>
      <c r="F7" s="64"/>
      <c r="G7" s="65"/>
      <c r="H7" s="65"/>
      <c r="I7" s="65"/>
    </row>
    <row r="8" spans="1:9">
      <c r="A8" s="65"/>
      <c r="B8" s="65"/>
      <c r="C8" s="65"/>
      <c r="D8" s="65"/>
      <c r="E8" s="65"/>
      <c r="F8" s="65"/>
      <c r="G8" s="65"/>
      <c r="H8" s="65"/>
      <c r="I8" s="65"/>
    </row>
    <row r="9" spans="1:9" ht="15.75">
      <c r="A9" s="66" t="s">
        <v>48</v>
      </c>
      <c r="B9" s="65"/>
      <c r="C9" s="65"/>
      <c r="D9" s="65"/>
      <c r="E9" s="65"/>
      <c r="F9" s="65"/>
      <c r="G9" s="65"/>
      <c r="H9" s="65"/>
      <c r="I9" s="65"/>
    </row>
    <row r="10" spans="1:9" ht="15.75">
      <c r="A10" s="65"/>
      <c r="B10" s="67">
        <v>2000</v>
      </c>
      <c r="C10" s="67">
        <v>2001</v>
      </c>
      <c r="D10" s="67">
        <v>2002</v>
      </c>
      <c r="E10" s="67">
        <v>2003</v>
      </c>
      <c r="F10" s="67">
        <v>2004</v>
      </c>
      <c r="G10" s="67">
        <v>2005</v>
      </c>
      <c r="H10" s="67" t="s">
        <v>145</v>
      </c>
      <c r="I10" s="67" t="s">
        <v>146</v>
      </c>
    </row>
    <row r="11" spans="1:9" ht="15.75">
      <c r="A11" s="66" t="s">
        <v>49</v>
      </c>
      <c r="B11" s="68">
        <v>0</v>
      </c>
      <c r="C11" s="69">
        <v>4524</v>
      </c>
      <c r="D11" s="69">
        <v>18559</v>
      </c>
      <c r="E11" s="69">
        <v>18797</v>
      </c>
      <c r="F11" s="69">
        <v>18727</v>
      </c>
      <c r="G11" s="69">
        <v>17449</v>
      </c>
      <c r="H11" s="70">
        <v>20768</v>
      </c>
      <c r="I11" s="71">
        <v>22450</v>
      </c>
    </row>
    <row r="12" spans="1:9" ht="15.75">
      <c r="A12" s="66" t="s">
        <v>50</v>
      </c>
      <c r="B12" s="68">
        <v>0</v>
      </c>
      <c r="C12" s="69">
        <v>11633</v>
      </c>
      <c r="D12" s="69">
        <v>20266</v>
      </c>
      <c r="E12" s="69">
        <v>21066</v>
      </c>
      <c r="F12" s="69">
        <v>20542</v>
      </c>
      <c r="G12" s="69">
        <v>18124</v>
      </c>
      <c r="H12" s="70">
        <v>22662</v>
      </c>
      <c r="I12" s="71">
        <v>23312</v>
      </c>
    </row>
    <row r="13" spans="1:9" ht="15.75">
      <c r="A13" s="66" t="s">
        <v>51</v>
      </c>
      <c r="B13" s="68">
        <v>0</v>
      </c>
      <c r="C13" s="69">
        <v>14767</v>
      </c>
      <c r="D13" s="69">
        <v>22301</v>
      </c>
      <c r="E13" s="69">
        <v>22691</v>
      </c>
      <c r="F13" s="69">
        <v>21653</v>
      </c>
      <c r="G13" s="69">
        <v>19555</v>
      </c>
      <c r="H13" s="70">
        <v>24654</v>
      </c>
      <c r="I13" s="71">
        <v>25254</v>
      </c>
    </row>
    <row r="14" spans="1:9" ht="15.75">
      <c r="A14" s="66" t="s">
        <v>52</v>
      </c>
      <c r="B14" s="68">
        <v>0</v>
      </c>
      <c r="C14" s="69">
        <v>16903</v>
      </c>
      <c r="D14" s="69">
        <v>23312</v>
      </c>
      <c r="E14" s="69">
        <v>23884</v>
      </c>
      <c r="F14" s="69">
        <v>22276</v>
      </c>
      <c r="G14" s="69">
        <v>20895</v>
      </c>
      <c r="H14" s="70">
        <v>25990</v>
      </c>
      <c r="I14" s="71">
        <v>26740</v>
      </c>
    </row>
    <row r="15" spans="1:9" ht="15.75">
      <c r="A15" s="66" t="s">
        <v>53</v>
      </c>
      <c r="B15" s="68">
        <v>0</v>
      </c>
      <c r="C15" s="69">
        <v>17652</v>
      </c>
      <c r="D15" s="69">
        <v>23603</v>
      </c>
      <c r="E15" s="69">
        <v>24166</v>
      </c>
      <c r="F15" s="69">
        <v>22616</v>
      </c>
      <c r="G15" s="69">
        <v>21513</v>
      </c>
      <c r="H15" s="70">
        <v>26722</v>
      </c>
      <c r="I15" s="71">
        <v>27622</v>
      </c>
    </row>
    <row r="16" spans="1:9" ht="15.75">
      <c r="A16" s="66" t="s">
        <v>54</v>
      </c>
      <c r="B16" s="68">
        <v>0</v>
      </c>
      <c r="C16" s="69">
        <v>17147</v>
      </c>
      <c r="D16" s="69">
        <v>20955</v>
      </c>
      <c r="E16" s="69">
        <v>22096</v>
      </c>
      <c r="F16" s="69">
        <v>21763</v>
      </c>
      <c r="G16" s="69">
        <v>21185</v>
      </c>
      <c r="H16" s="70">
        <v>26797</v>
      </c>
      <c r="I16" s="71">
        <v>26000</v>
      </c>
    </row>
    <row r="17" spans="1:9" ht="15.75">
      <c r="A17" s="66" t="s">
        <v>55</v>
      </c>
      <c r="B17" s="68">
        <v>0</v>
      </c>
      <c r="C17" s="69">
        <v>16589</v>
      </c>
      <c r="D17" s="69">
        <v>18417</v>
      </c>
      <c r="E17" s="69">
        <v>18294</v>
      </c>
      <c r="F17" s="69">
        <v>16439</v>
      </c>
      <c r="G17" s="69">
        <v>20478</v>
      </c>
      <c r="H17" s="70">
        <v>26448</v>
      </c>
      <c r="I17" s="71">
        <v>23500</v>
      </c>
    </row>
    <row r="18" spans="1:9" ht="15.75">
      <c r="A18" s="66" t="s">
        <v>56</v>
      </c>
      <c r="B18" s="68">
        <v>0</v>
      </c>
      <c r="C18" s="69">
        <v>15918</v>
      </c>
      <c r="D18" s="69">
        <v>17768</v>
      </c>
      <c r="E18" s="69">
        <v>17458</v>
      </c>
      <c r="F18" s="69">
        <v>15958</v>
      </c>
      <c r="G18" s="69">
        <v>19953</v>
      </c>
      <c r="H18" s="70">
        <v>25489</v>
      </c>
      <c r="I18" s="71">
        <v>23250</v>
      </c>
    </row>
    <row r="19" spans="1:9" ht="15.75">
      <c r="A19" s="66" t="s">
        <v>57</v>
      </c>
      <c r="B19" s="68">
        <v>0</v>
      </c>
      <c r="C19" s="69">
        <v>15359</v>
      </c>
      <c r="D19" s="69">
        <v>17214</v>
      </c>
      <c r="E19" s="69">
        <v>17118</v>
      </c>
      <c r="F19" s="69">
        <v>15369</v>
      </c>
      <c r="G19" s="69">
        <v>19470</v>
      </c>
      <c r="H19" s="70">
        <v>23798</v>
      </c>
      <c r="I19" s="71">
        <v>23000</v>
      </c>
    </row>
    <row r="20" spans="1:9" ht="15.75">
      <c r="A20" s="66" t="s">
        <v>58</v>
      </c>
      <c r="B20" s="68">
        <v>4</v>
      </c>
      <c r="C20" s="69">
        <v>14926</v>
      </c>
      <c r="D20" s="69">
        <v>16642</v>
      </c>
      <c r="E20" s="69">
        <v>16449</v>
      </c>
      <c r="F20" s="69">
        <v>14856</v>
      </c>
      <c r="G20" s="69">
        <v>18949</v>
      </c>
      <c r="H20" s="180">
        <v>21250</v>
      </c>
      <c r="I20" s="71">
        <v>22750</v>
      </c>
    </row>
    <row r="21" spans="1:9" ht="15.75">
      <c r="A21" s="66" t="s">
        <v>59</v>
      </c>
      <c r="B21" s="68">
        <v>165</v>
      </c>
      <c r="C21" s="69">
        <v>14747</v>
      </c>
      <c r="D21" s="69">
        <v>16198</v>
      </c>
      <c r="E21" s="69">
        <v>16094</v>
      </c>
      <c r="F21" s="69">
        <v>14728</v>
      </c>
      <c r="G21" s="69">
        <v>18457</v>
      </c>
      <c r="H21" s="71">
        <v>21000</v>
      </c>
      <c r="I21" s="71">
        <v>22500</v>
      </c>
    </row>
    <row r="22" spans="1:9" ht="15.75">
      <c r="A22" s="66" t="s">
        <v>60</v>
      </c>
      <c r="B22" s="69">
        <v>980</v>
      </c>
      <c r="C22" s="69">
        <v>14770</v>
      </c>
      <c r="D22" s="69">
        <v>17192</v>
      </c>
      <c r="E22" s="69">
        <v>17120</v>
      </c>
      <c r="F22" s="69">
        <v>15945</v>
      </c>
      <c r="G22" s="69">
        <v>19195</v>
      </c>
      <c r="H22" s="71">
        <v>22150</v>
      </c>
      <c r="I22" s="71">
        <v>23700</v>
      </c>
    </row>
    <row r="23" spans="1:9" ht="15.75">
      <c r="A23" s="72"/>
      <c r="B23" s="65"/>
      <c r="C23" s="72"/>
      <c r="D23" s="72"/>
      <c r="E23" s="69"/>
      <c r="F23" s="72"/>
      <c r="G23" s="69"/>
      <c r="H23" s="65"/>
      <c r="I23" s="65"/>
    </row>
    <row r="24" spans="1:9" ht="15.75">
      <c r="A24" s="66" t="s">
        <v>61</v>
      </c>
      <c r="B24" s="65"/>
      <c r="C24" s="69">
        <f>AVERAGE(C11:C18)</f>
        <v>14391.625</v>
      </c>
      <c r="D24" s="69">
        <f>AVERAGE(D11:D18)</f>
        <v>20647.625</v>
      </c>
      <c r="E24" s="69">
        <f>AVERAGE(E11:E18)</f>
        <v>21056.5</v>
      </c>
      <c r="F24" s="69">
        <f>AVERAGE(F11:F18)</f>
        <v>19996.75</v>
      </c>
      <c r="G24" s="69">
        <f>AVERAGE(G11:G18)</f>
        <v>19894</v>
      </c>
      <c r="H24" s="69">
        <f>AVERAGE(H11:H22)</f>
        <v>23977.333333333332</v>
      </c>
      <c r="I24" s="69">
        <f>AVERAGE(I11:I22)</f>
        <v>24173.166666666668</v>
      </c>
    </row>
    <row r="25" spans="1:9" ht="15.75">
      <c r="A25" s="66" t="s">
        <v>62</v>
      </c>
      <c r="B25" s="65"/>
      <c r="C25" s="69">
        <f t="shared" ref="C25:I25" si="0">SUM(C11:C22)</f>
        <v>174935</v>
      </c>
      <c r="D25" s="69">
        <f t="shared" si="0"/>
        <v>232427</v>
      </c>
      <c r="E25" s="69">
        <f t="shared" si="0"/>
        <v>235233</v>
      </c>
      <c r="F25" s="69">
        <f t="shared" si="0"/>
        <v>220872</v>
      </c>
      <c r="G25" s="69">
        <f t="shared" si="0"/>
        <v>235223</v>
      </c>
      <c r="H25" s="69">
        <f t="shared" si="0"/>
        <v>287728</v>
      </c>
      <c r="I25" s="69">
        <f t="shared" si="0"/>
        <v>290078</v>
      </c>
    </row>
    <row r="26" spans="1:9" ht="15.75">
      <c r="A26" s="66" t="s">
        <v>63</v>
      </c>
      <c r="B26" s="65"/>
      <c r="C26" s="73">
        <f t="shared" ref="C26:I26" si="1">C25*8</f>
        <v>1399480</v>
      </c>
      <c r="D26" s="73">
        <f t="shared" si="1"/>
        <v>1859416</v>
      </c>
      <c r="E26" s="73">
        <f t="shared" si="1"/>
        <v>1881864</v>
      </c>
      <c r="F26" s="73">
        <f t="shared" si="1"/>
        <v>1766976</v>
      </c>
      <c r="G26" s="73">
        <f t="shared" si="1"/>
        <v>1881784</v>
      </c>
      <c r="H26" s="73">
        <f t="shared" si="1"/>
        <v>2301824</v>
      </c>
      <c r="I26" s="73">
        <f t="shared" si="1"/>
        <v>2320624</v>
      </c>
    </row>
    <row r="27" spans="1:9">
      <c r="A27" s="72"/>
      <c r="B27" s="65"/>
      <c r="C27" s="72"/>
      <c r="D27" s="72"/>
      <c r="E27" s="72"/>
      <c r="F27" s="72"/>
      <c r="G27" s="65"/>
      <c r="H27" s="65"/>
      <c r="I27" s="65"/>
    </row>
    <row r="28" spans="1:9" ht="15.75">
      <c r="A28" s="181" t="s">
        <v>147</v>
      </c>
      <c r="B28" s="182"/>
      <c r="C28" s="182"/>
      <c r="D28" s="182"/>
    </row>
  </sheetData>
  <mergeCells count="5">
    <mergeCell ref="A6:I6"/>
    <mergeCell ref="A1:I1"/>
    <mergeCell ref="A3:I3"/>
    <mergeCell ref="A4:I4"/>
    <mergeCell ref="A5:I5"/>
  </mergeCells>
  <phoneticPr fontId="18" type="noConversion"/>
  <pageMargins left="0.75" right="0.75" top="1" bottom="1" header="0.5" footer="0.5"/>
  <pageSetup scale="8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7"/>
  <sheetViews>
    <sheetView view="pageBreakPreview" topLeftCell="A16" zoomScale="60" zoomScaleNormal="100" workbookViewId="0">
      <selection activeCell="P31" sqref="P30:P31"/>
    </sheetView>
  </sheetViews>
  <sheetFormatPr defaultColWidth="8" defaultRowHeight="12.75"/>
  <cols>
    <col min="1" max="1" width="8" style="135" customWidth="1"/>
    <col min="2" max="2" width="9.85546875" style="135" customWidth="1"/>
    <col min="3" max="3" width="16.140625" style="72" bestFit="1" customWidth="1"/>
    <col min="4" max="4" width="19.85546875" style="72" customWidth="1"/>
    <col min="5" max="5" width="20.5703125" style="72" bestFit="1" customWidth="1"/>
    <col min="6" max="6" width="17.28515625" style="72" customWidth="1"/>
    <col min="7" max="7" width="20.28515625" style="72" customWidth="1"/>
    <col min="8" max="8" width="17.5703125" style="72" customWidth="1"/>
    <col min="9" max="9" width="17" style="72" customWidth="1"/>
    <col min="10" max="11" width="17" style="72" hidden="1" customWidth="1"/>
    <col min="12" max="16384" width="8" style="135"/>
  </cols>
  <sheetData>
    <row r="1" spans="1:11" ht="18">
      <c r="A1" s="292" t="s">
        <v>149</v>
      </c>
      <c r="B1" s="292"/>
      <c r="C1" s="292"/>
      <c r="D1" s="292"/>
      <c r="E1" s="292"/>
      <c r="F1" s="292"/>
      <c r="G1" s="292"/>
      <c r="H1" s="292"/>
      <c r="I1" s="292"/>
      <c r="J1" s="134"/>
      <c r="K1" s="134"/>
    </row>
    <row r="2" spans="1:11" ht="18">
      <c r="A2" s="133"/>
      <c r="B2" s="133"/>
      <c r="C2" s="133"/>
      <c r="D2" s="133"/>
      <c r="E2" s="133"/>
      <c r="F2" s="133"/>
      <c r="G2" s="133"/>
      <c r="H2" s="133"/>
      <c r="I2" s="133"/>
      <c r="J2" s="134"/>
      <c r="K2" s="134"/>
    </row>
    <row r="3" spans="1:11" ht="18">
      <c r="A3" s="292" t="s">
        <v>44</v>
      </c>
      <c r="B3" s="292"/>
      <c r="C3" s="292"/>
      <c r="D3" s="292"/>
      <c r="E3" s="292"/>
      <c r="F3" s="292"/>
      <c r="G3" s="292"/>
      <c r="H3" s="292"/>
      <c r="I3" s="292"/>
      <c r="J3" s="134"/>
      <c r="K3" s="134"/>
    </row>
    <row r="4" spans="1:11" ht="18">
      <c r="A4" s="292" t="s">
        <v>45</v>
      </c>
      <c r="B4" s="292"/>
      <c r="C4" s="292"/>
      <c r="D4" s="292"/>
      <c r="E4" s="292"/>
      <c r="F4" s="292"/>
      <c r="G4" s="292"/>
      <c r="H4" s="292"/>
      <c r="I4" s="292"/>
      <c r="J4" s="134"/>
      <c r="K4" s="134"/>
    </row>
    <row r="5" spans="1:11" ht="18">
      <c r="A5" s="292" t="s">
        <v>65</v>
      </c>
      <c r="B5" s="292"/>
      <c r="C5" s="292"/>
      <c r="D5" s="292"/>
      <c r="E5" s="292"/>
      <c r="F5" s="292"/>
      <c r="G5" s="292"/>
      <c r="H5" s="292"/>
      <c r="I5" s="292"/>
      <c r="J5" s="134"/>
      <c r="K5" s="134"/>
    </row>
    <row r="6" spans="1:11" ht="18">
      <c r="A6" s="292" t="s">
        <v>105</v>
      </c>
      <c r="B6" s="292"/>
      <c r="C6" s="292"/>
      <c r="D6" s="292"/>
      <c r="E6" s="292"/>
      <c r="F6" s="292"/>
      <c r="G6" s="292"/>
      <c r="H6" s="292"/>
      <c r="I6" s="292"/>
      <c r="J6" s="134"/>
      <c r="K6" s="134"/>
    </row>
    <row r="7" spans="1:11" ht="18">
      <c r="A7" s="133"/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15.75">
      <c r="A8" s="136" t="s">
        <v>77</v>
      </c>
      <c r="B8" s="137"/>
      <c r="C8" s="138"/>
      <c r="D8" s="138"/>
      <c r="E8" s="138"/>
      <c r="F8" s="138"/>
      <c r="G8" s="138"/>
      <c r="H8" s="138"/>
      <c r="I8" s="138"/>
      <c r="J8" s="138"/>
      <c r="K8" s="138"/>
    </row>
    <row r="9" spans="1:11" ht="15" customHeight="1">
      <c r="A9" s="136"/>
      <c r="B9" s="137"/>
      <c r="C9" s="139" t="s">
        <v>78</v>
      </c>
      <c r="D9" s="138"/>
      <c r="E9" s="139" t="s">
        <v>11</v>
      </c>
      <c r="F9" s="139" t="s">
        <v>11</v>
      </c>
      <c r="G9" s="139" t="s">
        <v>79</v>
      </c>
      <c r="H9" s="138"/>
      <c r="I9" s="139" t="s">
        <v>80</v>
      </c>
      <c r="J9" s="139"/>
      <c r="K9" s="139"/>
    </row>
    <row r="10" spans="1:11" ht="15" customHeight="1">
      <c r="A10" s="140" t="s">
        <v>81</v>
      </c>
      <c r="B10" s="140" t="s">
        <v>82</v>
      </c>
      <c r="C10" s="139" t="s">
        <v>83</v>
      </c>
      <c r="D10" s="141" t="s">
        <v>106</v>
      </c>
      <c r="E10" s="142" t="s">
        <v>107</v>
      </c>
      <c r="F10" s="142" t="s">
        <v>108</v>
      </c>
      <c r="G10" s="142" t="s">
        <v>109</v>
      </c>
      <c r="H10" s="142" t="s">
        <v>110</v>
      </c>
      <c r="I10" s="142" t="s">
        <v>135</v>
      </c>
      <c r="J10" s="142"/>
      <c r="K10" s="142"/>
    </row>
    <row r="11" spans="1:11" ht="15.75">
      <c r="A11" s="137"/>
      <c r="B11" s="140"/>
      <c r="C11" s="138"/>
      <c r="D11" s="146"/>
      <c r="E11" s="146"/>
      <c r="F11" s="146"/>
      <c r="G11" s="146"/>
      <c r="H11" s="146"/>
      <c r="I11" s="145"/>
      <c r="J11" s="145"/>
      <c r="K11" s="145"/>
    </row>
    <row r="12" spans="1:11" ht="15.75">
      <c r="A12" s="143">
        <v>2006</v>
      </c>
      <c r="B12" s="137" t="s">
        <v>49</v>
      </c>
      <c r="C12" s="138">
        <v>-743760.61519129504</v>
      </c>
      <c r="D12" s="147">
        <v>41978.61</v>
      </c>
      <c r="E12" s="147">
        <v>741.94</v>
      </c>
      <c r="F12" s="147">
        <v>0</v>
      </c>
      <c r="G12" s="147">
        <v>160901.59</v>
      </c>
      <c r="H12" s="148">
        <v>-3868.39</v>
      </c>
      <c r="I12" s="145">
        <v>-544006.86519129516</v>
      </c>
      <c r="J12" s="145"/>
      <c r="K12" s="145"/>
    </row>
    <row r="13" spans="1:11" ht="15.75">
      <c r="A13" s="137"/>
      <c r="B13" s="137" t="s">
        <v>50</v>
      </c>
      <c r="C13" s="138">
        <f>I12</f>
        <v>-544006.86519129516</v>
      </c>
      <c r="D13" s="147">
        <f>-144594.39+2237.1</f>
        <v>-142357.29</v>
      </c>
      <c r="E13" s="147">
        <v>154</v>
      </c>
      <c r="F13" s="147">
        <v>0</v>
      </c>
      <c r="G13" s="147">
        <f>174830.03</f>
        <v>174830.03</v>
      </c>
      <c r="H13" s="148">
        <f>-3179.88</f>
        <v>-3179.88</v>
      </c>
      <c r="I13" s="145">
        <f>C13+D13+E13+F13+G13+H13</f>
        <v>-514560.00519129517</v>
      </c>
      <c r="J13" s="145"/>
      <c r="K13" s="145"/>
    </row>
    <row r="14" spans="1:11" ht="15.75">
      <c r="A14" s="137"/>
      <c r="B14" s="137" t="s">
        <v>51</v>
      </c>
      <c r="C14" s="138">
        <f>I13</f>
        <v>-514560.00519129517</v>
      </c>
      <c r="D14" s="147">
        <f>-146148.39+86957.28</f>
        <v>-59191.110000000015</v>
      </c>
      <c r="E14" s="147">
        <v>231</v>
      </c>
      <c r="F14" s="147">
        <v>0</v>
      </c>
      <c r="G14" s="147">
        <f>192257.52</f>
        <v>192257.52</v>
      </c>
      <c r="H14" s="148">
        <f>-2699.11</f>
        <v>-2699.11</v>
      </c>
      <c r="I14" s="145">
        <f>C14+D14+E14+F14+G14+H14</f>
        <v>-383961.70519129513</v>
      </c>
      <c r="J14" s="145"/>
      <c r="K14" s="145"/>
    </row>
    <row r="15" spans="1:11" ht="15.75">
      <c r="A15" s="137"/>
      <c r="B15" s="140" t="s">
        <v>112</v>
      </c>
      <c r="C15" s="138"/>
      <c r="D15" s="146">
        <f>SUM(D12:D14)</f>
        <v>-159569.79000000004</v>
      </c>
      <c r="E15" s="146">
        <f>SUM(E12:E14)</f>
        <v>1126.94</v>
      </c>
      <c r="F15" s="146">
        <f>SUM(F12:F14)</f>
        <v>0</v>
      </c>
      <c r="G15" s="146">
        <f>SUM(G12:G14)</f>
        <v>527989.14</v>
      </c>
      <c r="H15" s="146">
        <f>SUM(H12:H14)</f>
        <v>-9747.380000000001</v>
      </c>
      <c r="I15" s="145"/>
      <c r="J15" s="145"/>
      <c r="K15" s="145"/>
    </row>
    <row r="16" spans="1:11" ht="15.75">
      <c r="A16" s="137"/>
      <c r="B16" s="137" t="s">
        <v>66</v>
      </c>
      <c r="C16" s="138"/>
      <c r="D16" s="147">
        <v>-146148.39000000001</v>
      </c>
      <c r="E16" s="146"/>
      <c r="F16" s="146"/>
      <c r="G16" s="146"/>
      <c r="H16" s="146"/>
      <c r="I16" s="145"/>
      <c r="J16" s="145"/>
      <c r="K16" s="145"/>
    </row>
    <row r="17" spans="1:11" ht="15.75">
      <c r="A17" s="143" t="s">
        <v>66</v>
      </c>
      <c r="B17" s="137" t="s">
        <v>52</v>
      </c>
      <c r="C17" s="138">
        <f>I14</f>
        <v>-383961.70519129513</v>
      </c>
      <c r="D17" s="147">
        <v>-147678.95000000001</v>
      </c>
      <c r="E17" s="147">
        <v>733.49</v>
      </c>
      <c r="F17" s="147">
        <v>0</v>
      </c>
      <c r="G17" s="147">
        <v>204672.11</v>
      </c>
      <c r="H17" s="148">
        <v>-2139.8200000000002</v>
      </c>
      <c r="I17" s="145">
        <f>C17+D17+E17+F17+G17+H17</f>
        <v>-328374.87519129511</v>
      </c>
      <c r="J17" s="145"/>
      <c r="K17" s="145"/>
    </row>
    <row r="18" spans="1:11" ht="15.75">
      <c r="A18" s="137"/>
      <c r="B18" s="137" t="s">
        <v>53</v>
      </c>
      <c r="C18" s="138">
        <f>I17</f>
        <v>-328374.87519129511</v>
      </c>
      <c r="D18" s="147">
        <v>-149566.92000000001</v>
      </c>
      <c r="E18" s="147">
        <f>35.72+143.58</f>
        <v>179.3</v>
      </c>
      <c r="F18" s="147">
        <v>0</v>
      </c>
      <c r="G18" s="147">
        <v>208441.34</v>
      </c>
      <c r="H18" s="148">
        <v>-1800.86</v>
      </c>
      <c r="I18" s="145">
        <f>C18+D18+E18+F18+G18+H18</f>
        <v>-271122.01519129507</v>
      </c>
      <c r="J18" s="145"/>
      <c r="K18" s="145"/>
    </row>
    <row r="19" spans="1:11" ht="15.75">
      <c r="A19" s="137"/>
      <c r="B19" s="137" t="s">
        <v>54</v>
      </c>
      <c r="C19" s="138">
        <f>I18</f>
        <v>-271122.01519129507</v>
      </c>
      <c r="D19" s="147">
        <v>-148363.35999999999</v>
      </c>
      <c r="E19" s="147">
        <f>-907.84+71.8</f>
        <v>-836.04000000000008</v>
      </c>
      <c r="F19" s="147">
        <v>0</v>
      </c>
      <c r="G19" s="147">
        <v>210896.96</v>
      </c>
      <c r="H19" s="148">
        <v>-1447.89</v>
      </c>
      <c r="I19" s="145">
        <f>C19+D19+E19+F19+G19+H19</f>
        <v>-210872.34519129505</v>
      </c>
      <c r="J19" s="145"/>
      <c r="K19" s="145"/>
    </row>
    <row r="20" spans="1:11" ht="15.75">
      <c r="A20" s="137"/>
      <c r="B20" s="140" t="s">
        <v>113</v>
      </c>
      <c r="C20" s="138"/>
      <c r="D20" s="146">
        <f>SUM(D17:D19)</f>
        <v>-445609.23</v>
      </c>
      <c r="E20" s="146">
        <f>SUM(E17:E19)</f>
        <v>76.749999999999886</v>
      </c>
      <c r="F20" s="146">
        <f>SUM(F17:F19)</f>
        <v>0</v>
      </c>
      <c r="G20" s="146">
        <f>SUM(G17:G19)</f>
        <v>624010.40999999992</v>
      </c>
      <c r="H20" s="146">
        <f>SUM(H17:H19)</f>
        <v>-5388.5700000000006</v>
      </c>
      <c r="I20" s="145"/>
      <c r="J20" s="145"/>
      <c r="K20" s="145"/>
    </row>
    <row r="21" spans="1:11" ht="15.75">
      <c r="A21" s="137"/>
      <c r="B21" s="140"/>
      <c r="C21" s="138"/>
      <c r="D21" s="146"/>
      <c r="E21" s="146"/>
      <c r="F21" s="146"/>
      <c r="G21" s="146"/>
      <c r="H21" s="146"/>
      <c r="I21" s="145"/>
      <c r="J21" s="145"/>
      <c r="K21" s="145"/>
    </row>
    <row r="22" spans="1:11" ht="15.75">
      <c r="A22" s="143" t="s">
        <v>66</v>
      </c>
      <c r="B22" s="137" t="s">
        <v>55</v>
      </c>
      <c r="C22" s="138">
        <f>I19</f>
        <v>-210872.34519129505</v>
      </c>
      <c r="D22" s="147">
        <v>-149509.35999999999</v>
      </c>
      <c r="E22" s="147">
        <v>-2151.85</v>
      </c>
      <c r="F22" s="147">
        <v>0</v>
      </c>
      <c r="G22" s="147">
        <v>209191.5</v>
      </c>
      <c r="H22" s="148">
        <v>-1097.3800000000001</v>
      </c>
      <c r="I22" s="145">
        <f>C22+D22+E22+F22+G22+H22</f>
        <v>-154439.43519129499</v>
      </c>
      <c r="J22" s="145"/>
      <c r="K22" s="145"/>
    </row>
    <row r="23" spans="1:11" ht="15.75">
      <c r="A23" s="137"/>
      <c r="B23" s="137" t="s">
        <v>56</v>
      </c>
      <c r="C23" s="138">
        <f>I22</f>
        <v>-154439.43519129499</v>
      </c>
      <c r="D23" s="147">
        <v>-151427.67000000001</v>
      </c>
      <c r="E23" s="147">
        <v>-1003.75</v>
      </c>
      <c r="F23" s="147">
        <v>32357.75</v>
      </c>
      <c r="G23" s="147">
        <v>200658.26</v>
      </c>
      <c r="H23" s="148">
        <v>-687.85</v>
      </c>
      <c r="I23" s="145">
        <f>C23+D23+E23+F23+G23+H23</f>
        <v>-74542.695191295032</v>
      </c>
      <c r="J23" s="145"/>
      <c r="K23" s="145"/>
    </row>
    <row r="24" spans="1:11" ht="15.75">
      <c r="A24" s="137" t="s">
        <v>66</v>
      </c>
      <c r="B24" s="137" t="s">
        <v>57</v>
      </c>
      <c r="C24" s="138">
        <f>I23</f>
        <v>-74542.695191295032</v>
      </c>
      <c r="D24" s="147">
        <v>-149280.59</v>
      </c>
      <c r="E24" s="147">
        <v>73.11</v>
      </c>
      <c r="F24" s="147">
        <v>0</v>
      </c>
      <c r="G24" s="147">
        <v>187944.19</v>
      </c>
      <c r="H24" s="148">
        <v>-332.48</v>
      </c>
      <c r="I24" s="145">
        <f>C24+D24+E24+F24+G24+H24</f>
        <v>-36138.465191295043</v>
      </c>
      <c r="J24" s="145">
        <f>I23+(SUM(C24:G24)/2)</f>
        <v>-92445.687786942552</v>
      </c>
      <c r="K24" s="145">
        <f>(+J24*0.006026)</f>
        <v>-557.07771460411584</v>
      </c>
    </row>
    <row r="25" spans="1:11" ht="15.75">
      <c r="A25" s="137"/>
      <c r="B25" s="140" t="s">
        <v>115</v>
      </c>
      <c r="C25" s="138"/>
      <c r="D25" s="146">
        <f>SUM(D22:D24)</f>
        <v>-450217.62</v>
      </c>
      <c r="E25" s="146">
        <f>SUM(E22:E24)</f>
        <v>-3082.49</v>
      </c>
      <c r="F25" s="146">
        <f>SUM(F22:F24)</f>
        <v>32357.75</v>
      </c>
      <c r="G25" s="146">
        <f>SUM(G22:G24)</f>
        <v>597793.94999999995</v>
      </c>
      <c r="H25" s="146">
        <f>SUM(H22:H24)</f>
        <v>-2117.71</v>
      </c>
      <c r="I25" s="145"/>
      <c r="J25" s="145"/>
      <c r="K25" s="145"/>
    </row>
    <row r="26" spans="1:11" ht="15.75">
      <c r="A26" s="137"/>
      <c r="B26" s="140"/>
      <c r="C26" s="138"/>
      <c r="D26" s="146"/>
      <c r="E26" s="146"/>
      <c r="F26" s="146"/>
      <c r="G26" s="146"/>
      <c r="H26" s="146"/>
      <c r="I26" s="145"/>
      <c r="J26" s="145"/>
      <c r="K26" s="145"/>
    </row>
    <row r="27" spans="1:11" ht="15.75">
      <c r="A27" s="173" t="s">
        <v>114</v>
      </c>
      <c r="B27" s="173" t="s">
        <v>58</v>
      </c>
      <c r="C27" s="174">
        <f>I24</f>
        <v>-36138.465191295043</v>
      </c>
      <c r="D27" s="175">
        <v>-152000</v>
      </c>
      <c r="E27" s="175">
        <v>0</v>
      </c>
      <c r="F27" s="175">
        <v>0</v>
      </c>
      <c r="G27" s="175">
        <f>'Table B (Participation)'!H20*8</f>
        <v>170000</v>
      </c>
      <c r="H27" s="176">
        <f>K27</f>
        <v>-272.42158686411591</v>
      </c>
      <c r="I27" s="177">
        <f>C27+D27+E27+F27+G27+H27</f>
        <v>-18410.886778159165</v>
      </c>
      <c r="J27" s="145">
        <f>I24+(SUM(C27:G27)/2)</f>
        <v>-45207.697786942568</v>
      </c>
      <c r="K27" s="145">
        <f>(+J27*0.006026)</f>
        <v>-272.42158686411591</v>
      </c>
    </row>
    <row r="28" spans="1:11" ht="15.75">
      <c r="A28" s="173" t="s">
        <v>114</v>
      </c>
      <c r="B28" s="173" t="s">
        <v>59</v>
      </c>
      <c r="C28" s="174">
        <f>I27</f>
        <v>-18410.886778159165</v>
      </c>
      <c r="D28" s="175">
        <v>-153000</v>
      </c>
      <c r="E28" s="175">
        <v>0</v>
      </c>
      <c r="F28" s="175">
        <v>0</v>
      </c>
      <c r="G28" s="175">
        <f>'Table B (Participation)'!H21*8</f>
        <v>168000</v>
      </c>
      <c r="H28" s="176">
        <f>K28</f>
        <v>-121.22100558778067</v>
      </c>
      <c r="I28" s="177">
        <f>C28+D28+E28+F28+G28+H28</f>
        <v>-3532.1077837469352</v>
      </c>
      <c r="J28" s="145">
        <f>I27+(SUM(C28:G28)/2)</f>
        <v>-20116.330167238742</v>
      </c>
      <c r="K28" s="145">
        <f>(+J28*0.006026)</f>
        <v>-121.22100558778067</v>
      </c>
    </row>
    <row r="29" spans="1:11" ht="15.75">
      <c r="A29" s="173" t="s">
        <v>114</v>
      </c>
      <c r="B29" s="173" t="s">
        <v>60</v>
      </c>
      <c r="C29" s="174">
        <f>I28</f>
        <v>-3532.1077837469352</v>
      </c>
      <c r="D29" s="175">
        <v>-153500</v>
      </c>
      <c r="E29" s="175">
        <v>0</v>
      </c>
      <c r="F29" s="175">
        <v>0</v>
      </c>
      <c r="G29" s="175">
        <f>'Table B (Participation)'!H22*8</f>
        <v>177200</v>
      </c>
      <c r="H29" s="176">
        <f>K29</f>
        <v>39.481377742711459</v>
      </c>
      <c r="I29" s="177">
        <f>C29+D29+E29+F29+G29+H29</f>
        <v>20207.373593995777</v>
      </c>
      <c r="J29" s="145">
        <f>I28+(SUM(C29:G29)/2)</f>
        <v>6551.8383243795979</v>
      </c>
      <c r="K29" s="145">
        <f>(+J29*0.006026)</f>
        <v>39.481377742711459</v>
      </c>
    </row>
    <row r="30" spans="1:11" ht="15.75">
      <c r="A30" s="173"/>
      <c r="B30" s="178" t="s">
        <v>116</v>
      </c>
      <c r="C30" s="174"/>
      <c r="D30" s="179">
        <f>SUM(D27:D29)</f>
        <v>-458500</v>
      </c>
      <c r="E30" s="179">
        <f>SUM(E27:E29)</f>
        <v>0</v>
      </c>
      <c r="F30" s="179">
        <f>SUM(F27:F29)</f>
        <v>0</v>
      </c>
      <c r="G30" s="179">
        <f>SUM(G27:G29)</f>
        <v>515200</v>
      </c>
      <c r="H30" s="179">
        <f>SUM(H27:H29)</f>
        <v>-354.16121470918512</v>
      </c>
      <c r="I30" s="177"/>
      <c r="J30" s="145"/>
      <c r="K30" s="145"/>
    </row>
    <row r="31" spans="1:11" ht="15.75">
      <c r="A31" s="173"/>
      <c r="B31" s="178" t="s">
        <v>117</v>
      </c>
      <c r="C31" s="174"/>
      <c r="D31" s="179">
        <f>D15+D20+D25+D30</f>
        <v>-1513896.6400000001</v>
      </c>
      <c r="E31" s="179">
        <f>E15+E20+E25+E30</f>
        <v>-1878.7999999999997</v>
      </c>
      <c r="F31" s="179">
        <f>F15+F20+F25+F30</f>
        <v>32357.75</v>
      </c>
      <c r="G31" s="179">
        <f>G15+G20+G25+G30</f>
        <v>2264993.5</v>
      </c>
      <c r="H31" s="179">
        <f>H15+H20+H25+H30</f>
        <v>-17607.821214709184</v>
      </c>
      <c r="I31" s="174"/>
      <c r="J31" s="138" t="s">
        <v>66</v>
      </c>
      <c r="K31" s="138"/>
    </row>
    <row r="32" spans="1:11" ht="15.75">
      <c r="A32" s="173"/>
      <c r="B32" s="173"/>
      <c r="C32" s="174"/>
      <c r="D32" s="175"/>
      <c r="E32" s="175"/>
      <c r="F32" s="175"/>
      <c r="G32" s="175"/>
      <c r="H32" s="176"/>
      <c r="I32" s="177"/>
      <c r="J32" s="145"/>
      <c r="K32" s="145"/>
    </row>
    <row r="33" spans="1:11" ht="15.75">
      <c r="A33" s="173" t="s">
        <v>114</v>
      </c>
      <c r="B33" s="173" t="s">
        <v>49</v>
      </c>
      <c r="C33" s="174">
        <f>I29</f>
        <v>20207.373593995777</v>
      </c>
      <c r="D33" s="175">
        <v>-154000</v>
      </c>
      <c r="E33" s="175">
        <v>0</v>
      </c>
      <c r="F33" s="175">
        <v>0</v>
      </c>
      <c r="G33" s="175">
        <f>'Table B (Participation)'!I11*8</f>
        <v>179600</v>
      </c>
      <c r="H33" s="176">
        <f>K33</f>
        <v>259.78724991612785</v>
      </c>
      <c r="I33" s="177">
        <f>C33+D33+E33+F33+G33+H33</f>
        <v>46067.160843911915</v>
      </c>
      <c r="J33" s="145">
        <f>I29+(SUM(C33:G33)/2)</f>
        <v>43111.060390993669</v>
      </c>
      <c r="K33" s="145">
        <f>(+J33*0.006026)</f>
        <v>259.78724991612785</v>
      </c>
    </row>
    <row r="34" spans="1:11" ht="15.75">
      <c r="A34" s="173" t="s">
        <v>114</v>
      </c>
      <c r="B34" s="173" t="s">
        <v>50</v>
      </c>
      <c r="C34" s="174">
        <f>I33</f>
        <v>46067.160843911915</v>
      </c>
      <c r="D34" s="175">
        <v>-154500</v>
      </c>
      <c r="E34" s="175">
        <v>0</v>
      </c>
      <c r="F34" s="175">
        <v>0</v>
      </c>
      <c r="G34" s="175">
        <f>'Table B (Participation)'!I12*8</f>
        <v>186496</v>
      </c>
      <c r="H34" s="176">
        <f>K34</f>
        <v>512.80501486811977</v>
      </c>
      <c r="I34" s="177">
        <f>C34+D34+E34+F34+G34+H34</f>
        <v>78575.965858780037</v>
      </c>
      <c r="J34" s="145">
        <f>I33+(SUM(C34:G34)/2)</f>
        <v>85098.741265867866</v>
      </c>
      <c r="K34" s="145">
        <f>(+J34*0.006026)</f>
        <v>512.80501486811977</v>
      </c>
    </row>
    <row r="35" spans="1:11" ht="15.75">
      <c r="A35" s="173" t="s">
        <v>114</v>
      </c>
      <c r="B35" s="173" t="s">
        <v>51</v>
      </c>
      <c r="C35" s="174">
        <f>I34</f>
        <v>78575.965858780037</v>
      </c>
      <c r="D35" s="175">
        <v>-155000</v>
      </c>
      <c r="E35" s="175">
        <v>0</v>
      </c>
      <c r="F35" s="175">
        <v>0</v>
      </c>
      <c r="G35" s="175">
        <f>'Table B (Participation)'!I13*8</f>
        <v>202032</v>
      </c>
      <c r="H35" s="176">
        <f>K35</f>
        <v>851.95557139751281</v>
      </c>
      <c r="I35" s="177">
        <f>C35+D35+E35+F35+G35+H35</f>
        <v>126459.92143017755</v>
      </c>
      <c r="J35" s="145">
        <f>I34+(SUM(C35:G35)/2)</f>
        <v>141379.94878817006</v>
      </c>
      <c r="K35" s="145">
        <f>(+J35*0.006026)</f>
        <v>851.95557139751281</v>
      </c>
    </row>
    <row r="36" spans="1:11" ht="15.75">
      <c r="A36" s="173"/>
      <c r="B36" s="178" t="s">
        <v>118</v>
      </c>
      <c r="C36" s="174"/>
      <c r="D36" s="179">
        <f>SUM(D33:D35)</f>
        <v>-463500</v>
      </c>
      <c r="E36" s="179">
        <f>SUM(E33:E35)</f>
        <v>0</v>
      </c>
      <c r="F36" s="179">
        <f>SUM(F33:F35)</f>
        <v>0</v>
      </c>
      <c r="G36" s="179">
        <f>SUM(G33:G35)</f>
        <v>568128</v>
      </c>
      <c r="H36" s="179">
        <f>SUM(H33:H35)</f>
        <v>1624.5478361817604</v>
      </c>
      <c r="I36" s="177"/>
      <c r="J36" s="145"/>
      <c r="K36" s="145"/>
    </row>
    <row r="37" spans="1:11" ht="15.75">
      <c r="A37" s="173"/>
      <c r="B37" s="173"/>
      <c r="C37" s="174"/>
      <c r="D37" s="175"/>
      <c r="E37" s="175"/>
      <c r="F37" s="175"/>
      <c r="G37" s="175"/>
      <c r="H37" s="176"/>
      <c r="I37" s="177"/>
      <c r="J37" s="145"/>
      <c r="K37" s="145"/>
    </row>
    <row r="38" spans="1:11" ht="15.75">
      <c r="A38" s="173" t="s">
        <v>114</v>
      </c>
      <c r="B38" s="173" t="s">
        <v>52</v>
      </c>
      <c r="C38" s="174">
        <f>I35</f>
        <v>126459.92143017755</v>
      </c>
      <c r="D38" s="175">
        <v>-155500</v>
      </c>
      <c r="E38" s="175">
        <v>0</v>
      </c>
      <c r="F38" s="175">
        <v>0</v>
      </c>
      <c r="G38" s="175">
        <f>'Table B (Participation)'!I14*8</f>
        <v>213920</v>
      </c>
      <c r="H38" s="176">
        <f>K38</f>
        <v>1030.5419735341334</v>
      </c>
      <c r="I38" s="177">
        <f>C38+D38+E38+F38+G38+H38</f>
        <v>185910.46340371168</v>
      </c>
      <c r="J38" s="145">
        <f>I34+(SUM(C38:G38)/2)</f>
        <v>171015.92657386881</v>
      </c>
      <c r="K38" s="145">
        <f>(+J38*0.006026)</f>
        <v>1030.5419735341334</v>
      </c>
    </row>
    <row r="39" spans="1:11" ht="15.75">
      <c r="A39" s="173" t="s">
        <v>114</v>
      </c>
      <c r="B39" s="173" t="s">
        <v>53</v>
      </c>
      <c r="C39" s="174">
        <f>I38</f>
        <v>185910.46340371168</v>
      </c>
      <c r="D39" s="175">
        <v>-156000</v>
      </c>
      <c r="E39" s="175">
        <v>0</v>
      </c>
      <c r="F39" s="175">
        <v>0</v>
      </c>
      <c r="G39" s="175">
        <f>'Table B (Participation)'!I15*8</f>
        <v>220976</v>
      </c>
      <c r="H39" s="176">
        <f>K39</f>
        <v>1876.21736670615</v>
      </c>
      <c r="I39" s="177">
        <f>C39+D39+E39+F39+G39+H39</f>
        <v>252762.68077041782</v>
      </c>
      <c r="J39" s="145">
        <f>I38+(SUM(C39:G39)/2)</f>
        <v>311353.69510556752</v>
      </c>
      <c r="K39" s="145">
        <f>(+J39*0.006026)</f>
        <v>1876.21736670615</v>
      </c>
    </row>
    <row r="40" spans="1:11" ht="15.75">
      <c r="A40" s="173" t="s">
        <v>114</v>
      </c>
      <c r="B40" s="173" t="s">
        <v>54</v>
      </c>
      <c r="C40" s="174">
        <f>I39</f>
        <v>252762.68077041782</v>
      </c>
      <c r="D40" s="175">
        <v>-156000</v>
      </c>
      <c r="E40" s="175">
        <v>0</v>
      </c>
      <c r="F40" s="175">
        <v>0</v>
      </c>
      <c r="G40" s="175">
        <f>'Table B (Participation)'!I16*8</f>
        <v>208000</v>
      </c>
      <c r="H40" s="176">
        <f>K40</f>
        <v>2441.3978714838067</v>
      </c>
      <c r="I40" s="177">
        <f>C40+D40+E40+F40+G40+H40</f>
        <v>307204.07864190161</v>
      </c>
      <c r="J40" s="145">
        <f>I39+(SUM(C40:G40)/2)</f>
        <v>405144.02115562675</v>
      </c>
      <c r="K40" s="145">
        <f>(+J40*0.006026)</f>
        <v>2441.3978714838067</v>
      </c>
    </row>
    <row r="41" spans="1:11" ht="15.75">
      <c r="A41" s="173"/>
      <c r="B41" s="178" t="s">
        <v>119</v>
      </c>
      <c r="C41" s="174"/>
      <c r="D41" s="179">
        <f>SUM(D38:D40)</f>
        <v>-467500</v>
      </c>
      <c r="E41" s="179">
        <f>SUM(E38:E40)</f>
        <v>0</v>
      </c>
      <c r="F41" s="179">
        <f>SUM(F38:F40)</f>
        <v>0</v>
      </c>
      <c r="G41" s="179">
        <f>SUM(G38:G40)</f>
        <v>642896</v>
      </c>
      <c r="H41" s="179">
        <f>SUM(H38:H40)</f>
        <v>5348.1572117240903</v>
      </c>
      <c r="I41" s="177"/>
      <c r="J41" s="145"/>
      <c r="K41" s="145"/>
    </row>
    <row r="42" spans="1:11" ht="15.75">
      <c r="A42" s="173"/>
      <c r="B42" s="178"/>
      <c r="C42" s="174"/>
      <c r="D42" s="179"/>
      <c r="E42" s="179"/>
      <c r="F42" s="179"/>
      <c r="G42" s="179"/>
      <c r="H42" s="179"/>
      <c r="I42" s="177"/>
      <c r="J42" s="145"/>
      <c r="K42" s="145"/>
    </row>
    <row r="43" spans="1:11" ht="15.75">
      <c r="A43" s="173" t="s">
        <v>114</v>
      </c>
      <c r="B43" s="173" t="s">
        <v>55</v>
      </c>
      <c r="C43" s="174">
        <f>I40</f>
        <v>307204.07864190161</v>
      </c>
      <c r="D43" s="175">
        <v>-156500</v>
      </c>
      <c r="E43" s="175">
        <v>0</v>
      </c>
      <c r="F43" s="175">
        <v>0</v>
      </c>
      <c r="G43" s="175">
        <f>'Table B (Participation)'!I17*8</f>
        <v>188000</v>
      </c>
      <c r="H43" s="176">
        <f>K43</f>
        <v>2140.8118414188161</v>
      </c>
      <c r="I43" s="177">
        <f>C43+D43+E43+F43+G43+H43</f>
        <v>340844.8904833204</v>
      </c>
      <c r="J43" s="145">
        <f>I38+(SUM(C43:G43)/2)</f>
        <v>355262.50272466248</v>
      </c>
      <c r="K43" s="145">
        <f>(+J43*0.006026)</f>
        <v>2140.8118414188161</v>
      </c>
    </row>
    <row r="44" spans="1:11" ht="15.75">
      <c r="A44" s="173" t="s">
        <v>114</v>
      </c>
      <c r="B44" s="173" t="s">
        <v>56</v>
      </c>
      <c r="C44" s="174">
        <f>I43</f>
        <v>340844.8904833204</v>
      </c>
      <c r="D44" s="175">
        <v>-157000</v>
      </c>
      <c r="E44" s="175">
        <v>0</v>
      </c>
      <c r="F44" s="175">
        <v>0</v>
      </c>
      <c r="G44" s="175">
        <f>'Table B (Participation)'!I18*8</f>
        <v>186000</v>
      </c>
      <c r="H44" s="176">
        <f>K44</f>
        <v>3168.273965078733</v>
      </c>
      <c r="I44" s="177">
        <f>C44+D44+E44+F44+G44+H44</f>
        <v>373013.16444839915</v>
      </c>
      <c r="J44" s="145">
        <f>I43+(SUM(C44:G44)/2)</f>
        <v>525767.33572498057</v>
      </c>
      <c r="K44" s="145">
        <f>(+J44*0.006026)</f>
        <v>3168.273965078733</v>
      </c>
    </row>
    <row r="45" spans="1:11" ht="15.75">
      <c r="A45" s="173" t="s">
        <v>114</v>
      </c>
      <c r="B45" s="173" t="s">
        <v>57</v>
      </c>
      <c r="C45" s="174">
        <f>I44</f>
        <v>373013.16444839915</v>
      </c>
      <c r="D45" s="175">
        <v>-157500</v>
      </c>
      <c r="E45" s="175">
        <v>0</v>
      </c>
      <c r="F45" s="175">
        <v>0</v>
      </c>
      <c r="G45" s="175">
        <f>'Table B (Participation)'!I19*8</f>
        <v>184000</v>
      </c>
      <c r="H45" s="176">
        <f>K45</f>
        <v>3451.5104934490801</v>
      </c>
      <c r="I45" s="177">
        <f>C45+D45+E45+F45+G45+H45</f>
        <v>402964.67494184821</v>
      </c>
      <c r="J45" s="145">
        <f>I44+(SUM(C45:G45)/2)</f>
        <v>572769.74667259876</v>
      </c>
      <c r="K45" s="145">
        <f>(+J45*0.006026)</f>
        <v>3451.5104934490801</v>
      </c>
    </row>
    <row r="46" spans="1:11" ht="15.75">
      <c r="A46" s="173"/>
      <c r="B46" s="173"/>
      <c r="C46" s="174"/>
      <c r="D46" s="175"/>
      <c r="E46" s="175"/>
      <c r="F46" s="175"/>
      <c r="G46" s="175"/>
      <c r="H46" s="176"/>
      <c r="I46" s="177"/>
      <c r="J46" s="145"/>
      <c r="K46" s="145"/>
    </row>
    <row r="47" spans="1:11" ht="15.75">
      <c r="A47" s="173"/>
      <c r="B47" s="178" t="s">
        <v>120</v>
      </c>
      <c r="C47" s="174"/>
      <c r="D47" s="179">
        <f>SUM(D43:D45)</f>
        <v>-471000</v>
      </c>
      <c r="E47" s="179">
        <f>SUM(E43:E45)</f>
        <v>0</v>
      </c>
      <c r="F47" s="179">
        <f>SUM(F43:F45)</f>
        <v>0</v>
      </c>
      <c r="G47" s="179">
        <f>SUM(G43:G45)</f>
        <v>558000</v>
      </c>
      <c r="H47" s="179">
        <f>SUM(H43:H45)</f>
        <v>8760.5962999466283</v>
      </c>
      <c r="I47" s="177"/>
      <c r="J47" s="145"/>
      <c r="K47" s="145"/>
    </row>
    <row r="48" spans="1:11" ht="15.75">
      <c r="A48" s="173" t="s">
        <v>114</v>
      </c>
      <c r="B48" s="173" t="s">
        <v>58</v>
      </c>
      <c r="C48" s="174">
        <f>I45</f>
        <v>402964.67494184821</v>
      </c>
      <c r="D48" s="175">
        <v>-158000</v>
      </c>
      <c r="E48" s="175">
        <v>0</v>
      </c>
      <c r="F48" s="175">
        <v>0</v>
      </c>
      <c r="G48" s="175">
        <f>'Table B (Participation)'!I20*8</f>
        <v>182000</v>
      </c>
      <c r="H48" s="176">
        <f>K48</f>
        <v>1286.4445655997886</v>
      </c>
      <c r="I48" s="177">
        <f>C48+D48+E48+F48+G48+H48</f>
        <v>428251.11950744799</v>
      </c>
      <c r="J48" s="145">
        <f>I42+(SUM(C48:G48)/2)</f>
        <v>213482.3374709241</v>
      </c>
      <c r="K48" s="145">
        <f>(+J48*0.006026)</f>
        <v>1286.4445655997886</v>
      </c>
    </row>
    <row r="49" spans="1:11" ht="15.75">
      <c r="A49" s="173" t="s">
        <v>114</v>
      </c>
      <c r="B49" s="173" t="s">
        <v>59</v>
      </c>
      <c r="C49" s="174">
        <f>I48</f>
        <v>428251.11950744799</v>
      </c>
      <c r="D49" s="175">
        <v>-158500</v>
      </c>
      <c r="E49" s="175">
        <v>0</v>
      </c>
      <c r="F49" s="175">
        <v>0</v>
      </c>
      <c r="G49" s="175">
        <f>'Table B (Participation)'!I21*8</f>
        <v>180000</v>
      </c>
      <c r="H49" s="176">
        <f>K49</f>
        <v>3935.7413692278224</v>
      </c>
      <c r="I49" s="177">
        <f>C49+D49+E49+F49+G49+H49</f>
        <v>453686.86087667581</v>
      </c>
      <c r="J49" s="145">
        <f>I48+(SUM(C49:G49)/2)</f>
        <v>653126.67926117196</v>
      </c>
      <c r="K49" s="145">
        <f>(+J49*0.006026)</f>
        <v>3935.7413692278224</v>
      </c>
    </row>
    <row r="50" spans="1:11" ht="15.75">
      <c r="A50" s="173" t="s">
        <v>114</v>
      </c>
      <c r="B50" s="173" t="s">
        <v>60</v>
      </c>
      <c r="C50" s="174">
        <f>I49</f>
        <v>453686.86087667581</v>
      </c>
      <c r="D50" s="175">
        <v>-159000</v>
      </c>
      <c r="E50" s="175">
        <v>0</v>
      </c>
      <c r="F50" s="175">
        <v>30000</v>
      </c>
      <c r="G50" s="175">
        <f>'Table B (Participation)'!I22*8</f>
        <v>189600</v>
      </c>
      <c r="H50" s="176">
        <f>K50</f>
        <v>4283.4633354642729</v>
      </c>
      <c r="I50" s="177">
        <f>C50+D50+E50+F50+G50+H50</f>
        <v>518570.32421214011</v>
      </c>
      <c r="J50" s="145">
        <f>I49+(SUM(C50:G50)/2)</f>
        <v>710830.29131501378</v>
      </c>
      <c r="K50" s="145">
        <f>(+J50*0.006026)</f>
        <v>4283.4633354642729</v>
      </c>
    </row>
    <row r="51" spans="1:11" ht="15.75">
      <c r="A51" s="173"/>
      <c r="B51" s="178" t="s">
        <v>121</v>
      </c>
      <c r="C51" s="174"/>
      <c r="D51" s="179">
        <f>SUM(D48:D50)</f>
        <v>-475500</v>
      </c>
      <c r="E51" s="179">
        <f>SUM(E48:E50)</f>
        <v>0</v>
      </c>
      <c r="F51" s="179">
        <f>SUM(F48:F50)</f>
        <v>30000</v>
      </c>
      <c r="G51" s="179">
        <f>SUM(G48:G50)</f>
        <v>551600</v>
      </c>
      <c r="H51" s="179">
        <f>SUM(H48:H50)</f>
        <v>9505.649270291884</v>
      </c>
      <c r="I51" s="177"/>
      <c r="J51" s="145"/>
      <c r="K51" s="145"/>
    </row>
    <row r="52" spans="1:11" ht="15.75">
      <c r="A52" s="173"/>
      <c r="B52" s="178" t="s">
        <v>117</v>
      </c>
      <c r="C52" s="174"/>
      <c r="D52" s="179">
        <f>D36+D41+D47+D51</f>
        <v>-1877500</v>
      </c>
      <c r="E52" s="179">
        <f>E36+E41+E47+E51</f>
        <v>0</v>
      </c>
      <c r="F52" s="179">
        <f>F36+F41+F47+F51</f>
        <v>30000</v>
      </c>
      <c r="G52" s="179">
        <f>G36+G41+G47+G51</f>
        <v>2320624</v>
      </c>
      <c r="H52" s="179">
        <f>H36+H41+H47+H51</f>
        <v>25238.950618144365</v>
      </c>
      <c r="I52" s="174"/>
      <c r="J52" s="138" t="s">
        <v>66</v>
      </c>
      <c r="K52" s="138"/>
    </row>
    <row r="53" spans="1:11" ht="15.75">
      <c r="A53" s="137"/>
      <c r="B53" s="140"/>
      <c r="C53" s="138"/>
      <c r="D53" s="146"/>
      <c r="E53" s="146"/>
      <c r="F53" s="146"/>
      <c r="G53" s="146"/>
      <c r="H53" s="146"/>
      <c r="I53" s="138"/>
      <c r="J53" s="138"/>
      <c r="K53" s="138"/>
    </row>
    <row r="54" spans="1:11" ht="15.75">
      <c r="A54" s="150" t="s">
        <v>122</v>
      </c>
      <c r="B54" s="140"/>
      <c r="C54" s="138"/>
      <c r="D54" s="146"/>
      <c r="E54" s="146"/>
      <c r="F54" s="146"/>
      <c r="G54" s="146"/>
      <c r="H54" s="146"/>
      <c r="I54" s="138"/>
      <c r="J54" s="138"/>
      <c r="K54" s="138"/>
    </row>
    <row r="55" spans="1:11" ht="15.75">
      <c r="A55" s="137"/>
      <c r="B55" s="140"/>
      <c r="C55" s="138"/>
      <c r="D55" s="146"/>
      <c r="E55" s="146"/>
      <c r="F55" s="146"/>
      <c r="G55" s="146"/>
      <c r="H55" s="146"/>
      <c r="I55" s="138"/>
      <c r="J55" s="138"/>
      <c r="K55" s="138"/>
    </row>
    <row r="56" spans="1:11" ht="15.75">
      <c r="A56" s="151" t="s">
        <v>123</v>
      </c>
      <c r="B56" s="137"/>
      <c r="C56" s="138"/>
      <c r="D56" s="138"/>
      <c r="E56" s="138"/>
      <c r="F56" s="138"/>
      <c r="G56" s="138"/>
      <c r="H56" s="138"/>
      <c r="I56" s="138"/>
      <c r="J56" s="138"/>
      <c r="K56" s="138"/>
    </row>
    <row r="57" spans="1:11" ht="15.75">
      <c r="A57" s="151"/>
      <c r="B57" s="137"/>
      <c r="C57" s="138"/>
      <c r="D57" s="138"/>
      <c r="E57" s="138"/>
      <c r="F57" s="138"/>
      <c r="G57" s="138"/>
      <c r="H57" s="138"/>
      <c r="I57" s="138"/>
      <c r="J57" s="138"/>
      <c r="K57" s="138"/>
    </row>
    <row r="58" spans="1:11" ht="15.75">
      <c r="A58" s="151"/>
      <c r="B58" s="137"/>
      <c r="C58" s="138"/>
      <c r="D58" s="138" t="s">
        <v>66</v>
      </c>
      <c r="E58" s="138"/>
      <c r="F58" s="138"/>
      <c r="G58" s="138"/>
      <c r="H58" s="138"/>
      <c r="I58" s="138"/>
      <c r="J58" s="138"/>
      <c r="K58" s="138"/>
    </row>
    <row r="59" spans="1:11" ht="15.75">
      <c r="A59" s="151"/>
      <c r="B59" s="137"/>
      <c r="C59" s="138"/>
      <c r="D59" s="138" t="s">
        <v>66</v>
      </c>
      <c r="E59" s="138"/>
      <c r="F59" s="138"/>
      <c r="G59" s="138"/>
      <c r="H59" s="138"/>
      <c r="I59" s="138"/>
      <c r="J59" s="138"/>
      <c r="K59" s="138"/>
    </row>
    <row r="60" spans="1:11" ht="15.75">
      <c r="A60" s="151"/>
      <c r="B60" s="137"/>
      <c r="C60" s="138"/>
      <c r="D60" s="138"/>
      <c r="E60" s="138"/>
      <c r="F60" s="138"/>
      <c r="G60" s="138"/>
      <c r="H60" s="138"/>
      <c r="I60" s="138"/>
      <c r="J60" s="138"/>
      <c r="K60" s="138"/>
    </row>
    <row r="61" spans="1:11" ht="15.75">
      <c r="A61" s="151"/>
      <c r="B61" s="137"/>
      <c r="C61" s="138"/>
      <c r="D61" s="138"/>
      <c r="E61" s="138"/>
      <c r="F61" s="138"/>
      <c r="G61" s="138"/>
      <c r="H61" s="138"/>
      <c r="I61" s="138"/>
      <c r="J61" s="138"/>
      <c r="K61" s="138"/>
    </row>
    <row r="62" spans="1:11" ht="15.75">
      <c r="A62" s="151"/>
      <c r="B62" s="137"/>
      <c r="C62" s="138"/>
      <c r="D62" s="138"/>
      <c r="E62" s="138"/>
      <c r="F62" s="138"/>
      <c r="G62" s="138"/>
      <c r="H62" s="138"/>
      <c r="I62" s="138"/>
      <c r="J62" s="138"/>
      <c r="K62" s="138"/>
    </row>
    <row r="63" spans="1:11" ht="15.75">
      <c r="A63" s="151"/>
      <c r="B63" s="137"/>
      <c r="C63" s="138"/>
      <c r="D63" s="138"/>
      <c r="E63" s="138"/>
      <c r="F63" s="138"/>
      <c r="G63" s="138"/>
      <c r="H63" s="138"/>
      <c r="I63" s="138"/>
      <c r="J63" s="138"/>
      <c r="K63" s="138"/>
    </row>
    <row r="64" spans="1:11" ht="15.75">
      <c r="A64" s="151"/>
      <c r="B64" s="137"/>
      <c r="C64" s="138"/>
      <c r="D64" s="138"/>
      <c r="E64" s="138"/>
      <c r="F64" s="138"/>
      <c r="G64" s="138"/>
      <c r="H64" s="138"/>
      <c r="I64" s="138"/>
      <c r="J64" s="138"/>
      <c r="K64" s="138"/>
    </row>
    <row r="65" spans="1:11" ht="15.75">
      <c r="A65" s="151"/>
      <c r="B65" s="137"/>
      <c r="C65" s="138"/>
      <c r="D65" s="138"/>
      <c r="E65" s="138"/>
      <c r="F65" s="138"/>
      <c r="G65" s="138"/>
      <c r="H65" s="138"/>
      <c r="I65" s="138"/>
      <c r="J65" s="138"/>
      <c r="K65" s="138"/>
    </row>
    <row r="66" spans="1:11" ht="15.75">
      <c r="A66" s="151"/>
      <c r="B66" s="137"/>
      <c r="C66" s="138"/>
      <c r="D66" s="138"/>
      <c r="E66" s="138"/>
      <c r="F66" s="138"/>
      <c r="G66" s="138"/>
      <c r="H66" s="138"/>
      <c r="I66" s="138"/>
      <c r="J66" s="138"/>
      <c r="K66" s="138"/>
    </row>
    <row r="67" spans="1:11" ht="15.75">
      <c r="A67" s="151"/>
      <c r="B67" s="137"/>
      <c r="C67" s="138"/>
      <c r="D67" s="138"/>
      <c r="E67" s="138"/>
      <c r="F67" s="138"/>
      <c r="G67" s="138"/>
      <c r="H67" s="138"/>
      <c r="I67" s="138"/>
      <c r="J67" s="138"/>
      <c r="K67" s="138"/>
    </row>
    <row r="68" spans="1:11" ht="15.75">
      <c r="A68" s="151"/>
      <c r="B68" s="137"/>
      <c r="C68" s="138"/>
      <c r="D68" s="138"/>
      <c r="E68" s="138"/>
      <c r="F68" s="138"/>
      <c r="G68" s="138"/>
      <c r="H68" s="138"/>
      <c r="I68" s="138"/>
      <c r="J68" s="138"/>
      <c r="K68" s="138"/>
    </row>
    <row r="69" spans="1:11" ht="15.75">
      <c r="A69" s="151"/>
      <c r="B69" s="137"/>
      <c r="C69" s="138"/>
      <c r="D69" s="138"/>
      <c r="E69" s="138"/>
      <c r="F69" s="138"/>
      <c r="G69" s="138"/>
      <c r="H69" s="138"/>
      <c r="I69" s="138"/>
      <c r="J69" s="138"/>
      <c r="K69" s="138"/>
    </row>
    <row r="70" spans="1:11" ht="15.75">
      <c r="A70" s="151"/>
      <c r="B70" s="137"/>
      <c r="C70" s="138"/>
      <c r="D70" s="138"/>
      <c r="E70" s="138"/>
      <c r="F70" s="138"/>
      <c r="G70" s="138"/>
      <c r="H70" s="138"/>
      <c r="I70" s="138"/>
      <c r="J70" s="138"/>
      <c r="K70" s="138"/>
    </row>
    <row r="71" spans="1:11" ht="15.75">
      <c r="A71" s="151"/>
      <c r="B71" s="137"/>
      <c r="C71" s="138"/>
      <c r="D71" s="138"/>
      <c r="E71" s="138"/>
      <c r="F71" s="138"/>
      <c r="G71" s="138"/>
      <c r="H71" s="138"/>
      <c r="I71" s="138"/>
      <c r="J71" s="138"/>
      <c r="K71" s="138"/>
    </row>
    <row r="72" spans="1:11" ht="15.75">
      <c r="A72" s="151"/>
      <c r="B72" s="137"/>
      <c r="C72" s="138"/>
      <c r="D72" s="138"/>
      <c r="E72" s="138"/>
      <c r="F72" s="138"/>
      <c r="G72" s="138"/>
      <c r="H72" s="138"/>
      <c r="I72" s="138"/>
      <c r="J72" s="138"/>
      <c r="K72" s="138"/>
    </row>
    <row r="73" spans="1:11" ht="15.75">
      <c r="A73" s="151"/>
      <c r="B73" s="137"/>
      <c r="C73" s="138"/>
      <c r="D73" s="138"/>
      <c r="E73" s="138"/>
      <c r="F73" s="138"/>
      <c r="G73" s="138"/>
      <c r="H73" s="138"/>
      <c r="I73" s="138"/>
      <c r="J73" s="138"/>
      <c r="K73" s="138"/>
    </row>
    <row r="74" spans="1:11" ht="15.75">
      <c r="A74" s="151"/>
      <c r="B74" s="137"/>
      <c r="C74" s="138"/>
      <c r="D74" s="138"/>
      <c r="E74" s="138"/>
      <c r="F74" s="138"/>
      <c r="G74" s="138"/>
      <c r="H74" s="138"/>
      <c r="I74" s="138"/>
      <c r="J74" s="138"/>
      <c r="K74" s="138"/>
    </row>
    <row r="75" spans="1:11" ht="15.75">
      <c r="A75" s="151"/>
      <c r="B75" s="137"/>
      <c r="C75" s="138"/>
      <c r="D75" s="138"/>
      <c r="E75" s="138"/>
      <c r="F75" s="138"/>
      <c r="G75" s="138"/>
      <c r="H75" s="138"/>
      <c r="I75" s="138"/>
      <c r="J75" s="138"/>
      <c r="K75" s="138"/>
    </row>
    <row r="76" spans="1:11" ht="15.75">
      <c r="A76" s="151"/>
      <c r="B76" s="137"/>
      <c r="C76" s="138"/>
      <c r="D76" s="138"/>
      <c r="E76" s="138"/>
      <c r="F76" s="138"/>
      <c r="G76" s="138"/>
      <c r="H76" s="138"/>
      <c r="I76" s="138"/>
      <c r="J76" s="138"/>
      <c r="K76" s="138"/>
    </row>
    <row r="77" spans="1:11" ht="15.75">
      <c r="A77" s="151"/>
      <c r="B77" s="137"/>
      <c r="C77" s="138"/>
      <c r="D77" s="138"/>
      <c r="E77" s="138"/>
      <c r="F77" s="138"/>
      <c r="G77" s="138"/>
      <c r="H77" s="138"/>
      <c r="I77" s="138"/>
      <c r="J77" s="138"/>
      <c r="K77" s="138"/>
    </row>
    <row r="78" spans="1:11" ht="15.75">
      <c r="A78" s="151"/>
      <c r="B78" s="137"/>
      <c r="C78" s="138"/>
      <c r="D78" s="138"/>
      <c r="E78" s="138"/>
      <c r="F78" s="138"/>
      <c r="G78" s="138"/>
      <c r="H78" s="138"/>
      <c r="I78" s="138"/>
      <c r="J78" s="138"/>
      <c r="K78" s="138"/>
    </row>
    <row r="79" spans="1:11" ht="15.75">
      <c r="A79" s="151"/>
      <c r="B79" s="137"/>
      <c r="C79" s="138"/>
      <c r="D79" s="138"/>
      <c r="E79" s="138"/>
      <c r="F79" s="138"/>
      <c r="G79" s="138"/>
      <c r="H79" s="138"/>
      <c r="I79" s="138"/>
      <c r="J79" s="138"/>
      <c r="K79" s="138"/>
    </row>
    <row r="80" spans="1:11" ht="15.75">
      <c r="A80" s="151"/>
      <c r="B80" s="137"/>
      <c r="C80" s="138"/>
      <c r="D80" s="138"/>
      <c r="E80" s="138"/>
      <c r="F80" s="138"/>
      <c r="G80" s="138"/>
      <c r="H80" s="138"/>
      <c r="I80" s="138"/>
      <c r="J80" s="138"/>
      <c r="K80" s="138"/>
    </row>
    <row r="81" spans="1:11" ht="15.75">
      <c r="A81" s="151"/>
      <c r="B81" s="137"/>
      <c r="C81" s="138"/>
      <c r="D81" s="138"/>
      <c r="E81" s="138"/>
      <c r="F81" s="138"/>
      <c r="G81" s="138"/>
      <c r="H81" s="138"/>
      <c r="I81" s="138"/>
      <c r="J81" s="138"/>
      <c r="K81" s="138"/>
    </row>
    <row r="82" spans="1:11" ht="15.75">
      <c r="A82" s="151"/>
      <c r="B82" s="137"/>
      <c r="C82" s="138"/>
      <c r="D82" s="138"/>
      <c r="E82" s="138"/>
      <c r="F82" s="138"/>
      <c r="G82" s="138"/>
      <c r="H82" s="138"/>
      <c r="I82" s="138"/>
      <c r="J82" s="138"/>
      <c r="K82" s="138"/>
    </row>
    <row r="84" spans="1:11" ht="16.5" thickBot="1">
      <c r="A84" s="152"/>
      <c r="B84" s="153"/>
      <c r="C84" s="154"/>
      <c r="D84" s="154"/>
      <c r="E84" s="154"/>
      <c r="F84" s="154"/>
      <c r="G84" s="154"/>
      <c r="H84" s="154"/>
      <c r="I84" s="154"/>
      <c r="J84" s="154"/>
      <c r="K84" s="154"/>
    </row>
    <row r="85" spans="1:11" ht="15.75">
      <c r="A85" s="136" t="s">
        <v>124</v>
      </c>
      <c r="B85" s="140"/>
      <c r="C85" s="138"/>
      <c r="D85" s="138"/>
      <c r="E85" s="138"/>
      <c r="F85" s="138"/>
      <c r="G85" s="138"/>
      <c r="H85" s="138"/>
      <c r="I85" s="138"/>
      <c r="J85" s="138"/>
      <c r="K85" s="138"/>
    </row>
    <row r="86" spans="1:11" ht="22.5">
      <c r="A86" s="136"/>
      <c r="B86" s="140"/>
      <c r="C86" s="138"/>
      <c r="D86" s="138"/>
      <c r="E86" s="138"/>
      <c r="F86" s="138"/>
      <c r="G86" s="138"/>
      <c r="H86" s="290" t="s">
        <v>136</v>
      </c>
      <c r="I86" s="290"/>
      <c r="J86" s="290"/>
      <c r="K86" s="290"/>
    </row>
    <row r="87" spans="1:11" ht="22.5">
      <c r="A87" s="136"/>
      <c r="B87" s="140"/>
      <c r="C87" s="138"/>
      <c r="D87" s="290" t="s">
        <v>137</v>
      </c>
      <c r="E87" s="290"/>
      <c r="F87" s="290" t="s">
        <v>138</v>
      </c>
      <c r="G87" s="290"/>
      <c r="H87" s="290" t="s">
        <v>125</v>
      </c>
      <c r="I87" s="290"/>
      <c r="J87" s="155"/>
      <c r="K87" s="155"/>
    </row>
    <row r="88" spans="1:11" ht="15.75">
      <c r="A88" s="140" t="s">
        <v>81</v>
      </c>
      <c r="B88" s="140" t="s">
        <v>82</v>
      </c>
      <c r="C88" s="156" t="s">
        <v>111</v>
      </c>
      <c r="D88" s="156" t="s">
        <v>126</v>
      </c>
      <c r="E88" s="156" t="s">
        <v>127</v>
      </c>
      <c r="F88" s="156" t="s">
        <v>126</v>
      </c>
      <c r="G88" s="156" t="s">
        <v>127</v>
      </c>
      <c r="H88" s="156" t="s">
        <v>126</v>
      </c>
      <c r="I88" s="156" t="s">
        <v>127</v>
      </c>
      <c r="J88" s="156"/>
      <c r="K88" s="156"/>
    </row>
    <row r="89" spans="1:11" ht="15.75">
      <c r="A89" s="140"/>
      <c r="B89" s="140" t="s">
        <v>84</v>
      </c>
      <c r="C89" s="156"/>
      <c r="D89" s="156"/>
      <c r="E89" s="156"/>
      <c r="F89" s="156"/>
      <c r="G89" s="156"/>
      <c r="H89" s="156"/>
      <c r="I89" s="156"/>
      <c r="J89" s="156"/>
      <c r="K89" s="156"/>
    </row>
    <row r="90" spans="1:11" ht="15.75">
      <c r="A90" s="143">
        <v>2000</v>
      </c>
      <c r="B90" s="137" t="s">
        <v>57</v>
      </c>
      <c r="C90" s="157">
        <v>0</v>
      </c>
      <c r="D90" s="68">
        <v>0</v>
      </c>
      <c r="E90" s="68">
        <v>581906</v>
      </c>
      <c r="F90" s="158">
        <v>0</v>
      </c>
      <c r="G90" s="158">
        <v>10952082</v>
      </c>
      <c r="H90" s="149">
        <v>0</v>
      </c>
      <c r="I90" s="149">
        <v>51557</v>
      </c>
      <c r="J90" s="149"/>
      <c r="K90" s="149"/>
    </row>
    <row r="91" spans="1:11" ht="15.75">
      <c r="A91" s="137"/>
      <c r="B91" s="137" t="s">
        <v>58</v>
      </c>
      <c r="C91" s="68">
        <v>4</v>
      </c>
      <c r="D91" s="149">
        <v>4</v>
      </c>
      <c r="E91" s="68">
        <v>582429</v>
      </c>
      <c r="F91" s="159">
        <v>1183</v>
      </c>
      <c r="G91" s="159">
        <v>10901437</v>
      </c>
      <c r="H91" s="149">
        <v>1</v>
      </c>
      <c r="I91" s="149">
        <v>53336</v>
      </c>
      <c r="J91" s="149"/>
      <c r="K91" s="149"/>
    </row>
    <row r="92" spans="1:11" ht="15.75">
      <c r="A92" s="137"/>
      <c r="B92" s="137" t="s">
        <v>59</v>
      </c>
      <c r="C92" s="68">
        <v>165</v>
      </c>
      <c r="D92" s="149">
        <v>451</v>
      </c>
      <c r="E92" s="68">
        <v>584742</v>
      </c>
      <c r="F92" s="159">
        <v>6297</v>
      </c>
      <c r="G92" s="159">
        <v>10613998</v>
      </c>
      <c r="H92" s="149">
        <v>23</v>
      </c>
      <c r="I92" s="149">
        <v>45334</v>
      </c>
      <c r="J92" s="149"/>
      <c r="K92" s="149"/>
    </row>
    <row r="93" spans="1:11" ht="15.75">
      <c r="A93" s="137"/>
      <c r="B93" s="137" t="s">
        <v>60</v>
      </c>
      <c r="C93" s="69">
        <v>980</v>
      </c>
      <c r="D93" s="160">
        <v>1151</v>
      </c>
      <c r="E93" s="68">
        <v>584283</v>
      </c>
      <c r="F93" s="161">
        <v>20479</v>
      </c>
      <c r="G93" s="161">
        <v>10130021</v>
      </c>
      <c r="H93" s="149">
        <v>26</v>
      </c>
      <c r="I93" s="149">
        <v>43605</v>
      </c>
      <c r="J93" s="149"/>
      <c r="K93" s="149"/>
    </row>
    <row r="94" spans="1:11" ht="15.75">
      <c r="A94" s="137"/>
      <c r="B94" s="137"/>
      <c r="C94" s="69"/>
      <c r="D94" s="160"/>
      <c r="E94" s="68"/>
      <c r="F94" s="161"/>
      <c r="G94" s="161"/>
      <c r="H94" s="149"/>
      <c r="I94" s="149"/>
      <c r="J94" s="149"/>
      <c r="K94" s="149"/>
    </row>
    <row r="95" spans="1:11" ht="15.75">
      <c r="A95" s="137"/>
      <c r="B95" s="140" t="s">
        <v>85</v>
      </c>
      <c r="C95" s="69"/>
      <c r="D95" s="160"/>
      <c r="E95" s="68"/>
      <c r="F95" s="161"/>
      <c r="G95" s="161"/>
      <c r="H95" s="149"/>
      <c r="I95" s="149"/>
      <c r="J95" s="149"/>
      <c r="K95" s="149"/>
    </row>
    <row r="96" spans="1:11" ht="15.75">
      <c r="A96" s="143">
        <v>2001</v>
      </c>
      <c r="B96" s="137" t="s">
        <v>49</v>
      </c>
      <c r="C96" s="69">
        <v>4524</v>
      </c>
      <c r="D96" s="160">
        <v>9425</v>
      </c>
      <c r="E96" s="68">
        <v>577760</v>
      </c>
      <c r="F96" s="161">
        <v>341720.1</v>
      </c>
      <c r="G96" s="161">
        <v>10503794.43</v>
      </c>
      <c r="H96" s="149">
        <v>628</v>
      </c>
      <c r="I96" s="149">
        <v>54493</v>
      </c>
      <c r="J96" s="149"/>
      <c r="K96" s="149"/>
    </row>
    <row r="97" spans="1:11" ht="15.75">
      <c r="A97" s="137"/>
      <c r="B97" s="137" t="s">
        <v>50</v>
      </c>
      <c r="C97" s="69">
        <v>11633</v>
      </c>
      <c r="D97" s="160">
        <v>13649</v>
      </c>
      <c r="E97" s="68">
        <v>575515</v>
      </c>
      <c r="F97" s="161">
        <v>439220.91</v>
      </c>
      <c r="G97" s="161">
        <v>10244004.359999998</v>
      </c>
      <c r="H97" s="149">
        <v>1416</v>
      </c>
      <c r="I97" s="149">
        <v>46942</v>
      </c>
      <c r="J97" s="149"/>
      <c r="K97" s="149"/>
    </row>
    <row r="98" spans="1:11" ht="15.75">
      <c r="A98" s="137"/>
      <c r="B98" s="137" t="s">
        <v>51</v>
      </c>
      <c r="C98" s="69">
        <v>14767</v>
      </c>
      <c r="D98" s="160">
        <v>15961</v>
      </c>
      <c r="E98" s="68">
        <v>573114</v>
      </c>
      <c r="F98" s="161">
        <v>542324.85</v>
      </c>
      <c r="G98" s="161">
        <v>9503513.1099999975</v>
      </c>
      <c r="H98" s="149">
        <v>2072</v>
      </c>
      <c r="I98" s="149">
        <v>49489</v>
      </c>
      <c r="J98" s="149"/>
      <c r="K98" s="149"/>
    </row>
    <row r="99" spans="1:11" ht="15.75">
      <c r="A99" s="137"/>
      <c r="B99" s="137"/>
      <c r="C99" s="69"/>
      <c r="D99" s="160"/>
      <c r="E99" s="68"/>
      <c r="F99" s="161"/>
      <c r="G99" s="161"/>
      <c r="H99" s="149"/>
      <c r="I99" s="149"/>
      <c r="J99" s="149"/>
      <c r="K99" s="149"/>
    </row>
    <row r="100" spans="1:11" ht="15.75">
      <c r="A100" s="137"/>
      <c r="B100" s="140" t="s">
        <v>86</v>
      </c>
      <c r="C100" s="69"/>
      <c r="D100" s="160"/>
      <c r="E100" s="68"/>
      <c r="F100" s="161"/>
      <c r="G100" s="161"/>
      <c r="H100" s="149"/>
      <c r="I100" s="149"/>
      <c r="J100" s="149"/>
      <c r="K100" s="149"/>
    </row>
    <row r="101" spans="1:11" ht="15.75">
      <c r="A101" s="143" t="s">
        <v>66</v>
      </c>
      <c r="B101" s="137" t="s">
        <v>52</v>
      </c>
      <c r="C101" s="69">
        <v>16903</v>
      </c>
      <c r="D101" s="160">
        <v>17342</v>
      </c>
      <c r="E101" s="68">
        <v>572460</v>
      </c>
      <c r="F101" s="161" t="s">
        <v>128</v>
      </c>
      <c r="G101" s="161" t="s">
        <v>128</v>
      </c>
      <c r="H101" s="149">
        <v>2613</v>
      </c>
      <c r="I101" s="149">
        <v>46078</v>
      </c>
      <c r="J101" s="149"/>
      <c r="K101" s="149"/>
    </row>
    <row r="102" spans="1:11" ht="15.75">
      <c r="A102" s="137"/>
      <c r="B102" s="137" t="s">
        <v>53</v>
      </c>
      <c r="C102" s="69">
        <v>17652</v>
      </c>
      <c r="D102" s="160">
        <v>17253</v>
      </c>
      <c r="E102" s="68">
        <v>573315</v>
      </c>
      <c r="F102" s="161" t="s">
        <v>128</v>
      </c>
      <c r="G102" s="161" t="s">
        <v>128</v>
      </c>
      <c r="H102" s="149">
        <v>2778</v>
      </c>
      <c r="I102" s="149">
        <v>47956</v>
      </c>
      <c r="J102" s="149"/>
      <c r="K102" s="149"/>
    </row>
    <row r="103" spans="1:11" ht="15.75">
      <c r="A103" s="137"/>
      <c r="B103" s="137" t="s">
        <v>54</v>
      </c>
      <c r="C103" s="69">
        <v>17147</v>
      </c>
      <c r="D103" s="160">
        <v>16603</v>
      </c>
      <c r="E103" s="68">
        <v>574341</v>
      </c>
      <c r="F103" s="158">
        <v>580808.54</v>
      </c>
      <c r="G103" s="158">
        <v>8364089.4500000002</v>
      </c>
      <c r="H103" s="149">
        <v>2525</v>
      </c>
      <c r="I103" s="149">
        <v>43645</v>
      </c>
      <c r="J103" s="149"/>
      <c r="K103" s="149"/>
    </row>
    <row r="104" spans="1:11" ht="15.75">
      <c r="A104" s="137"/>
      <c r="B104" s="137"/>
      <c r="C104" s="69"/>
      <c r="D104" s="160"/>
      <c r="E104" s="68"/>
      <c r="F104" s="158"/>
      <c r="G104" s="158"/>
      <c r="H104" s="149"/>
      <c r="I104" s="149"/>
      <c r="J104" s="149"/>
      <c r="K104" s="149"/>
    </row>
    <row r="105" spans="1:11" ht="15.75">
      <c r="A105" s="137"/>
      <c r="B105" s="140" t="s">
        <v>87</v>
      </c>
      <c r="C105" s="69"/>
      <c r="D105" s="160"/>
      <c r="E105" s="68"/>
      <c r="F105" s="161"/>
      <c r="G105" s="161"/>
      <c r="H105" s="149"/>
      <c r="I105" s="149"/>
      <c r="J105" s="149"/>
      <c r="K105" s="149"/>
    </row>
    <row r="106" spans="1:11" ht="15.75">
      <c r="A106" s="143" t="s">
        <v>66</v>
      </c>
      <c r="B106" s="137" t="s">
        <v>55</v>
      </c>
      <c r="C106" s="69">
        <v>16589</v>
      </c>
      <c r="D106" s="160">
        <v>15966</v>
      </c>
      <c r="E106" s="68">
        <v>577448</v>
      </c>
      <c r="F106" s="161" t="s">
        <v>128</v>
      </c>
      <c r="G106" s="161" t="s">
        <v>128</v>
      </c>
      <c r="H106" s="149">
        <v>1389</v>
      </c>
      <c r="I106" s="149">
        <v>40882</v>
      </c>
      <c r="J106" s="149"/>
      <c r="K106" s="149"/>
    </row>
    <row r="107" spans="1:11" ht="15.75">
      <c r="A107" s="137"/>
      <c r="B107" s="137" t="s">
        <v>56</v>
      </c>
      <c r="C107" s="69">
        <v>15918</v>
      </c>
      <c r="D107" s="160">
        <v>15409</v>
      </c>
      <c r="E107" s="68">
        <v>577723</v>
      </c>
      <c r="F107" s="161" t="s">
        <v>128</v>
      </c>
      <c r="G107" s="161" t="s">
        <v>128</v>
      </c>
      <c r="H107" s="149">
        <v>2706</v>
      </c>
      <c r="I107" s="149">
        <v>55898</v>
      </c>
      <c r="J107" s="149"/>
      <c r="K107" s="149"/>
    </row>
    <row r="108" spans="1:11" ht="15.75">
      <c r="A108" s="137"/>
      <c r="B108" s="137" t="s">
        <v>57</v>
      </c>
      <c r="C108" s="69">
        <v>15359</v>
      </c>
      <c r="D108" s="160">
        <v>14860</v>
      </c>
      <c r="E108" s="68">
        <v>579399</v>
      </c>
      <c r="F108" s="158">
        <v>650062.23</v>
      </c>
      <c r="G108" s="158">
        <v>10850610.5</v>
      </c>
      <c r="H108" s="149">
        <v>2669</v>
      </c>
      <c r="I108" s="149">
        <v>53058</v>
      </c>
      <c r="J108" s="149"/>
      <c r="K108" s="149"/>
    </row>
    <row r="109" spans="1:11" ht="15.75">
      <c r="A109" s="137"/>
      <c r="B109" s="137"/>
      <c r="C109" s="69"/>
      <c r="D109" s="160"/>
      <c r="E109" s="68"/>
      <c r="F109" s="158"/>
      <c r="G109" s="158"/>
      <c r="H109" s="149"/>
      <c r="I109" s="149"/>
      <c r="J109" s="149"/>
      <c r="K109" s="149"/>
    </row>
    <row r="110" spans="1:11" ht="15.75">
      <c r="A110" s="137"/>
      <c r="B110" s="140" t="s">
        <v>88</v>
      </c>
      <c r="C110" s="69"/>
      <c r="D110" s="160"/>
      <c r="E110" s="68"/>
      <c r="F110" s="161"/>
      <c r="G110" s="161"/>
      <c r="H110" s="149"/>
      <c r="I110" s="149"/>
      <c r="J110" s="149"/>
      <c r="K110" s="149"/>
    </row>
    <row r="111" spans="1:11" ht="15.75">
      <c r="A111" s="143" t="s">
        <v>66</v>
      </c>
      <c r="B111" s="137" t="s">
        <v>58</v>
      </c>
      <c r="C111" s="69">
        <v>14926</v>
      </c>
      <c r="D111" s="160">
        <v>14430</v>
      </c>
      <c r="E111" s="68">
        <v>580891</v>
      </c>
      <c r="F111" s="161" t="s">
        <v>128</v>
      </c>
      <c r="G111" s="161" t="s">
        <v>128</v>
      </c>
      <c r="H111" s="149">
        <v>4434</v>
      </c>
      <c r="I111" s="149">
        <f>57070+18</f>
        <v>57088</v>
      </c>
      <c r="J111" s="149"/>
      <c r="K111" s="149"/>
    </row>
    <row r="112" spans="1:11" ht="15.75">
      <c r="A112" s="137"/>
      <c r="B112" s="137" t="s">
        <v>59</v>
      </c>
      <c r="C112" s="69">
        <v>14747</v>
      </c>
      <c r="D112" s="160">
        <v>14853</v>
      </c>
      <c r="E112" s="68">
        <v>583633</v>
      </c>
      <c r="F112" s="161" t="s">
        <v>128</v>
      </c>
      <c r="G112" s="161" t="s">
        <v>128</v>
      </c>
      <c r="H112" s="149">
        <v>3908</v>
      </c>
      <c r="I112" s="149">
        <f>47666+23</f>
        <v>47689</v>
      </c>
      <c r="J112" s="149"/>
      <c r="K112" s="149"/>
    </row>
    <row r="113" spans="1:11" ht="15.75">
      <c r="A113" s="137"/>
      <c r="B113" s="137" t="s">
        <v>60</v>
      </c>
      <c r="C113" s="69">
        <v>14770</v>
      </c>
      <c r="D113" s="160">
        <v>16140</v>
      </c>
      <c r="E113" s="68">
        <f>583474</f>
        <v>583474</v>
      </c>
      <c r="F113" s="158">
        <f>291764.19+212948.21+375622.24</f>
        <v>880334.64</v>
      </c>
      <c r="G113" s="158">
        <f>4726156.92+2405575.35+2901167.1+57.04+1020.25+345.32+4749.03</f>
        <v>10039071.009999998</v>
      </c>
      <c r="H113" s="149">
        <v>3312</v>
      </c>
      <c r="I113" s="149">
        <f>41677+15</f>
        <v>41692</v>
      </c>
      <c r="J113" s="149"/>
      <c r="K113" s="149"/>
    </row>
    <row r="114" spans="1:11" ht="15.75">
      <c r="A114" s="137"/>
      <c r="B114" s="137"/>
      <c r="C114" s="69"/>
      <c r="D114" s="160"/>
      <c r="E114" s="68"/>
      <c r="F114" s="158"/>
      <c r="G114" s="158"/>
      <c r="H114" s="149"/>
      <c r="I114" s="149"/>
      <c r="J114" s="149"/>
      <c r="K114" s="149"/>
    </row>
    <row r="115" spans="1:11" ht="15.75">
      <c r="A115" s="137"/>
      <c r="B115" s="140" t="s">
        <v>89</v>
      </c>
      <c r="C115" s="69"/>
      <c r="D115" s="160"/>
      <c r="E115" s="68"/>
      <c r="F115" s="161"/>
      <c r="G115" s="161"/>
      <c r="H115" s="149"/>
      <c r="I115" s="149"/>
      <c r="J115" s="149"/>
      <c r="K115" s="149"/>
    </row>
    <row r="116" spans="1:11" ht="15.75">
      <c r="A116" s="143">
        <v>2002</v>
      </c>
      <c r="B116" s="137" t="s">
        <v>49</v>
      </c>
      <c r="C116" s="69">
        <v>18559</v>
      </c>
      <c r="D116" s="160">
        <v>18964</v>
      </c>
      <c r="E116" s="68">
        <v>581155</v>
      </c>
      <c r="F116" s="161" t="s">
        <v>128</v>
      </c>
      <c r="G116" s="161" t="s">
        <v>128</v>
      </c>
      <c r="H116" s="149">
        <v>5020</v>
      </c>
      <c r="I116" s="149">
        <f>54856+16</f>
        <v>54872</v>
      </c>
      <c r="J116" s="149"/>
      <c r="K116" s="149"/>
    </row>
    <row r="117" spans="1:11" ht="15.75">
      <c r="A117" s="137"/>
      <c r="B117" s="137" t="s">
        <v>50</v>
      </c>
      <c r="C117" s="69">
        <v>20266</v>
      </c>
      <c r="D117" s="160">
        <v>20990</v>
      </c>
      <c r="E117" s="68">
        <v>581011</v>
      </c>
      <c r="F117" s="161" t="s">
        <v>128</v>
      </c>
      <c r="G117" s="161" t="s">
        <v>128</v>
      </c>
      <c r="H117" s="149">
        <v>4686</v>
      </c>
      <c r="I117" s="149">
        <f>55313+12</f>
        <v>55325</v>
      </c>
      <c r="J117" s="149"/>
      <c r="K117" s="149"/>
    </row>
    <row r="118" spans="1:11" ht="15.75">
      <c r="A118" s="137"/>
      <c r="B118" s="137" t="s">
        <v>51</v>
      </c>
      <c r="C118" s="69">
        <v>22301</v>
      </c>
      <c r="D118" s="160">
        <v>22417</v>
      </c>
      <c r="E118" s="68">
        <v>580035</v>
      </c>
      <c r="F118" s="158">
        <v>1113718</v>
      </c>
      <c r="G118" s="158">
        <v>9542463</v>
      </c>
      <c r="H118" s="149">
        <v>4013</v>
      </c>
      <c r="I118" s="149">
        <f>50537+13</f>
        <v>50550</v>
      </c>
      <c r="J118" s="149"/>
      <c r="K118" s="149"/>
    </row>
    <row r="119" spans="1:11" ht="15.75">
      <c r="A119" s="137"/>
      <c r="B119" s="137"/>
      <c r="C119" s="69"/>
      <c r="D119" s="160"/>
      <c r="E119" s="68"/>
      <c r="F119" s="158"/>
      <c r="G119" s="158"/>
      <c r="H119" s="149"/>
      <c r="I119" s="149"/>
      <c r="J119" s="149"/>
      <c r="K119" s="149"/>
    </row>
    <row r="120" spans="1:11" ht="15.75">
      <c r="A120" s="137"/>
      <c r="B120" s="140" t="s">
        <v>90</v>
      </c>
      <c r="C120" s="69"/>
      <c r="D120" s="160"/>
      <c r="E120" s="68"/>
      <c r="F120" s="161"/>
      <c r="G120" s="161"/>
      <c r="H120" s="149"/>
      <c r="I120" s="149"/>
      <c r="J120" s="149"/>
      <c r="K120" s="149"/>
    </row>
    <row r="121" spans="1:11" ht="15.75">
      <c r="A121" s="137"/>
      <c r="B121" s="137" t="s">
        <v>52</v>
      </c>
      <c r="C121" s="69">
        <v>23312</v>
      </c>
      <c r="D121" s="160">
        <v>23224</v>
      </c>
      <c r="E121" s="68">
        <v>580447</v>
      </c>
      <c r="F121" s="161" t="s">
        <v>128</v>
      </c>
      <c r="G121" s="161" t="s">
        <v>128</v>
      </c>
      <c r="H121" s="149">
        <v>3997</v>
      </c>
      <c r="I121" s="149">
        <v>51186</v>
      </c>
      <c r="J121" s="149"/>
      <c r="K121" s="149"/>
    </row>
    <row r="122" spans="1:11" ht="15.75">
      <c r="A122" s="137"/>
      <c r="B122" s="137" t="s">
        <v>53</v>
      </c>
      <c r="C122" s="69">
        <v>23603</v>
      </c>
      <c r="D122" s="160">
        <v>22728</v>
      </c>
      <c r="E122" s="68">
        <v>580635</v>
      </c>
      <c r="F122" s="161" t="s">
        <v>128</v>
      </c>
      <c r="G122" s="161" t="s">
        <v>128</v>
      </c>
      <c r="H122" s="149">
        <v>3489</v>
      </c>
      <c r="I122" s="149">
        <v>48298</v>
      </c>
      <c r="J122" s="149"/>
      <c r="K122" s="149"/>
    </row>
    <row r="123" spans="1:11" ht="15.75">
      <c r="A123" s="137"/>
      <c r="B123" s="137" t="s">
        <v>54</v>
      </c>
      <c r="C123" s="69">
        <v>20955</v>
      </c>
      <c r="D123" s="160">
        <v>18337</v>
      </c>
      <c r="E123" s="68">
        <v>585555</v>
      </c>
      <c r="F123" s="158">
        <v>926189.26</v>
      </c>
      <c r="G123" s="158">
        <v>8424780.1799999978</v>
      </c>
      <c r="H123" s="149">
        <v>2996</v>
      </c>
      <c r="I123" s="149">
        <v>42134</v>
      </c>
      <c r="J123" s="149"/>
      <c r="K123" s="149"/>
    </row>
    <row r="124" spans="1:11" ht="15.75">
      <c r="A124" s="137"/>
      <c r="B124" s="137"/>
      <c r="C124" s="69"/>
      <c r="D124" s="160"/>
      <c r="E124" s="68"/>
      <c r="F124" s="158"/>
      <c r="G124" s="158"/>
      <c r="H124" s="149"/>
      <c r="I124" s="149"/>
      <c r="J124" s="149"/>
      <c r="K124" s="149"/>
    </row>
    <row r="125" spans="1:11" ht="15.75">
      <c r="A125" s="137"/>
      <c r="B125" s="140" t="s">
        <v>91</v>
      </c>
      <c r="C125" s="69"/>
      <c r="D125" s="160"/>
      <c r="E125" s="68"/>
      <c r="F125" s="161"/>
      <c r="G125" s="161"/>
      <c r="H125" s="149"/>
      <c r="I125" s="149"/>
      <c r="J125" s="149"/>
      <c r="K125" s="149"/>
    </row>
    <row r="126" spans="1:11" ht="15.75">
      <c r="A126" s="137"/>
      <c r="B126" s="137" t="s">
        <v>55</v>
      </c>
      <c r="C126" s="69">
        <v>18417</v>
      </c>
      <c r="D126" s="160">
        <v>17698</v>
      </c>
      <c r="E126" s="68">
        <v>587949</v>
      </c>
      <c r="F126" s="161" t="s">
        <v>128</v>
      </c>
      <c r="G126" s="161" t="s">
        <v>128</v>
      </c>
      <c r="H126" s="149">
        <v>3353</v>
      </c>
      <c r="I126" s="149">
        <v>49289</v>
      </c>
      <c r="J126" s="149"/>
      <c r="K126" s="149"/>
    </row>
    <row r="127" spans="1:11" ht="15.75">
      <c r="A127" s="137"/>
      <c r="B127" s="137" t="s">
        <v>56</v>
      </c>
      <c r="C127" s="69">
        <v>17768</v>
      </c>
      <c r="D127" s="160">
        <v>17020</v>
      </c>
      <c r="E127" s="68">
        <v>588973</v>
      </c>
      <c r="F127" s="161" t="s">
        <v>128</v>
      </c>
      <c r="G127" s="161" t="s">
        <v>128</v>
      </c>
      <c r="H127" s="149">
        <v>4213</v>
      </c>
      <c r="I127" s="149">
        <v>62003</v>
      </c>
      <c r="J127" s="149"/>
      <c r="K127" s="149"/>
    </row>
    <row r="128" spans="1:11" ht="15.75">
      <c r="A128" s="137"/>
      <c r="B128" s="137" t="s">
        <v>57</v>
      </c>
      <c r="C128" s="69">
        <v>17214</v>
      </c>
      <c r="D128" s="160">
        <v>16380</v>
      </c>
      <c r="E128" s="68">
        <v>590490</v>
      </c>
      <c r="F128" s="158">
        <v>998812.82</v>
      </c>
      <c r="G128" s="158">
        <v>12674696.18</v>
      </c>
      <c r="H128" s="149">
        <v>3745</v>
      </c>
      <c r="I128" s="149">
        <v>59654</v>
      </c>
      <c r="J128" s="149"/>
      <c r="K128" s="149"/>
    </row>
    <row r="129" spans="1:11" ht="15.75">
      <c r="A129" s="137"/>
      <c r="B129" s="137"/>
      <c r="C129" s="69"/>
      <c r="D129" s="160"/>
      <c r="E129" s="68"/>
      <c r="F129" s="158"/>
      <c r="G129" s="158"/>
      <c r="H129" s="149"/>
      <c r="I129" s="149"/>
      <c r="J129" s="149"/>
      <c r="K129" s="149"/>
    </row>
    <row r="130" spans="1:11" ht="15.75">
      <c r="A130" s="137"/>
      <c r="B130" s="140" t="s">
        <v>92</v>
      </c>
      <c r="C130" s="69"/>
      <c r="D130" s="160"/>
      <c r="E130" s="68"/>
      <c r="F130" s="161"/>
      <c r="G130" s="161"/>
      <c r="H130" s="149"/>
      <c r="I130" s="149"/>
      <c r="J130" s="149"/>
      <c r="K130" s="149"/>
    </row>
    <row r="131" spans="1:11" ht="15.75">
      <c r="A131" s="137"/>
      <c r="B131" s="137" t="s">
        <v>58</v>
      </c>
      <c r="C131" s="69">
        <v>16642</v>
      </c>
      <c r="D131" s="160">
        <v>15824</v>
      </c>
      <c r="E131" s="68">
        <v>592545</v>
      </c>
      <c r="F131" s="161" t="s">
        <v>128</v>
      </c>
      <c r="G131" s="161" t="s">
        <v>128</v>
      </c>
      <c r="H131" s="149">
        <v>4363</v>
      </c>
      <c r="I131" s="149">
        <v>61126</v>
      </c>
      <c r="J131" s="149"/>
      <c r="K131" s="149"/>
    </row>
    <row r="132" spans="1:11" ht="15.75">
      <c r="A132" s="137"/>
      <c r="B132" s="137" t="s">
        <v>59</v>
      </c>
      <c r="C132" s="69">
        <v>16198</v>
      </c>
      <c r="D132" s="160">
        <v>16120</v>
      </c>
      <c r="E132" s="68">
        <v>594218</v>
      </c>
      <c r="F132" s="161" t="s">
        <v>128</v>
      </c>
      <c r="G132" s="161" t="s">
        <v>128</v>
      </c>
      <c r="H132" s="149">
        <v>3491</v>
      </c>
      <c r="I132" s="149">
        <v>44450</v>
      </c>
      <c r="J132" s="149"/>
      <c r="K132" s="149"/>
    </row>
    <row r="133" spans="1:11" ht="15.75">
      <c r="A133" s="137"/>
      <c r="B133" s="137" t="s">
        <v>60</v>
      </c>
      <c r="C133" s="69">
        <v>17192</v>
      </c>
      <c r="D133" s="160">
        <v>17538</v>
      </c>
      <c r="E133" s="68">
        <v>593695</v>
      </c>
      <c r="F133" s="158">
        <v>866147.83999999997</v>
      </c>
      <c r="G133" s="158">
        <v>10832537.119999999</v>
      </c>
      <c r="H133" s="149">
        <v>3370</v>
      </c>
      <c r="I133" s="149">
        <v>47197</v>
      </c>
      <c r="J133" s="149"/>
      <c r="K133" s="149"/>
    </row>
    <row r="134" spans="1:11" ht="15.75">
      <c r="A134" s="137"/>
      <c r="B134" s="137"/>
      <c r="C134" s="69"/>
      <c r="D134" s="160"/>
      <c r="E134" s="68"/>
      <c r="F134" s="158"/>
      <c r="G134" s="158"/>
      <c r="H134" s="149"/>
      <c r="I134" s="149"/>
      <c r="J134" s="149"/>
      <c r="K134" s="149"/>
    </row>
    <row r="135" spans="1:11" ht="15.75">
      <c r="A135" s="136" t="s">
        <v>124</v>
      </c>
      <c r="B135" s="140"/>
      <c r="C135" s="138"/>
      <c r="D135" s="138"/>
      <c r="E135" s="138"/>
      <c r="F135" s="138"/>
      <c r="G135" s="138"/>
      <c r="H135" s="138"/>
      <c r="I135" s="138"/>
      <c r="J135" s="138"/>
      <c r="K135" s="138"/>
    </row>
    <row r="136" spans="1:11" ht="22.5">
      <c r="A136" s="136"/>
      <c r="B136" s="140"/>
      <c r="C136" s="138"/>
      <c r="D136" s="138"/>
      <c r="E136" s="138"/>
      <c r="F136" s="138"/>
      <c r="G136" s="138"/>
      <c r="H136" s="290" t="s">
        <v>136</v>
      </c>
      <c r="I136" s="290"/>
      <c r="J136" s="290"/>
      <c r="K136" s="290"/>
    </row>
    <row r="137" spans="1:11" ht="22.5">
      <c r="A137" s="136"/>
      <c r="B137" s="140"/>
      <c r="C137" s="138"/>
      <c r="D137" s="290" t="s">
        <v>137</v>
      </c>
      <c r="E137" s="290"/>
      <c r="F137" s="290" t="s">
        <v>138</v>
      </c>
      <c r="G137" s="290"/>
      <c r="H137" s="290" t="s">
        <v>125</v>
      </c>
      <c r="I137" s="290"/>
      <c r="J137" s="155"/>
      <c r="K137" s="155"/>
    </row>
    <row r="138" spans="1:11" ht="15.75">
      <c r="A138" s="140" t="s">
        <v>81</v>
      </c>
      <c r="B138" s="140" t="s">
        <v>82</v>
      </c>
      <c r="C138" s="156" t="s">
        <v>111</v>
      </c>
      <c r="D138" s="156" t="s">
        <v>126</v>
      </c>
      <c r="E138" s="156" t="s">
        <v>127</v>
      </c>
      <c r="F138" s="156" t="s">
        <v>126</v>
      </c>
      <c r="G138" s="156" t="s">
        <v>127</v>
      </c>
      <c r="H138" s="156" t="s">
        <v>126</v>
      </c>
      <c r="I138" s="156" t="s">
        <v>127</v>
      </c>
      <c r="J138" s="156"/>
      <c r="K138" s="156"/>
    </row>
    <row r="139" spans="1:11" ht="15.75">
      <c r="A139" s="143">
        <v>2003</v>
      </c>
      <c r="B139" s="140" t="s">
        <v>93</v>
      </c>
      <c r="C139" s="69"/>
      <c r="D139" s="160"/>
      <c r="E139" s="68"/>
      <c r="F139" s="161"/>
      <c r="G139" s="161"/>
      <c r="H139" s="149"/>
      <c r="I139" s="149"/>
      <c r="J139" s="149"/>
      <c r="K139" s="149"/>
    </row>
    <row r="140" spans="1:11" ht="15.75">
      <c r="A140" s="137"/>
      <c r="B140" s="137" t="s">
        <v>49</v>
      </c>
      <c r="C140" s="69">
        <v>18797</v>
      </c>
      <c r="D140" s="160">
        <v>19398</v>
      </c>
      <c r="E140" s="68">
        <v>593570</v>
      </c>
      <c r="F140" s="161" t="s">
        <v>128</v>
      </c>
      <c r="G140" s="161" t="s">
        <v>128</v>
      </c>
      <c r="H140" s="149">
        <v>6038</v>
      </c>
      <c r="I140" s="149">
        <v>56752</v>
      </c>
      <c r="J140" s="149"/>
      <c r="K140" s="149"/>
    </row>
    <row r="141" spans="1:11" ht="15.75">
      <c r="A141" s="137"/>
      <c r="B141" s="137" t="s">
        <v>50</v>
      </c>
      <c r="C141" s="69">
        <v>21066</v>
      </c>
      <c r="D141" s="160">
        <v>21310</v>
      </c>
      <c r="E141" s="68">
        <v>593472</v>
      </c>
      <c r="F141" s="161" t="s">
        <v>128</v>
      </c>
      <c r="G141" s="161" t="s">
        <v>128</v>
      </c>
      <c r="H141" s="149">
        <v>4816</v>
      </c>
      <c r="I141" s="149">
        <v>52858</v>
      </c>
      <c r="J141" s="149"/>
      <c r="K141" s="149"/>
    </row>
    <row r="142" spans="1:11" ht="15.75">
      <c r="A142" s="137"/>
      <c r="B142" s="137" t="s">
        <v>51</v>
      </c>
      <c r="C142" s="69">
        <v>22691</v>
      </c>
      <c r="D142" s="160">
        <v>22821</v>
      </c>
      <c r="E142" s="68">
        <v>593378</v>
      </c>
      <c r="F142" s="158">
        <v>1156415</v>
      </c>
      <c r="G142" s="158">
        <v>9767092</v>
      </c>
      <c r="H142" s="149">
        <v>4060</v>
      </c>
      <c r="I142" s="149">
        <v>48034</v>
      </c>
      <c r="J142" s="149"/>
      <c r="K142" s="149"/>
    </row>
    <row r="143" spans="1:11" ht="15.75">
      <c r="A143" s="137"/>
      <c r="B143" s="137"/>
      <c r="C143" s="69"/>
      <c r="D143" s="160"/>
      <c r="E143" s="68"/>
      <c r="F143" s="158"/>
      <c r="G143" s="158"/>
      <c r="H143" s="149"/>
      <c r="I143" s="149"/>
      <c r="J143" s="149"/>
      <c r="K143" s="149"/>
    </row>
    <row r="144" spans="1:11" ht="15.75">
      <c r="A144" s="143" t="s">
        <v>66</v>
      </c>
      <c r="B144" s="140" t="s">
        <v>94</v>
      </c>
      <c r="C144" s="69"/>
      <c r="D144" s="160"/>
      <c r="E144" s="68"/>
      <c r="F144" s="161"/>
      <c r="G144" s="161"/>
      <c r="H144" s="149"/>
      <c r="I144" s="149"/>
      <c r="J144" s="149"/>
      <c r="K144" s="149"/>
    </row>
    <row r="145" spans="1:11" ht="15.75">
      <c r="A145" s="137"/>
      <c r="B145" s="137" t="s">
        <v>52</v>
      </c>
      <c r="C145" s="69">
        <v>23884</v>
      </c>
      <c r="D145" s="160">
        <v>23506</v>
      </c>
      <c r="E145" s="68">
        <v>593216</v>
      </c>
      <c r="F145" s="161" t="s">
        <v>128</v>
      </c>
      <c r="G145" s="161" t="s">
        <v>128</v>
      </c>
      <c r="H145" s="149">
        <v>3474</v>
      </c>
      <c r="I145" s="149">
        <v>49538</v>
      </c>
      <c r="J145" s="149"/>
      <c r="K145" s="149"/>
    </row>
    <row r="146" spans="1:11" ht="15.75">
      <c r="A146" s="137"/>
      <c r="B146" s="137" t="s">
        <v>53</v>
      </c>
      <c r="C146" s="69">
        <v>24166</v>
      </c>
      <c r="D146" s="160">
        <v>23481</v>
      </c>
      <c r="E146" s="68">
        <v>593787</v>
      </c>
      <c r="F146" s="161" t="s">
        <v>128</v>
      </c>
      <c r="G146" s="161" t="s">
        <v>128</v>
      </c>
      <c r="H146" s="149">
        <v>3643</v>
      </c>
      <c r="I146" s="149">
        <v>46383</v>
      </c>
      <c r="J146" s="149"/>
      <c r="K146" s="149"/>
    </row>
    <row r="147" spans="1:11" ht="15.75">
      <c r="A147" s="137"/>
      <c r="B147" s="137" t="s">
        <v>54</v>
      </c>
      <c r="C147" s="69">
        <v>22096</v>
      </c>
      <c r="D147" s="160">
        <v>18151</v>
      </c>
      <c r="E147" s="68">
        <v>599513</v>
      </c>
      <c r="F147" s="158">
        <v>1019165.69</v>
      </c>
      <c r="G147" s="158">
        <v>9042021.9299999997</v>
      </c>
      <c r="H147" s="149">
        <v>3606</v>
      </c>
      <c r="I147" s="149">
        <v>43885</v>
      </c>
      <c r="J147" s="149"/>
      <c r="K147" s="149"/>
    </row>
    <row r="148" spans="1:11" ht="15.75">
      <c r="A148" s="143" t="s">
        <v>66</v>
      </c>
      <c r="B148" s="140" t="s">
        <v>95</v>
      </c>
      <c r="C148" s="69"/>
      <c r="D148" s="160"/>
      <c r="E148" s="68"/>
      <c r="F148" s="161"/>
      <c r="G148" s="161"/>
      <c r="H148" s="149"/>
      <c r="I148" s="149"/>
      <c r="J148" s="149"/>
      <c r="K148" s="149"/>
    </row>
    <row r="149" spans="1:11" ht="15.75">
      <c r="A149" s="137"/>
      <c r="B149" s="137" t="s">
        <v>55</v>
      </c>
      <c r="C149" s="69">
        <v>18294</v>
      </c>
      <c r="D149" s="160">
        <v>17418</v>
      </c>
      <c r="E149" s="68">
        <v>601947</v>
      </c>
      <c r="F149" s="161" t="s">
        <v>128</v>
      </c>
      <c r="G149" s="161" t="s">
        <v>128</v>
      </c>
      <c r="H149" s="149">
        <v>3715</v>
      </c>
      <c r="I149" s="149">
        <v>48911</v>
      </c>
      <c r="J149" s="149"/>
      <c r="K149" s="149"/>
    </row>
    <row r="150" spans="1:11" ht="15.75">
      <c r="A150" s="137"/>
      <c r="B150" s="137" t="s">
        <v>56</v>
      </c>
      <c r="C150" s="69">
        <v>17458</v>
      </c>
      <c r="D150" s="160">
        <v>16781</v>
      </c>
      <c r="E150" s="68">
        <v>602962</v>
      </c>
      <c r="F150" s="161" t="s">
        <v>128</v>
      </c>
      <c r="G150" s="161" t="s">
        <v>128</v>
      </c>
      <c r="H150" s="149">
        <v>3747</v>
      </c>
      <c r="I150" s="149">
        <v>52067</v>
      </c>
      <c r="J150" s="149"/>
      <c r="K150" s="149"/>
    </row>
    <row r="151" spans="1:11" ht="15.75">
      <c r="A151" s="137"/>
      <c r="B151" s="137" t="s">
        <v>57</v>
      </c>
      <c r="C151" s="69">
        <v>17118</v>
      </c>
      <c r="D151" s="160">
        <v>16228</v>
      </c>
      <c r="E151" s="68">
        <v>604851</v>
      </c>
      <c r="F151" s="158">
        <v>816361.92</v>
      </c>
      <c r="G151" s="158">
        <v>11114494.32</v>
      </c>
      <c r="H151" s="149">
        <v>4160</v>
      </c>
      <c r="I151" s="149">
        <v>59511</v>
      </c>
      <c r="J151" s="149"/>
      <c r="K151" s="149"/>
    </row>
    <row r="152" spans="1:11" ht="15.75">
      <c r="A152" s="137"/>
      <c r="B152" s="137"/>
      <c r="C152" s="69"/>
      <c r="D152" s="160"/>
      <c r="E152" s="68"/>
      <c r="F152" s="158"/>
      <c r="G152" s="158"/>
      <c r="H152" s="149"/>
      <c r="I152" s="149"/>
      <c r="J152" s="149"/>
      <c r="K152" s="149"/>
    </row>
    <row r="153" spans="1:11" ht="15.75">
      <c r="A153" s="143" t="s">
        <v>66</v>
      </c>
      <c r="B153" s="140" t="s">
        <v>96</v>
      </c>
      <c r="C153" s="69"/>
      <c r="D153" s="160"/>
      <c r="E153" s="68"/>
      <c r="F153" s="161"/>
      <c r="G153" s="161"/>
      <c r="H153" s="149"/>
      <c r="I153" s="149"/>
      <c r="J153" s="149"/>
      <c r="K153" s="149"/>
    </row>
    <row r="154" spans="1:11" ht="15.75">
      <c r="A154" s="137"/>
      <c r="B154" s="137" t="s">
        <v>58</v>
      </c>
      <c r="C154" s="69">
        <v>16449</v>
      </c>
      <c r="D154" s="160">
        <v>15708</v>
      </c>
      <c r="E154" s="68">
        <v>605838</v>
      </c>
      <c r="F154" s="161" t="s">
        <v>128</v>
      </c>
      <c r="G154" s="161" t="s">
        <v>128</v>
      </c>
      <c r="H154" s="149">
        <v>4821</v>
      </c>
      <c r="I154" s="149">
        <v>58379</v>
      </c>
      <c r="J154" s="149"/>
      <c r="K154" s="149"/>
    </row>
    <row r="155" spans="1:11" ht="15.75">
      <c r="A155" s="137"/>
      <c r="B155" s="137" t="s">
        <v>59</v>
      </c>
      <c r="C155" s="69">
        <v>16094</v>
      </c>
      <c r="D155" s="160">
        <v>15798</v>
      </c>
      <c r="E155" s="68">
        <v>609712</v>
      </c>
      <c r="F155" s="161" t="s">
        <v>128</v>
      </c>
      <c r="G155" s="161" t="s">
        <v>128</v>
      </c>
      <c r="H155" s="149">
        <v>3461</v>
      </c>
      <c r="I155" s="149">
        <v>38372</v>
      </c>
      <c r="J155" s="149"/>
      <c r="K155" s="149"/>
    </row>
    <row r="156" spans="1:11" ht="15.75">
      <c r="A156" s="137"/>
      <c r="B156" s="137" t="s">
        <v>60</v>
      </c>
      <c r="C156" s="69">
        <v>17120</v>
      </c>
      <c r="D156" s="160">
        <v>17345</v>
      </c>
      <c r="E156" s="68">
        <v>607291</v>
      </c>
      <c r="F156" s="158">
        <f>1048848</f>
        <v>1048848</v>
      </c>
      <c r="G156" s="158">
        <v>11605646</v>
      </c>
      <c r="H156" s="149">
        <v>3407</v>
      </c>
      <c r="I156" s="149">
        <v>45693</v>
      </c>
      <c r="J156" s="149"/>
      <c r="K156" s="149"/>
    </row>
    <row r="157" spans="1:11" ht="15.75">
      <c r="A157" s="137"/>
      <c r="B157" s="137"/>
      <c r="C157" s="69"/>
      <c r="D157" s="160"/>
      <c r="E157" s="68"/>
      <c r="F157" s="158"/>
      <c r="G157" s="158"/>
      <c r="H157" s="149"/>
      <c r="I157" s="149"/>
      <c r="J157" s="149"/>
      <c r="K157" s="149"/>
    </row>
    <row r="158" spans="1:11" ht="15.75">
      <c r="A158" s="143">
        <v>2004</v>
      </c>
      <c r="B158" s="140" t="s">
        <v>97</v>
      </c>
      <c r="C158" s="69"/>
      <c r="D158" s="160"/>
      <c r="E158" s="68"/>
      <c r="F158" s="161"/>
      <c r="G158" s="161"/>
      <c r="H158" s="149"/>
      <c r="I158" s="149"/>
      <c r="J158" s="149"/>
      <c r="K158" s="149"/>
    </row>
    <row r="159" spans="1:11" ht="15.75">
      <c r="A159" s="137"/>
      <c r="B159" s="137" t="s">
        <v>49</v>
      </c>
      <c r="C159" s="69">
        <v>18727</v>
      </c>
      <c r="D159" s="160">
        <v>19077</v>
      </c>
      <c r="E159" s="68">
        <v>607545</v>
      </c>
      <c r="F159" s="161" t="s">
        <v>128</v>
      </c>
      <c r="G159" s="161" t="s">
        <v>128</v>
      </c>
      <c r="H159" s="149">
        <v>4681</v>
      </c>
      <c r="I159" s="149">
        <v>51228</v>
      </c>
      <c r="J159" s="149"/>
      <c r="K159" s="149"/>
    </row>
    <row r="160" spans="1:11" ht="15.75">
      <c r="A160" s="137"/>
      <c r="B160" s="137" t="s">
        <v>50</v>
      </c>
      <c r="C160" s="69">
        <v>20542</v>
      </c>
      <c r="D160" s="160">
        <v>20433</v>
      </c>
      <c r="E160" s="68">
        <v>608541</v>
      </c>
      <c r="F160" s="161" t="s">
        <v>128</v>
      </c>
      <c r="G160" s="161" t="s">
        <v>128</v>
      </c>
      <c r="H160" s="149">
        <v>3979</v>
      </c>
      <c r="I160" s="149">
        <v>50461</v>
      </c>
      <c r="J160" s="149"/>
      <c r="K160" s="149"/>
    </row>
    <row r="161" spans="1:11" ht="15.75">
      <c r="A161" s="137"/>
      <c r="B161" s="137" t="s">
        <v>51</v>
      </c>
      <c r="C161" s="69">
        <v>21653</v>
      </c>
      <c r="D161" s="160">
        <v>21440</v>
      </c>
      <c r="E161" s="68">
        <v>607606</v>
      </c>
      <c r="F161" s="158">
        <v>1242171.72</v>
      </c>
      <c r="G161" s="158">
        <v>10421871.48</v>
      </c>
      <c r="H161" s="149">
        <v>4020</v>
      </c>
      <c r="I161" s="149">
        <v>49530</v>
      </c>
      <c r="J161" s="149"/>
      <c r="K161" s="149"/>
    </row>
    <row r="162" spans="1:11" ht="15.75">
      <c r="A162" s="137"/>
      <c r="B162" s="137"/>
      <c r="C162" s="69"/>
      <c r="D162" s="160"/>
      <c r="E162" s="68"/>
      <c r="F162" s="158"/>
      <c r="G162" s="158"/>
      <c r="H162" s="149"/>
      <c r="I162" s="149"/>
      <c r="J162" s="149"/>
      <c r="K162" s="149"/>
    </row>
    <row r="163" spans="1:11" ht="15.75">
      <c r="A163" s="143" t="s">
        <v>66</v>
      </c>
      <c r="B163" s="140" t="s">
        <v>98</v>
      </c>
      <c r="C163" s="69"/>
      <c r="D163" s="160"/>
      <c r="E163" s="68"/>
      <c r="F163" s="161"/>
      <c r="G163" s="161"/>
      <c r="H163" s="149"/>
      <c r="I163" s="149"/>
      <c r="J163" s="149"/>
      <c r="K163" s="149"/>
    </row>
    <row r="164" spans="1:11" ht="15.75">
      <c r="A164" s="137"/>
      <c r="B164" s="137" t="s">
        <v>52</v>
      </c>
      <c r="C164" s="69">
        <v>22276</v>
      </c>
      <c r="D164" s="160">
        <v>21668</v>
      </c>
      <c r="E164" s="68">
        <v>607485</v>
      </c>
      <c r="F164" s="161" t="s">
        <v>128</v>
      </c>
      <c r="G164" s="161" t="s">
        <v>128</v>
      </c>
      <c r="H164" s="149">
        <v>3188</v>
      </c>
      <c r="I164" s="149">
        <v>46428</v>
      </c>
      <c r="J164" s="149"/>
      <c r="K164" s="149"/>
    </row>
    <row r="165" spans="1:11" ht="15.75">
      <c r="A165" s="137"/>
      <c r="B165" s="137" t="s">
        <v>53</v>
      </c>
      <c r="C165" s="69">
        <v>22616</v>
      </c>
      <c r="D165" s="160">
        <v>21651</v>
      </c>
      <c r="E165" s="68">
        <v>608743</v>
      </c>
      <c r="F165" s="161" t="s">
        <v>128</v>
      </c>
      <c r="G165" s="161" t="s">
        <v>128</v>
      </c>
      <c r="H165" s="149">
        <v>2294</v>
      </c>
      <c r="I165" s="149">
        <v>40482</v>
      </c>
      <c r="J165" s="149"/>
      <c r="K165" s="149"/>
    </row>
    <row r="166" spans="1:11" ht="15.75">
      <c r="A166" s="137"/>
      <c r="B166" s="137" t="s">
        <v>54</v>
      </c>
      <c r="C166" s="69">
        <v>21763</v>
      </c>
      <c r="D166" s="160">
        <v>16162</v>
      </c>
      <c r="E166" s="68">
        <v>615355</v>
      </c>
      <c r="F166" s="158">
        <v>979097.97</v>
      </c>
      <c r="G166" s="158">
        <v>9403556.1999999993</v>
      </c>
      <c r="H166" s="149">
        <v>2555</v>
      </c>
      <c r="I166" s="149">
        <v>46097</v>
      </c>
      <c r="J166" s="149"/>
      <c r="K166" s="149"/>
    </row>
    <row r="167" spans="1:11" ht="15.75">
      <c r="A167" s="137"/>
      <c r="B167" s="137"/>
      <c r="C167" s="69"/>
      <c r="D167" s="160"/>
      <c r="E167" s="68"/>
      <c r="F167" s="158"/>
      <c r="G167" s="158"/>
      <c r="H167" s="149"/>
      <c r="I167" s="149"/>
      <c r="J167" s="149"/>
      <c r="K167" s="149"/>
    </row>
    <row r="168" spans="1:11" ht="15.75">
      <c r="A168" s="143" t="s">
        <v>66</v>
      </c>
      <c r="B168" s="140" t="s">
        <v>99</v>
      </c>
      <c r="C168" s="69"/>
      <c r="D168" s="160"/>
      <c r="E168" s="68"/>
      <c r="F168" s="161"/>
      <c r="G168" s="161"/>
      <c r="H168" s="149"/>
      <c r="I168" s="149"/>
      <c r="J168" s="149"/>
      <c r="K168" s="149"/>
    </row>
    <row r="169" spans="1:11" ht="15.75">
      <c r="A169" s="137"/>
      <c r="B169" s="137" t="s">
        <v>55</v>
      </c>
      <c r="C169" s="69">
        <v>16439</v>
      </c>
      <c r="D169" s="160">
        <v>15610</v>
      </c>
      <c r="E169" s="68">
        <v>617715</v>
      </c>
      <c r="F169" s="161" t="s">
        <v>128</v>
      </c>
      <c r="G169" s="161" t="s">
        <v>128</v>
      </c>
      <c r="H169" s="149">
        <v>2356</v>
      </c>
      <c r="I169" s="149">
        <v>46867</v>
      </c>
      <c r="J169" s="149"/>
      <c r="K169" s="149"/>
    </row>
    <row r="170" spans="1:11" ht="15.75">
      <c r="A170" s="137"/>
      <c r="B170" s="137" t="s">
        <v>56</v>
      </c>
      <c r="C170" s="69">
        <v>15958</v>
      </c>
      <c r="D170" s="160">
        <v>15036</v>
      </c>
      <c r="E170" s="68">
        <v>618936</v>
      </c>
      <c r="F170" s="161" t="s">
        <v>128</v>
      </c>
      <c r="G170" s="161" t="s">
        <v>128</v>
      </c>
      <c r="H170" s="149">
        <v>2745</v>
      </c>
      <c r="I170" s="149">
        <v>56948</v>
      </c>
      <c r="J170" s="149"/>
      <c r="K170" s="149"/>
    </row>
    <row r="171" spans="1:11" ht="15.75">
      <c r="A171" s="137"/>
      <c r="B171" s="137" t="s">
        <v>57</v>
      </c>
      <c r="C171" s="69">
        <v>15369</v>
      </c>
      <c r="D171" s="160">
        <v>14512</v>
      </c>
      <c r="E171" s="68">
        <v>621379</v>
      </c>
      <c r="F171" s="158">
        <v>976395.79</v>
      </c>
      <c r="G171" s="158">
        <v>14532737.5</v>
      </c>
      <c r="H171" s="149">
        <v>2818</v>
      </c>
      <c r="I171" s="149">
        <v>61652</v>
      </c>
      <c r="J171" s="149"/>
      <c r="K171" s="149"/>
    </row>
    <row r="172" spans="1:11" ht="15.75">
      <c r="A172" s="137"/>
      <c r="B172" s="137"/>
      <c r="C172" s="69"/>
      <c r="D172" s="160"/>
      <c r="E172" s="68"/>
      <c r="F172" s="158"/>
      <c r="G172" s="158"/>
      <c r="H172" s="149"/>
      <c r="I172" s="149"/>
      <c r="J172" s="149"/>
      <c r="K172" s="149"/>
    </row>
    <row r="173" spans="1:11" ht="15.75">
      <c r="A173" s="143" t="s">
        <v>66</v>
      </c>
      <c r="B173" s="140" t="s">
        <v>100</v>
      </c>
      <c r="C173" s="69"/>
      <c r="D173" s="160"/>
      <c r="E173" s="68"/>
      <c r="F173" s="161"/>
      <c r="G173" s="161"/>
      <c r="H173" s="149"/>
      <c r="I173" s="149"/>
      <c r="J173" s="149"/>
      <c r="K173" s="149"/>
    </row>
    <row r="174" spans="1:11" ht="15.75">
      <c r="A174" s="137"/>
      <c r="B174" s="137" t="s">
        <v>58</v>
      </c>
      <c r="C174" s="69">
        <v>14856</v>
      </c>
      <c r="D174" s="160">
        <v>14110</v>
      </c>
      <c r="E174" s="68">
        <v>623027</v>
      </c>
      <c r="F174" s="161" t="s">
        <v>128</v>
      </c>
      <c r="G174" s="161" t="s">
        <v>128</v>
      </c>
      <c r="H174" s="149">
        <v>3071</v>
      </c>
      <c r="I174" s="149">
        <v>53347</v>
      </c>
      <c r="J174" s="149"/>
      <c r="K174" s="149"/>
    </row>
    <row r="175" spans="1:11" ht="15.75">
      <c r="A175" s="137"/>
      <c r="B175" s="137" t="s">
        <v>59</v>
      </c>
      <c r="C175" s="69">
        <v>14728</v>
      </c>
      <c r="D175" s="160">
        <v>14305</v>
      </c>
      <c r="E175" s="68">
        <v>626870</v>
      </c>
      <c r="F175" s="161" t="s">
        <v>128</v>
      </c>
      <c r="G175" s="161" t="s">
        <v>128</v>
      </c>
      <c r="H175" s="149">
        <v>2701</v>
      </c>
      <c r="I175" s="149">
        <v>42162</v>
      </c>
      <c r="J175" s="149"/>
      <c r="K175" s="149"/>
    </row>
    <row r="176" spans="1:11" ht="15.75">
      <c r="A176" s="137"/>
      <c r="B176" s="137" t="s">
        <v>60</v>
      </c>
      <c r="C176" s="69">
        <v>15945</v>
      </c>
      <c r="D176" s="160">
        <v>16000</v>
      </c>
      <c r="E176" s="68">
        <v>625178</v>
      </c>
      <c r="F176" s="158">
        <v>790697.38</v>
      </c>
      <c r="G176" s="158">
        <v>12620921.439999999</v>
      </c>
      <c r="H176" s="149">
        <v>2435</v>
      </c>
      <c r="I176" s="149">
        <v>44236</v>
      </c>
      <c r="J176" s="149"/>
      <c r="K176" s="149"/>
    </row>
    <row r="177" spans="1:11" ht="15.75">
      <c r="A177" s="137"/>
      <c r="B177" s="137"/>
      <c r="C177" s="69"/>
      <c r="D177" s="160"/>
      <c r="E177" s="68"/>
      <c r="F177" s="158"/>
      <c r="G177" s="158"/>
      <c r="H177" s="149"/>
      <c r="I177" s="149"/>
      <c r="J177" s="149"/>
      <c r="K177" s="149"/>
    </row>
    <row r="178" spans="1:11" ht="15.75">
      <c r="A178" s="143">
        <v>2005</v>
      </c>
      <c r="B178" s="140" t="s">
        <v>101</v>
      </c>
      <c r="C178" s="69"/>
      <c r="D178" s="160"/>
      <c r="E178" s="68"/>
      <c r="F178" s="161"/>
      <c r="G178" s="161"/>
      <c r="H178" s="149"/>
      <c r="I178" s="149"/>
      <c r="J178" s="149"/>
      <c r="K178" s="149"/>
    </row>
    <row r="179" spans="1:11" ht="15.75">
      <c r="A179" s="137"/>
      <c r="B179" s="137" t="s">
        <v>49</v>
      </c>
      <c r="C179" s="69">
        <v>17449</v>
      </c>
      <c r="D179" s="160">
        <v>17162</v>
      </c>
      <c r="E179" s="68">
        <v>626248</v>
      </c>
      <c r="F179" s="161" t="s">
        <v>128</v>
      </c>
      <c r="G179" s="161" t="s">
        <v>128</v>
      </c>
      <c r="H179" s="149">
        <v>3693</v>
      </c>
      <c r="I179" s="149">
        <v>53875</v>
      </c>
      <c r="J179" s="149"/>
      <c r="K179" s="149"/>
    </row>
    <row r="180" spans="1:11" ht="15.75">
      <c r="A180" s="137"/>
      <c r="B180" s="137" t="s">
        <v>50</v>
      </c>
      <c r="C180" s="69">
        <v>18124</v>
      </c>
      <c r="D180" s="160">
        <v>18481</v>
      </c>
      <c r="E180" s="68">
        <v>627011</v>
      </c>
      <c r="F180" s="161" t="s">
        <v>128</v>
      </c>
      <c r="G180" s="161" t="s">
        <v>128</v>
      </c>
      <c r="H180" s="149">
        <v>3214</v>
      </c>
      <c r="I180" s="149">
        <v>49243</v>
      </c>
      <c r="J180" s="149"/>
      <c r="K180" s="149"/>
    </row>
    <row r="181" spans="1:11" ht="15.75">
      <c r="A181" s="137"/>
      <c r="B181" s="137" t="s">
        <v>51</v>
      </c>
      <c r="C181" s="69">
        <v>19555</v>
      </c>
      <c r="D181" s="160">
        <v>19340</v>
      </c>
      <c r="E181" s="68">
        <v>626754</v>
      </c>
      <c r="F181" s="158">
        <v>755896.21</v>
      </c>
      <c r="G181" s="158">
        <v>9557795.0700000003</v>
      </c>
      <c r="H181" s="149">
        <v>2960</v>
      </c>
      <c r="I181" s="149">
        <v>49939</v>
      </c>
      <c r="J181" s="149"/>
      <c r="K181" s="149"/>
    </row>
    <row r="182" spans="1:11" ht="15.75">
      <c r="A182" s="137"/>
      <c r="B182" s="137"/>
      <c r="C182" s="69"/>
      <c r="D182" s="160"/>
      <c r="E182" s="68"/>
      <c r="F182" s="158"/>
      <c r="G182" s="158"/>
      <c r="H182" s="149"/>
      <c r="I182" s="149"/>
      <c r="J182" s="149"/>
      <c r="K182" s="149"/>
    </row>
    <row r="183" spans="1:11" ht="15.75">
      <c r="A183" s="162" t="s">
        <v>129</v>
      </c>
      <c r="B183" s="137"/>
      <c r="C183" s="69"/>
      <c r="D183" s="160" t="s">
        <v>66</v>
      </c>
      <c r="E183" s="68"/>
      <c r="F183" s="158"/>
      <c r="G183" s="158"/>
      <c r="H183" s="149"/>
      <c r="I183" s="149"/>
      <c r="J183" s="149"/>
      <c r="K183" s="149"/>
    </row>
    <row r="184" spans="1:11" ht="15.75">
      <c r="A184" s="137"/>
      <c r="B184" s="137" t="s">
        <v>66</v>
      </c>
      <c r="C184" s="163" t="s">
        <v>66</v>
      </c>
      <c r="D184" s="149"/>
      <c r="E184" s="138"/>
      <c r="F184" s="138"/>
      <c r="G184" s="138"/>
      <c r="H184" s="138"/>
      <c r="I184" s="138"/>
      <c r="J184" s="138"/>
      <c r="K184" s="138"/>
    </row>
    <row r="185" spans="1:11" ht="15.75">
      <c r="A185" s="137"/>
      <c r="B185" s="137"/>
      <c r="C185" s="69"/>
      <c r="D185" s="160"/>
      <c r="E185" s="68"/>
      <c r="F185" s="158"/>
      <c r="G185" s="158"/>
      <c r="H185" s="149"/>
      <c r="I185" s="149"/>
      <c r="J185" s="149"/>
      <c r="K185" s="149"/>
    </row>
    <row r="186" spans="1:11" ht="15.75">
      <c r="A186" s="136" t="s">
        <v>124</v>
      </c>
      <c r="B186" s="140"/>
      <c r="C186" s="138"/>
      <c r="D186" s="138"/>
      <c r="E186" s="138"/>
      <c r="F186" s="138"/>
      <c r="G186" s="138"/>
      <c r="H186" s="138"/>
      <c r="I186" s="138"/>
      <c r="J186" s="138"/>
      <c r="K186" s="138"/>
    </row>
    <row r="187" spans="1:11" ht="22.5">
      <c r="A187" s="136"/>
      <c r="B187" s="140"/>
      <c r="C187" s="138"/>
      <c r="D187" s="138"/>
      <c r="E187" s="138"/>
      <c r="F187" s="138"/>
      <c r="G187" s="138"/>
      <c r="H187" s="290" t="s">
        <v>136</v>
      </c>
      <c r="I187" s="290"/>
      <c r="J187" s="290"/>
      <c r="K187" s="290"/>
    </row>
    <row r="188" spans="1:11" ht="22.5">
      <c r="A188" s="136"/>
      <c r="B188" s="140"/>
      <c r="C188" s="138"/>
      <c r="D188" s="290" t="s">
        <v>137</v>
      </c>
      <c r="E188" s="290"/>
      <c r="F188" s="290" t="s">
        <v>138</v>
      </c>
      <c r="G188" s="290"/>
      <c r="H188" s="290" t="s">
        <v>125</v>
      </c>
      <c r="I188" s="290"/>
      <c r="J188" s="155"/>
      <c r="K188" s="155"/>
    </row>
    <row r="189" spans="1:11" ht="15.75">
      <c r="A189" s="140" t="s">
        <v>81</v>
      </c>
      <c r="B189" s="140" t="s">
        <v>82</v>
      </c>
      <c r="C189" s="156" t="s">
        <v>111</v>
      </c>
      <c r="D189" s="156" t="s">
        <v>126</v>
      </c>
      <c r="E189" s="156" t="s">
        <v>127</v>
      </c>
      <c r="F189" s="156" t="s">
        <v>126</v>
      </c>
      <c r="G189" s="156" t="s">
        <v>127</v>
      </c>
      <c r="H189" s="156" t="s">
        <v>126</v>
      </c>
      <c r="I189" s="156" t="s">
        <v>127</v>
      </c>
      <c r="J189" s="156"/>
      <c r="K189" s="156"/>
    </row>
    <row r="190" spans="1:11" ht="15.75">
      <c r="A190" s="143">
        <v>2005</v>
      </c>
      <c r="B190" s="140" t="s">
        <v>102</v>
      </c>
      <c r="C190" s="69"/>
      <c r="D190" s="160"/>
      <c r="E190" s="68"/>
      <c r="F190" s="161"/>
      <c r="G190" s="161"/>
      <c r="H190" s="149"/>
      <c r="I190" s="149"/>
      <c r="J190" s="149"/>
      <c r="K190" s="149"/>
    </row>
    <row r="191" spans="1:11" ht="15.75">
      <c r="A191" s="137"/>
      <c r="B191" s="137" t="s">
        <v>52</v>
      </c>
      <c r="C191" s="69">
        <v>20895</v>
      </c>
      <c r="D191" s="160">
        <v>20818</v>
      </c>
      <c r="E191" s="68">
        <v>626181</v>
      </c>
      <c r="F191" s="161" t="s">
        <v>128</v>
      </c>
      <c r="G191" s="161" t="s">
        <v>128</v>
      </c>
      <c r="H191" s="149">
        <v>3167</v>
      </c>
      <c r="I191" s="149">
        <v>45745</v>
      </c>
      <c r="J191" s="149"/>
      <c r="K191" s="149"/>
    </row>
    <row r="192" spans="1:11" ht="15.75">
      <c r="A192" s="137"/>
      <c r="B192" s="137" t="s">
        <v>53</v>
      </c>
      <c r="C192" s="69">
        <v>21513</v>
      </c>
      <c r="D192" s="160">
        <v>20870</v>
      </c>
      <c r="E192" s="68">
        <v>626904</v>
      </c>
      <c r="F192" s="161" t="s">
        <v>128</v>
      </c>
      <c r="G192" s="161" t="s">
        <v>128</v>
      </c>
      <c r="H192" s="149">
        <v>3204</v>
      </c>
      <c r="I192" s="149">
        <v>47599</v>
      </c>
      <c r="J192" s="149"/>
      <c r="K192" s="149"/>
    </row>
    <row r="193" spans="1:11" ht="18" customHeight="1">
      <c r="A193" s="137"/>
      <c r="B193" s="137" t="s">
        <v>54</v>
      </c>
      <c r="C193" s="69">
        <v>21185</v>
      </c>
      <c r="D193" s="160">
        <v>20305</v>
      </c>
      <c r="E193" s="68">
        <v>627186</v>
      </c>
      <c r="F193" s="158">
        <v>852623</v>
      </c>
      <c r="G193" s="158">
        <v>8921062</v>
      </c>
      <c r="H193" s="149">
        <v>3274</v>
      </c>
      <c r="I193" s="149">
        <v>48367</v>
      </c>
      <c r="J193" s="149"/>
      <c r="K193" s="149"/>
    </row>
    <row r="194" spans="1:11" ht="18" customHeight="1">
      <c r="A194" s="137"/>
      <c r="B194" s="137"/>
      <c r="C194" s="69"/>
      <c r="D194" s="160"/>
      <c r="E194" s="68"/>
      <c r="F194" s="158"/>
      <c r="G194" s="158"/>
      <c r="H194" s="149"/>
      <c r="I194" s="149"/>
      <c r="J194" s="149"/>
      <c r="K194" s="149"/>
    </row>
    <row r="195" spans="1:11" ht="15.75">
      <c r="A195" s="143" t="s">
        <v>66</v>
      </c>
      <c r="B195" s="140" t="s">
        <v>103</v>
      </c>
      <c r="C195" s="69"/>
      <c r="D195" s="160"/>
      <c r="E195" s="68"/>
      <c r="F195" s="161"/>
      <c r="G195" s="161"/>
      <c r="H195" s="149"/>
      <c r="I195" s="149"/>
      <c r="J195" s="149"/>
      <c r="K195" s="149"/>
    </row>
    <row r="196" spans="1:11" ht="15.75">
      <c r="A196" s="137"/>
      <c r="B196" s="137" t="s">
        <v>55</v>
      </c>
      <c r="C196" s="69">
        <v>20478</v>
      </c>
      <c r="D196" s="160">
        <v>19684</v>
      </c>
      <c r="E196" s="68">
        <v>630691</v>
      </c>
      <c r="F196" s="161" t="s">
        <v>128</v>
      </c>
      <c r="G196" s="161" t="s">
        <v>128</v>
      </c>
      <c r="H196" s="149">
        <v>3042</v>
      </c>
      <c r="I196" s="149">
        <v>47248</v>
      </c>
      <c r="J196" s="149"/>
      <c r="K196" s="149"/>
    </row>
    <row r="197" spans="1:11" ht="15.75">
      <c r="A197" s="137"/>
      <c r="B197" s="137" t="s">
        <v>56</v>
      </c>
      <c r="C197" s="69">
        <v>19953</v>
      </c>
      <c r="D197" s="160">
        <v>19090</v>
      </c>
      <c r="E197" s="68">
        <v>632714</v>
      </c>
      <c r="F197" s="161" t="s">
        <v>128</v>
      </c>
      <c r="G197" s="161" t="s">
        <v>128</v>
      </c>
      <c r="H197" s="149">
        <v>3824</v>
      </c>
      <c r="I197" s="149">
        <v>59643</v>
      </c>
      <c r="J197" s="149"/>
      <c r="K197" s="149"/>
    </row>
    <row r="198" spans="1:11" ht="15.75">
      <c r="A198" s="137"/>
      <c r="B198" s="137" t="s">
        <v>57</v>
      </c>
      <c r="C198" s="69">
        <v>19470</v>
      </c>
      <c r="D198" s="160">
        <v>18604</v>
      </c>
      <c r="E198" s="68">
        <v>632969</v>
      </c>
      <c r="F198" s="158">
        <v>994108</v>
      </c>
      <c r="G198" s="158">
        <f>13888782+242+390</f>
        <v>13889414</v>
      </c>
      <c r="H198" s="149">
        <v>3652</v>
      </c>
      <c r="I198" s="149">
        <v>61655</v>
      </c>
      <c r="J198" s="149"/>
      <c r="K198" s="149"/>
    </row>
    <row r="199" spans="1:11" ht="15.75">
      <c r="A199" s="137"/>
      <c r="B199" s="137"/>
      <c r="C199" s="69"/>
      <c r="D199" s="160"/>
      <c r="E199" s="68"/>
      <c r="F199" s="158"/>
      <c r="G199" s="158"/>
      <c r="H199" s="149"/>
      <c r="I199" s="149"/>
      <c r="J199" s="149"/>
      <c r="K199" s="149"/>
    </row>
    <row r="200" spans="1:11" ht="15.75">
      <c r="A200" s="143" t="s">
        <v>66</v>
      </c>
      <c r="B200" s="140" t="s">
        <v>104</v>
      </c>
      <c r="C200" s="69"/>
      <c r="D200" s="160"/>
      <c r="E200" s="68"/>
      <c r="F200" s="161"/>
      <c r="G200" s="161"/>
      <c r="H200" s="149"/>
      <c r="I200" s="149"/>
      <c r="J200" s="149"/>
      <c r="K200" s="149"/>
    </row>
    <row r="201" spans="1:11" ht="15.75">
      <c r="A201" s="137"/>
      <c r="B201" s="137" t="s">
        <v>58</v>
      </c>
      <c r="C201" s="69">
        <v>18949</v>
      </c>
      <c r="D201" s="160">
        <v>17994</v>
      </c>
      <c r="E201" s="68">
        <v>634708</v>
      </c>
      <c r="F201" s="161" t="s">
        <v>128</v>
      </c>
      <c r="G201" s="161" t="s">
        <v>128</v>
      </c>
      <c r="H201" s="149">
        <v>3992</v>
      </c>
      <c r="I201" s="149">
        <v>58986</v>
      </c>
      <c r="J201" s="149"/>
      <c r="K201" s="149"/>
    </row>
    <row r="202" spans="1:11" ht="15.75">
      <c r="A202" s="137"/>
      <c r="B202" s="137" t="s">
        <v>59</v>
      </c>
      <c r="C202" s="69">
        <v>18457</v>
      </c>
      <c r="D202" s="160">
        <v>18244</v>
      </c>
      <c r="E202" s="68">
        <v>638222</v>
      </c>
      <c r="F202" s="161" t="s">
        <v>128</v>
      </c>
      <c r="G202" s="161" t="s">
        <v>128</v>
      </c>
      <c r="H202" s="149">
        <v>3122</v>
      </c>
      <c r="I202" s="149">
        <v>42629</v>
      </c>
      <c r="J202" s="149"/>
      <c r="K202" s="149"/>
    </row>
    <row r="203" spans="1:11" ht="15.75">
      <c r="A203" s="137"/>
      <c r="B203" s="137" t="s">
        <v>60</v>
      </c>
      <c r="C203" s="69">
        <v>19195</v>
      </c>
      <c r="D203" s="160">
        <v>18990</v>
      </c>
      <c r="E203" s="68">
        <v>638737</v>
      </c>
      <c r="F203" s="158">
        <v>572411</v>
      </c>
      <c r="G203" s="158">
        <v>8559274</v>
      </c>
      <c r="H203" s="149">
        <v>3092</v>
      </c>
      <c r="I203" s="149">
        <v>43927</v>
      </c>
      <c r="J203" s="149"/>
      <c r="K203" s="149"/>
    </row>
    <row r="204" spans="1:11" ht="15.75">
      <c r="A204" s="137"/>
      <c r="B204" s="137"/>
      <c r="C204" s="69"/>
      <c r="D204" s="160"/>
      <c r="E204" s="68"/>
      <c r="F204" s="158"/>
      <c r="G204" s="158"/>
      <c r="H204" s="149"/>
      <c r="I204" s="149"/>
      <c r="J204" s="149"/>
      <c r="K204" s="149"/>
    </row>
    <row r="205" spans="1:11" ht="15.75">
      <c r="A205" s="143">
        <v>2006</v>
      </c>
      <c r="B205" s="140" t="s">
        <v>112</v>
      </c>
      <c r="C205" s="69"/>
      <c r="D205" s="160"/>
      <c r="E205" s="68"/>
      <c r="F205" s="161"/>
      <c r="G205" s="161"/>
      <c r="H205" s="149"/>
      <c r="I205" s="149"/>
      <c r="J205" s="149"/>
      <c r="K205" s="149"/>
    </row>
    <row r="206" spans="1:11" ht="15.75">
      <c r="A206" s="137"/>
      <c r="B206" s="164" t="s">
        <v>49</v>
      </c>
      <c r="C206" s="70">
        <v>20768</v>
      </c>
      <c r="D206" s="165">
        <v>21462</v>
      </c>
      <c r="E206" s="166">
        <v>638705</v>
      </c>
      <c r="F206" s="167" t="s">
        <v>128</v>
      </c>
      <c r="G206" s="167" t="s">
        <v>128</v>
      </c>
      <c r="H206" s="168">
        <v>4590</v>
      </c>
      <c r="I206" s="168">
        <v>52811</v>
      </c>
      <c r="J206" s="168"/>
      <c r="K206" s="168"/>
    </row>
    <row r="207" spans="1:11" ht="15.75">
      <c r="A207" s="137"/>
      <c r="B207" s="164" t="s">
        <v>50</v>
      </c>
      <c r="C207" s="70">
        <v>22662</v>
      </c>
      <c r="D207" s="165">
        <v>23228</v>
      </c>
      <c r="E207" s="166">
        <v>639045</v>
      </c>
      <c r="F207" s="167" t="s">
        <v>128</v>
      </c>
      <c r="G207" s="167" t="s">
        <v>128</v>
      </c>
      <c r="H207" s="168">
        <v>3992</v>
      </c>
      <c r="I207" s="168">
        <v>51791</v>
      </c>
      <c r="J207" s="168"/>
      <c r="K207" s="168"/>
    </row>
    <row r="208" spans="1:11" ht="15.75">
      <c r="A208" s="137"/>
      <c r="B208" s="164" t="s">
        <v>51</v>
      </c>
      <c r="C208" s="70">
        <v>24654</v>
      </c>
      <c r="D208" s="165">
        <v>24867</v>
      </c>
      <c r="E208" s="166">
        <v>638184</v>
      </c>
      <c r="F208" s="169">
        <v>939008.58</v>
      </c>
      <c r="G208" s="169">
        <f>9558181.77+57.04+789.88</f>
        <v>9559028.6899999995</v>
      </c>
      <c r="H208" s="168">
        <v>3812</v>
      </c>
      <c r="I208" s="168">
        <v>52645</v>
      </c>
      <c r="J208" s="168"/>
      <c r="K208" s="168"/>
    </row>
    <row r="209" spans="1:11" ht="18" customHeight="1">
      <c r="A209" s="137"/>
      <c r="B209" s="137"/>
      <c r="C209" s="69"/>
      <c r="D209" s="160"/>
      <c r="E209" s="68"/>
      <c r="F209" s="158"/>
      <c r="G209" s="158"/>
      <c r="H209" s="149"/>
      <c r="I209" s="149"/>
      <c r="J209" s="149"/>
      <c r="K209" s="149"/>
    </row>
    <row r="210" spans="1:11" ht="15.75">
      <c r="A210" s="143" t="s">
        <v>66</v>
      </c>
      <c r="B210" s="140" t="s">
        <v>113</v>
      </c>
      <c r="C210" s="69"/>
      <c r="D210" s="160"/>
      <c r="E210" s="68"/>
      <c r="F210" s="161"/>
      <c r="G210" s="161"/>
      <c r="H210" s="149"/>
      <c r="I210" s="149"/>
      <c r="J210" s="149"/>
      <c r="K210" s="149"/>
    </row>
    <row r="211" spans="1:11" ht="15.75">
      <c r="A211" s="137"/>
      <c r="B211" s="137" t="s">
        <v>52</v>
      </c>
      <c r="C211" s="70">
        <v>25990</v>
      </c>
      <c r="D211" s="165">
        <v>25758</v>
      </c>
      <c r="E211" s="166">
        <v>637657</v>
      </c>
      <c r="F211" s="167" t="s">
        <v>128</v>
      </c>
      <c r="G211" s="167" t="s">
        <v>128</v>
      </c>
      <c r="H211" s="168">
        <v>4017</v>
      </c>
      <c r="I211" s="168">
        <v>47669</v>
      </c>
      <c r="J211" s="168"/>
      <c r="K211" s="168"/>
    </row>
    <row r="212" spans="1:11" ht="15.75">
      <c r="A212" s="137"/>
      <c r="B212" s="137" t="s">
        <v>53</v>
      </c>
      <c r="C212" s="70">
        <v>26722</v>
      </c>
      <c r="D212" s="165">
        <v>26134</v>
      </c>
      <c r="E212" s="166">
        <v>638924</v>
      </c>
      <c r="F212" s="167" t="s">
        <v>128</v>
      </c>
      <c r="G212" s="167" t="s">
        <v>128</v>
      </c>
      <c r="H212" s="168">
        <v>4547</v>
      </c>
      <c r="I212" s="168">
        <v>52078</v>
      </c>
      <c r="J212" s="168"/>
      <c r="K212" s="168"/>
    </row>
    <row r="213" spans="1:11" ht="15.75">
      <c r="A213" s="137"/>
      <c r="B213" s="137" t="s">
        <v>54</v>
      </c>
      <c r="C213" s="70">
        <v>26797</v>
      </c>
      <c r="D213" s="165">
        <v>25999</v>
      </c>
      <c r="E213" s="166">
        <v>639354</v>
      </c>
      <c r="F213" s="169">
        <v>1025471.05</v>
      </c>
      <c r="G213" s="169">
        <f>8667683.42+57.04+675.89</f>
        <v>8668416.3499999996</v>
      </c>
      <c r="H213" s="168">
        <v>4384</v>
      </c>
      <c r="I213" s="168">
        <v>48206</v>
      </c>
      <c r="J213" s="168"/>
      <c r="K213" s="168"/>
    </row>
    <row r="214" spans="1:11" ht="18" customHeight="1">
      <c r="A214" s="137"/>
      <c r="B214" s="137"/>
      <c r="C214" s="69"/>
      <c r="D214" s="160"/>
      <c r="E214" s="68"/>
      <c r="F214" s="158"/>
      <c r="G214" s="158"/>
      <c r="H214" s="149"/>
      <c r="I214" s="149"/>
      <c r="J214" s="149"/>
      <c r="K214" s="149"/>
    </row>
    <row r="215" spans="1:11" ht="22.5">
      <c r="A215" s="136"/>
      <c r="B215" s="137"/>
      <c r="C215" s="290" t="s">
        <v>139</v>
      </c>
      <c r="D215" s="290"/>
      <c r="E215" s="290"/>
      <c r="F215" s="290"/>
      <c r="G215" s="138"/>
      <c r="H215" s="138"/>
      <c r="I215" s="138"/>
      <c r="J215" s="138"/>
      <c r="K215" s="138"/>
    </row>
    <row r="216" spans="1:11" ht="22.5">
      <c r="A216" s="136"/>
      <c r="B216" s="140"/>
      <c r="C216" s="291" t="s">
        <v>130</v>
      </c>
      <c r="D216" s="290"/>
      <c r="E216" s="291" t="s">
        <v>131</v>
      </c>
      <c r="F216" s="290"/>
      <c r="G216" s="290" t="s">
        <v>140</v>
      </c>
      <c r="H216" s="290"/>
      <c r="I216" s="290" t="s">
        <v>141</v>
      </c>
      <c r="J216" s="290"/>
      <c r="K216" s="290"/>
    </row>
    <row r="217" spans="1:11" ht="15.75">
      <c r="A217" s="140" t="s">
        <v>81</v>
      </c>
      <c r="B217" s="140" t="s">
        <v>82</v>
      </c>
      <c r="C217" s="156" t="s">
        <v>126</v>
      </c>
      <c r="D217" s="156" t="s">
        <v>127</v>
      </c>
      <c r="E217" s="156" t="s">
        <v>126</v>
      </c>
      <c r="F217" s="156" t="s">
        <v>127</v>
      </c>
      <c r="G217" s="156" t="s">
        <v>126</v>
      </c>
      <c r="H217" s="156" t="s">
        <v>132</v>
      </c>
      <c r="I217" s="156" t="s">
        <v>126</v>
      </c>
      <c r="J217" s="156"/>
      <c r="K217" s="156"/>
    </row>
    <row r="218" spans="1:11" ht="15.75">
      <c r="A218" s="140"/>
      <c r="B218" s="140" t="s">
        <v>84</v>
      </c>
      <c r="C218" s="156"/>
      <c r="D218" s="156"/>
      <c r="E218" s="156"/>
      <c r="F218" s="156"/>
      <c r="G218" s="156"/>
      <c r="H218" s="156"/>
      <c r="I218" s="156"/>
      <c r="J218" s="156"/>
      <c r="K218" s="156"/>
    </row>
    <row r="219" spans="1:11" ht="15.75">
      <c r="A219" s="143">
        <v>2000</v>
      </c>
      <c r="B219" s="137" t="s">
        <v>57</v>
      </c>
      <c r="C219" s="158">
        <v>0</v>
      </c>
      <c r="D219" s="158">
        <v>420137</v>
      </c>
      <c r="E219" s="138">
        <v>0</v>
      </c>
      <c r="F219" s="149">
        <v>4545</v>
      </c>
      <c r="G219" s="158">
        <v>0</v>
      </c>
      <c r="H219" s="158">
        <f>329562.77+11385.31</f>
        <v>340948.08</v>
      </c>
      <c r="I219" s="158">
        <v>0</v>
      </c>
      <c r="J219" s="158"/>
      <c r="K219" s="158"/>
    </row>
    <row r="220" spans="1:11" ht="15.75">
      <c r="A220" s="137"/>
      <c r="B220" s="137" t="s">
        <v>58</v>
      </c>
      <c r="C220" s="159">
        <v>0</v>
      </c>
      <c r="D220" s="159">
        <v>477340</v>
      </c>
      <c r="E220" s="138">
        <v>0</v>
      </c>
      <c r="F220" s="149">
        <v>4851</v>
      </c>
      <c r="G220" s="159">
        <v>0</v>
      </c>
      <c r="H220" s="159">
        <f>324832.59+12781.56</f>
        <v>337614.15</v>
      </c>
      <c r="I220" s="159">
        <v>0</v>
      </c>
      <c r="J220" s="159"/>
      <c r="K220" s="159"/>
    </row>
    <row r="221" spans="1:11" ht="15.75">
      <c r="A221" s="137"/>
      <c r="B221" s="137" t="s">
        <v>59</v>
      </c>
      <c r="C221" s="159">
        <v>0</v>
      </c>
      <c r="D221" s="159">
        <v>284461</v>
      </c>
      <c r="E221" s="138">
        <v>0</v>
      </c>
      <c r="F221" s="149">
        <v>2789</v>
      </c>
      <c r="G221" s="159">
        <v>0</v>
      </c>
      <c r="H221" s="159">
        <f>294273.9+106.82+7788.04</f>
        <v>302168.76</v>
      </c>
      <c r="I221" s="159">
        <v>0</v>
      </c>
      <c r="J221" s="159"/>
      <c r="K221" s="159"/>
    </row>
    <row r="222" spans="1:11" ht="15.75">
      <c r="A222" s="137"/>
      <c r="B222" s="137" t="s">
        <v>60</v>
      </c>
      <c r="C222" s="159">
        <v>0</v>
      </c>
      <c r="D222" s="161">
        <v>326163</v>
      </c>
      <c r="E222" s="138">
        <v>0</v>
      </c>
      <c r="F222" s="149">
        <v>4933</v>
      </c>
      <c r="G222" s="159">
        <f>29.72</f>
        <v>29.72</v>
      </c>
      <c r="H222" s="159">
        <f>318699.72+9043.51</f>
        <v>327743.23</v>
      </c>
      <c r="I222" s="159">
        <f>18.62</f>
        <v>18.62</v>
      </c>
      <c r="J222" s="159"/>
      <c r="K222" s="159"/>
    </row>
    <row r="223" spans="1:11" ht="15.75">
      <c r="A223" s="137"/>
      <c r="B223" s="137"/>
      <c r="C223" s="138"/>
      <c r="D223" s="161"/>
      <c r="E223" s="138"/>
      <c r="F223" s="149"/>
      <c r="G223" s="170"/>
      <c r="H223" s="159"/>
      <c r="I223" s="170"/>
      <c r="J223" s="170"/>
      <c r="K223" s="170"/>
    </row>
    <row r="224" spans="1:11" ht="15.75">
      <c r="A224" s="137"/>
      <c r="B224" s="140" t="s">
        <v>85</v>
      </c>
      <c r="C224" s="138"/>
      <c r="D224" s="161"/>
      <c r="E224" s="138"/>
      <c r="F224" s="149"/>
      <c r="G224" s="170"/>
      <c r="H224" s="159"/>
      <c r="I224" s="170"/>
      <c r="J224" s="170"/>
      <c r="K224" s="170"/>
    </row>
    <row r="225" spans="1:11" ht="15.75">
      <c r="A225" s="143">
        <v>2001</v>
      </c>
      <c r="B225" s="137" t="s">
        <v>49</v>
      </c>
      <c r="C225" s="159">
        <v>0</v>
      </c>
      <c r="D225" s="161">
        <v>279514</v>
      </c>
      <c r="E225" s="144">
        <v>0</v>
      </c>
      <c r="F225" s="149">
        <v>5161</v>
      </c>
      <c r="G225" s="159">
        <f>113.37</f>
        <v>113.37</v>
      </c>
      <c r="H225" s="159">
        <f>291738.93+7669.67</f>
        <v>299408.59999999998</v>
      </c>
      <c r="I225" s="159">
        <f>11.2</f>
        <v>11.2</v>
      </c>
      <c r="J225" s="159"/>
      <c r="K225" s="159"/>
    </row>
    <row r="226" spans="1:11" ht="15.75">
      <c r="A226" s="137"/>
      <c r="B226" s="137" t="s">
        <v>50</v>
      </c>
      <c r="C226" s="159">
        <v>283</v>
      </c>
      <c r="D226" s="161">
        <v>267968</v>
      </c>
      <c r="E226" s="149">
        <v>2</v>
      </c>
      <c r="F226" s="149">
        <v>3938</v>
      </c>
      <c r="G226" s="159">
        <f>255.54</f>
        <v>255.54</v>
      </c>
      <c r="H226" s="159">
        <f>348963.27+11228.45</f>
        <v>360191.72000000003</v>
      </c>
      <c r="I226" s="159">
        <f>68.72</f>
        <v>68.72</v>
      </c>
      <c r="J226" s="159"/>
      <c r="K226" s="159"/>
    </row>
    <row r="227" spans="1:11" ht="15.75">
      <c r="A227" s="137"/>
      <c r="B227" s="137" t="s">
        <v>51</v>
      </c>
      <c r="C227" s="159">
        <v>3764</v>
      </c>
      <c r="D227" s="161">
        <v>283648</v>
      </c>
      <c r="E227" s="149">
        <v>35</v>
      </c>
      <c r="F227" s="149">
        <v>4681</v>
      </c>
      <c r="G227" s="159">
        <f>748.86</f>
        <v>748.86</v>
      </c>
      <c r="H227" s="159">
        <f>374269.23+101.94+11640.38</f>
        <v>386011.55</v>
      </c>
      <c r="I227" s="159">
        <f>159.67</f>
        <v>159.66999999999999</v>
      </c>
      <c r="J227" s="159"/>
      <c r="K227" s="159"/>
    </row>
    <row r="228" spans="1:11" ht="15.75">
      <c r="A228" s="137"/>
      <c r="B228" s="137"/>
      <c r="C228" s="159"/>
      <c r="D228" s="161"/>
      <c r="E228" s="149"/>
      <c r="F228" s="149"/>
      <c r="G228" s="159"/>
      <c r="H228" s="159"/>
      <c r="I228" s="159"/>
      <c r="J228" s="159"/>
      <c r="K228" s="159"/>
    </row>
    <row r="229" spans="1:11" ht="15.75">
      <c r="A229" s="137"/>
      <c r="B229" s="140" t="s">
        <v>86</v>
      </c>
      <c r="C229" s="138"/>
      <c r="D229" s="161"/>
      <c r="E229" s="138"/>
      <c r="F229" s="149"/>
      <c r="G229" s="170"/>
      <c r="H229" s="159"/>
      <c r="I229" s="170"/>
      <c r="J229" s="170"/>
      <c r="K229" s="170"/>
    </row>
    <row r="230" spans="1:11" ht="15.75">
      <c r="A230" s="143" t="s">
        <v>66</v>
      </c>
      <c r="B230" s="137" t="s">
        <v>52</v>
      </c>
      <c r="C230" s="159">
        <v>10561.77</v>
      </c>
      <c r="D230" s="161">
        <v>330316.06</v>
      </c>
      <c r="E230" s="149">
        <v>65</v>
      </c>
      <c r="F230" s="149">
        <v>2611</v>
      </c>
      <c r="G230" s="159">
        <f>1162.61</f>
        <v>1162.6099999999999</v>
      </c>
      <c r="H230" s="159">
        <f>324781.71+9610.45</f>
        <v>334392.16000000003</v>
      </c>
      <c r="I230" s="159">
        <f>158.73</f>
        <v>158.72999999999999</v>
      </c>
      <c r="J230" s="159"/>
      <c r="K230" s="159"/>
    </row>
    <row r="231" spans="1:11" ht="15.75">
      <c r="A231" s="137"/>
      <c r="B231" s="137" t="s">
        <v>53</v>
      </c>
      <c r="C231" s="159">
        <v>33116.42</v>
      </c>
      <c r="D231" s="161">
        <v>1091388.43</v>
      </c>
      <c r="E231" s="149">
        <v>173</v>
      </c>
      <c r="F231" s="149">
        <v>16265</v>
      </c>
      <c r="G231" s="159">
        <f>2090.31</f>
        <v>2090.31</v>
      </c>
      <c r="H231" s="159">
        <f>289575.03+7665.58</f>
        <v>297240.61000000004</v>
      </c>
      <c r="I231" s="159">
        <f>101.55</f>
        <v>101.55</v>
      </c>
      <c r="J231" s="159"/>
      <c r="K231" s="159"/>
    </row>
    <row r="232" spans="1:11" ht="15.75">
      <c r="A232" s="137"/>
      <c r="B232" s="137" t="s">
        <v>54</v>
      </c>
      <c r="C232" s="158">
        <v>30062.99</v>
      </c>
      <c r="D232" s="158">
        <v>347208.28</v>
      </c>
      <c r="E232" s="149">
        <v>158</v>
      </c>
      <c r="F232" s="149">
        <v>2805</v>
      </c>
      <c r="G232" s="158">
        <f>1985.48</f>
        <v>1985.48</v>
      </c>
      <c r="H232" s="158">
        <f>278017.59+11008.63</f>
        <v>289026.22000000003</v>
      </c>
      <c r="I232" s="158">
        <f>733.08</f>
        <v>733.08</v>
      </c>
      <c r="J232" s="158"/>
      <c r="K232" s="158"/>
    </row>
    <row r="233" spans="1:11" ht="15.75">
      <c r="A233" s="137"/>
      <c r="B233" s="137"/>
      <c r="C233" s="158"/>
      <c r="D233" s="158"/>
      <c r="E233" s="149"/>
      <c r="F233" s="149"/>
      <c r="G233" s="158"/>
      <c r="H233" s="158"/>
      <c r="I233" s="158"/>
      <c r="J233" s="158"/>
      <c r="K233" s="158"/>
    </row>
    <row r="234" spans="1:11" ht="15.75">
      <c r="A234" s="137"/>
      <c r="B234" s="140" t="s">
        <v>87</v>
      </c>
      <c r="C234" s="138"/>
      <c r="D234" s="161"/>
      <c r="E234" s="138"/>
      <c r="F234" s="149"/>
      <c r="G234" s="170"/>
      <c r="H234" s="159"/>
      <c r="I234" s="170"/>
      <c r="J234" s="170"/>
      <c r="K234" s="170"/>
    </row>
    <row r="235" spans="1:11" ht="15.75">
      <c r="A235" s="143" t="s">
        <v>66</v>
      </c>
      <c r="B235" s="137" t="s">
        <v>55</v>
      </c>
      <c r="C235" s="159">
        <v>17553.45</v>
      </c>
      <c r="D235" s="161">
        <v>266740.64</v>
      </c>
      <c r="E235" s="149">
        <v>95</v>
      </c>
      <c r="F235" s="149">
        <v>2203</v>
      </c>
      <c r="G235" s="159">
        <v>3389.09</v>
      </c>
      <c r="H235" s="159">
        <f>274341.38+7048.04</f>
        <v>281389.42</v>
      </c>
      <c r="I235" s="159">
        <v>1489.55</v>
      </c>
      <c r="J235" s="159"/>
      <c r="K235" s="159"/>
    </row>
    <row r="236" spans="1:11" ht="15.75">
      <c r="A236" s="137"/>
      <c r="B236" s="137" t="s">
        <v>56</v>
      </c>
      <c r="C236" s="159">
        <v>24650.6</v>
      </c>
      <c r="D236" s="161">
        <v>333407.84000000003</v>
      </c>
      <c r="E236" s="149">
        <v>146</v>
      </c>
      <c r="F236" s="149">
        <v>2933</v>
      </c>
      <c r="G236" s="159">
        <v>5384.25</v>
      </c>
      <c r="H236" s="159">
        <f>326094.22+3522.05</f>
        <v>329616.26999999996</v>
      </c>
      <c r="I236" s="159">
        <v>1034.92</v>
      </c>
      <c r="J236" s="159"/>
      <c r="K236" s="159"/>
    </row>
    <row r="237" spans="1:11" ht="15.75">
      <c r="A237" s="137"/>
      <c r="B237" s="137" t="s">
        <v>57</v>
      </c>
      <c r="C237" s="158">
        <v>37241.93</v>
      </c>
      <c r="D237" s="158">
        <v>324517.52</v>
      </c>
      <c r="E237" s="149">
        <v>260</v>
      </c>
      <c r="F237" s="149">
        <v>2813</v>
      </c>
      <c r="G237" s="158">
        <v>10446.26</v>
      </c>
      <c r="H237" s="158">
        <f>348081.91+38.02+6068.48</f>
        <v>354188.41</v>
      </c>
      <c r="I237" s="158">
        <v>1505.9</v>
      </c>
      <c r="J237" s="158"/>
      <c r="K237" s="158"/>
    </row>
    <row r="238" spans="1:11" ht="15.75">
      <c r="A238" s="137"/>
      <c r="B238" s="137"/>
      <c r="C238" s="158"/>
      <c r="D238" s="158"/>
      <c r="E238" s="149"/>
      <c r="F238" s="149"/>
      <c r="G238" s="158"/>
      <c r="H238" s="158"/>
      <c r="I238" s="158"/>
      <c r="J238" s="158"/>
      <c r="K238" s="158"/>
    </row>
    <row r="239" spans="1:11" ht="15.75">
      <c r="A239" s="137"/>
      <c r="B239" s="140" t="s">
        <v>88</v>
      </c>
      <c r="C239" s="138"/>
      <c r="D239" s="161"/>
      <c r="E239" s="138"/>
      <c r="F239" s="149"/>
      <c r="G239" s="170"/>
      <c r="H239" s="159"/>
      <c r="I239" s="170"/>
      <c r="J239" s="170"/>
      <c r="K239" s="170"/>
    </row>
    <row r="240" spans="1:11" ht="15.75">
      <c r="A240" s="143" t="s">
        <v>66</v>
      </c>
      <c r="B240" s="137" t="s">
        <v>58</v>
      </c>
      <c r="C240" s="159">
        <v>39131.08</v>
      </c>
      <c r="D240" s="161">
        <f>479072.8+2742.07</f>
        <v>481814.87</v>
      </c>
      <c r="E240" s="149">
        <v>227</v>
      </c>
      <c r="F240" s="149">
        <f>3370+17</f>
        <v>3387</v>
      </c>
      <c r="G240" s="159">
        <v>17877.48</v>
      </c>
      <c r="H240" s="159">
        <f>357370.76+8172.68</f>
        <v>365543.44</v>
      </c>
      <c r="I240" s="159">
        <v>2921.62</v>
      </c>
      <c r="J240" s="159"/>
      <c r="K240" s="159"/>
    </row>
    <row r="241" spans="1:11" ht="15.75">
      <c r="A241" s="137"/>
      <c r="B241" s="137" t="s">
        <v>59</v>
      </c>
      <c r="C241" s="159">
        <v>23344.9</v>
      </c>
      <c r="D241" s="161">
        <f>2440943.83+559.83+475066.57</f>
        <v>2916570.23</v>
      </c>
      <c r="E241" s="149">
        <v>165</v>
      </c>
      <c r="F241" s="149">
        <f>15159+4+1909</f>
        <v>17072</v>
      </c>
      <c r="G241" s="159">
        <v>23505.94</v>
      </c>
      <c r="H241" s="159">
        <f>390328.34+8084.55</f>
        <v>398412.89</v>
      </c>
      <c r="I241" s="159">
        <v>4188.37</v>
      </c>
      <c r="J241" s="159"/>
      <c r="K241" s="159"/>
    </row>
    <row r="242" spans="1:11" ht="15.75">
      <c r="A242" s="137"/>
      <c r="B242" s="137" t="s">
        <v>60</v>
      </c>
      <c r="C242" s="158">
        <v>21091.94</v>
      </c>
      <c r="D242" s="158">
        <f>321854.39+1149.61</f>
        <v>323004</v>
      </c>
      <c r="E242" s="149">
        <v>138</v>
      </c>
      <c r="F242" s="149">
        <f>2582+8</f>
        <v>2590</v>
      </c>
      <c r="G242" s="158">
        <v>30908.74</v>
      </c>
      <c r="H242" s="158">
        <f>339330.65+6438.65</f>
        <v>345769.30000000005</v>
      </c>
      <c r="I242" s="158">
        <v>5359.54</v>
      </c>
      <c r="J242" s="158"/>
      <c r="K242" s="158"/>
    </row>
    <row r="243" spans="1:11" ht="15.75">
      <c r="A243" s="137"/>
      <c r="B243" s="137"/>
      <c r="C243" s="158"/>
      <c r="D243" s="158"/>
      <c r="E243" s="149"/>
      <c r="F243" s="149"/>
      <c r="G243" s="158"/>
      <c r="H243" s="158"/>
      <c r="I243" s="158"/>
      <c r="J243" s="158"/>
      <c r="K243" s="158"/>
    </row>
    <row r="244" spans="1:11" ht="15.75">
      <c r="A244" s="137"/>
      <c r="B244" s="140" t="s">
        <v>89</v>
      </c>
      <c r="C244" s="138"/>
      <c r="D244" s="161"/>
      <c r="E244" s="138"/>
      <c r="F244" s="149"/>
      <c r="G244" s="170"/>
      <c r="H244" s="159"/>
      <c r="I244" s="170"/>
      <c r="J244" s="170"/>
      <c r="K244" s="170"/>
    </row>
    <row r="245" spans="1:11" ht="15.75">
      <c r="A245" s="143">
        <v>2002</v>
      </c>
      <c r="B245" s="137" t="s">
        <v>49</v>
      </c>
      <c r="C245" s="159">
        <v>21698.74</v>
      </c>
      <c r="D245" s="161">
        <f>349139.19+848.85</f>
        <v>349988.04</v>
      </c>
      <c r="E245" s="149">
        <v>153</v>
      </c>
      <c r="F245" s="149">
        <f>2927+8</f>
        <v>2935</v>
      </c>
      <c r="G245" s="159">
        <v>25354.27</v>
      </c>
      <c r="H245" s="159">
        <f>341406.68+6717.63</f>
        <v>348124.31</v>
      </c>
      <c r="I245" s="159">
        <v>4845.2</v>
      </c>
      <c r="J245" s="159"/>
      <c r="K245" s="159"/>
    </row>
    <row r="246" spans="1:11" ht="15.75">
      <c r="A246" s="137"/>
      <c r="B246" s="137" t="s">
        <v>50</v>
      </c>
      <c r="C246" s="159">
        <v>14676.9</v>
      </c>
      <c r="D246" s="161">
        <f>305296.62+1676.18</f>
        <v>306972.79999999999</v>
      </c>
      <c r="E246" s="149">
        <v>101</v>
      </c>
      <c r="F246" s="149">
        <f>2369+5</f>
        <v>2374</v>
      </c>
      <c r="G246" s="159">
        <v>28571.99</v>
      </c>
      <c r="H246" s="159">
        <f>385584.57+10.25+5905.78</f>
        <v>391500.60000000003</v>
      </c>
      <c r="I246" s="159">
        <v>7304.43</v>
      </c>
      <c r="J246" s="159"/>
      <c r="K246" s="159"/>
    </row>
    <row r="247" spans="1:11" ht="15.75">
      <c r="A247" s="137"/>
      <c r="B247" s="137" t="s">
        <v>51</v>
      </c>
      <c r="C247" s="158">
        <v>20668.86</v>
      </c>
      <c r="D247" s="158">
        <f>286552.68+2185.48</f>
        <v>288738.15999999997</v>
      </c>
      <c r="E247" s="149">
        <v>151</v>
      </c>
      <c r="F247" s="149">
        <f>2278+8</f>
        <v>2286</v>
      </c>
      <c r="G247" s="158">
        <v>36564.230000000003</v>
      </c>
      <c r="H247" s="158">
        <f>396862.98+9747.07</f>
        <v>406610.05</v>
      </c>
      <c r="I247" s="158">
        <v>8364.6299999999992</v>
      </c>
      <c r="J247" s="158"/>
      <c r="K247" s="158"/>
    </row>
    <row r="248" spans="1:11" ht="15.75">
      <c r="A248" s="136" t="s">
        <v>133</v>
      </c>
      <c r="B248" s="137"/>
      <c r="C248" s="138"/>
      <c r="D248" s="138"/>
      <c r="E248" s="138"/>
      <c r="F248" s="138"/>
      <c r="G248" s="138"/>
      <c r="H248" s="138"/>
      <c r="I248" s="138"/>
      <c r="J248" s="138"/>
      <c r="K248" s="138"/>
    </row>
    <row r="249" spans="1:11" ht="22.5">
      <c r="A249" s="136"/>
      <c r="B249" s="137"/>
      <c r="C249" s="290" t="s">
        <v>139</v>
      </c>
      <c r="D249" s="290"/>
      <c r="E249" s="290"/>
      <c r="F249" s="290"/>
      <c r="G249" s="138"/>
      <c r="H249" s="138"/>
      <c r="I249" s="138"/>
      <c r="J249" s="138"/>
      <c r="K249" s="138"/>
    </row>
    <row r="250" spans="1:11" ht="22.5">
      <c r="A250" s="136"/>
      <c r="B250" s="140"/>
      <c r="C250" s="291" t="s">
        <v>130</v>
      </c>
      <c r="D250" s="290"/>
      <c r="E250" s="291" t="s">
        <v>131</v>
      </c>
      <c r="F250" s="290"/>
      <c r="G250" s="290" t="s">
        <v>140</v>
      </c>
      <c r="H250" s="290"/>
      <c r="I250" s="290" t="s">
        <v>141</v>
      </c>
      <c r="J250" s="290"/>
      <c r="K250" s="290"/>
    </row>
    <row r="251" spans="1:11" ht="15.75">
      <c r="A251" s="140" t="s">
        <v>81</v>
      </c>
      <c r="B251" s="140" t="s">
        <v>82</v>
      </c>
      <c r="C251" s="156" t="s">
        <v>126</v>
      </c>
      <c r="D251" s="156" t="s">
        <v>127</v>
      </c>
      <c r="E251" s="156" t="s">
        <v>126</v>
      </c>
      <c r="F251" s="156" t="s">
        <v>127</v>
      </c>
      <c r="G251" s="156" t="s">
        <v>126</v>
      </c>
      <c r="H251" s="156" t="s">
        <v>132</v>
      </c>
      <c r="I251" s="156" t="s">
        <v>126</v>
      </c>
      <c r="J251" s="156"/>
      <c r="K251" s="156"/>
    </row>
    <row r="252" spans="1:11" ht="15.75">
      <c r="A252" s="137"/>
      <c r="B252" s="137"/>
      <c r="C252" s="158"/>
      <c r="D252" s="158"/>
      <c r="E252" s="149"/>
      <c r="F252" s="149"/>
      <c r="G252" s="158"/>
      <c r="H252" s="158"/>
      <c r="I252" s="158"/>
      <c r="J252" s="158"/>
      <c r="K252" s="158"/>
    </row>
    <row r="253" spans="1:11" ht="15.75">
      <c r="A253" s="137"/>
      <c r="B253" s="140" t="s">
        <v>90</v>
      </c>
      <c r="C253" s="138"/>
      <c r="D253" s="161"/>
      <c r="E253" s="138"/>
      <c r="F253" s="149"/>
      <c r="G253" s="170"/>
      <c r="H253" s="159"/>
      <c r="I253" s="170"/>
      <c r="J253" s="170"/>
      <c r="K253" s="170"/>
    </row>
    <row r="254" spans="1:11" ht="15.75">
      <c r="A254" s="137"/>
      <c r="B254" s="137" t="s">
        <v>52</v>
      </c>
      <c r="C254" s="159">
        <v>25785.87</v>
      </c>
      <c r="D254" s="161">
        <v>327935.67</v>
      </c>
      <c r="E254" s="149">
        <v>143</v>
      </c>
      <c r="F254" s="149">
        <v>2418</v>
      </c>
      <c r="G254" s="159">
        <v>26156.66</v>
      </c>
      <c r="H254" s="159">
        <v>363008.49</v>
      </c>
      <c r="I254" s="159">
        <v>6558.55</v>
      </c>
      <c r="J254" s="159"/>
      <c r="K254" s="159"/>
    </row>
    <row r="255" spans="1:11" ht="15.75">
      <c r="A255" s="137"/>
      <c r="B255" s="137" t="s">
        <v>53</v>
      </c>
      <c r="C255" s="159">
        <v>36267.919999999998</v>
      </c>
      <c r="D255" s="161">
        <v>327403.7</v>
      </c>
      <c r="E255" s="149">
        <v>221</v>
      </c>
      <c r="F255" s="149">
        <v>2414</v>
      </c>
      <c r="G255" s="159">
        <v>28853.13</v>
      </c>
      <c r="H255" s="159">
        <v>376856.36</v>
      </c>
      <c r="I255" s="159">
        <v>11650.72</v>
      </c>
      <c r="J255" s="159"/>
      <c r="K255" s="159"/>
    </row>
    <row r="256" spans="1:11" ht="15.75">
      <c r="A256" s="137"/>
      <c r="B256" s="137" t="s">
        <v>54</v>
      </c>
      <c r="C256" s="158">
        <v>42529.52</v>
      </c>
      <c r="D256" s="158">
        <v>314760.81</v>
      </c>
      <c r="E256" s="149">
        <v>231</v>
      </c>
      <c r="F256" s="149">
        <v>2316</v>
      </c>
      <c r="G256" s="158">
        <v>22193.81</v>
      </c>
      <c r="H256" s="158">
        <v>313063.44</v>
      </c>
      <c r="I256" s="158">
        <v>5789.84</v>
      </c>
      <c r="J256" s="158"/>
      <c r="K256" s="158"/>
    </row>
    <row r="257" spans="1:11" ht="15.75">
      <c r="A257" s="137"/>
      <c r="B257" s="137"/>
      <c r="C257" s="138"/>
      <c r="D257" s="161"/>
      <c r="E257" s="138"/>
      <c r="F257" s="149"/>
      <c r="G257" s="170"/>
      <c r="H257" s="170"/>
      <c r="I257" s="170"/>
      <c r="J257" s="170"/>
      <c r="K257" s="170"/>
    </row>
    <row r="258" spans="1:11" ht="15.75">
      <c r="A258" s="137"/>
      <c r="B258" s="140" t="s">
        <v>91</v>
      </c>
      <c r="C258" s="138"/>
      <c r="D258" s="161"/>
      <c r="E258" s="138"/>
      <c r="F258" s="149"/>
      <c r="G258" s="170"/>
      <c r="H258" s="159"/>
      <c r="I258" s="170"/>
      <c r="J258" s="170"/>
      <c r="K258" s="170"/>
    </row>
    <row r="259" spans="1:11" ht="15.75">
      <c r="A259" s="137"/>
      <c r="B259" s="137" t="s">
        <v>55</v>
      </c>
      <c r="C259" s="159">
        <v>63003.82</v>
      </c>
      <c r="D259" s="161">
        <v>335631.06</v>
      </c>
      <c r="E259" s="149">
        <v>341</v>
      </c>
      <c r="F259" s="149">
        <v>2614</v>
      </c>
      <c r="G259" s="159">
        <v>26491.33</v>
      </c>
      <c r="H259" s="159">
        <f>293325.77+1303.32</f>
        <v>294629.09000000003</v>
      </c>
      <c r="I259" s="159">
        <v>7360.92</v>
      </c>
      <c r="J259" s="159"/>
      <c r="K259" s="159"/>
    </row>
    <row r="260" spans="1:11" ht="15.75">
      <c r="A260" s="137"/>
      <c r="B260" s="137" t="s">
        <v>56</v>
      </c>
      <c r="C260" s="159">
        <v>53162.76</v>
      </c>
      <c r="D260" s="161">
        <v>370227.26</v>
      </c>
      <c r="E260" s="149">
        <v>321</v>
      </c>
      <c r="F260" s="149">
        <v>2915</v>
      </c>
      <c r="G260" s="159">
        <v>26583.95</v>
      </c>
      <c r="H260" s="159">
        <f>362402.54+8194.41</f>
        <v>370596.94999999995</v>
      </c>
      <c r="I260" s="159">
        <v>7001.26</v>
      </c>
      <c r="J260" s="159"/>
      <c r="K260" s="159"/>
    </row>
    <row r="261" spans="1:11" ht="15.75">
      <c r="A261" s="137"/>
      <c r="B261" s="137" t="s">
        <v>57</v>
      </c>
      <c r="C261" s="158">
        <v>50676.26</v>
      </c>
      <c r="D261" s="158">
        <v>357593.03</v>
      </c>
      <c r="E261" s="149">
        <f>280</f>
        <v>280</v>
      </c>
      <c r="F261" s="149">
        <v>2620</v>
      </c>
      <c r="G261" s="158">
        <f>38129.79</f>
        <v>38129.79</v>
      </c>
      <c r="H261" s="158">
        <f>363033.72+4835.45</f>
        <v>367869.17</v>
      </c>
      <c r="I261" s="158">
        <v>10233.01</v>
      </c>
      <c r="J261" s="158"/>
      <c r="K261" s="158"/>
    </row>
    <row r="262" spans="1:11" ht="15.75">
      <c r="A262" s="137"/>
      <c r="B262" s="137"/>
      <c r="C262" s="158"/>
      <c r="D262" s="158"/>
      <c r="E262" s="149"/>
      <c r="F262" s="149"/>
      <c r="G262" s="158"/>
      <c r="H262" s="158"/>
      <c r="I262" s="158"/>
      <c r="J262" s="158"/>
      <c r="K262" s="158"/>
    </row>
    <row r="263" spans="1:11" ht="15.75">
      <c r="A263" s="137"/>
      <c r="B263" s="140" t="s">
        <v>92</v>
      </c>
      <c r="C263" s="138"/>
      <c r="D263" s="161"/>
      <c r="E263" s="138"/>
      <c r="F263" s="149"/>
      <c r="G263" s="170"/>
      <c r="H263" s="159"/>
      <c r="I263" s="170"/>
      <c r="J263" s="170"/>
      <c r="K263" s="170"/>
    </row>
    <row r="264" spans="1:11" ht="15.75">
      <c r="A264" s="137"/>
      <c r="B264" s="137" t="s">
        <v>58</v>
      </c>
      <c r="C264" s="159">
        <v>92011.65</v>
      </c>
      <c r="D264" s="161">
        <v>731204.34</v>
      </c>
      <c r="E264" s="149">
        <v>476</v>
      </c>
      <c r="F264" s="149">
        <v>4969</v>
      </c>
      <c r="G264" s="159">
        <v>47188.76</v>
      </c>
      <c r="H264" s="159">
        <f>396293.01+3498.9</f>
        <v>399791.91000000003</v>
      </c>
      <c r="I264" s="159">
        <v>14221.7</v>
      </c>
      <c r="J264" s="159"/>
      <c r="K264" s="159"/>
    </row>
    <row r="265" spans="1:11" ht="15.75">
      <c r="A265" s="137"/>
      <c r="B265" s="137" t="s">
        <v>59</v>
      </c>
      <c r="C265" s="159">
        <v>45778.18</v>
      </c>
      <c r="D265" s="161">
        <v>438589.15</v>
      </c>
      <c r="E265" s="149">
        <v>275</v>
      </c>
      <c r="F265" s="149">
        <v>3136</v>
      </c>
      <c r="G265" s="159">
        <v>47347.38</v>
      </c>
      <c r="H265" s="159">
        <f>383797.72+4318.6</f>
        <v>388116.31999999995</v>
      </c>
      <c r="I265" s="159">
        <v>12157.16</v>
      </c>
      <c r="J265" s="159"/>
      <c r="K265" s="159"/>
    </row>
    <row r="266" spans="1:11" ht="15.75">
      <c r="A266" s="137"/>
      <c r="B266" s="137" t="s">
        <v>60</v>
      </c>
      <c r="C266" s="158">
        <v>30079.55</v>
      </c>
      <c r="D266" s="158">
        <v>369713.77</v>
      </c>
      <c r="E266" s="149">
        <v>196</v>
      </c>
      <c r="F266" s="149">
        <v>2781</v>
      </c>
      <c r="G266" s="158">
        <v>62435.57</v>
      </c>
      <c r="H266" s="158">
        <f>603086.51+4312.36</f>
        <v>607398.87</v>
      </c>
      <c r="I266" s="158">
        <v>13480.18</v>
      </c>
      <c r="J266" s="158"/>
      <c r="K266" s="158"/>
    </row>
    <row r="267" spans="1:11" ht="15.75">
      <c r="A267" s="137"/>
      <c r="B267" s="137"/>
      <c r="C267" s="158"/>
      <c r="D267" s="158"/>
      <c r="E267" s="149"/>
      <c r="F267" s="149"/>
      <c r="G267" s="158"/>
      <c r="H267" s="158"/>
      <c r="I267" s="158"/>
      <c r="J267" s="158"/>
      <c r="K267" s="158"/>
    </row>
    <row r="268" spans="1:11" ht="15.75">
      <c r="A268" s="143">
        <v>2003</v>
      </c>
      <c r="B268" s="140" t="s">
        <v>93</v>
      </c>
      <c r="C268" s="138"/>
      <c r="D268" s="161"/>
      <c r="E268" s="138"/>
      <c r="F268" s="149"/>
      <c r="G268" s="170"/>
      <c r="H268" s="159"/>
      <c r="I268" s="170"/>
      <c r="J268" s="170"/>
      <c r="K268" s="170"/>
    </row>
    <row r="269" spans="1:11" ht="15.75">
      <c r="A269" s="137"/>
      <c r="B269" s="137" t="s">
        <v>49</v>
      </c>
      <c r="C269" s="159">
        <v>31286.12</v>
      </c>
      <c r="D269" s="161">
        <v>380217.56</v>
      </c>
      <c r="E269" s="149">
        <v>183</v>
      </c>
      <c r="F269" s="149">
        <v>2994</v>
      </c>
      <c r="G269" s="159">
        <v>40508.15</v>
      </c>
      <c r="H269" s="159">
        <f>337220.8+38.02+4959.41</f>
        <v>342218.23</v>
      </c>
      <c r="I269" s="159">
        <v>9831.0400000000009</v>
      </c>
      <c r="J269" s="159"/>
      <c r="K269" s="159"/>
    </row>
    <row r="270" spans="1:11" ht="15.75">
      <c r="A270" s="137"/>
      <c r="B270" s="137" t="s">
        <v>50</v>
      </c>
      <c r="C270" s="159">
        <v>16619.099999999999</v>
      </c>
      <c r="D270" s="161">
        <v>332851.37</v>
      </c>
      <c r="E270" s="149">
        <v>119</v>
      </c>
      <c r="F270" s="149">
        <v>2474</v>
      </c>
      <c r="G270" s="159">
        <v>48104.72</v>
      </c>
      <c r="H270" s="159">
        <f>338775.97+2989.93</f>
        <v>341765.89999999997</v>
      </c>
      <c r="I270" s="159">
        <v>14193.14</v>
      </c>
      <c r="J270" s="159"/>
      <c r="K270" s="159"/>
    </row>
    <row r="271" spans="1:11" ht="15.75">
      <c r="A271" s="137"/>
      <c r="B271" s="137" t="s">
        <v>51</v>
      </c>
      <c r="C271" s="158">
        <v>36593.620000000003</v>
      </c>
      <c r="D271" s="158">
        <v>395962.82</v>
      </c>
      <c r="E271" s="149">
        <v>188</v>
      </c>
      <c r="F271" s="149">
        <v>2758</v>
      </c>
      <c r="G271" s="158">
        <v>56287.86</v>
      </c>
      <c r="H271" s="158">
        <f>443519.8+1616.27</f>
        <v>445136.07</v>
      </c>
      <c r="I271" s="158">
        <v>14767.99</v>
      </c>
      <c r="J271" s="158"/>
      <c r="K271" s="158"/>
    </row>
    <row r="272" spans="1:11" ht="15.75">
      <c r="A272" s="137"/>
      <c r="B272" s="137"/>
      <c r="C272" s="158"/>
      <c r="D272" s="158"/>
      <c r="E272" s="149"/>
      <c r="F272" s="149"/>
      <c r="G272" s="158"/>
      <c r="H272" s="158"/>
      <c r="I272" s="158"/>
      <c r="J272" s="158"/>
      <c r="K272" s="158"/>
    </row>
    <row r="273" spans="1:11" ht="15.75">
      <c r="A273" s="143" t="s">
        <v>66</v>
      </c>
      <c r="B273" s="140" t="s">
        <v>94</v>
      </c>
      <c r="C273" s="138"/>
      <c r="D273" s="161"/>
      <c r="E273" s="138"/>
      <c r="F273" s="149"/>
      <c r="G273" s="170"/>
      <c r="H273" s="159"/>
      <c r="I273" s="170"/>
      <c r="J273" s="170"/>
      <c r="K273" s="170"/>
    </row>
    <row r="274" spans="1:11" ht="15.75">
      <c r="A274" s="137"/>
      <c r="B274" s="137" t="s">
        <v>52</v>
      </c>
      <c r="C274" s="159">
        <v>35343</v>
      </c>
      <c r="D274" s="161">
        <f>364823.98+1002.32</f>
        <v>365826.3</v>
      </c>
      <c r="E274" s="149">
        <v>236</v>
      </c>
      <c r="F274" s="149">
        <v>2679</v>
      </c>
      <c r="G274" s="159">
        <v>47940.81</v>
      </c>
      <c r="H274" s="159">
        <f>381073.77+3641.46+3334.07</f>
        <v>388049.30000000005</v>
      </c>
      <c r="I274" s="159">
        <v>12562.72</v>
      </c>
      <c r="J274" s="159"/>
      <c r="K274" s="159"/>
    </row>
    <row r="275" spans="1:11" ht="15.75">
      <c r="A275" s="137"/>
      <c r="B275" s="137" t="s">
        <v>53</v>
      </c>
      <c r="C275" s="159">
        <v>46613.87</v>
      </c>
      <c r="D275" s="161">
        <f>355154.15+204.63</f>
        <v>355358.78</v>
      </c>
      <c r="E275" s="149">
        <v>294</v>
      </c>
      <c r="F275" s="149">
        <v>2763</v>
      </c>
      <c r="G275" s="159">
        <v>38294.870000000003</v>
      </c>
      <c r="H275" s="159">
        <f>349863.49+1505.05</f>
        <v>351368.54</v>
      </c>
      <c r="I275" s="159">
        <v>11244.45</v>
      </c>
      <c r="J275" s="159"/>
      <c r="K275" s="159"/>
    </row>
    <row r="276" spans="1:11" ht="15.75">
      <c r="A276" s="137"/>
      <c r="B276" s="137" t="s">
        <v>54</v>
      </c>
      <c r="C276" s="158">
        <v>27103.7</v>
      </c>
      <c r="D276" s="158">
        <f>224750.04+74.55</f>
        <v>224824.59</v>
      </c>
      <c r="E276" s="149">
        <v>162</v>
      </c>
      <c r="F276" s="149">
        <v>1741</v>
      </c>
      <c r="G276" s="158">
        <v>28885.77</v>
      </c>
      <c r="H276" s="158">
        <f>314154.62+1394.54</f>
        <v>315549.15999999997</v>
      </c>
      <c r="I276" s="158">
        <v>11155.59</v>
      </c>
      <c r="J276" s="158"/>
      <c r="K276" s="158"/>
    </row>
    <row r="277" spans="1:11" ht="15.75">
      <c r="A277" s="137"/>
      <c r="B277" s="137"/>
      <c r="C277" s="158"/>
      <c r="D277" s="158"/>
      <c r="E277" s="149"/>
      <c r="F277" s="149"/>
      <c r="G277" s="158"/>
      <c r="H277" s="158"/>
      <c r="I277" s="158"/>
      <c r="J277" s="158"/>
      <c r="K277" s="158"/>
    </row>
    <row r="278" spans="1:11" ht="15.75">
      <c r="A278" s="143" t="s">
        <v>66</v>
      </c>
      <c r="B278" s="140" t="s">
        <v>95</v>
      </c>
      <c r="C278" s="138"/>
      <c r="D278" s="161"/>
      <c r="E278" s="138"/>
      <c r="F278" s="149"/>
      <c r="G278" s="170"/>
      <c r="H278" s="159"/>
      <c r="I278" s="170"/>
      <c r="J278" s="170"/>
      <c r="K278" s="170"/>
    </row>
    <row r="279" spans="1:11" ht="15.75">
      <c r="A279" s="137"/>
      <c r="B279" s="137" t="s">
        <v>55</v>
      </c>
      <c r="C279" s="159">
        <v>14828.84</v>
      </c>
      <c r="D279" s="161">
        <v>141422.73000000001</v>
      </c>
      <c r="E279" s="149">
        <v>134</v>
      </c>
      <c r="F279" s="149">
        <v>1615</v>
      </c>
      <c r="G279" s="159">
        <v>27397.06</v>
      </c>
      <c r="H279" s="159">
        <f>311238.21+2982.44</f>
        <v>314220.65000000002</v>
      </c>
      <c r="I279" s="159">
        <v>11134.35</v>
      </c>
      <c r="J279" s="159"/>
      <c r="K279" s="159"/>
    </row>
    <row r="280" spans="1:11" ht="15.75">
      <c r="A280" s="137"/>
      <c r="B280" s="137" t="s">
        <v>56</v>
      </c>
      <c r="C280" s="159">
        <v>29442.85</v>
      </c>
      <c r="D280" s="161">
        <v>148458.70000000001</v>
      </c>
      <c r="E280" s="149">
        <v>185</v>
      </c>
      <c r="F280" s="149">
        <v>1627</v>
      </c>
      <c r="G280" s="159">
        <v>37283.42</v>
      </c>
      <c r="H280" s="159">
        <f>373434.79+2450.61</f>
        <v>375885.39999999997</v>
      </c>
      <c r="I280" s="159">
        <v>12712.65</v>
      </c>
      <c r="J280" s="159"/>
      <c r="K280" s="159"/>
    </row>
    <row r="281" spans="1:11" ht="15.75">
      <c r="A281" s="137"/>
      <c r="B281" s="137" t="s">
        <v>57</v>
      </c>
      <c r="C281" s="158">
        <v>82813.31</v>
      </c>
      <c r="D281" s="158">
        <f>622677.06+504.87</f>
        <v>623181.93000000005</v>
      </c>
      <c r="E281" s="149">
        <v>563</v>
      </c>
      <c r="F281" s="149">
        <v>5988</v>
      </c>
      <c r="G281" s="158">
        <v>47148.33</v>
      </c>
      <c r="H281" s="158">
        <f>419129.17+3059.6</f>
        <v>422188.76999999996</v>
      </c>
      <c r="I281" s="158">
        <v>16994.61</v>
      </c>
      <c r="J281" s="158"/>
      <c r="K281" s="158"/>
    </row>
    <row r="282" spans="1:11" ht="15.75">
      <c r="A282" s="137"/>
      <c r="B282" s="137"/>
      <c r="C282" s="158"/>
      <c r="D282" s="158"/>
      <c r="E282" s="149"/>
      <c r="F282" s="149"/>
      <c r="G282" s="158"/>
      <c r="H282" s="158"/>
      <c r="I282" s="158"/>
      <c r="J282" s="158"/>
      <c r="K282" s="158"/>
    </row>
    <row r="283" spans="1:11" ht="15.75">
      <c r="A283" s="143" t="s">
        <v>66</v>
      </c>
      <c r="B283" s="140" t="s">
        <v>96</v>
      </c>
      <c r="C283" s="138"/>
      <c r="D283" s="161"/>
      <c r="E283" s="138"/>
      <c r="F283" s="149"/>
      <c r="G283" s="170"/>
      <c r="H283" s="159"/>
      <c r="I283" s="170"/>
      <c r="J283" s="170"/>
      <c r="K283" s="170"/>
    </row>
    <row r="284" spans="1:11" ht="15.75">
      <c r="A284" s="137"/>
      <c r="B284" s="137" t="s">
        <v>58</v>
      </c>
      <c r="C284" s="159">
        <v>27726.42</v>
      </c>
      <c r="D284" s="161">
        <v>309729.21000000002</v>
      </c>
      <c r="E284" s="149">
        <v>215</v>
      </c>
      <c r="F284" s="149">
        <f>2969</f>
        <v>2969</v>
      </c>
      <c r="G284" s="159">
        <v>44459.67</v>
      </c>
      <c r="H284" s="159">
        <f>342163.47+3430.79</f>
        <v>345594.25999999995</v>
      </c>
      <c r="I284" s="159">
        <v>10989.38</v>
      </c>
      <c r="J284" s="159"/>
      <c r="K284" s="159"/>
    </row>
    <row r="285" spans="1:11" ht="15.75">
      <c r="A285" s="137"/>
      <c r="B285" s="137" t="s">
        <v>59</v>
      </c>
      <c r="C285" s="159">
        <v>24654.23</v>
      </c>
      <c r="D285" s="161">
        <v>219651.4</v>
      </c>
      <c r="E285" s="149">
        <v>178</v>
      </c>
      <c r="F285" s="149">
        <f>1858</f>
        <v>1858</v>
      </c>
      <c r="G285" s="159">
        <v>33207.86</v>
      </c>
      <c r="H285" s="159">
        <f>368470.26+1863.31</f>
        <v>370333.57</v>
      </c>
      <c r="I285" s="159">
        <v>12959.87</v>
      </c>
      <c r="J285" s="159"/>
      <c r="K285" s="159"/>
    </row>
    <row r="286" spans="1:11" ht="15.75">
      <c r="A286" s="137"/>
      <c r="B286" s="137" t="s">
        <v>60</v>
      </c>
      <c r="C286" s="158">
        <v>30346.42</v>
      </c>
      <c r="D286" s="158">
        <v>267841.08</v>
      </c>
      <c r="E286" s="149">
        <v>189</v>
      </c>
      <c r="F286" s="149">
        <f>2157</f>
        <v>2157</v>
      </c>
      <c r="G286" s="158">
        <v>42992.39</v>
      </c>
      <c r="H286" s="158">
        <f>343632.86+3439.6</f>
        <v>347072.45999999996</v>
      </c>
      <c r="I286" s="158">
        <v>12989.38</v>
      </c>
      <c r="J286" s="158"/>
      <c r="K286" s="158"/>
    </row>
    <row r="287" spans="1:11" ht="15.75">
      <c r="A287" s="137"/>
      <c r="B287" s="137"/>
      <c r="C287" s="158"/>
      <c r="D287" s="158"/>
      <c r="E287" s="149"/>
      <c r="F287" s="149"/>
      <c r="G287" s="158"/>
      <c r="H287" s="158"/>
      <c r="I287" s="158"/>
      <c r="J287" s="158"/>
      <c r="K287" s="158"/>
    </row>
    <row r="288" spans="1:11" ht="15.75">
      <c r="A288" s="143">
        <v>2004</v>
      </c>
      <c r="B288" s="140" t="s">
        <v>97</v>
      </c>
      <c r="C288" s="138"/>
      <c r="D288" s="161"/>
      <c r="E288" s="138"/>
      <c r="F288" s="149"/>
      <c r="G288" s="170"/>
      <c r="H288" s="159"/>
      <c r="I288" s="170"/>
      <c r="J288" s="170"/>
      <c r="K288" s="170"/>
    </row>
    <row r="289" spans="1:11" ht="15.75">
      <c r="A289" s="137"/>
      <c r="B289" s="137" t="s">
        <v>49</v>
      </c>
      <c r="C289" s="159">
        <v>32094.2</v>
      </c>
      <c r="D289" s="161">
        <v>233169.91</v>
      </c>
      <c r="E289" s="149">
        <v>243</v>
      </c>
      <c r="F289" s="149">
        <v>2945</v>
      </c>
      <c r="G289" s="159">
        <v>59149.82</v>
      </c>
      <c r="H289" s="159">
        <f>350099.03+919.02</f>
        <v>351018.05000000005</v>
      </c>
      <c r="I289" s="159">
        <v>12652.19</v>
      </c>
      <c r="J289" s="159"/>
      <c r="K289" s="159"/>
    </row>
    <row r="290" spans="1:11" ht="15.75">
      <c r="A290" s="137"/>
      <c r="B290" s="137" t="s">
        <v>50</v>
      </c>
      <c r="C290" s="159">
        <v>33932.06</v>
      </c>
      <c r="D290" s="161">
        <f>267715.76+112.11</f>
        <v>267827.87</v>
      </c>
      <c r="E290" s="149">
        <v>274</v>
      </c>
      <c r="F290" s="149">
        <v>4122</v>
      </c>
      <c r="G290" s="159">
        <v>41069.370000000003</v>
      </c>
      <c r="H290" s="159">
        <f>390710.18+408.41+2741.33</f>
        <v>393859.92</v>
      </c>
      <c r="I290" s="159">
        <v>19611.7</v>
      </c>
      <c r="J290" s="159"/>
      <c r="K290" s="159"/>
    </row>
    <row r="291" spans="1:11" ht="15.75">
      <c r="A291" s="137"/>
      <c r="B291" s="137" t="s">
        <v>51</v>
      </c>
      <c r="C291" s="158">
        <v>43402.15</v>
      </c>
      <c r="D291" s="158">
        <f>347570.74+206.57</f>
        <v>347777.31</v>
      </c>
      <c r="E291" s="149">
        <v>235</v>
      </c>
      <c r="F291" s="149">
        <v>3167</v>
      </c>
      <c r="G291" s="158">
        <v>46963.4</v>
      </c>
      <c r="H291" s="158">
        <f>385541.1+1341.06+1018.9</f>
        <v>387901.06</v>
      </c>
      <c r="I291" s="158">
        <v>16661.509999999998</v>
      </c>
      <c r="J291" s="158"/>
      <c r="K291" s="158"/>
    </row>
    <row r="292" spans="1:11" ht="15.75">
      <c r="A292" s="137"/>
      <c r="B292" s="137"/>
      <c r="C292" s="158"/>
      <c r="D292" s="158"/>
      <c r="E292" s="149"/>
      <c r="F292" s="149"/>
      <c r="G292" s="158"/>
      <c r="H292" s="158"/>
      <c r="I292" s="158"/>
      <c r="J292" s="158"/>
      <c r="K292" s="158"/>
    </row>
    <row r="293" spans="1:11" ht="15.75">
      <c r="A293" s="143" t="s">
        <v>66</v>
      </c>
      <c r="B293" s="140" t="s">
        <v>98</v>
      </c>
      <c r="C293" s="138"/>
      <c r="D293" s="161"/>
      <c r="E293" s="138"/>
      <c r="F293" s="149"/>
      <c r="G293" s="170"/>
      <c r="H293" s="159"/>
      <c r="I293" s="170"/>
      <c r="J293" s="170"/>
      <c r="K293" s="170"/>
    </row>
    <row r="294" spans="1:11" ht="15.75">
      <c r="A294" s="137"/>
      <c r="B294" s="137" t="s">
        <v>52</v>
      </c>
      <c r="C294" s="159">
        <v>38624.449999999997</v>
      </c>
      <c r="D294" s="161">
        <f>302683.16+580.66</f>
        <v>303263.81999999995</v>
      </c>
      <c r="E294" s="149">
        <v>243</v>
      </c>
      <c r="F294" s="149">
        <f>2943+5</f>
        <v>2948</v>
      </c>
      <c r="G294" s="159">
        <v>55929.86</v>
      </c>
      <c r="H294" s="159">
        <f>414896.63+1276.44</f>
        <v>416173.07</v>
      </c>
      <c r="I294" s="159">
        <v>19344.150000000001</v>
      </c>
      <c r="J294" s="159"/>
      <c r="K294" s="159"/>
    </row>
    <row r="295" spans="1:11" ht="15.75">
      <c r="A295" s="137"/>
      <c r="B295" s="137" t="s">
        <v>53</v>
      </c>
      <c r="C295" s="159">
        <v>44475.82</v>
      </c>
      <c r="D295" s="161">
        <f>278155.08+510.71</f>
        <v>278665.79000000004</v>
      </c>
      <c r="E295" s="149">
        <v>251</v>
      </c>
      <c r="F295" s="149">
        <f>2631+2</f>
        <v>2633</v>
      </c>
      <c r="G295" s="159">
        <v>49710.27</v>
      </c>
      <c r="H295" s="159">
        <f>341647.97+1516.94</f>
        <v>343164.91</v>
      </c>
      <c r="I295" s="159">
        <v>14569.84</v>
      </c>
      <c r="J295" s="159"/>
      <c r="K295" s="159"/>
    </row>
    <row r="296" spans="1:11" ht="15.75">
      <c r="A296" s="137"/>
      <c r="B296" s="137" t="s">
        <v>54</v>
      </c>
      <c r="C296" s="158">
        <v>107301.42</v>
      </c>
      <c r="D296" s="158">
        <f>328296.65</f>
        <v>328296.65000000002</v>
      </c>
      <c r="E296" s="149">
        <v>447</v>
      </c>
      <c r="F296" s="149">
        <f>3410+1</f>
        <v>3411</v>
      </c>
      <c r="G296" s="158">
        <v>46085.120000000003</v>
      </c>
      <c r="H296" s="158">
        <f>297015.62+417.27+2247.5</f>
        <v>299680.39</v>
      </c>
      <c r="I296" s="158">
        <v>21562.720000000001</v>
      </c>
      <c r="J296" s="158"/>
      <c r="K296" s="158"/>
    </row>
    <row r="297" spans="1:11" ht="15.75">
      <c r="A297" s="137"/>
      <c r="B297" s="137"/>
      <c r="C297" s="158"/>
      <c r="D297" s="158"/>
      <c r="E297" s="149"/>
      <c r="F297" s="149"/>
      <c r="G297" s="158"/>
      <c r="H297" s="158"/>
      <c r="I297" s="158"/>
      <c r="J297" s="158"/>
      <c r="K297" s="158"/>
    </row>
    <row r="298" spans="1:11" ht="15.75">
      <c r="A298" s="143" t="s">
        <v>66</v>
      </c>
      <c r="B298" s="140" t="s">
        <v>99</v>
      </c>
      <c r="C298" s="138"/>
      <c r="D298" s="161"/>
      <c r="E298" s="138"/>
      <c r="F298" s="149"/>
      <c r="G298" s="170"/>
      <c r="H298" s="159"/>
      <c r="I298" s="170"/>
      <c r="J298" s="170"/>
      <c r="K298" s="170"/>
    </row>
    <row r="299" spans="1:11" ht="15.75">
      <c r="A299" s="137"/>
      <c r="B299" s="137" t="s">
        <v>55</v>
      </c>
      <c r="C299" s="159">
        <v>66399.570000000007</v>
      </c>
      <c r="D299" s="161">
        <f>236036.75</f>
        <v>236036.75</v>
      </c>
      <c r="E299" s="149">
        <v>399</v>
      </c>
      <c r="F299" s="149">
        <v>3170</v>
      </c>
      <c r="G299" s="159">
        <v>34539.69</v>
      </c>
      <c r="H299" s="159">
        <f>264840.95+2216.99</f>
        <v>267057.94</v>
      </c>
      <c r="I299" s="159">
        <v>14244.09</v>
      </c>
      <c r="J299" s="159"/>
      <c r="K299" s="159"/>
    </row>
    <row r="300" spans="1:11" ht="15.75">
      <c r="A300" s="137"/>
      <c r="B300" s="137" t="s">
        <v>56</v>
      </c>
      <c r="C300" s="159">
        <v>50573.98</v>
      </c>
      <c r="D300" s="161">
        <f>298402.99</f>
        <v>298402.99</v>
      </c>
      <c r="E300" s="149">
        <v>287</v>
      </c>
      <c r="F300" s="149">
        <v>3354</v>
      </c>
      <c r="G300" s="159">
        <v>49601.89</v>
      </c>
      <c r="H300" s="159">
        <f>353145.33+3530.2</f>
        <v>356675.53</v>
      </c>
      <c r="I300" s="159">
        <v>20295.099999999999</v>
      </c>
      <c r="J300" s="159"/>
      <c r="K300" s="159"/>
    </row>
    <row r="301" spans="1:11" ht="15.75">
      <c r="A301" s="137"/>
      <c r="B301" s="137" t="s">
        <v>57</v>
      </c>
      <c r="C301" s="158">
        <v>51128.33</v>
      </c>
      <c r="D301" s="158">
        <f>440193.98+79.56</f>
        <v>440273.54</v>
      </c>
      <c r="E301" s="149">
        <v>288</v>
      </c>
      <c r="F301" s="149">
        <f>3886+2</f>
        <v>3888</v>
      </c>
      <c r="G301" s="158">
        <v>57097.279999999999</v>
      </c>
      <c r="H301" s="158">
        <f>368762.99+1825.95</f>
        <v>370588.94</v>
      </c>
      <c r="I301" s="158">
        <v>16026.52</v>
      </c>
      <c r="J301" s="158"/>
      <c r="K301" s="158"/>
    </row>
    <row r="302" spans="1:11" ht="15.75">
      <c r="A302" s="137"/>
      <c r="B302" s="137"/>
      <c r="C302" s="158"/>
      <c r="D302" s="158"/>
      <c r="E302" s="149"/>
      <c r="F302" s="149"/>
      <c r="G302" s="158"/>
      <c r="H302" s="158"/>
      <c r="I302" s="158"/>
      <c r="J302" s="158"/>
      <c r="K302" s="158"/>
    </row>
    <row r="303" spans="1:11" ht="15.75">
      <c r="A303" s="143" t="s">
        <v>66</v>
      </c>
      <c r="B303" s="140" t="s">
        <v>100</v>
      </c>
      <c r="C303" s="138"/>
      <c r="D303" s="161"/>
      <c r="E303" s="138"/>
      <c r="F303" s="149"/>
      <c r="G303" s="170"/>
      <c r="H303" s="159"/>
      <c r="I303" s="170"/>
      <c r="J303" s="170"/>
      <c r="K303" s="170"/>
    </row>
    <row r="304" spans="1:11" ht="15.75">
      <c r="A304" s="137"/>
      <c r="B304" s="137" t="s">
        <v>58</v>
      </c>
      <c r="C304" s="159">
        <v>44076.31</v>
      </c>
      <c r="D304" s="161">
        <v>386703.35</v>
      </c>
      <c r="E304" s="149">
        <v>249</v>
      </c>
      <c r="F304" s="149">
        <v>3978</v>
      </c>
      <c r="G304" s="159">
        <v>54281.09</v>
      </c>
      <c r="H304" s="159">
        <f>350608.31+413.32+2679.15</f>
        <v>353700.78</v>
      </c>
      <c r="I304" s="159">
        <v>17851.73</v>
      </c>
      <c r="J304" s="159"/>
      <c r="K304" s="159"/>
    </row>
    <row r="305" spans="1:11" ht="15.75">
      <c r="A305" s="137"/>
      <c r="B305" s="137" t="s">
        <v>59</v>
      </c>
      <c r="C305" s="159">
        <v>26230.02</v>
      </c>
      <c r="D305" s="161">
        <v>334899.82</v>
      </c>
      <c r="E305" s="149">
        <v>186</v>
      </c>
      <c r="F305" s="149">
        <v>2888</v>
      </c>
      <c r="G305" s="159">
        <v>105638.23</v>
      </c>
      <c r="H305" s="159">
        <f>386064.08+2446.97</f>
        <v>388511.05</v>
      </c>
      <c r="I305" s="159">
        <v>27644.61</v>
      </c>
      <c r="J305" s="159"/>
      <c r="K305" s="159"/>
    </row>
    <row r="306" spans="1:11" ht="15.75">
      <c r="A306" s="137"/>
      <c r="B306" s="137" t="s">
        <v>60</v>
      </c>
      <c r="C306" s="158">
        <v>19743.59</v>
      </c>
      <c r="D306" s="158">
        <v>365377.53</v>
      </c>
      <c r="E306" s="149">
        <v>136</v>
      </c>
      <c r="F306" s="149">
        <v>3133</v>
      </c>
      <c r="G306" s="158">
        <v>71692.87</v>
      </c>
      <c r="H306" s="158">
        <f>339084.24+1835.05</f>
        <v>340919.29</v>
      </c>
      <c r="I306" s="158">
        <v>19492.330000000002</v>
      </c>
      <c r="J306" s="158"/>
      <c r="K306" s="158"/>
    </row>
    <row r="307" spans="1:11" ht="15.75">
      <c r="A307" s="136" t="s">
        <v>133</v>
      </c>
      <c r="B307" s="137"/>
      <c r="C307" s="138"/>
      <c r="D307" s="138"/>
      <c r="E307" s="138"/>
      <c r="F307" s="138"/>
      <c r="G307" s="138"/>
      <c r="H307" s="138"/>
      <c r="I307" s="138"/>
      <c r="J307" s="138"/>
      <c r="K307" s="138"/>
    </row>
    <row r="308" spans="1:11" ht="22.5">
      <c r="A308" s="136"/>
      <c r="B308" s="137"/>
      <c r="C308" s="290" t="s">
        <v>139</v>
      </c>
      <c r="D308" s="290"/>
      <c r="E308" s="290"/>
      <c r="F308" s="290"/>
      <c r="G308" s="138"/>
      <c r="H308" s="138"/>
      <c r="I308" s="138"/>
      <c r="J308" s="138"/>
      <c r="K308" s="138"/>
    </row>
    <row r="309" spans="1:11" ht="22.5">
      <c r="A309" s="136"/>
      <c r="B309" s="140"/>
      <c r="C309" s="291" t="s">
        <v>130</v>
      </c>
      <c r="D309" s="290"/>
      <c r="E309" s="291" t="s">
        <v>131</v>
      </c>
      <c r="F309" s="290"/>
      <c r="G309" s="290" t="s">
        <v>140</v>
      </c>
      <c r="H309" s="290"/>
      <c r="I309" s="290" t="s">
        <v>141</v>
      </c>
      <c r="J309" s="290"/>
      <c r="K309" s="290"/>
    </row>
    <row r="310" spans="1:11" ht="15.75">
      <c r="A310" s="140" t="s">
        <v>81</v>
      </c>
      <c r="B310" s="140" t="s">
        <v>82</v>
      </c>
      <c r="C310" s="156" t="s">
        <v>126</v>
      </c>
      <c r="D310" s="156" t="s">
        <v>127</v>
      </c>
      <c r="E310" s="156" t="s">
        <v>126</v>
      </c>
      <c r="F310" s="156" t="s">
        <v>127</v>
      </c>
      <c r="G310" s="156" t="s">
        <v>126</v>
      </c>
      <c r="H310" s="156" t="s">
        <v>132</v>
      </c>
      <c r="I310" s="156" t="s">
        <v>126</v>
      </c>
      <c r="J310" s="156"/>
      <c r="K310" s="156"/>
    </row>
    <row r="311" spans="1:11" ht="15.75">
      <c r="A311" s="143">
        <v>2005</v>
      </c>
      <c r="B311" s="140" t="s">
        <v>101</v>
      </c>
      <c r="C311" s="138"/>
      <c r="D311" s="161"/>
      <c r="E311" s="138"/>
      <c r="F311" s="149"/>
      <c r="G311" s="170"/>
      <c r="H311" s="159"/>
      <c r="I311" s="170"/>
      <c r="J311" s="170"/>
      <c r="K311" s="170"/>
    </row>
    <row r="312" spans="1:11" ht="15.75">
      <c r="A312" s="137"/>
      <c r="B312" s="137" t="s">
        <v>49</v>
      </c>
      <c r="C312" s="159">
        <v>16997</v>
      </c>
      <c r="D312" s="161">
        <v>231944.86</v>
      </c>
      <c r="E312" s="149">
        <v>139</v>
      </c>
      <c r="F312" s="149">
        <v>2730</v>
      </c>
      <c r="G312" s="159">
        <v>60250.879999999997</v>
      </c>
      <c r="H312" s="159">
        <f>307150.09+2171.08</f>
        <v>309321.17000000004</v>
      </c>
      <c r="I312" s="159">
        <v>22132.71</v>
      </c>
      <c r="J312" s="159"/>
      <c r="K312" s="159"/>
    </row>
    <row r="313" spans="1:11" ht="15.75">
      <c r="A313" s="137"/>
      <c r="B313" s="137" t="s">
        <v>50</v>
      </c>
      <c r="C313" s="159">
        <v>12019.21</v>
      </c>
      <c r="D313" s="161">
        <v>210403.46</v>
      </c>
      <c r="E313" s="149">
        <v>93</v>
      </c>
      <c r="F313" s="149">
        <v>2364</v>
      </c>
      <c r="G313" s="159">
        <v>59181.56</v>
      </c>
      <c r="H313" s="159">
        <f>406726.99+2751.23</f>
        <v>409478.22</v>
      </c>
      <c r="I313" s="159">
        <v>31159.8</v>
      </c>
      <c r="J313" s="159"/>
      <c r="K313" s="159"/>
    </row>
    <row r="314" spans="1:11" ht="15.75">
      <c r="A314" s="137"/>
      <c r="B314" s="137" t="s">
        <v>51</v>
      </c>
      <c r="C314" s="158">
        <v>17894.810000000001</v>
      </c>
      <c r="D314" s="158">
        <v>356228.71</v>
      </c>
      <c r="E314" s="149">
        <v>139</v>
      </c>
      <c r="F314" s="149">
        <v>3134</v>
      </c>
      <c r="G314" s="158">
        <v>58461.91</v>
      </c>
      <c r="H314" s="158">
        <f>435546.28+1470.73</f>
        <v>437017.01</v>
      </c>
      <c r="I314" s="158">
        <v>23345.15</v>
      </c>
      <c r="J314" s="158"/>
      <c r="K314" s="158"/>
    </row>
    <row r="315" spans="1:11" ht="15.75">
      <c r="A315" s="137"/>
      <c r="B315" s="137"/>
      <c r="C315" s="158"/>
      <c r="D315" s="158"/>
      <c r="E315" s="149"/>
      <c r="F315" s="149"/>
      <c r="G315" s="158"/>
      <c r="H315" s="158"/>
      <c r="I315" s="158"/>
      <c r="J315" s="158"/>
      <c r="K315" s="158"/>
    </row>
    <row r="316" spans="1:11" ht="15.75">
      <c r="A316" s="143" t="s">
        <v>66</v>
      </c>
      <c r="B316" s="140" t="s">
        <v>102</v>
      </c>
      <c r="C316" s="138"/>
      <c r="D316" s="161"/>
      <c r="E316" s="138"/>
      <c r="F316" s="149"/>
      <c r="G316" s="170"/>
      <c r="H316" s="159"/>
      <c r="I316" s="170"/>
      <c r="J316" s="170"/>
      <c r="K316" s="170"/>
    </row>
    <row r="317" spans="1:11" ht="15.75">
      <c r="A317" s="137"/>
      <c r="B317" s="137" t="s">
        <v>52</v>
      </c>
      <c r="C317" s="159">
        <v>31549.59</v>
      </c>
      <c r="D317" s="161">
        <v>280050</v>
      </c>
      <c r="E317" s="149">
        <v>191</v>
      </c>
      <c r="F317" s="149">
        <v>2993</v>
      </c>
      <c r="G317" s="159">
        <v>38836.76</v>
      </c>
      <c r="H317" s="159">
        <f>374842.17+1697.2</f>
        <v>376539.37</v>
      </c>
      <c r="I317" s="159">
        <v>20298.68</v>
      </c>
      <c r="J317" s="159"/>
      <c r="K317" s="159"/>
    </row>
    <row r="318" spans="1:11" ht="15.75">
      <c r="A318" s="137"/>
      <c r="B318" s="137" t="s">
        <v>53</v>
      </c>
      <c r="C318" s="159">
        <v>30247.52</v>
      </c>
      <c r="D318" s="161">
        <v>264695.03000000003</v>
      </c>
      <c r="E318" s="149">
        <v>215</v>
      </c>
      <c r="F318" s="149">
        <v>2539</v>
      </c>
      <c r="G318" s="159">
        <v>29590.05</v>
      </c>
      <c r="H318" s="159">
        <f>314840.41+3043.96</f>
        <v>317884.37</v>
      </c>
      <c r="I318" s="159">
        <v>21047</v>
      </c>
      <c r="J318" s="159"/>
      <c r="K318" s="159"/>
    </row>
    <row r="319" spans="1:11" ht="15.75">
      <c r="A319" s="137"/>
      <c r="B319" s="137" t="s">
        <v>54</v>
      </c>
      <c r="C319" s="158">
        <v>30461.83</v>
      </c>
      <c r="D319" s="158">
        <v>339345.1</v>
      </c>
      <c r="E319" s="149">
        <v>217</v>
      </c>
      <c r="F319" s="149">
        <v>3172</v>
      </c>
      <c r="G319" s="158">
        <v>26584.16</v>
      </c>
      <c r="H319" s="158">
        <f>277051.15+6850.57</f>
        <v>283901.72000000003</v>
      </c>
      <c r="I319" s="158">
        <v>16066.77</v>
      </c>
      <c r="J319" s="158"/>
      <c r="K319" s="158"/>
    </row>
    <row r="320" spans="1:11" ht="15.75">
      <c r="A320" s="137"/>
      <c r="B320" s="137"/>
      <c r="C320" s="158"/>
      <c r="D320" s="158"/>
      <c r="E320" s="149"/>
      <c r="F320" s="149"/>
      <c r="G320" s="158"/>
      <c r="H320" s="158"/>
      <c r="I320" s="158"/>
      <c r="J320" s="158"/>
      <c r="K320" s="158"/>
    </row>
    <row r="321" spans="1:11" ht="15.75">
      <c r="A321" s="143" t="s">
        <v>66</v>
      </c>
      <c r="B321" s="140" t="s">
        <v>103</v>
      </c>
      <c r="C321" s="138"/>
      <c r="D321" s="161"/>
      <c r="E321" s="138"/>
      <c r="F321" s="149"/>
      <c r="G321" s="170"/>
      <c r="H321" s="159"/>
      <c r="I321" s="170"/>
      <c r="J321" s="170"/>
      <c r="K321" s="170"/>
    </row>
    <row r="322" spans="1:11" ht="15.75">
      <c r="A322" s="137"/>
      <c r="B322" s="137" t="s">
        <v>55</v>
      </c>
      <c r="C322" s="159">
        <v>34697.93</v>
      </c>
      <c r="D322" s="161">
        <v>258383.34</v>
      </c>
      <c r="E322" s="149">
        <v>254</v>
      </c>
      <c r="F322" s="149">
        <v>3099</v>
      </c>
      <c r="G322" s="159">
        <v>29508.3</v>
      </c>
      <c r="H322" s="159">
        <f>272412.66+1269.9</f>
        <v>273682.56</v>
      </c>
      <c r="I322" s="159">
        <v>19004.93</v>
      </c>
      <c r="J322" s="159"/>
      <c r="K322" s="159"/>
    </row>
    <row r="323" spans="1:11" ht="15.75">
      <c r="A323" s="137"/>
      <c r="B323" s="137" t="s">
        <v>56</v>
      </c>
      <c r="C323" s="159">
        <v>40758.910000000003</v>
      </c>
      <c r="D323" s="161">
        <v>309433.49</v>
      </c>
      <c r="E323" s="149">
        <v>310</v>
      </c>
      <c r="F323" s="149">
        <v>3507</v>
      </c>
      <c r="G323" s="159">
        <v>27717.71</v>
      </c>
      <c r="H323" s="159">
        <f>367231.04+1289.89</f>
        <v>368520.93</v>
      </c>
      <c r="I323" s="159">
        <v>19665.41</v>
      </c>
      <c r="J323" s="159"/>
      <c r="K323" s="159"/>
    </row>
    <row r="324" spans="1:11" ht="15.75">
      <c r="A324" s="137"/>
      <c r="B324" s="137" t="s">
        <v>57</v>
      </c>
      <c r="C324" s="158">
        <v>38152.639999999999</v>
      </c>
      <c r="D324" s="158">
        <v>373976.86</v>
      </c>
      <c r="E324" s="149">
        <v>256</v>
      </c>
      <c r="F324" s="149">
        <v>3240</v>
      </c>
      <c r="G324" s="158">
        <v>36908.050000000003</v>
      </c>
      <c r="H324" s="158">
        <f>365727.85+1571.01</f>
        <v>367298.86</v>
      </c>
      <c r="I324" s="158">
        <v>19394.669999999998</v>
      </c>
      <c r="J324" s="158"/>
      <c r="K324" s="158"/>
    </row>
    <row r="325" spans="1:11" ht="15.75">
      <c r="A325" s="137"/>
      <c r="B325" s="137"/>
      <c r="C325" s="158"/>
      <c r="D325" s="158"/>
      <c r="E325" s="149"/>
      <c r="F325" s="149"/>
      <c r="G325" s="158"/>
      <c r="H325" s="158"/>
      <c r="I325" s="158"/>
      <c r="J325" s="158"/>
      <c r="K325" s="158"/>
    </row>
    <row r="326" spans="1:11" ht="15.75">
      <c r="A326" s="143" t="s">
        <v>66</v>
      </c>
      <c r="B326" s="140" t="s">
        <v>104</v>
      </c>
      <c r="C326" s="138"/>
      <c r="D326" s="161"/>
      <c r="E326" s="138"/>
      <c r="F326" s="149"/>
      <c r="G326" s="170"/>
      <c r="H326" s="159"/>
      <c r="I326" s="170"/>
      <c r="J326" s="170"/>
      <c r="K326" s="170"/>
    </row>
    <row r="327" spans="1:11" ht="15.75">
      <c r="A327" s="137"/>
      <c r="B327" s="137" t="s">
        <v>58</v>
      </c>
      <c r="C327" s="159">
        <v>25261.65</v>
      </c>
      <c r="D327" s="161">
        <v>340869.84</v>
      </c>
      <c r="E327" s="149">
        <v>259</v>
      </c>
      <c r="F327" s="149">
        <v>3703</v>
      </c>
      <c r="G327" s="159">
        <v>45975.9</v>
      </c>
      <c r="H327" s="159">
        <f>373847.45+357.97</f>
        <v>374205.42</v>
      </c>
      <c r="I327" s="159">
        <v>18537.59</v>
      </c>
      <c r="J327" s="159"/>
      <c r="K327" s="159"/>
    </row>
    <row r="328" spans="1:11" ht="15.75">
      <c r="A328" s="137"/>
      <c r="B328" s="137" t="s">
        <v>59</v>
      </c>
      <c r="C328" s="159">
        <v>40505.99</v>
      </c>
      <c r="D328" s="161">
        <v>386814.63</v>
      </c>
      <c r="E328" s="149">
        <v>249</v>
      </c>
      <c r="F328" s="149">
        <v>3426</v>
      </c>
      <c r="G328" s="159">
        <v>48432.84</v>
      </c>
      <c r="H328" s="159">
        <f>439034.83+3604.92+4175.93</f>
        <v>446815.68</v>
      </c>
      <c r="I328" s="159">
        <v>26352.58</v>
      </c>
      <c r="J328" s="159"/>
      <c r="K328" s="159"/>
    </row>
    <row r="329" spans="1:11" ht="15.75">
      <c r="A329" s="137"/>
      <c r="B329" s="137" t="s">
        <v>60</v>
      </c>
      <c r="C329" s="158">
        <f>32863.89+2.52</f>
        <v>32866.409999999996</v>
      </c>
      <c r="D329" s="158">
        <v>438258.21</v>
      </c>
      <c r="E329" s="149">
        <v>221</v>
      </c>
      <c r="F329" s="149">
        <v>3542</v>
      </c>
      <c r="G329" s="158">
        <v>40182.85</v>
      </c>
      <c r="H329" s="158">
        <f>321077.16+506.38</f>
        <v>321583.53999999998</v>
      </c>
      <c r="I329" s="158">
        <v>17004.990000000002</v>
      </c>
      <c r="J329" s="158"/>
      <c r="K329" s="158"/>
    </row>
    <row r="330" spans="1:11" ht="15.75">
      <c r="A330" s="137"/>
      <c r="B330" s="137"/>
      <c r="C330" s="158"/>
      <c r="D330" s="158"/>
      <c r="E330" s="149"/>
      <c r="F330" s="149"/>
      <c r="G330" s="158"/>
      <c r="H330" s="158"/>
      <c r="I330" s="158"/>
      <c r="J330" s="158"/>
      <c r="K330" s="158"/>
    </row>
    <row r="331" spans="1:11" ht="15.75">
      <c r="A331" s="143">
        <v>2006</v>
      </c>
      <c r="B331" s="140" t="s">
        <v>112</v>
      </c>
      <c r="C331" s="138"/>
      <c r="D331" s="161"/>
      <c r="E331" s="138"/>
      <c r="F331" s="149"/>
      <c r="G331" s="170"/>
      <c r="H331" s="159"/>
      <c r="I331" s="170"/>
      <c r="J331" s="170"/>
      <c r="K331" s="170"/>
    </row>
    <row r="332" spans="1:11" ht="15.75">
      <c r="A332" s="137"/>
      <c r="B332" s="164" t="s">
        <v>49</v>
      </c>
      <c r="C332" s="171">
        <v>19900.79</v>
      </c>
      <c r="D332" s="167">
        <f>207114.92+113.99</f>
        <v>207228.91</v>
      </c>
      <c r="E332" s="168">
        <f>187</f>
        <v>187</v>
      </c>
      <c r="F332" s="168">
        <f>2625+1+4</f>
        <v>2630</v>
      </c>
      <c r="G332" s="171">
        <v>32459.52</v>
      </c>
      <c r="H332" s="171">
        <f>287185.63+229.74+819.67</f>
        <v>288235.03999999998</v>
      </c>
      <c r="I332" s="171">
        <f>13765.75</f>
        <v>13765.75</v>
      </c>
      <c r="J332" s="171"/>
      <c r="K332" s="171"/>
    </row>
    <row r="333" spans="1:11" ht="15.75">
      <c r="A333" s="137"/>
      <c r="B333" s="164" t="s">
        <v>50</v>
      </c>
      <c r="C333" s="171">
        <v>24598.39</v>
      </c>
      <c r="D333" s="167">
        <f>265471.62</f>
        <v>265471.62</v>
      </c>
      <c r="E333" s="168">
        <f>165</f>
        <v>165</v>
      </c>
      <c r="F333" s="168">
        <f>2547</f>
        <v>2547</v>
      </c>
      <c r="G333" s="171">
        <v>40037.67</v>
      </c>
      <c r="H333" s="171">
        <f>326409.83</f>
        <v>326409.83</v>
      </c>
      <c r="I333" s="171">
        <f>16444.72</f>
        <v>16444.72</v>
      </c>
      <c r="J333" s="171"/>
      <c r="K333" s="171"/>
    </row>
    <row r="334" spans="1:11" ht="15.75">
      <c r="A334" s="137"/>
      <c r="B334" s="164" t="s">
        <v>51</v>
      </c>
      <c r="C334" s="169">
        <v>22787.33</v>
      </c>
      <c r="D334" s="169">
        <f>368132.56+293.29</f>
        <v>368425.85</v>
      </c>
      <c r="E334" s="168">
        <f>161</f>
        <v>161</v>
      </c>
      <c r="F334" s="168">
        <f>3318+1</f>
        <v>3319</v>
      </c>
      <c r="G334" s="169">
        <v>37254.21</v>
      </c>
      <c r="H334" s="169">
        <f>368138.09+503.26</f>
        <v>368641.35000000003</v>
      </c>
      <c r="I334" s="169">
        <f>14451.4</f>
        <v>14451.4</v>
      </c>
      <c r="J334" s="169"/>
      <c r="K334" s="169"/>
    </row>
    <row r="335" spans="1:11" ht="15.75">
      <c r="A335" s="137"/>
      <c r="B335" s="137"/>
      <c r="C335" s="158"/>
      <c r="D335" s="158"/>
      <c r="E335" s="149"/>
      <c r="F335" s="149"/>
      <c r="G335" s="158"/>
      <c r="H335" s="158"/>
      <c r="I335" s="158"/>
      <c r="J335" s="158"/>
      <c r="K335" s="158"/>
    </row>
    <row r="336" spans="1:11" ht="15.75">
      <c r="A336" s="143" t="s">
        <v>66</v>
      </c>
      <c r="B336" s="140" t="s">
        <v>113</v>
      </c>
      <c r="C336" s="138"/>
      <c r="D336" s="161"/>
      <c r="E336" s="138"/>
      <c r="F336" s="149"/>
      <c r="G336" s="170"/>
      <c r="H336" s="159"/>
      <c r="I336" s="170"/>
      <c r="J336" s="170"/>
      <c r="K336" s="170"/>
    </row>
    <row r="337" spans="1:11" ht="15.75">
      <c r="A337" s="137"/>
      <c r="B337" s="137" t="s">
        <v>52</v>
      </c>
      <c r="C337" s="171">
        <v>31899.25</v>
      </c>
      <c r="D337" s="167">
        <v>280895.61</v>
      </c>
      <c r="E337" s="168">
        <v>210</v>
      </c>
      <c r="F337" s="168">
        <v>2877</v>
      </c>
      <c r="G337" s="171">
        <v>33022.86</v>
      </c>
      <c r="H337" s="171">
        <f>350015.82+467.1</f>
        <v>350482.92</v>
      </c>
      <c r="I337" s="171">
        <v>15191.32</v>
      </c>
      <c r="J337" s="171"/>
      <c r="K337" s="171"/>
    </row>
    <row r="338" spans="1:11" ht="15.75">
      <c r="A338" s="137"/>
      <c r="B338" s="137" t="s">
        <v>53</v>
      </c>
      <c r="C338" s="171">
        <v>43836.1</v>
      </c>
      <c r="D338" s="167">
        <v>344029.88</v>
      </c>
      <c r="E338" s="168">
        <v>252</v>
      </c>
      <c r="F338" s="168">
        <v>3148</v>
      </c>
      <c r="G338" s="171">
        <v>31470.93</v>
      </c>
      <c r="H338" s="171">
        <f>307843.34+12.86</f>
        <v>307856.2</v>
      </c>
      <c r="I338" s="171">
        <v>12343.61</v>
      </c>
      <c r="J338" s="171"/>
      <c r="K338" s="171"/>
    </row>
    <row r="339" spans="1:11" ht="15.75">
      <c r="A339" s="137"/>
      <c r="B339" s="137" t="s">
        <v>54</v>
      </c>
      <c r="C339" s="169">
        <v>45637.26</v>
      </c>
      <c r="D339" s="169">
        <v>326834.40999999997</v>
      </c>
      <c r="E339" s="168">
        <v>280</v>
      </c>
      <c r="F339" s="168">
        <v>3163</v>
      </c>
      <c r="G339" s="169">
        <v>24896.560000000001</v>
      </c>
      <c r="H339" s="169">
        <f>230635.41+415.03</f>
        <v>231050.44</v>
      </c>
      <c r="I339" s="169">
        <v>15336.73</v>
      </c>
      <c r="J339" s="169"/>
      <c r="K339" s="169"/>
    </row>
    <row r="340" spans="1:11" ht="15.75">
      <c r="A340" s="137"/>
      <c r="B340" s="137"/>
      <c r="C340" s="158"/>
      <c r="D340" s="158"/>
      <c r="E340" s="149"/>
      <c r="F340" s="149"/>
      <c r="G340" s="158"/>
      <c r="H340" s="158"/>
      <c r="I340" s="158"/>
      <c r="J340" s="158"/>
      <c r="K340" s="158"/>
    </row>
    <row r="341" spans="1:11" ht="22.5">
      <c r="A341" s="137"/>
      <c r="B341" s="137"/>
      <c r="C341" s="290" t="s">
        <v>142</v>
      </c>
      <c r="D341" s="290"/>
      <c r="E341" s="290" t="s">
        <v>143</v>
      </c>
      <c r="F341" s="290"/>
      <c r="G341" s="159"/>
      <c r="H341" s="159"/>
      <c r="I341" s="159"/>
      <c r="J341" s="159"/>
      <c r="K341" s="159"/>
    </row>
    <row r="342" spans="1:11" ht="15.75">
      <c r="A342" s="140" t="s">
        <v>81</v>
      </c>
      <c r="B342" s="140" t="s">
        <v>82</v>
      </c>
      <c r="C342" s="156" t="s">
        <v>126</v>
      </c>
      <c r="D342" s="156" t="s">
        <v>132</v>
      </c>
      <c r="E342" s="156" t="s">
        <v>126</v>
      </c>
      <c r="F342" s="156" t="s">
        <v>132</v>
      </c>
      <c r="G342" s="159"/>
      <c r="H342" s="159"/>
      <c r="I342" s="159"/>
      <c r="J342" s="159"/>
      <c r="K342" s="159"/>
    </row>
    <row r="343" spans="1:11" ht="15.75">
      <c r="A343" s="140"/>
      <c r="B343" s="140" t="s">
        <v>84</v>
      </c>
      <c r="C343" s="156"/>
      <c r="D343" s="156"/>
      <c r="E343" s="156"/>
      <c r="F343" s="156"/>
      <c r="G343" s="159"/>
      <c r="H343" s="159"/>
      <c r="I343" s="159"/>
      <c r="J343" s="159"/>
      <c r="K343" s="159"/>
    </row>
    <row r="344" spans="1:11" ht="15.75">
      <c r="A344" s="143">
        <v>2000</v>
      </c>
      <c r="B344" s="137" t="s">
        <v>57</v>
      </c>
      <c r="C344" s="159">
        <v>0</v>
      </c>
      <c r="D344" s="159">
        <f>2609+1+73</f>
        <v>2683</v>
      </c>
      <c r="E344" s="159">
        <v>0</v>
      </c>
      <c r="F344" s="159">
        <f>2196+1+124</f>
        <v>2321</v>
      </c>
      <c r="G344" s="159"/>
      <c r="H344" s="159"/>
      <c r="I344" s="159"/>
      <c r="J344" s="159"/>
      <c r="K344" s="159"/>
    </row>
    <row r="345" spans="1:11" ht="15.75">
      <c r="A345" s="137"/>
      <c r="B345" s="137" t="s">
        <v>58</v>
      </c>
      <c r="C345" s="159">
        <v>0</v>
      </c>
      <c r="D345" s="159">
        <f>2558+102</f>
        <v>2660</v>
      </c>
      <c r="E345" s="159">
        <v>0</v>
      </c>
      <c r="F345" s="159">
        <f>2303+152</f>
        <v>2455</v>
      </c>
      <c r="G345" s="159"/>
      <c r="H345" s="159"/>
      <c r="I345" s="159"/>
      <c r="J345" s="159"/>
      <c r="K345" s="159"/>
    </row>
    <row r="346" spans="1:11" ht="15.75">
      <c r="A346" s="137"/>
      <c r="B346" s="137" t="s">
        <v>59</v>
      </c>
      <c r="C346" s="159">
        <v>0</v>
      </c>
      <c r="D346" s="159">
        <f>2486+1+65</f>
        <v>2552</v>
      </c>
      <c r="E346" s="159">
        <v>0</v>
      </c>
      <c r="F346" s="159">
        <f>2554+162</f>
        <v>2716</v>
      </c>
      <c r="G346" s="159"/>
      <c r="H346" s="159"/>
      <c r="I346" s="159"/>
      <c r="J346" s="159"/>
      <c r="K346" s="159"/>
    </row>
    <row r="347" spans="1:11" ht="15.75">
      <c r="A347" s="137"/>
      <c r="B347" s="137" t="s">
        <v>60</v>
      </c>
      <c r="C347" s="159">
        <f>1</f>
        <v>1</v>
      </c>
      <c r="D347" s="159">
        <f>2986+57</f>
        <v>3043</v>
      </c>
      <c r="E347" s="159">
        <f>1</f>
        <v>1</v>
      </c>
      <c r="F347" s="159">
        <f>2326+1+111</f>
        <v>2438</v>
      </c>
      <c r="G347" s="159"/>
      <c r="H347" s="159"/>
      <c r="I347" s="159"/>
      <c r="J347" s="159"/>
      <c r="K347" s="159"/>
    </row>
    <row r="348" spans="1:11" ht="15.75">
      <c r="A348" s="137"/>
      <c r="B348" s="137"/>
      <c r="C348" s="170"/>
      <c r="D348" s="159"/>
      <c r="E348" s="170"/>
      <c r="F348" s="159"/>
      <c r="G348" s="159"/>
      <c r="H348" s="159"/>
      <c r="I348" s="159"/>
      <c r="J348" s="159"/>
      <c r="K348" s="159"/>
    </row>
    <row r="349" spans="1:11" ht="15.75">
      <c r="A349" s="137"/>
      <c r="B349" s="140" t="s">
        <v>85</v>
      </c>
      <c r="C349" s="170"/>
      <c r="D349" s="159"/>
      <c r="E349" s="170"/>
      <c r="F349" s="159"/>
      <c r="G349" s="159"/>
      <c r="H349" s="159"/>
      <c r="I349" s="159"/>
      <c r="J349" s="159"/>
      <c r="K349" s="159"/>
    </row>
    <row r="350" spans="1:11" ht="15.75">
      <c r="A350" s="143">
        <v>2001</v>
      </c>
      <c r="B350" s="137" t="s">
        <v>49</v>
      </c>
      <c r="C350" s="159">
        <f>2</f>
        <v>2</v>
      </c>
      <c r="D350" s="159">
        <f>2979+61</f>
        <v>3040</v>
      </c>
      <c r="E350" s="159">
        <f>2</f>
        <v>2</v>
      </c>
      <c r="F350" s="159">
        <f>2623+1+119</f>
        <v>2743</v>
      </c>
      <c r="G350" s="159"/>
      <c r="H350" s="159"/>
      <c r="I350" s="159"/>
      <c r="J350" s="159"/>
      <c r="K350" s="159"/>
    </row>
    <row r="351" spans="1:11" ht="15.75">
      <c r="A351" s="137"/>
      <c r="B351" s="137" t="s">
        <v>50</v>
      </c>
      <c r="C351" s="159">
        <f>8</f>
        <v>8</v>
      </c>
      <c r="D351" s="159">
        <f>2982+1+54</f>
        <v>3037</v>
      </c>
      <c r="E351" s="159">
        <f>8</f>
        <v>8</v>
      </c>
      <c r="F351" s="159">
        <f>2444+3+110</f>
        <v>2557</v>
      </c>
      <c r="G351" s="159"/>
      <c r="H351" s="159"/>
      <c r="I351" s="159"/>
      <c r="J351" s="159"/>
      <c r="K351" s="159"/>
    </row>
    <row r="352" spans="1:11" ht="15.75">
      <c r="A352" s="137"/>
      <c r="B352" s="137" t="s">
        <v>51</v>
      </c>
      <c r="C352" s="159">
        <f>15</f>
        <v>15</v>
      </c>
      <c r="D352" s="159">
        <f>2841+1+53</f>
        <v>2895</v>
      </c>
      <c r="E352" s="159">
        <f>15</f>
        <v>15</v>
      </c>
      <c r="F352" s="159">
        <f>2405+108</f>
        <v>2513</v>
      </c>
      <c r="G352" s="159"/>
      <c r="H352" s="159"/>
      <c r="I352" s="159"/>
      <c r="J352" s="159"/>
      <c r="K352" s="159"/>
    </row>
    <row r="353" spans="1:11" ht="15.75">
      <c r="A353" s="137"/>
      <c r="B353" s="137"/>
      <c r="C353" s="170"/>
      <c r="D353" s="170"/>
      <c r="E353" s="170"/>
      <c r="F353" s="170"/>
      <c r="G353" s="159"/>
      <c r="H353" s="159"/>
      <c r="I353" s="159"/>
      <c r="J353" s="159"/>
      <c r="K353" s="159"/>
    </row>
    <row r="354" spans="1:11" ht="15.75">
      <c r="A354" s="137"/>
      <c r="B354" s="140" t="s">
        <v>86</v>
      </c>
      <c r="C354" s="170"/>
      <c r="D354" s="159"/>
      <c r="E354" s="170"/>
      <c r="F354" s="159"/>
      <c r="G354" s="159"/>
      <c r="H354" s="159"/>
      <c r="I354" s="159"/>
      <c r="J354" s="159"/>
      <c r="K354" s="159"/>
    </row>
    <row r="355" spans="1:11" ht="15.75">
      <c r="A355" s="143" t="s">
        <v>66</v>
      </c>
      <c r="B355" s="137" t="s">
        <v>52</v>
      </c>
      <c r="C355" s="159">
        <f>15</f>
        <v>15</v>
      </c>
      <c r="D355" s="159">
        <f>2546+1+49</f>
        <v>2596</v>
      </c>
      <c r="E355" s="159">
        <f>9</f>
        <v>9</v>
      </c>
      <c r="F355" s="159">
        <f>2187+1+96</f>
        <v>2284</v>
      </c>
      <c r="G355" s="159"/>
      <c r="H355" s="159"/>
      <c r="I355" s="159"/>
      <c r="J355" s="159"/>
      <c r="K355" s="159"/>
    </row>
    <row r="356" spans="1:11" ht="15.75">
      <c r="A356" s="137"/>
      <c r="B356" s="137" t="s">
        <v>53</v>
      </c>
      <c r="C356" s="159">
        <f>17</f>
        <v>17</v>
      </c>
      <c r="D356" s="159">
        <f>2301+47</f>
        <v>2348</v>
      </c>
      <c r="E356" s="159">
        <f>5</f>
        <v>5</v>
      </c>
      <c r="F356" s="159">
        <f>2045+1+107</f>
        <v>2153</v>
      </c>
      <c r="G356" s="159"/>
      <c r="H356" s="159"/>
      <c r="I356" s="159"/>
      <c r="J356" s="159"/>
      <c r="K356" s="159"/>
    </row>
    <row r="357" spans="1:11" ht="15.75">
      <c r="A357" s="137"/>
      <c r="B357" s="137" t="s">
        <v>54</v>
      </c>
      <c r="C357" s="159">
        <f>12</f>
        <v>12</v>
      </c>
      <c r="D357" s="159">
        <f>2350+1+62</f>
        <v>2413</v>
      </c>
      <c r="E357" s="159">
        <f>20</f>
        <v>20</v>
      </c>
      <c r="F357" s="159">
        <f>2008+2+114</f>
        <v>2124</v>
      </c>
      <c r="G357" s="159"/>
      <c r="H357" s="159"/>
      <c r="I357" s="159"/>
      <c r="J357" s="159"/>
      <c r="K357" s="159"/>
    </row>
    <row r="358" spans="1:11" ht="15.75">
      <c r="A358" s="137"/>
      <c r="B358" s="140" t="s">
        <v>87</v>
      </c>
      <c r="C358" s="170"/>
      <c r="D358" s="159"/>
      <c r="E358" s="170"/>
      <c r="F358" s="159"/>
      <c r="G358" s="159"/>
      <c r="H358" s="159"/>
      <c r="I358" s="159"/>
      <c r="J358" s="159"/>
      <c r="K358" s="159"/>
    </row>
    <row r="359" spans="1:11" ht="15.75">
      <c r="A359" s="143" t="s">
        <v>66</v>
      </c>
      <c r="B359" s="137" t="s">
        <v>55</v>
      </c>
      <c r="C359" s="159">
        <v>26</v>
      </c>
      <c r="D359" s="159">
        <f>2306+51</f>
        <v>2357</v>
      </c>
      <c r="E359" s="159">
        <v>30</v>
      </c>
      <c r="F359" s="159">
        <f>2253+109</f>
        <v>2362</v>
      </c>
      <c r="G359" s="159"/>
      <c r="H359" s="159"/>
      <c r="I359" s="159"/>
      <c r="J359" s="159"/>
      <c r="K359" s="159"/>
    </row>
    <row r="360" spans="1:11" ht="15.75">
      <c r="A360" s="137"/>
      <c r="B360" s="137" t="s">
        <v>56</v>
      </c>
      <c r="C360" s="159">
        <v>49</v>
      </c>
      <c r="D360" s="159">
        <f>2565+31</f>
        <v>2596</v>
      </c>
      <c r="E360" s="159">
        <v>20</v>
      </c>
      <c r="F360" s="159">
        <f>2172+89</f>
        <v>2261</v>
      </c>
      <c r="G360" s="159"/>
      <c r="H360" s="159"/>
      <c r="I360" s="159"/>
      <c r="J360" s="159"/>
      <c r="K360" s="159"/>
    </row>
    <row r="361" spans="1:11" ht="15.75">
      <c r="A361" s="137"/>
      <c r="B361" s="137" t="s">
        <v>57</v>
      </c>
      <c r="C361" s="159">
        <v>108</v>
      </c>
      <c r="D361" s="159">
        <f>2611+1+38</f>
        <v>2650</v>
      </c>
      <c r="E361" s="159">
        <v>44</v>
      </c>
      <c r="F361" s="159">
        <f>2129+1+79</f>
        <v>2209</v>
      </c>
      <c r="G361" s="159"/>
      <c r="H361" s="159"/>
      <c r="I361" s="159"/>
      <c r="J361" s="159"/>
      <c r="K361" s="159"/>
    </row>
    <row r="362" spans="1:11" ht="15.75">
      <c r="A362" s="137"/>
      <c r="B362" s="137"/>
      <c r="C362" s="159"/>
      <c r="D362" s="161"/>
      <c r="E362" s="149"/>
      <c r="F362" s="149"/>
      <c r="G362" s="159"/>
      <c r="H362" s="159"/>
      <c r="I362" s="159"/>
      <c r="J362" s="159"/>
      <c r="K362" s="159"/>
    </row>
    <row r="363" spans="1:11" ht="15.75">
      <c r="A363" s="137"/>
      <c r="B363" s="140" t="s">
        <v>88</v>
      </c>
      <c r="C363" s="170"/>
      <c r="D363" s="159"/>
      <c r="E363" s="170"/>
      <c r="F363" s="159"/>
      <c r="G363" s="159"/>
      <c r="H363" s="159"/>
      <c r="I363" s="159"/>
      <c r="J363" s="159"/>
      <c r="K363" s="159"/>
    </row>
    <row r="364" spans="1:11" ht="15.75">
      <c r="A364" s="137"/>
      <c r="B364" s="137" t="s">
        <v>58</v>
      </c>
      <c r="C364" s="159">
        <v>151</v>
      </c>
      <c r="D364" s="159">
        <f>2584+39</f>
        <v>2623</v>
      </c>
      <c r="E364" s="159">
        <v>79</v>
      </c>
      <c r="F364" s="159">
        <f>2253+109</f>
        <v>2362</v>
      </c>
      <c r="G364" s="159"/>
      <c r="H364" s="159"/>
      <c r="I364" s="159"/>
      <c r="J364" s="159"/>
      <c r="K364" s="159"/>
    </row>
    <row r="365" spans="1:11" ht="15.75">
      <c r="A365" s="137"/>
      <c r="B365" s="137" t="s">
        <v>59</v>
      </c>
      <c r="C365" s="159">
        <v>190</v>
      </c>
      <c r="D365" s="159">
        <f>3149+51</f>
        <v>3200</v>
      </c>
      <c r="E365" s="159">
        <v>99</v>
      </c>
      <c r="F365" s="159">
        <f>2528+1+116</f>
        <v>2645</v>
      </c>
      <c r="G365" s="159"/>
      <c r="H365" s="159"/>
      <c r="I365" s="159"/>
      <c r="J365" s="159"/>
      <c r="K365" s="159"/>
    </row>
    <row r="366" spans="1:11" ht="15.75">
      <c r="A366" s="137"/>
      <c r="B366" s="137" t="s">
        <v>60</v>
      </c>
      <c r="C366" s="159">
        <v>197</v>
      </c>
      <c r="D366" s="159">
        <f>3003+48</f>
        <v>3051</v>
      </c>
      <c r="E366" s="159">
        <v>140</v>
      </c>
      <c r="F366" s="159">
        <f>2601+105</f>
        <v>2706</v>
      </c>
      <c r="G366" s="170"/>
      <c r="H366" s="170"/>
      <c r="I366" s="138"/>
      <c r="J366" s="138"/>
      <c r="K366" s="138"/>
    </row>
    <row r="367" spans="1:11" ht="15.75">
      <c r="A367" s="136" t="s">
        <v>133</v>
      </c>
      <c r="B367" s="137"/>
      <c r="C367" s="138"/>
      <c r="D367" s="138"/>
      <c r="E367" s="138"/>
      <c r="F367" s="138"/>
      <c r="G367" s="138"/>
      <c r="H367" s="138"/>
      <c r="I367" s="138"/>
      <c r="J367" s="138"/>
      <c r="K367" s="138"/>
    </row>
    <row r="368" spans="1:11" ht="22.5">
      <c r="A368" s="137"/>
      <c r="B368" s="137"/>
      <c r="C368" s="290" t="s">
        <v>142</v>
      </c>
      <c r="D368" s="290"/>
      <c r="E368" s="290" t="s">
        <v>143</v>
      </c>
      <c r="F368" s="290"/>
      <c r="G368" s="159"/>
      <c r="H368" s="159"/>
      <c r="I368" s="159"/>
      <c r="J368" s="159"/>
      <c r="K368" s="159"/>
    </row>
    <row r="369" spans="1:11" ht="15.75">
      <c r="A369" s="140" t="s">
        <v>81</v>
      </c>
      <c r="B369" s="140" t="s">
        <v>82</v>
      </c>
      <c r="C369" s="156" t="s">
        <v>126</v>
      </c>
      <c r="D369" s="156" t="s">
        <v>132</v>
      </c>
      <c r="E369" s="156" t="s">
        <v>126</v>
      </c>
      <c r="F369" s="156" t="s">
        <v>132</v>
      </c>
      <c r="G369" s="159"/>
      <c r="H369" s="159"/>
      <c r="I369" s="159"/>
      <c r="J369" s="159"/>
      <c r="K369" s="159"/>
    </row>
    <row r="370" spans="1:11" ht="15.75">
      <c r="A370" s="140"/>
      <c r="B370" s="140"/>
      <c r="C370" s="156"/>
      <c r="D370" s="156"/>
      <c r="E370" s="156"/>
      <c r="F370" s="156"/>
      <c r="G370" s="159"/>
      <c r="H370" s="159"/>
      <c r="I370" s="159"/>
      <c r="J370" s="159"/>
      <c r="K370" s="159"/>
    </row>
    <row r="371" spans="1:11" ht="15.75">
      <c r="A371" s="137"/>
      <c r="B371" s="140" t="s">
        <v>89</v>
      </c>
      <c r="C371" s="170"/>
      <c r="D371" s="159"/>
      <c r="E371" s="170"/>
      <c r="F371" s="159"/>
      <c r="G371" s="170"/>
      <c r="H371" s="170"/>
      <c r="I371" s="138"/>
      <c r="J371" s="138"/>
      <c r="K371" s="138"/>
    </row>
    <row r="372" spans="1:11" ht="15.75">
      <c r="A372" s="143">
        <v>2002</v>
      </c>
      <c r="B372" s="137" t="s">
        <v>49</v>
      </c>
      <c r="C372" s="159">
        <v>182</v>
      </c>
      <c r="D372" s="159">
        <f>2579+26</f>
        <v>2605</v>
      </c>
      <c r="E372" s="159">
        <v>152</v>
      </c>
      <c r="F372" s="159">
        <v>2232</v>
      </c>
      <c r="G372" s="170"/>
      <c r="H372" s="170"/>
      <c r="I372" s="138"/>
      <c r="J372" s="138"/>
      <c r="K372" s="138"/>
    </row>
    <row r="373" spans="1:11" ht="15.75">
      <c r="A373" s="137"/>
      <c r="B373" s="137" t="s">
        <v>50</v>
      </c>
      <c r="C373" s="159">
        <v>202</v>
      </c>
      <c r="D373" s="159">
        <f>2670+1+29</f>
        <v>2700</v>
      </c>
      <c r="E373" s="159">
        <f>185</f>
        <v>185</v>
      </c>
      <c r="F373" s="159">
        <v>2550</v>
      </c>
      <c r="G373" s="170"/>
      <c r="H373" s="170"/>
      <c r="I373" s="138"/>
      <c r="J373" s="138"/>
      <c r="K373" s="138"/>
    </row>
    <row r="374" spans="1:11" ht="15.75">
      <c r="A374" s="137"/>
      <c r="B374" s="137" t="s">
        <v>51</v>
      </c>
      <c r="C374" s="159">
        <v>207</v>
      </c>
      <c r="D374" s="159">
        <f>2592+29</f>
        <v>2621</v>
      </c>
      <c r="E374" s="159">
        <v>196</v>
      </c>
      <c r="F374" s="159">
        <v>2739</v>
      </c>
      <c r="G374" s="170"/>
      <c r="H374" s="170"/>
      <c r="I374" s="138"/>
      <c r="J374" s="138"/>
      <c r="K374" s="138"/>
    </row>
    <row r="375" spans="1:11" ht="15.75">
      <c r="A375" s="137"/>
      <c r="B375" s="137"/>
      <c r="C375" s="159"/>
      <c r="D375" s="159"/>
      <c r="E375" s="159"/>
      <c r="F375" s="159"/>
      <c r="G375" s="170"/>
      <c r="H375" s="170"/>
      <c r="I375" s="138"/>
      <c r="J375" s="138"/>
      <c r="K375" s="138"/>
    </row>
    <row r="376" spans="1:11" ht="15.75">
      <c r="A376" s="137"/>
      <c r="B376" s="140" t="s">
        <v>90</v>
      </c>
      <c r="C376" s="170"/>
      <c r="D376" s="159"/>
      <c r="E376" s="170"/>
      <c r="F376" s="159"/>
      <c r="G376" s="170"/>
      <c r="H376" s="170"/>
      <c r="I376" s="138"/>
      <c r="J376" s="138"/>
      <c r="K376" s="138"/>
    </row>
    <row r="377" spans="1:11" ht="15.75">
      <c r="A377" s="137"/>
      <c r="B377" s="137" t="s">
        <v>52</v>
      </c>
      <c r="C377" s="159">
        <v>167</v>
      </c>
      <c r="D377" s="159">
        <v>2405</v>
      </c>
      <c r="E377" s="159">
        <v>151</v>
      </c>
      <c r="F377" s="159">
        <v>1931</v>
      </c>
      <c r="G377" s="170"/>
      <c r="H377" s="170"/>
      <c r="I377" s="138"/>
      <c r="J377" s="138"/>
      <c r="K377" s="138"/>
    </row>
    <row r="378" spans="1:11" ht="15.75">
      <c r="A378" s="137"/>
      <c r="B378" s="137" t="s">
        <v>53</v>
      </c>
      <c r="C378" s="159">
        <v>189</v>
      </c>
      <c r="D378" s="159">
        <v>2434</v>
      </c>
      <c r="E378" s="159">
        <v>173</v>
      </c>
      <c r="F378" s="159">
        <v>2271</v>
      </c>
      <c r="G378" s="170"/>
      <c r="H378" s="170"/>
      <c r="I378" s="138"/>
      <c r="J378" s="138"/>
      <c r="K378" s="138"/>
    </row>
    <row r="379" spans="1:11" ht="15.75">
      <c r="A379" s="137"/>
      <c r="B379" s="137" t="s">
        <v>54</v>
      </c>
      <c r="C379" s="159">
        <v>144</v>
      </c>
      <c r="D379" s="159">
        <v>2175</v>
      </c>
      <c r="E379" s="159">
        <v>124</v>
      </c>
      <c r="F379" s="159">
        <v>2120</v>
      </c>
      <c r="G379" s="170"/>
      <c r="H379" s="170"/>
      <c r="I379" s="138"/>
      <c r="J379" s="138"/>
      <c r="K379" s="138"/>
    </row>
    <row r="380" spans="1:11" ht="15.75">
      <c r="A380" s="137"/>
      <c r="B380" s="137"/>
      <c r="C380" s="138"/>
      <c r="D380" s="138"/>
      <c r="E380" s="138"/>
      <c r="F380" s="138"/>
      <c r="G380" s="138"/>
      <c r="H380" s="138"/>
      <c r="I380" s="138"/>
      <c r="J380" s="138"/>
      <c r="K380" s="138"/>
    </row>
    <row r="381" spans="1:11" ht="15.75">
      <c r="A381" s="137"/>
      <c r="B381" s="140" t="s">
        <v>91</v>
      </c>
      <c r="C381" s="170"/>
      <c r="D381" s="159"/>
      <c r="E381" s="170"/>
      <c r="F381" s="159"/>
      <c r="G381" s="170"/>
      <c r="H381" s="170"/>
      <c r="I381" s="138"/>
      <c r="J381" s="138"/>
      <c r="K381" s="138"/>
    </row>
    <row r="382" spans="1:11" ht="15.75">
      <c r="A382" s="137"/>
      <c r="B382" s="137" t="s">
        <v>55</v>
      </c>
      <c r="C382" s="159">
        <v>160</v>
      </c>
      <c r="D382" s="159">
        <v>2096</v>
      </c>
      <c r="E382" s="159">
        <v>147</v>
      </c>
      <c r="F382" s="159">
        <v>1936</v>
      </c>
      <c r="G382" s="170"/>
      <c r="H382" s="170"/>
      <c r="I382" s="138"/>
      <c r="J382" s="138"/>
      <c r="K382" s="138"/>
    </row>
    <row r="383" spans="1:11" ht="15.75">
      <c r="A383" s="137"/>
      <c r="B383" s="137" t="s">
        <v>56</v>
      </c>
      <c r="C383" s="159">
        <v>177</v>
      </c>
      <c r="D383" s="159">
        <v>2447</v>
      </c>
      <c r="E383" s="159">
        <v>158</v>
      </c>
      <c r="F383" s="159">
        <v>2138</v>
      </c>
      <c r="G383" s="170"/>
      <c r="H383" s="170"/>
      <c r="I383" s="138"/>
      <c r="J383" s="138"/>
      <c r="K383" s="138"/>
    </row>
    <row r="384" spans="1:11" ht="15.75">
      <c r="A384" s="137"/>
      <c r="B384" s="137" t="s">
        <v>57</v>
      </c>
      <c r="C384" s="159">
        <v>252</v>
      </c>
      <c r="D384" s="159">
        <v>2321</v>
      </c>
      <c r="E384" s="159">
        <v>192</v>
      </c>
      <c r="F384" s="159">
        <v>1850</v>
      </c>
      <c r="G384" s="170"/>
      <c r="H384" s="170"/>
      <c r="I384" s="138"/>
      <c r="J384" s="138"/>
      <c r="K384" s="138"/>
    </row>
    <row r="385" spans="1:11" ht="15.75">
      <c r="A385" s="137"/>
      <c r="B385" s="137"/>
      <c r="C385" s="138"/>
      <c r="D385" s="138"/>
      <c r="E385" s="138"/>
      <c r="F385" s="138"/>
      <c r="G385" s="138"/>
      <c r="H385" s="138"/>
      <c r="I385" s="138"/>
      <c r="J385" s="138"/>
      <c r="K385" s="138"/>
    </row>
    <row r="386" spans="1:11" ht="15.75">
      <c r="A386" s="137"/>
      <c r="B386" s="140" t="s">
        <v>92</v>
      </c>
      <c r="C386" s="170"/>
      <c r="D386" s="159"/>
      <c r="E386" s="170"/>
      <c r="F386" s="159"/>
      <c r="G386" s="138"/>
      <c r="H386" s="138"/>
      <c r="I386" s="138"/>
      <c r="J386" s="138"/>
      <c r="K386" s="138"/>
    </row>
    <row r="387" spans="1:11" ht="15.75">
      <c r="A387" s="137"/>
      <c r="B387" s="137" t="s">
        <v>58</v>
      </c>
      <c r="C387" s="159">
        <v>295</v>
      </c>
      <c r="D387" s="159">
        <v>2477</v>
      </c>
      <c r="E387" s="159">
        <v>208</v>
      </c>
      <c r="F387" s="159">
        <v>2201</v>
      </c>
      <c r="G387" s="138"/>
      <c r="H387" s="138"/>
      <c r="I387" s="138"/>
      <c r="J387" s="138"/>
      <c r="K387" s="138"/>
    </row>
    <row r="388" spans="1:11" ht="15.75">
      <c r="A388" s="137"/>
      <c r="B388" s="137" t="s">
        <v>59</v>
      </c>
      <c r="C388" s="159">
        <v>321</v>
      </c>
      <c r="D388" s="159">
        <v>2663</v>
      </c>
      <c r="E388" s="159">
        <v>233</v>
      </c>
      <c r="F388" s="159">
        <v>2070</v>
      </c>
      <c r="G388" s="138"/>
      <c r="H388" s="138"/>
      <c r="I388" s="138"/>
      <c r="J388" s="138"/>
      <c r="K388" s="138"/>
    </row>
    <row r="389" spans="1:11" ht="15.75">
      <c r="A389" s="137"/>
      <c r="B389" s="137" t="s">
        <v>60</v>
      </c>
      <c r="C389" s="159">
        <v>362</v>
      </c>
      <c r="D389" s="159">
        <v>2740</v>
      </c>
      <c r="E389" s="159">
        <v>248</v>
      </c>
      <c r="F389" s="159">
        <v>2016</v>
      </c>
      <c r="G389" s="138"/>
      <c r="H389" s="138"/>
      <c r="I389" s="138"/>
      <c r="J389" s="138"/>
      <c r="K389" s="138"/>
    </row>
    <row r="390" spans="1:11" ht="15.75">
      <c r="A390" s="137"/>
      <c r="B390" s="137"/>
      <c r="C390" s="138"/>
      <c r="D390" s="138"/>
      <c r="E390" s="138"/>
      <c r="F390" s="138"/>
      <c r="G390" s="138"/>
      <c r="H390" s="138"/>
      <c r="I390" s="138"/>
      <c r="J390" s="138"/>
      <c r="K390" s="138"/>
    </row>
    <row r="391" spans="1:11" ht="15.75">
      <c r="A391" s="143">
        <v>2003</v>
      </c>
      <c r="B391" s="140" t="s">
        <v>93</v>
      </c>
      <c r="C391" s="170"/>
      <c r="D391" s="159"/>
      <c r="E391" s="170"/>
      <c r="F391" s="159"/>
      <c r="G391" s="138"/>
      <c r="H391" s="138"/>
      <c r="I391" s="138"/>
      <c r="J391" s="138"/>
      <c r="K391" s="138"/>
    </row>
    <row r="392" spans="1:11" ht="15.75">
      <c r="A392" s="137"/>
      <c r="B392" s="137" t="s">
        <v>49</v>
      </c>
      <c r="C392" s="159">
        <v>263</v>
      </c>
      <c r="D392" s="159">
        <v>2439</v>
      </c>
      <c r="E392" s="159">
        <v>206</v>
      </c>
      <c r="F392" s="159">
        <v>1983</v>
      </c>
      <c r="G392" s="138"/>
      <c r="H392" s="138"/>
      <c r="I392" s="138"/>
      <c r="J392" s="138"/>
      <c r="K392" s="138"/>
    </row>
    <row r="393" spans="1:11" ht="15.75">
      <c r="A393" s="137"/>
      <c r="B393" s="137" t="s">
        <v>50</v>
      </c>
      <c r="C393" s="159">
        <v>292</v>
      </c>
      <c r="D393" s="159">
        <v>2546</v>
      </c>
      <c r="E393" s="159">
        <v>234</v>
      </c>
      <c r="F393" s="159">
        <v>2072</v>
      </c>
      <c r="G393" s="138"/>
      <c r="H393" s="138"/>
      <c r="I393" s="138"/>
      <c r="J393" s="138"/>
      <c r="K393" s="138"/>
    </row>
    <row r="394" spans="1:11" ht="15.75">
      <c r="A394" s="137"/>
      <c r="B394" s="137" t="s">
        <v>51</v>
      </c>
      <c r="C394" s="159">
        <v>288</v>
      </c>
      <c r="D394" s="159">
        <v>2705</v>
      </c>
      <c r="E394" s="159">
        <v>266</v>
      </c>
      <c r="F394" s="159">
        <v>2201</v>
      </c>
      <c r="G394" s="138"/>
      <c r="H394" s="138"/>
      <c r="I394" s="138"/>
      <c r="J394" s="138"/>
      <c r="K394" s="138"/>
    </row>
    <row r="395" spans="1:11" ht="15.75">
      <c r="A395" s="137"/>
      <c r="B395" s="137"/>
      <c r="C395" s="138"/>
      <c r="D395" s="138"/>
      <c r="E395" s="138"/>
      <c r="F395" s="138"/>
      <c r="G395" s="138"/>
      <c r="H395" s="138"/>
      <c r="I395" s="138"/>
      <c r="J395" s="138"/>
      <c r="K395" s="138"/>
    </row>
    <row r="396" spans="1:11" ht="15.75">
      <c r="A396" s="143" t="s">
        <v>66</v>
      </c>
      <c r="B396" s="140" t="s">
        <v>94</v>
      </c>
      <c r="C396" s="170"/>
      <c r="D396" s="159"/>
      <c r="E396" s="170"/>
      <c r="F396" s="159"/>
      <c r="G396" s="138"/>
      <c r="H396" s="138"/>
      <c r="I396" s="138"/>
      <c r="J396" s="138"/>
      <c r="K396" s="138"/>
    </row>
    <row r="397" spans="1:11" ht="15.75">
      <c r="A397" s="137"/>
      <c r="B397" s="137" t="s">
        <v>52</v>
      </c>
      <c r="C397" s="159">
        <v>263</v>
      </c>
      <c r="D397" s="159">
        <v>2531</v>
      </c>
      <c r="E397" s="159">
        <v>221</v>
      </c>
      <c r="F397" s="159">
        <v>2241</v>
      </c>
      <c r="G397" s="138"/>
      <c r="H397" s="138"/>
      <c r="I397" s="138"/>
      <c r="J397" s="138"/>
      <c r="K397" s="138"/>
    </row>
    <row r="398" spans="1:11" ht="15.75">
      <c r="A398" s="137"/>
      <c r="B398" s="137" t="s">
        <v>53</v>
      </c>
      <c r="C398" s="159">
        <v>225</v>
      </c>
      <c r="D398" s="159">
        <v>2437</v>
      </c>
      <c r="E398" s="159">
        <v>210</v>
      </c>
      <c r="F398" s="159">
        <v>2006</v>
      </c>
      <c r="G398" s="138"/>
      <c r="H398" s="138"/>
      <c r="I398" s="138"/>
      <c r="J398" s="138"/>
      <c r="K398" s="138"/>
    </row>
    <row r="399" spans="1:11" ht="15.75">
      <c r="A399" s="137"/>
      <c r="B399" s="137" t="s">
        <v>54</v>
      </c>
      <c r="C399" s="159">
        <v>169</v>
      </c>
      <c r="D399" s="159">
        <v>2219</v>
      </c>
      <c r="E399" s="159">
        <v>166</v>
      </c>
      <c r="F399" s="159">
        <v>1889</v>
      </c>
      <c r="G399" s="138"/>
      <c r="H399" s="138"/>
      <c r="I399" s="138"/>
      <c r="J399" s="138"/>
      <c r="K399" s="138"/>
    </row>
    <row r="400" spans="1:11" ht="15.75">
      <c r="A400" s="137"/>
      <c r="B400" s="137"/>
      <c r="C400" s="138"/>
      <c r="D400" s="138"/>
      <c r="E400" s="138"/>
      <c r="F400" s="138"/>
      <c r="G400" s="138"/>
      <c r="H400" s="138"/>
      <c r="I400" s="138"/>
      <c r="J400" s="138"/>
      <c r="K400" s="138"/>
    </row>
    <row r="401" spans="1:11" ht="15.75">
      <c r="A401" s="143" t="s">
        <v>66</v>
      </c>
      <c r="B401" s="140" t="s">
        <v>95</v>
      </c>
      <c r="C401" s="170"/>
      <c r="D401" s="159"/>
      <c r="E401" s="170"/>
      <c r="F401" s="159"/>
      <c r="G401" s="138"/>
      <c r="H401" s="138"/>
      <c r="I401" s="138"/>
      <c r="J401" s="138"/>
      <c r="K401" s="138"/>
    </row>
    <row r="402" spans="1:11" ht="15.75">
      <c r="A402" s="137"/>
      <c r="B402" s="137" t="s">
        <v>55</v>
      </c>
      <c r="C402" s="159">
        <v>179</v>
      </c>
      <c r="D402" s="159">
        <f>2122+7</f>
        <v>2129</v>
      </c>
      <c r="E402" s="159">
        <v>157</v>
      </c>
      <c r="F402" s="159">
        <f>1959+33</f>
        <v>1992</v>
      </c>
      <c r="G402" s="138"/>
      <c r="H402" s="138"/>
      <c r="I402" s="138"/>
      <c r="J402" s="138"/>
      <c r="K402" s="138"/>
    </row>
    <row r="403" spans="1:11" ht="15.75">
      <c r="A403" s="137"/>
      <c r="B403" s="137" t="s">
        <v>56</v>
      </c>
      <c r="C403" s="159">
        <v>208</v>
      </c>
      <c r="D403" s="159">
        <f>2493+15</f>
        <v>2508</v>
      </c>
      <c r="E403" s="159">
        <v>177</v>
      </c>
      <c r="F403" s="159">
        <f>2169+43</f>
        <v>2212</v>
      </c>
      <c r="G403" s="138"/>
      <c r="H403" s="138"/>
      <c r="I403" s="138"/>
      <c r="J403" s="138"/>
      <c r="K403" s="138"/>
    </row>
    <row r="404" spans="1:11" ht="15.75">
      <c r="A404" s="137"/>
      <c r="B404" s="137" t="s">
        <v>57</v>
      </c>
      <c r="C404" s="159">
        <v>359</v>
      </c>
      <c r="D404" s="159">
        <f>2914+10</f>
        <v>2924</v>
      </c>
      <c r="E404" s="159">
        <v>238</v>
      </c>
      <c r="F404" s="159">
        <f>2327+25</f>
        <v>2352</v>
      </c>
      <c r="G404" s="138"/>
      <c r="H404" s="138"/>
      <c r="I404" s="138"/>
      <c r="J404" s="138"/>
      <c r="K404" s="138"/>
    </row>
    <row r="405" spans="1:11" ht="15.75">
      <c r="A405" s="137"/>
      <c r="B405" s="137"/>
      <c r="C405" s="138"/>
      <c r="D405" s="138"/>
      <c r="E405" s="138"/>
      <c r="F405" s="138"/>
      <c r="G405" s="138"/>
      <c r="H405" s="138"/>
      <c r="I405" s="138"/>
      <c r="J405" s="138"/>
      <c r="K405" s="138"/>
    </row>
    <row r="406" spans="1:11" ht="15.75">
      <c r="A406" s="143" t="s">
        <v>66</v>
      </c>
      <c r="B406" s="140" t="s">
        <v>96</v>
      </c>
      <c r="C406" s="170"/>
      <c r="D406" s="159"/>
      <c r="E406" s="170"/>
      <c r="F406" s="159"/>
      <c r="G406" s="138"/>
      <c r="H406" s="138"/>
      <c r="I406" s="138"/>
      <c r="J406" s="138"/>
      <c r="K406" s="138"/>
    </row>
    <row r="407" spans="1:11" ht="15.75">
      <c r="A407" s="137"/>
      <c r="B407" s="137" t="s">
        <v>58</v>
      </c>
      <c r="C407" s="159">
        <v>298</v>
      </c>
      <c r="D407" s="159">
        <f>2430</f>
        <v>2430</v>
      </c>
      <c r="E407" s="159">
        <v>197</v>
      </c>
      <c r="F407" s="159">
        <f>2046</f>
        <v>2046</v>
      </c>
      <c r="G407" s="138"/>
      <c r="H407" s="138"/>
      <c r="I407" s="138"/>
      <c r="J407" s="138"/>
      <c r="K407" s="138"/>
    </row>
    <row r="408" spans="1:11" ht="15.75">
      <c r="A408" s="137"/>
      <c r="B408" s="137" t="s">
        <v>59</v>
      </c>
      <c r="C408" s="159">
        <v>271</v>
      </c>
      <c r="D408" s="159">
        <f>2749</f>
        <v>2749</v>
      </c>
      <c r="E408" s="159">
        <v>191</v>
      </c>
      <c r="F408" s="159">
        <f>2098</f>
        <v>2098</v>
      </c>
      <c r="G408" s="138"/>
      <c r="H408" s="138"/>
      <c r="I408" s="138"/>
      <c r="J408" s="138"/>
      <c r="K408" s="138"/>
    </row>
    <row r="409" spans="1:11" ht="15.75">
      <c r="A409" s="137"/>
      <c r="B409" s="137" t="s">
        <v>60</v>
      </c>
      <c r="C409" s="159">
        <v>300</v>
      </c>
      <c r="D409" s="159">
        <f>2833</f>
        <v>2833</v>
      </c>
      <c r="E409" s="159">
        <v>212</v>
      </c>
      <c r="F409" s="159">
        <f>2019</f>
        <v>2019</v>
      </c>
      <c r="G409" s="138"/>
      <c r="H409" s="138"/>
      <c r="I409" s="138"/>
      <c r="J409" s="138"/>
      <c r="K409" s="138"/>
    </row>
    <row r="410" spans="1:11" ht="15.75">
      <c r="A410" s="137"/>
      <c r="B410" s="137"/>
      <c r="C410" s="138"/>
      <c r="D410" s="138"/>
      <c r="E410" s="138"/>
      <c r="F410" s="138"/>
      <c r="G410" s="138"/>
      <c r="H410" s="138"/>
      <c r="I410" s="138"/>
      <c r="J410" s="138"/>
      <c r="K410" s="138"/>
    </row>
    <row r="411" spans="1:11" ht="15.75">
      <c r="A411" s="143">
        <v>2004</v>
      </c>
      <c r="B411" s="140" t="s">
        <v>97</v>
      </c>
      <c r="C411" s="170"/>
      <c r="D411" s="159"/>
      <c r="E411" s="170"/>
      <c r="F411" s="159"/>
      <c r="G411" s="138"/>
      <c r="H411" s="138"/>
      <c r="I411" s="138"/>
      <c r="J411" s="138"/>
      <c r="K411" s="138"/>
    </row>
    <row r="412" spans="1:11" ht="15.75">
      <c r="A412" s="137"/>
      <c r="B412" s="137" t="s">
        <v>49</v>
      </c>
      <c r="C412" s="159">
        <v>347</v>
      </c>
      <c r="D412" s="159">
        <f>3030</f>
        <v>3030</v>
      </c>
      <c r="E412" s="159">
        <v>249</v>
      </c>
      <c r="F412" s="159">
        <f>2112</f>
        <v>2112</v>
      </c>
      <c r="G412" s="138"/>
      <c r="H412" s="138"/>
      <c r="I412" s="138"/>
      <c r="J412" s="138"/>
      <c r="K412" s="138"/>
    </row>
    <row r="413" spans="1:11" ht="15.75">
      <c r="A413" s="137"/>
      <c r="B413" s="137" t="s">
        <v>50</v>
      </c>
      <c r="C413" s="159">
        <v>283</v>
      </c>
      <c r="D413" s="159">
        <f>2992</f>
        <v>2992</v>
      </c>
      <c r="E413" s="159">
        <v>289</v>
      </c>
      <c r="F413" s="159">
        <f>2618</f>
        <v>2618</v>
      </c>
      <c r="G413" s="138"/>
      <c r="H413" s="138"/>
      <c r="I413" s="138"/>
      <c r="J413" s="138"/>
      <c r="K413" s="138"/>
    </row>
    <row r="414" spans="1:11" ht="15.75">
      <c r="A414" s="137"/>
      <c r="B414" s="137" t="s">
        <v>51</v>
      </c>
      <c r="C414" s="159">
        <v>246</v>
      </c>
      <c r="D414" s="159">
        <f>2867</f>
        <v>2867</v>
      </c>
      <c r="E414" s="159">
        <v>244</v>
      </c>
      <c r="F414" s="159">
        <v>2643</v>
      </c>
      <c r="G414" s="138"/>
      <c r="H414" s="138"/>
      <c r="I414" s="138"/>
      <c r="J414" s="138"/>
      <c r="K414" s="138"/>
    </row>
    <row r="415" spans="1:11" ht="15.75">
      <c r="A415" s="137"/>
      <c r="B415" s="137"/>
      <c r="C415" s="138"/>
      <c r="D415" s="138"/>
      <c r="E415" s="138"/>
      <c r="F415" s="138"/>
      <c r="G415" s="138"/>
      <c r="H415" s="138"/>
      <c r="I415" s="138"/>
      <c r="J415" s="138"/>
      <c r="K415" s="138"/>
    </row>
    <row r="416" spans="1:11" ht="15.75">
      <c r="A416" s="143" t="s">
        <v>66</v>
      </c>
      <c r="B416" s="140" t="s">
        <v>98</v>
      </c>
      <c r="C416" s="170"/>
      <c r="D416" s="159"/>
      <c r="E416" s="170"/>
      <c r="F416" s="159"/>
      <c r="G416" s="138"/>
      <c r="H416" s="138"/>
      <c r="I416" s="138"/>
      <c r="J416" s="138"/>
      <c r="K416" s="138"/>
    </row>
    <row r="417" spans="1:11" ht="15.75">
      <c r="A417" s="137"/>
      <c r="B417" s="137" t="s">
        <v>52</v>
      </c>
      <c r="C417" s="159">
        <v>293</v>
      </c>
      <c r="D417" s="159">
        <f>2899+3+10</f>
        <v>2912</v>
      </c>
      <c r="E417" s="159">
        <v>267</v>
      </c>
      <c r="F417" s="159">
        <f>2344+14</f>
        <v>2358</v>
      </c>
      <c r="G417" s="138"/>
      <c r="H417" s="138"/>
      <c r="I417" s="138"/>
      <c r="J417" s="138"/>
      <c r="K417" s="138"/>
    </row>
    <row r="418" spans="1:11" ht="15.75">
      <c r="A418" s="137"/>
      <c r="B418" s="137" t="s">
        <v>53</v>
      </c>
      <c r="C418" s="159">
        <v>256</v>
      </c>
      <c r="D418" s="159">
        <f>2487+1+8</f>
        <v>2496</v>
      </c>
      <c r="E418" s="159">
        <v>221</v>
      </c>
      <c r="F418" s="159">
        <f>2068+21</f>
        <v>2089</v>
      </c>
      <c r="G418" s="138"/>
      <c r="H418" s="138"/>
      <c r="I418" s="138"/>
      <c r="J418" s="138"/>
      <c r="K418" s="138"/>
    </row>
    <row r="419" spans="1:11" ht="15.75">
      <c r="A419" s="137"/>
      <c r="B419" s="137" t="s">
        <v>54</v>
      </c>
      <c r="C419" s="159">
        <v>232</v>
      </c>
      <c r="D419" s="159">
        <f>2290+1+1+9</f>
        <v>2301</v>
      </c>
      <c r="E419" s="159">
        <v>231</v>
      </c>
      <c r="F419" s="159">
        <f>1954+1+20</f>
        <v>1975</v>
      </c>
      <c r="G419" s="138"/>
      <c r="H419" s="138"/>
      <c r="I419" s="138"/>
      <c r="J419" s="138"/>
      <c r="K419" s="138"/>
    </row>
    <row r="420" spans="1:11" ht="15.75">
      <c r="A420" s="137"/>
      <c r="B420" s="137"/>
      <c r="C420" s="138"/>
      <c r="D420" s="138"/>
      <c r="E420" s="138"/>
      <c r="F420" s="138"/>
      <c r="G420" s="138"/>
      <c r="H420" s="138"/>
      <c r="I420" s="138"/>
      <c r="J420" s="138"/>
      <c r="K420" s="138"/>
    </row>
    <row r="421" spans="1:11" ht="15.75">
      <c r="A421" s="143" t="s">
        <v>66</v>
      </c>
      <c r="B421" s="140" t="s">
        <v>99</v>
      </c>
      <c r="C421" s="170"/>
      <c r="D421" s="159"/>
      <c r="E421" s="170"/>
      <c r="F421" s="159"/>
      <c r="G421" s="138"/>
      <c r="H421" s="138"/>
      <c r="I421" s="138"/>
      <c r="J421" s="138"/>
      <c r="K421" s="138"/>
    </row>
    <row r="422" spans="1:11" ht="15.75">
      <c r="A422" s="137"/>
      <c r="B422" s="137" t="s">
        <v>55</v>
      </c>
      <c r="C422" s="159">
        <v>173</v>
      </c>
      <c r="D422" s="159">
        <f>2002+6</f>
        <v>2008</v>
      </c>
      <c r="E422" s="159">
        <v>176</v>
      </c>
      <c r="F422" s="159">
        <f>1840+19</f>
        <v>1859</v>
      </c>
      <c r="G422" s="138"/>
      <c r="H422" s="138"/>
      <c r="I422" s="138"/>
      <c r="J422" s="138"/>
      <c r="K422" s="138"/>
    </row>
    <row r="423" spans="1:11" ht="15.75">
      <c r="A423" s="137"/>
      <c r="B423" s="137" t="s">
        <v>56</v>
      </c>
      <c r="C423" s="159">
        <v>261</v>
      </c>
      <c r="D423" s="159">
        <f>2546+18</f>
        <v>2564</v>
      </c>
      <c r="E423" s="159">
        <v>265</v>
      </c>
      <c r="F423" s="159">
        <f>2210+1+33</f>
        <v>2244</v>
      </c>
      <c r="G423" s="138"/>
      <c r="H423" s="138"/>
      <c r="I423" s="138"/>
      <c r="J423" s="138"/>
      <c r="K423" s="138"/>
    </row>
    <row r="424" spans="1:11" ht="15.75">
      <c r="A424" s="137"/>
      <c r="B424" s="137" t="s">
        <v>57</v>
      </c>
      <c r="C424" s="159">
        <v>263</v>
      </c>
      <c r="D424" s="159">
        <f>2577+12</f>
        <v>2589</v>
      </c>
      <c r="E424" s="159">
        <v>227</v>
      </c>
      <c r="F424" s="159">
        <f>2045+18</f>
        <v>2063</v>
      </c>
      <c r="G424" s="138"/>
      <c r="H424" s="138"/>
      <c r="I424" s="138"/>
      <c r="J424" s="138"/>
      <c r="K424" s="138"/>
    </row>
    <row r="425" spans="1:11" ht="15.75">
      <c r="A425" s="136" t="s">
        <v>133</v>
      </c>
      <c r="B425" s="137"/>
      <c r="C425" s="138"/>
      <c r="D425" s="138"/>
      <c r="E425" s="138"/>
      <c r="F425" s="138"/>
      <c r="G425" s="138"/>
      <c r="H425" s="138"/>
      <c r="I425" s="138"/>
      <c r="J425" s="138"/>
      <c r="K425" s="138"/>
    </row>
    <row r="426" spans="1:11" ht="22.5">
      <c r="A426" s="137"/>
      <c r="B426" s="137"/>
      <c r="C426" s="290" t="s">
        <v>142</v>
      </c>
      <c r="D426" s="290"/>
      <c r="E426" s="290" t="s">
        <v>143</v>
      </c>
      <c r="F426" s="290"/>
      <c r="G426" s="159"/>
      <c r="H426" s="159"/>
      <c r="I426" s="159"/>
      <c r="J426" s="159"/>
      <c r="K426" s="159"/>
    </row>
    <row r="427" spans="1:11" ht="15.75">
      <c r="A427" s="140" t="s">
        <v>81</v>
      </c>
      <c r="B427" s="140" t="s">
        <v>82</v>
      </c>
      <c r="C427" s="156" t="s">
        <v>126</v>
      </c>
      <c r="D427" s="156" t="s">
        <v>132</v>
      </c>
      <c r="E427" s="156" t="s">
        <v>126</v>
      </c>
      <c r="F427" s="156" t="s">
        <v>132</v>
      </c>
      <c r="G427" s="159"/>
      <c r="H427" s="159"/>
      <c r="I427" s="159"/>
      <c r="J427" s="159"/>
      <c r="K427" s="159"/>
    </row>
    <row r="428" spans="1:11" ht="15.75">
      <c r="A428" s="137"/>
      <c r="B428" s="137"/>
      <c r="C428" s="159"/>
      <c r="D428" s="159"/>
      <c r="E428" s="159"/>
      <c r="F428" s="159"/>
      <c r="G428" s="138"/>
      <c r="H428" s="138"/>
      <c r="I428" s="138"/>
      <c r="J428" s="138"/>
      <c r="K428" s="138"/>
    </row>
    <row r="429" spans="1:11" ht="15.75">
      <c r="A429" s="143" t="s">
        <v>66</v>
      </c>
      <c r="B429" s="140" t="s">
        <v>100</v>
      </c>
      <c r="C429" s="170"/>
      <c r="D429" s="159"/>
      <c r="E429" s="170"/>
      <c r="F429" s="159"/>
      <c r="G429" s="138"/>
      <c r="H429" s="138"/>
      <c r="I429" s="138"/>
      <c r="J429" s="138"/>
      <c r="K429" s="138"/>
    </row>
    <row r="430" spans="1:11" ht="15.75">
      <c r="A430" s="137"/>
      <c r="B430" s="137" t="s">
        <v>58</v>
      </c>
      <c r="C430" s="159">
        <v>287</v>
      </c>
      <c r="D430" s="159">
        <v>2412</v>
      </c>
      <c r="E430" s="159">
        <v>250</v>
      </c>
      <c r="F430" s="159">
        <v>1908</v>
      </c>
      <c r="G430" s="138"/>
      <c r="H430" s="138"/>
      <c r="I430" s="138"/>
      <c r="J430" s="138"/>
      <c r="K430" s="138"/>
    </row>
    <row r="431" spans="1:11" ht="15.75">
      <c r="A431" s="137"/>
      <c r="B431" s="137" t="s">
        <v>59</v>
      </c>
      <c r="C431" s="159">
        <v>409</v>
      </c>
      <c r="D431" s="159">
        <v>2790</v>
      </c>
      <c r="E431" s="159">
        <v>334</v>
      </c>
      <c r="F431" s="159">
        <v>2400</v>
      </c>
      <c r="G431" s="138"/>
      <c r="H431" s="138"/>
      <c r="I431" s="138"/>
      <c r="J431" s="138"/>
      <c r="K431" s="138"/>
    </row>
    <row r="432" spans="1:11" ht="15.75">
      <c r="A432" s="137"/>
      <c r="B432" s="137" t="s">
        <v>60</v>
      </c>
      <c r="C432" s="159">
        <v>343</v>
      </c>
      <c r="D432" s="159">
        <v>2596</v>
      </c>
      <c r="E432" s="159">
        <v>266</v>
      </c>
      <c r="F432" s="159">
        <v>2124</v>
      </c>
      <c r="G432" s="138"/>
      <c r="H432" s="138"/>
      <c r="I432" s="138"/>
      <c r="J432" s="138"/>
      <c r="K432" s="138"/>
    </row>
    <row r="433" spans="1:11" ht="15.75">
      <c r="A433" s="137"/>
      <c r="B433" s="137"/>
      <c r="C433" s="159"/>
      <c r="D433" s="159"/>
      <c r="E433" s="159"/>
      <c r="F433" s="159"/>
      <c r="G433" s="138"/>
      <c r="H433" s="138"/>
      <c r="I433" s="138"/>
      <c r="J433" s="138"/>
      <c r="K433" s="138"/>
    </row>
    <row r="434" spans="1:11" ht="15.75">
      <c r="A434" s="143">
        <v>2005</v>
      </c>
      <c r="B434" s="140" t="s">
        <v>101</v>
      </c>
      <c r="C434" s="170"/>
      <c r="D434" s="159"/>
      <c r="E434" s="170"/>
      <c r="F434" s="159"/>
      <c r="G434" s="138"/>
      <c r="H434" s="138"/>
      <c r="I434" s="138"/>
      <c r="J434" s="138"/>
      <c r="K434" s="138"/>
    </row>
    <row r="435" spans="1:11" ht="15.75">
      <c r="A435" s="137"/>
      <c r="B435" s="137" t="s">
        <v>49</v>
      </c>
      <c r="C435" s="159">
        <v>277</v>
      </c>
      <c r="D435" s="159">
        <v>2483</v>
      </c>
      <c r="E435" s="159">
        <v>258</v>
      </c>
      <c r="F435" s="159">
        <v>1977</v>
      </c>
      <c r="G435" s="138"/>
      <c r="H435" s="138"/>
      <c r="I435" s="138"/>
      <c r="J435" s="138"/>
      <c r="K435" s="138"/>
    </row>
    <row r="436" spans="1:11" ht="15.75">
      <c r="A436" s="137"/>
      <c r="B436" s="137" t="s">
        <v>50</v>
      </c>
      <c r="C436" s="159">
        <v>281</v>
      </c>
      <c r="D436" s="159">
        <v>2895</v>
      </c>
      <c r="E436" s="159">
        <v>317</v>
      </c>
      <c r="F436" s="159">
        <v>2405</v>
      </c>
      <c r="G436" s="138"/>
      <c r="H436" s="138"/>
      <c r="I436" s="138"/>
      <c r="J436" s="138"/>
      <c r="K436" s="138"/>
    </row>
    <row r="437" spans="1:11" ht="15.75">
      <c r="A437" s="137"/>
      <c r="B437" s="137" t="s">
        <v>51</v>
      </c>
      <c r="C437" s="159">
        <v>250</v>
      </c>
      <c r="D437" s="159">
        <v>2926</v>
      </c>
      <c r="E437" s="159">
        <v>276</v>
      </c>
      <c r="F437" s="159">
        <v>2481</v>
      </c>
      <c r="G437" s="138"/>
      <c r="H437" s="138"/>
      <c r="I437" s="138"/>
      <c r="J437" s="138"/>
      <c r="K437" s="138"/>
    </row>
    <row r="438" spans="1:11" ht="15.75">
      <c r="A438" s="137"/>
      <c r="B438" s="137"/>
      <c r="C438" s="159"/>
      <c r="D438" s="159"/>
      <c r="E438" s="159"/>
      <c r="F438" s="159"/>
      <c r="G438" s="138"/>
      <c r="H438" s="138"/>
      <c r="I438" s="138"/>
      <c r="J438" s="138"/>
      <c r="K438" s="138"/>
    </row>
    <row r="439" spans="1:11" ht="15.75">
      <c r="A439" s="143" t="s">
        <v>66</v>
      </c>
      <c r="B439" s="140" t="s">
        <v>102</v>
      </c>
      <c r="C439" s="170"/>
      <c r="D439" s="159"/>
      <c r="E439" s="170"/>
      <c r="F439" s="159"/>
      <c r="G439" s="138"/>
      <c r="H439" s="138"/>
      <c r="I439" s="138"/>
      <c r="J439" s="138"/>
      <c r="K439" s="138"/>
    </row>
    <row r="440" spans="1:11" ht="15.75">
      <c r="A440" s="137"/>
      <c r="B440" s="137" t="s">
        <v>52</v>
      </c>
      <c r="C440" s="159">
        <v>194</v>
      </c>
      <c r="D440" s="159">
        <f>2580+10</f>
        <v>2590</v>
      </c>
      <c r="E440" s="159">
        <v>231</v>
      </c>
      <c r="F440" s="159">
        <f>2461+13</f>
        <v>2474</v>
      </c>
      <c r="G440" s="138"/>
      <c r="H440" s="138"/>
      <c r="I440" s="138"/>
      <c r="J440" s="138"/>
      <c r="K440" s="138"/>
    </row>
    <row r="441" spans="1:11" ht="15.75">
      <c r="A441" s="137"/>
      <c r="B441" s="137" t="s">
        <v>53</v>
      </c>
      <c r="C441" s="159">
        <v>167</v>
      </c>
      <c r="D441" s="159">
        <f>2223+7</f>
        <v>2230</v>
      </c>
      <c r="E441" s="159">
        <v>202</v>
      </c>
      <c r="F441" s="159">
        <f>2115+15</f>
        <v>2130</v>
      </c>
      <c r="G441" s="138"/>
      <c r="H441" s="138"/>
      <c r="I441" s="138"/>
      <c r="J441" s="138"/>
      <c r="K441" s="138"/>
    </row>
    <row r="442" spans="1:11" ht="15.75">
      <c r="A442" s="137"/>
      <c r="B442" s="137" t="s">
        <v>54</v>
      </c>
      <c r="C442" s="159">
        <v>153</v>
      </c>
      <c r="D442" s="159">
        <f>2101+11</f>
        <v>2112</v>
      </c>
      <c r="E442" s="159">
        <v>179</v>
      </c>
      <c r="F442" s="159">
        <f>1885+14</f>
        <v>1899</v>
      </c>
      <c r="G442" s="138"/>
      <c r="H442" s="138"/>
      <c r="I442" s="138"/>
      <c r="J442" s="138"/>
      <c r="K442" s="138"/>
    </row>
    <row r="443" spans="1:11" ht="15.75">
      <c r="A443" s="137"/>
      <c r="B443" s="137"/>
      <c r="C443" s="159"/>
      <c r="D443" s="159"/>
      <c r="E443" s="159"/>
      <c r="F443" s="159"/>
      <c r="G443" s="138"/>
      <c r="H443" s="138"/>
      <c r="I443" s="138"/>
      <c r="J443" s="138"/>
      <c r="K443" s="138"/>
    </row>
    <row r="444" spans="1:11" ht="15.75">
      <c r="A444" s="143" t="s">
        <v>66</v>
      </c>
      <c r="B444" s="140" t="s">
        <v>103</v>
      </c>
      <c r="C444" s="170"/>
      <c r="D444" s="159"/>
      <c r="E444" s="170"/>
      <c r="F444" s="159"/>
      <c r="G444" s="138"/>
      <c r="H444" s="138"/>
      <c r="I444" s="138"/>
      <c r="J444" s="138"/>
      <c r="K444" s="138"/>
    </row>
    <row r="445" spans="1:11" ht="15.75">
      <c r="A445" s="137"/>
      <c r="B445" s="137" t="s">
        <v>55</v>
      </c>
      <c r="C445" s="159">
        <v>140</v>
      </c>
      <c r="D445" s="159">
        <v>1961</v>
      </c>
      <c r="E445" s="159">
        <v>153</v>
      </c>
      <c r="F445" s="159">
        <v>1861</v>
      </c>
      <c r="G445" s="138"/>
      <c r="H445" s="138"/>
      <c r="I445" s="138"/>
      <c r="J445" s="138"/>
      <c r="K445" s="138"/>
    </row>
    <row r="446" spans="1:11" ht="15.75">
      <c r="A446" s="137"/>
      <c r="B446" s="137" t="s">
        <v>56</v>
      </c>
      <c r="C446" s="159">
        <v>177</v>
      </c>
      <c r="D446" s="159">
        <v>2588</v>
      </c>
      <c r="E446" s="159">
        <v>201</v>
      </c>
      <c r="F446" s="159">
        <v>2263</v>
      </c>
      <c r="G446" s="138"/>
      <c r="H446" s="138"/>
      <c r="I446" s="138"/>
      <c r="J446" s="138"/>
      <c r="K446" s="138"/>
    </row>
    <row r="447" spans="1:11" ht="15.75">
      <c r="A447" s="137"/>
      <c r="B447" s="137" t="s">
        <v>57</v>
      </c>
      <c r="C447" s="159">
        <v>225</v>
      </c>
      <c r="D447" s="159">
        <v>2517</v>
      </c>
      <c r="E447" s="159">
        <v>218</v>
      </c>
      <c r="F447" s="159">
        <v>2302</v>
      </c>
      <c r="G447" s="138"/>
      <c r="H447" s="138"/>
      <c r="I447" s="138"/>
      <c r="J447" s="138"/>
      <c r="K447" s="138"/>
    </row>
    <row r="448" spans="1:11" ht="15.75">
      <c r="A448" s="137"/>
      <c r="B448" s="137"/>
      <c r="C448" s="138"/>
      <c r="D448" s="138"/>
      <c r="E448" s="138"/>
      <c r="F448" s="138"/>
      <c r="G448" s="138"/>
      <c r="H448" s="138"/>
      <c r="I448" s="138"/>
      <c r="J448" s="138"/>
      <c r="K448" s="138"/>
    </row>
    <row r="449" spans="1:11" ht="15.75">
      <c r="A449" s="143" t="s">
        <v>66</v>
      </c>
      <c r="B449" s="140" t="s">
        <v>104</v>
      </c>
      <c r="C449" s="170"/>
      <c r="D449" s="159"/>
      <c r="E449" s="170"/>
      <c r="F449" s="159"/>
      <c r="G449" s="138"/>
      <c r="H449" s="138"/>
      <c r="I449" s="138"/>
      <c r="J449" s="138"/>
      <c r="K449" s="138"/>
    </row>
    <row r="450" spans="1:11" ht="15.75">
      <c r="A450" s="137"/>
      <c r="B450" s="137" t="s">
        <v>58</v>
      </c>
      <c r="C450" s="159">
        <v>257</v>
      </c>
      <c r="D450" s="159">
        <f>2519+3</f>
        <v>2522</v>
      </c>
      <c r="E450" s="159">
        <f>248</f>
        <v>248</v>
      </c>
      <c r="F450" s="159">
        <f>2370+6</f>
        <v>2376</v>
      </c>
      <c r="G450" s="138"/>
      <c r="H450" s="138"/>
      <c r="I450" s="138"/>
      <c r="J450" s="138"/>
      <c r="K450" s="138"/>
    </row>
    <row r="451" spans="1:11" ht="15.75">
      <c r="A451" s="137"/>
      <c r="B451" s="137" t="s">
        <v>59</v>
      </c>
      <c r="C451" s="159">
        <v>274</v>
      </c>
      <c r="D451" s="159">
        <f>3064+1+17</f>
        <v>3082</v>
      </c>
      <c r="E451" s="159">
        <v>248</v>
      </c>
      <c r="F451" s="159">
        <f>2623+1+24</f>
        <v>2648</v>
      </c>
      <c r="G451" s="138"/>
      <c r="H451" s="138"/>
      <c r="I451" s="138"/>
      <c r="J451" s="138"/>
      <c r="K451" s="138"/>
    </row>
    <row r="452" spans="1:11" ht="15.75">
      <c r="A452" s="137"/>
      <c r="B452" s="137" t="s">
        <v>60</v>
      </c>
      <c r="C452" s="159">
        <v>278</v>
      </c>
      <c r="D452" s="159">
        <f>2580+4</f>
        <v>2584</v>
      </c>
      <c r="E452" s="159">
        <v>224</v>
      </c>
      <c r="F452" s="159">
        <f>2003+9</f>
        <v>2012</v>
      </c>
      <c r="G452" s="138"/>
      <c r="H452" s="138"/>
      <c r="I452" s="138"/>
      <c r="J452" s="138"/>
      <c r="K452" s="138"/>
    </row>
    <row r="453" spans="1:11" ht="15.75">
      <c r="A453" s="137"/>
      <c r="B453" s="137"/>
      <c r="C453" s="138"/>
      <c r="D453" s="138"/>
      <c r="E453" s="138"/>
      <c r="F453" s="138"/>
      <c r="G453" s="138"/>
      <c r="H453" s="138"/>
      <c r="I453" s="138"/>
      <c r="J453" s="138"/>
      <c r="K453" s="138"/>
    </row>
    <row r="454" spans="1:11" ht="15.75">
      <c r="A454" s="143">
        <v>2006</v>
      </c>
      <c r="B454" s="140" t="s">
        <v>112</v>
      </c>
      <c r="C454" s="170"/>
      <c r="D454" s="159"/>
      <c r="E454" s="170"/>
      <c r="F454" s="159"/>
      <c r="G454" s="138"/>
      <c r="H454" s="138"/>
      <c r="I454" s="138"/>
      <c r="J454" s="138"/>
      <c r="K454" s="138"/>
    </row>
    <row r="455" spans="1:11" ht="15.75">
      <c r="A455" s="137"/>
      <c r="B455" s="164" t="s">
        <v>49</v>
      </c>
      <c r="C455" s="171">
        <v>221</v>
      </c>
      <c r="D455" s="171">
        <f>2418+1+4</f>
        <v>2423</v>
      </c>
      <c r="E455" s="171">
        <v>190</v>
      </c>
      <c r="F455" s="171">
        <f>2012+1+8</f>
        <v>2021</v>
      </c>
      <c r="G455" s="138"/>
      <c r="H455" s="138"/>
      <c r="I455" s="138"/>
      <c r="J455" s="138"/>
      <c r="K455" s="138"/>
    </row>
    <row r="456" spans="1:11" ht="15.75">
      <c r="A456" s="137"/>
      <c r="B456" s="164" t="s">
        <v>50</v>
      </c>
      <c r="C456" s="171">
        <v>241</v>
      </c>
      <c r="D456" s="171">
        <f>2458</f>
        <v>2458</v>
      </c>
      <c r="E456" s="171">
        <v>248</v>
      </c>
      <c r="F456" s="171">
        <f>2172+6</f>
        <v>2178</v>
      </c>
      <c r="G456" s="138"/>
      <c r="H456" s="138"/>
      <c r="I456" s="138"/>
      <c r="J456" s="138"/>
      <c r="K456" s="138"/>
    </row>
    <row r="457" spans="1:11" ht="15.75">
      <c r="A457" s="137"/>
      <c r="B457" s="164" t="s">
        <v>51</v>
      </c>
      <c r="C457" s="171">
        <v>197</v>
      </c>
      <c r="D457" s="171">
        <f>2502+4</f>
        <v>2506</v>
      </c>
      <c r="E457" s="171">
        <v>227</v>
      </c>
      <c r="F457" s="171">
        <f>2253+9</f>
        <v>2262</v>
      </c>
      <c r="G457" s="138"/>
      <c r="H457" s="138"/>
      <c r="I457" s="138"/>
      <c r="J457" s="138"/>
      <c r="K457" s="138"/>
    </row>
    <row r="458" spans="1:11" ht="15.75">
      <c r="A458" s="137"/>
      <c r="B458" s="137"/>
      <c r="C458" s="138"/>
      <c r="D458" s="138"/>
      <c r="E458" s="138"/>
      <c r="F458" s="138"/>
      <c r="G458" s="138"/>
      <c r="H458" s="138"/>
      <c r="I458" s="138"/>
      <c r="J458" s="138"/>
      <c r="K458" s="138"/>
    </row>
    <row r="459" spans="1:11" ht="15.75">
      <c r="A459" s="143" t="s">
        <v>66</v>
      </c>
      <c r="B459" s="140" t="s">
        <v>113</v>
      </c>
      <c r="C459" s="170"/>
      <c r="D459" s="159"/>
      <c r="E459" s="170"/>
      <c r="F459" s="159"/>
      <c r="G459" s="138"/>
      <c r="H459" s="138"/>
      <c r="I459" s="138"/>
      <c r="J459" s="138"/>
      <c r="K459" s="138"/>
    </row>
    <row r="460" spans="1:11" ht="15.75">
      <c r="A460" s="137"/>
      <c r="B460" s="137" t="s">
        <v>52</v>
      </c>
      <c r="C460" s="171">
        <v>173</v>
      </c>
      <c r="D460" s="171">
        <f>2370+1</f>
        <v>2371</v>
      </c>
      <c r="E460" s="171">
        <f>205</f>
        <v>205</v>
      </c>
      <c r="F460" s="171">
        <f>2250+17</f>
        <v>2267</v>
      </c>
      <c r="G460" s="138"/>
      <c r="H460" s="138"/>
      <c r="I460" s="138"/>
      <c r="J460" s="138"/>
      <c r="K460" s="138"/>
    </row>
    <row r="461" spans="1:11" ht="15.75">
      <c r="A461" s="137"/>
      <c r="B461" s="137" t="s">
        <v>53</v>
      </c>
      <c r="C461" s="171">
        <v>174</v>
      </c>
      <c r="D461" s="171">
        <f>2087+1</f>
        <v>2088</v>
      </c>
      <c r="E461" s="171">
        <f>185</f>
        <v>185</v>
      </c>
      <c r="F461" s="171">
        <f>1803+9</f>
        <v>1812</v>
      </c>
      <c r="G461" s="138"/>
      <c r="H461" s="138"/>
      <c r="I461" s="138"/>
      <c r="J461" s="138"/>
      <c r="K461" s="138"/>
    </row>
    <row r="462" spans="1:11" ht="15.75">
      <c r="A462" s="137"/>
      <c r="B462" s="137" t="s">
        <v>54</v>
      </c>
      <c r="C462" s="171">
        <v>144</v>
      </c>
      <c r="D462" s="171">
        <f>1923+3</f>
        <v>1926</v>
      </c>
      <c r="E462" s="171">
        <f>198</f>
        <v>198</v>
      </c>
      <c r="F462" s="171">
        <f>1958+5</f>
        <v>1963</v>
      </c>
      <c r="G462" s="138"/>
      <c r="H462" s="138"/>
      <c r="I462" s="138"/>
      <c r="J462" s="138"/>
      <c r="K462" s="138"/>
    </row>
    <row r="463" spans="1:11" ht="15.75">
      <c r="A463" s="137"/>
      <c r="B463" s="164"/>
      <c r="C463" s="138"/>
      <c r="D463" s="138"/>
      <c r="E463" s="138"/>
      <c r="F463" s="138"/>
      <c r="G463" s="138"/>
      <c r="H463" s="138"/>
      <c r="I463" s="138"/>
      <c r="J463" s="138"/>
      <c r="K463" s="138"/>
    </row>
    <row r="464" spans="1:11" ht="15.75">
      <c r="A464" s="140" t="s">
        <v>144</v>
      </c>
      <c r="B464" s="137"/>
      <c r="C464" s="138"/>
      <c r="D464" s="138"/>
      <c r="E464" s="138"/>
      <c r="F464" s="138"/>
      <c r="G464" s="138"/>
      <c r="H464" s="138"/>
      <c r="I464" s="138"/>
      <c r="J464" s="138"/>
      <c r="K464" s="138"/>
    </row>
    <row r="465" spans="1:11" ht="15.75">
      <c r="A465" s="140" t="s">
        <v>66</v>
      </c>
      <c r="B465" s="137"/>
      <c r="C465" s="156"/>
      <c r="D465" s="138"/>
      <c r="E465" s="138"/>
      <c r="F465" s="138"/>
      <c r="G465" s="138"/>
      <c r="H465" s="138"/>
      <c r="I465" s="138"/>
      <c r="J465" s="138"/>
      <c r="K465" s="138"/>
    </row>
    <row r="466" spans="1:11" ht="15.75">
      <c r="A466" s="137" t="s">
        <v>134</v>
      </c>
      <c r="B466" s="137"/>
      <c r="C466" s="138"/>
      <c r="D466" s="138"/>
      <c r="E466" s="138"/>
      <c r="F466" s="138"/>
      <c r="G466" s="138"/>
      <c r="H466" s="138"/>
      <c r="I466" s="138"/>
      <c r="J466" s="138"/>
      <c r="K466" s="138"/>
    </row>
    <row r="467" spans="1:11" ht="15">
      <c r="A467" s="172"/>
    </row>
  </sheetData>
  <mergeCells count="38">
    <mergeCell ref="I309:K309"/>
    <mergeCell ref="F87:G87"/>
    <mergeCell ref="E250:F250"/>
    <mergeCell ref="G250:H250"/>
    <mergeCell ref="I250:K250"/>
    <mergeCell ref="G309:H309"/>
    <mergeCell ref="C308:F308"/>
    <mergeCell ref="C309:D309"/>
    <mergeCell ref="E309:F309"/>
    <mergeCell ref="C250:D250"/>
    <mergeCell ref="H187:K187"/>
    <mergeCell ref="D188:E188"/>
    <mergeCell ref="F188:G188"/>
    <mergeCell ref="H188:I188"/>
    <mergeCell ref="C216:D216"/>
    <mergeCell ref="C249:F249"/>
    <mergeCell ref="A3:I3"/>
    <mergeCell ref="A1:I1"/>
    <mergeCell ref="A4:I4"/>
    <mergeCell ref="A5:I5"/>
    <mergeCell ref="A6:I6"/>
    <mergeCell ref="C368:D368"/>
    <mergeCell ref="E368:F368"/>
    <mergeCell ref="C341:D341"/>
    <mergeCell ref="E341:F341"/>
    <mergeCell ref="C426:D426"/>
    <mergeCell ref="E426:F426"/>
    <mergeCell ref="C215:F215"/>
    <mergeCell ref="H86:K86"/>
    <mergeCell ref="I216:K216"/>
    <mergeCell ref="G216:H216"/>
    <mergeCell ref="E216:F216"/>
    <mergeCell ref="H136:K136"/>
    <mergeCell ref="D137:E137"/>
    <mergeCell ref="F137:G137"/>
    <mergeCell ref="H137:I137"/>
    <mergeCell ref="H87:I87"/>
    <mergeCell ref="D87:E87"/>
  </mergeCells>
  <phoneticPr fontId="24" type="noConversion"/>
  <printOptions horizontalCentered="1"/>
  <pageMargins left="0.25" right="0.25" top="0.5" bottom="0.25" header="0.5" footer="0.5"/>
  <pageSetup scale="63" orientation="landscape" horizontalDpi="4294967292" r:id="rId1"/>
  <headerFooter alignWithMargins="0"/>
  <rowBreaks count="7" manualBreakCount="7">
    <brk id="84" max="18" man="1"/>
    <brk id="134" max="18" man="1"/>
    <brk id="185" max="18" man="1"/>
    <brk id="247" max="18" man="1"/>
    <brk id="306" max="18" man="1"/>
    <brk id="366" max="18" man="1"/>
    <brk id="424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topLeftCell="A4" workbookViewId="0">
      <selection activeCell="D16" sqref="D16:E16"/>
    </sheetView>
  </sheetViews>
  <sheetFormatPr defaultRowHeight="12.75"/>
  <cols>
    <col min="1" max="1" width="28.7109375" customWidth="1"/>
    <col min="2" max="2" width="12.7109375" customWidth="1"/>
    <col min="3" max="3" width="13.5703125" customWidth="1"/>
    <col min="4" max="4" width="11.28515625" customWidth="1"/>
    <col min="5" max="5" width="14" customWidth="1"/>
    <col min="6" max="6" width="11.42578125" customWidth="1"/>
    <col min="7" max="7" width="12.85546875" style="115" customWidth="1"/>
    <col min="8" max="8" width="12.42578125" customWidth="1"/>
    <col min="9" max="9" width="12" customWidth="1"/>
    <col min="10" max="10" width="12.28515625" customWidth="1"/>
    <col min="19" max="19" width="10.7109375" customWidth="1"/>
  </cols>
  <sheetData>
    <row r="1" spans="1:18">
      <c r="A1" s="295" t="s">
        <v>150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8" ht="13.5" thickBot="1"/>
    <row r="3" spans="1:18" ht="16.5" thickBot="1">
      <c r="A3" s="1" t="s">
        <v>64</v>
      </c>
      <c r="B3" s="23">
        <f>'Table B (Participation)'!I25</f>
        <v>290078</v>
      </c>
      <c r="C3" s="74"/>
      <c r="F3" s="13"/>
      <c r="G3" s="90"/>
      <c r="H3" s="13"/>
      <c r="I3" s="13"/>
      <c r="J3" s="13"/>
      <c r="K3" s="13"/>
      <c r="L3" s="13"/>
      <c r="M3" s="13"/>
      <c r="N3" s="13"/>
    </row>
    <row r="4" spans="1:18" ht="16.5" thickBot="1">
      <c r="A4" s="22" t="s">
        <v>69</v>
      </c>
      <c r="B4" s="32">
        <v>8</v>
      </c>
      <c r="C4" s="75"/>
      <c r="D4" s="7"/>
      <c r="E4" s="3"/>
      <c r="F4" s="30"/>
      <c r="G4" s="91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>
      <c r="A5" s="18" t="s">
        <v>16</v>
      </c>
      <c r="B5" s="109">
        <f>B4*B3</f>
        <v>2320624</v>
      </c>
      <c r="C5" s="110"/>
      <c r="F5" s="30"/>
      <c r="G5" s="91"/>
      <c r="H5" s="34"/>
      <c r="I5" s="30"/>
      <c r="J5" s="30"/>
      <c r="K5" s="30"/>
      <c r="L5" s="30"/>
      <c r="M5" s="30"/>
      <c r="N5" s="30"/>
      <c r="O5" s="30"/>
      <c r="P5" s="30"/>
      <c r="Q5" s="30"/>
      <c r="R5" s="30"/>
    </row>
    <row r="6" spans="1:18">
      <c r="A6" s="10" t="s">
        <v>17</v>
      </c>
      <c r="B6" s="111" t="e">
        <f>#REF!</f>
        <v>#REF!</v>
      </c>
      <c r="E6" s="83"/>
      <c r="F6" s="30"/>
      <c r="G6" s="91"/>
      <c r="H6" s="36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ht="13.5" thickBot="1">
      <c r="A7" s="20" t="s">
        <v>18</v>
      </c>
      <c r="B7" s="112"/>
      <c r="E7" s="21"/>
      <c r="F7" s="30"/>
      <c r="G7" s="91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13.5" thickBot="1">
      <c r="E8" s="12"/>
      <c r="F8" s="30"/>
      <c r="G8" s="91"/>
      <c r="H8" s="35"/>
      <c r="I8" s="33"/>
      <c r="J8" s="30"/>
      <c r="K8" s="30"/>
      <c r="L8" s="30"/>
      <c r="M8" s="30"/>
      <c r="N8" s="30"/>
      <c r="O8" s="30"/>
      <c r="P8" s="30"/>
      <c r="Q8" s="30"/>
      <c r="R8" s="30"/>
    </row>
    <row r="9" spans="1:18" ht="15.75" thickBot="1">
      <c r="A9" s="27" t="s">
        <v>0</v>
      </c>
      <c r="B9" s="28"/>
      <c r="E9" s="4"/>
      <c r="F9" s="30"/>
      <c r="G9" s="91"/>
      <c r="H9" s="35"/>
      <c r="I9" s="33"/>
      <c r="J9" s="30"/>
      <c r="K9" s="30"/>
      <c r="L9" s="30"/>
      <c r="M9" s="30"/>
      <c r="N9" s="30"/>
      <c r="O9" s="30"/>
      <c r="P9" s="30"/>
      <c r="Q9" s="30"/>
      <c r="R9" s="30"/>
    </row>
    <row r="10" spans="1:18" ht="13.5" thickBot="1">
      <c r="A10" s="53"/>
      <c r="B10" s="52" t="s">
        <v>1</v>
      </c>
      <c r="C10" s="108" t="s">
        <v>75</v>
      </c>
      <c r="D10" s="29" t="s">
        <v>2</v>
      </c>
      <c r="F10" s="30"/>
      <c r="G10" s="91"/>
      <c r="H10" s="37"/>
      <c r="I10" s="31"/>
      <c r="J10" s="30"/>
      <c r="K10" s="30"/>
      <c r="L10" s="30"/>
      <c r="M10" s="30"/>
      <c r="N10" s="30"/>
      <c r="O10" s="30"/>
      <c r="P10" s="30"/>
      <c r="Q10" s="30"/>
    </row>
    <row r="11" spans="1:18" ht="13.5" thickBot="1">
      <c r="A11" s="14" t="s">
        <v>22</v>
      </c>
      <c r="B11" s="47">
        <f>(78/96)*(B4*12)</f>
        <v>78</v>
      </c>
      <c r="C11" s="48">
        <v>1</v>
      </c>
      <c r="D11" s="49">
        <f>+B11*$B$3*C11/12</f>
        <v>1885507</v>
      </c>
      <c r="F11" s="93"/>
      <c r="G11" s="91"/>
      <c r="H11" s="35"/>
      <c r="I11" s="33"/>
      <c r="J11" s="31"/>
      <c r="K11" s="30"/>
      <c r="L11" s="30"/>
      <c r="M11" s="30"/>
      <c r="N11" s="30"/>
      <c r="O11" s="30"/>
      <c r="P11" s="30"/>
      <c r="Q11" s="30"/>
      <c r="R11" s="30"/>
    </row>
    <row r="12" spans="1:18">
      <c r="A12" s="14" t="s">
        <v>20</v>
      </c>
      <c r="B12" s="54">
        <v>100</v>
      </c>
      <c r="C12" s="13">
        <v>1</v>
      </c>
      <c r="D12" s="49">
        <f>+B12*$B$3*C12/12</f>
        <v>2417316.6666666665</v>
      </c>
      <c r="F12" s="30"/>
      <c r="G12" s="91"/>
      <c r="H12" s="35"/>
      <c r="I12" s="33"/>
      <c r="J12" s="31"/>
      <c r="K12" s="30"/>
      <c r="L12" s="30"/>
      <c r="M12" s="30"/>
      <c r="N12" s="30"/>
      <c r="O12" s="30"/>
      <c r="P12" s="30"/>
      <c r="Q12" s="30"/>
      <c r="R12" s="30"/>
    </row>
    <row r="13" spans="1:18" ht="15.75">
      <c r="A13" s="24" t="s">
        <v>3</v>
      </c>
      <c r="B13" s="54">
        <v>0.75</v>
      </c>
      <c r="C13" s="55">
        <v>1.19</v>
      </c>
      <c r="D13" s="49">
        <f>+B13*$B$3*C13/12</f>
        <v>21574.55125</v>
      </c>
      <c r="G13" s="92"/>
      <c r="H13" s="38"/>
      <c r="I13" s="33"/>
      <c r="J13" s="31"/>
      <c r="K13" s="30"/>
      <c r="L13" s="30"/>
      <c r="M13" s="30"/>
      <c r="N13" t="s">
        <v>23</v>
      </c>
      <c r="O13" s="30" t="s">
        <v>24</v>
      </c>
      <c r="P13" s="30"/>
      <c r="Q13" s="30"/>
      <c r="R13" s="30"/>
    </row>
    <row r="14" spans="1:18" ht="13.5" thickBot="1">
      <c r="A14" s="25" t="s">
        <v>4</v>
      </c>
      <c r="B14" s="113">
        <v>30</v>
      </c>
      <c r="C14" s="50">
        <v>0.03</v>
      </c>
      <c r="D14" s="51">
        <f>+B14*$B$3*C14/12</f>
        <v>21755.85</v>
      </c>
      <c r="G14" s="114"/>
      <c r="H14" s="36"/>
      <c r="I14" s="30"/>
      <c r="J14" s="31"/>
      <c r="K14" s="30"/>
      <c r="L14" s="30"/>
      <c r="M14" s="30"/>
      <c r="N14" s="12">
        <f>+C14*B3/12</f>
        <v>725.19500000000005</v>
      </c>
      <c r="O14" s="57">
        <v>1460</v>
      </c>
      <c r="P14" s="30"/>
      <c r="Q14" s="30"/>
      <c r="R14" s="30"/>
    </row>
    <row r="15" spans="1:18" ht="13.5" thickBot="1">
      <c r="B15" s="5"/>
      <c r="C15" s="5"/>
      <c r="D15" s="26"/>
      <c r="F15" s="30"/>
      <c r="G15" s="114"/>
      <c r="H15" s="31"/>
      <c r="I15" s="30"/>
      <c r="J15" s="31"/>
      <c r="K15" s="30"/>
      <c r="L15" s="30"/>
      <c r="M15" s="30"/>
      <c r="N15" s="30"/>
      <c r="O15" s="30"/>
      <c r="P15" s="30"/>
      <c r="Q15" s="30"/>
      <c r="R15" s="30"/>
    </row>
    <row r="16" spans="1:18" ht="13.5" thickBot="1">
      <c r="B16" s="293" t="s">
        <v>25</v>
      </c>
      <c r="C16" s="294"/>
      <c r="D16" s="293" t="s">
        <v>151</v>
      </c>
      <c r="E16" s="294"/>
    </row>
    <row r="17" spans="1:14" ht="13.5" thickBot="1">
      <c r="A17" s="8" t="s">
        <v>5</v>
      </c>
      <c r="B17" s="9" t="s">
        <v>19</v>
      </c>
      <c r="C17" s="9" t="s">
        <v>21</v>
      </c>
      <c r="D17" s="9" t="s">
        <v>19</v>
      </c>
      <c r="E17" s="9" t="s">
        <v>21</v>
      </c>
    </row>
    <row r="18" spans="1:14">
      <c r="A18" s="10" t="s">
        <v>7</v>
      </c>
      <c r="B18" s="11">
        <f>+D11</f>
        <v>1885507</v>
      </c>
      <c r="C18" s="11">
        <f>+D12</f>
        <v>2417316.6666666665</v>
      </c>
      <c r="D18" s="11">
        <f>B18</f>
        <v>1885507</v>
      </c>
      <c r="E18" s="11">
        <f>C18</f>
        <v>2417316.6666666665</v>
      </c>
      <c r="I18" s="6"/>
      <c r="J18" s="5"/>
      <c r="K18" s="5"/>
    </row>
    <row r="19" spans="1:14">
      <c r="A19" s="10" t="s">
        <v>8</v>
      </c>
      <c r="B19" s="11">
        <f>+D13</f>
        <v>21574.55125</v>
      </c>
      <c r="C19" s="11">
        <f>+B19</f>
        <v>21574.55125</v>
      </c>
      <c r="D19" s="11">
        <f>B19</f>
        <v>21574.55125</v>
      </c>
      <c r="E19" s="11">
        <f>+D19</f>
        <v>21574.55125</v>
      </c>
      <c r="H19" s="7"/>
      <c r="I19" s="116"/>
      <c r="J19" s="5"/>
      <c r="K19" s="5"/>
    </row>
    <row r="20" spans="1:14" ht="13.5" thickBot="1">
      <c r="A20" s="10" t="s">
        <v>9</v>
      </c>
      <c r="B20" s="11">
        <f>+D14</f>
        <v>21755.85</v>
      </c>
      <c r="C20" s="11">
        <f>+B20</f>
        <v>21755.85</v>
      </c>
      <c r="D20" s="11">
        <f>N14*O14</f>
        <v>1058784.7000000002</v>
      </c>
      <c r="E20" s="11">
        <f>+D20</f>
        <v>1058784.7000000002</v>
      </c>
      <c r="H20" s="7"/>
      <c r="I20" s="116"/>
      <c r="J20" s="21"/>
    </row>
    <row r="21" spans="1:14" ht="13.5" thickBot="1">
      <c r="A21" s="2" t="s">
        <v>10</v>
      </c>
      <c r="B21" s="39">
        <f>SUM(B18:B20)</f>
        <v>1928837.4012500001</v>
      </c>
      <c r="C21" s="39">
        <f>SUM(C18:C20)</f>
        <v>2460647.0679166666</v>
      </c>
      <c r="D21" s="39">
        <f>SUM(D18:D20)</f>
        <v>2965866.2512500002</v>
      </c>
      <c r="E21" s="39">
        <f>SUM(E18:E20)</f>
        <v>3497675.9179166667</v>
      </c>
      <c r="I21" s="12"/>
      <c r="J21" s="21"/>
    </row>
    <row r="22" spans="1:14" ht="13.5" thickBot="1">
      <c r="A22" s="40" t="s">
        <v>11</v>
      </c>
      <c r="B22" s="41"/>
      <c r="C22" s="41"/>
      <c r="D22" s="41"/>
      <c r="E22" s="41"/>
    </row>
    <row r="23" spans="1:14">
      <c r="A23" s="42" t="s">
        <v>26</v>
      </c>
      <c r="B23" s="43" t="e">
        <f>B6</f>
        <v>#REF!</v>
      </c>
      <c r="C23" s="43" t="e">
        <f>+B23</f>
        <v>#REF!</v>
      </c>
      <c r="D23" s="43" t="e">
        <f>C23</f>
        <v>#REF!</v>
      </c>
      <c r="E23" s="43" t="e">
        <f>+D23</f>
        <v>#REF!</v>
      </c>
      <c r="I23" s="16"/>
      <c r="J23" s="16"/>
    </row>
    <row r="24" spans="1:14" ht="13.5" thickBot="1">
      <c r="A24" s="44" t="s">
        <v>6</v>
      </c>
      <c r="B24" s="45">
        <f>+B5</f>
        <v>2320624</v>
      </c>
      <c r="C24" s="45">
        <f>+B24</f>
        <v>2320624</v>
      </c>
      <c r="D24" s="45">
        <f>B24</f>
        <v>2320624</v>
      </c>
      <c r="E24" s="45">
        <f>+D24</f>
        <v>2320624</v>
      </c>
      <c r="H24" s="7"/>
      <c r="I24" s="7"/>
      <c r="J24" s="16"/>
    </row>
    <row r="25" spans="1:14" ht="13.5" thickBot="1">
      <c r="A25" s="2" t="s">
        <v>12</v>
      </c>
      <c r="B25" s="39" t="e">
        <f>SUM(B23:B24)</f>
        <v>#REF!</v>
      </c>
      <c r="C25" s="39" t="e">
        <f>SUM(C23:C24)</f>
        <v>#REF!</v>
      </c>
      <c r="D25" s="39" t="e">
        <f>SUM(D23:D24)</f>
        <v>#REF!</v>
      </c>
      <c r="E25" s="39" t="e">
        <f>SUM(E23:E24)</f>
        <v>#REF!</v>
      </c>
      <c r="I25" s="63"/>
      <c r="J25" s="83"/>
    </row>
    <row r="26" spans="1:14" ht="13.5" thickBot="1">
      <c r="B26" s="24"/>
      <c r="C26" s="24"/>
      <c r="D26" s="24"/>
      <c r="E26" s="24"/>
      <c r="G26" s="117"/>
      <c r="H26" s="118"/>
      <c r="I26" s="118"/>
      <c r="J26" s="16"/>
    </row>
    <row r="27" spans="1:14" ht="13.5" thickBot="1">
      <c r="A27" s="1" t="s">
        <v>13</v>
      </c>
      <c r="B27" s="46" t="e">
        <f>+B21/B25</f>
        <v>#REF!</v>
      </c>
      <c r="C27" s="46" t="e">
        <f>+C21/C25</f>
        <v>#REF!</v>
      </c>
      <c r="D27" s="46" t="e">
        <f>+D21/D25</f>
        <v>#REF!</v>
      </c>
      <c r="E27" s="46" t="e">
        <f>+E21/E25</f>
        <v>#REF!</v>
      </c>
      <c r="G27" s="117"/>
      <c r="H27" s="118"/>
      <c r="I27" s="118"/>
      <c r="J27" s="15"/>
    </row>
    <row r="28" spans="1:14" ht="13.5" thickBot="1">
      <c r="A28" s="20" t="s">
        <v>14</v>
      </c>
      <c r="B28" s="119" t="e">
        <f>+B21-B25</f>
        <v>#REF!</v>
      </c>
      <c r="C28" s="119" t="e">
        <f>+C21-C25</f>
        <v>#REF!</v>
      </c>
      <c r="D28" s="119" t="e">
        <f>+D21-D25</f>
        <v>#REF!</v>
      </c>
      <c r="E28" s="119" t="e">
        <f>+E21-E25</f>
        <v>#REF!</v>
      </c>
      <c r="G28" s="117"/>
      <c r="H28" s="118"/>
      <c r="I28" s="118"/>
      <c r="J28" s="16"/>
    </row>
    <row r="29" spans="1:14" ht="13.5" thickBot="1">
      <c r="A29" s="83"/>
      <c r="C29" s="30"/>
      <c r="D29" s="30"/>
      <c r="G29" s="114"/>
      <c r="H29" s="19"/>
      <c r="I29" s="58"/>
      <c r="J29" s="16"/>
      <c r="K29" s="17"/>
      <c r="L29" s="7"/>
      <c r="M29" s="7"/>
      <c r="N29" s="7"/>
    </row>
    <row r="30" spans="1:14" ht="51.75" thickBot="1">
      <c r="A30" s="98" t="s">
        <v>70</v>
      </c>
      <c r="B30" s="96" t="s">
        <v>73</v>
      </c>
      <c r="C30" s="95" t="s">
        <v>42</v>
      </c>
      <c r="D30" s="97" t="s">
        <v>71</v>
      </c>
      <c r="E30" s="96" t="s">
        <v>43</v>
      </c>
      <c r="F30" s="97" t="s">
        <v>68</v>
      </c>
      <c r="G30" s="96" t="s">
        <v>76</v>
      </c>
      <c r="H30" s="97" t="s">
        <v>15</v>
      </c>
      <c r="I30" s="98" t="s">
        <v>14</v>
      </c>
      <c r="J30" s="99" t="s">
        <v>74</v>
      </c>
      <c r="K30" s="17"/>
      <c r="L30" s="7"/>
      <c r="M30" s="7"/>
      <c r="N30" s="7"/>
    </row>
    <row r="31" spans="1:14">
      <c r="A31" s="100" t="s">
        <v>31</v>
      </c>
      <c r="B31" s="102" t="e">
        <f>#REF!</f>
        <v>#REF!</v>
      </c>
      <c r="C31" s="111" t="e">
        <f>#REF!</f>
        <v>#REF!</v>
      </c>
      <c r="D31" s="120" t="e">
        <f t="shared" ref="D31:D41" si="0">C31/$C$42</f>
        <v>#REF!</v>
      </c>
      <c r="E31" s="121" t="e">
        <f t="shared" ref="E31:E41" si="1">+C31/B31</f>
        <v>#REF!</v>
      </c>
      <c r="F31" s="122" t="e">
        <f t="shared" ref="F31:F41" si="2">+E31/12</f>
        <v>#REF!</v>
      </c>
      <c r="G31" s="123" t="e">
        <f t="shared" ref="G31:G41" si="3">+D31*$C$21</f>
        <v>#REF!</v>
      </c>
      <c r="H31" s="88" t="e">
        <f t="shared" ref="H31:H41" si="4">C31</f>
        <v>#REF!</v>
      </c>
      <c r="I31" s="111" t="e">
        <f t="shared" ref="I31:I41" si="5">+G31-H31</f>
        <v>#REF!</v>
      </c>
      <c r="J31" s="124" t="e">
        <f t="shared" ref="J31:J41" si="6">+I31/B31/12*100</f>
        <v>#REF!</v>
      </c>
      <c r="K31" s="17"/>
      <c r="L31" s="7"/>
      <c r="M31" s="7"/>
      <c r="N31" s="7"/>
    </row>
    <row r="32" spans="1:14">
      <c r="A32" s="100" t="s">
        <v>32</v>
      </c>
      <c r="B32" s="102" t="e">
        <f>#REF!</f>
        <v>#REF!</v>
      </c>
      <c r="C32" s="111" t="e">
        <f>#REF!</f>
        <v>#REF!</v>
      </c>
      <c r="D32" s="120" t="e">
        <f t="shared" si="0"/>
        <v>#REF!</v>
      </c>
      <c r="E32" s="121" t="e">
        <f t="shared" si="1"/>
        <v>#REF!</v>
      </c>
      <c r="F32" s="122" t="e">
        <f t="shared" si="2"/>
        <v>#REF!</v>
      </c>
      <c r="G32" s="123" t="e">
        <f t="shared" si="3"/>
        <v>#REF!</v>
      </c>
      <c r="H32" s="88" t="e">
        <f t="shared" si="4"/>
        <v>#REF!</v>
      </c>
      <c r="I32" s="111" t="e">
        <f t="shared" si="5"/>
        <v>#REF!</v>
      </c>
      <c r="J32" s="125" t="e">
        <f t="shared" si="6"/>
        <v>#REF!</v>
      </c>
    </row>
    <row r="33" spans="1:20">
      <c r="A33" s="100" t="s">
        <v>33</v>
      </c>
      <c r="B33" s="102" t="e">
        <f>#REF!</f>
        <v>#REF!</v>
      </c>
      <c r="C33" s="111" t="e">
        <f>#REF!</f>
        <v>#REF!</v>
      </c>
      <c r="D33" s="120" t="e">
        <f t="shared" si="0"/>
        <v>#REF!</v>
      </c>
      <c r="E33" s="121" t="e">
        <f t="shared" si="1"/>
        <v>#REF!</v>
      </c>
      <c r="F33" s="122" t="e">
        <f t="shared" si="2"/>
        <v>#REF!</v>
      </c>
      <c r="G33" s="123" t="e">
        <f t="shared" si="3"/>
        <v>#REF!</v>
      </c>
      <c r="H33" s="88" t="e">
        <f t="shared" si="4"/>
        <v>#REF!</v>
      </c>
      <c r="I33" s="111" t="e">
        <f t="shared" si="5"/>
        <v>#REF!</v>
      </c>
      <c r="J33" s="125" t="e">
        <f t="shared" si="6"/>
        <v>#REF!</v>
      </c>
      <c r="S33" s="56" t="s">
        <v>72</v>
      </c>
      <c r="T33" s="116"/>
    </row>
    <row r="34" spans="1:20">
      <c r="A34" s="100" t="s">
        <v>34</v>
      </c>
      <c r="B34" s="102" t="e">
        <f>#REF!</f>
        <v>#REF!</v>
      </c>
      <c r="C34" s="111" t="e">
        <f>#REF!</f>
        <v>#REF!</v>
      </c>
      <c r="D34" s="120" t="e">
        <f t="shared" si="0"/>
        <v>#REF!</v>
      </c>
      <c r="E34" s="121" t="e">
        <f t="shared" si="1"/>
        <v>#REF!</v>
      </c>
      <c r="F34" s="122" t="e">
        <f t="shared" si="2"/>
        <v>#REF!</v>
      </c>
      <c r="G34" s="123" t="e">
        <f t="shared" si="3"/>
        <v>#REF!</v>
      </c>
      <c r="H34" s="88" t="e">
        <f t="shared" si="4"/>
        <v>#REF!</v>
      </c>
      <c r="I34" s="111" t="e">
        <f t="shared" si="5"/>
        <v>#REF!</v>
      </c>
      <c r="J34" s="125" t="e">
        <f t="shared" si="6"/>
        <v>#REF!</v>
      </c>
      <c r="S34" s="62" t="e">
        <f>#REF!</f>
        <v>#REF!</v>
      </c>
      <c r="T34" s="126" t="e">
        <f t="shared" ref="T34:T45" si="7">+S34/$S$46</f>
        <v>#REF!</v>
      </c>
    </row>
    <row r="35" spans="1:20">
      <c r="A35" s="100" t="s">
        <v>35</v>
      </c>
      <c r="B35" s="102" t="e">
        <f>#REF!</f>
        <v>#REF!</v>
      </c>
      <c r="C35" s="111" t="e">
        <f>#REF!</f>
        <v>#REF!</v>
      </c>
      <c r="D35" s="120" t="e">
        <f t="shared" si="0"/>
        <v>#REF!</v>
      </c>
      <c r="E35" s="121" t="e">
        <f t="shared" si="1"/>
        <v>#REF!</v>
      </c>
      <c r="F35" s="122" t="e">
        <f t="shared" si="2"/>
        <v>#REF!</v>
      </c>
      <c r="G35" s="123" t="e">
        <f t="shared" si="3"/>
        <v>#REF!</v>
      </c>
      <c r="H35" s="88" t="e">
        <f t="shared" si="4"/>
        <v>#REF!</v>
      </c>
      <c r="I35" s="111" t="e">
        <f t="shared" si="5"/>
        <v>#REF!</v>
      </c>
      <c r="J35" s="125" t="e">
        <f t="shared" si="6"/>
        <v>#REF!</v>
      </c>
      <c r="S35" s="62" t="e">
        <f>#REF!</f>
        <v>#REF!</v>
      </c>
      <c r="T35" s="126" t="e">
        <f t="shared" si="7"/>
        <v>#REF!</v>
      </c>
    </row>
    <row r="36" spans="1:20">
      <c r="A36" s="100" t="s">
        <v>36</v>
      </c>
      <c r="B36" s="102" t="e">
        <f>#REF!</f>
        <v>#REF!</v>
      </c>
      <c r="C36" s="111" t="e">
        <f>#REF!</f>
        <v>#REF!</v>
      </c>
      <c r="D36" s="120" t="e">
        <f t="shared" si="0"/>
        <v>#REF!</v>
      </c>
      <c r="E36" s="121" t="e">
        <f t="shared" si="1"/>
        <v>#REF!</v>
      </c>
      <c r="F36" s="122" t="e">
        <f t="shared" si="2"/>
        <v>#REF!</v>
      </c>
      <c r="G36" s="123" t="e">
        <f t="shared" si="3"/>
        <v>#REF!</v>
      </c>
      <c r="H36" s="88" t="e">
        <f t="shared" si="4"/>
        <v>#REF!</v>
      </c>
      <c r="I36" s="111" t="e">
        <f t="shared" si="5"/>
        <v>#REF!</v>
      </c>
      <c r="J36" s="125" t="e">
        <f t="shared" si="6"/>
        <v>#REF!</v>
      </c>
      <c r="S36" s="62" t="e">
        <f>#REF!</f>
        <v>#REF!</v>
      </c>
      <c r="T36" s="126" t="e">
        <f t="shared" si="7"/>
        <v>#REF!</v>
      </c>
    </row>
    <row r="37" spans="1:20">
      <c r="A37" s="100" t="s">
        <v>37</v>
      </c>
      <c r="B37" s="102" t="e">
        <f>#REF!</f>
        <v>#REF!</v>
      </c>
      <c r="C37" s="111" t="e">
        <f>#REF!</f>
        <v>#REF!</v>
      </c>
      <c r="D37" s="120" t="e">
        <f t="shared" si="0"/>
        <v>#REF!</v>
      </c>
      <c r="E37" s="121" t="e">
        <f t="shared" si="1"/>
        <v>#REF!</v>
      </c>
      <c r="F37" s="122" t="e">
        <f t="shared" si="2"/>
        <v>#REF!</v>
      </c>
      <c r="G37" s="123" t="e">
        <f t="shared" si="3"/>
        <v>#REF!</v>
      </c>
      <c r="H37" s="88" t="e">
        <f t="shared" si="4"/>
        <v>#REF!</v>
      </c>
      <c r="I37" s="111" t="e">
        <f t="shared" si="5"/>
        <v>#REF!</v>
      </c>
      <c r="J37" s="125" t="e">
        <f t="shared" si="6"/>
        <v>#REF!</v>
      </c>
      <c r="S37" s="62" t="e">
        <f>#REF!</f>
        <v>#REF!</v>
      </c>
      <c r="T37" s="126" t="e">
        <f t="shared" si="7"/>
        <v>#REF!</v>
      </c>
    </row>
    <row r="38" spans="1:20">
      <c r="A38" s="100" t="s">
        <v>38</v>
      </c>
      <c r="B38" s="102" t="e">
        <f>#REF!</f>
        <v>#REF!</v>
      </c>
      <c r="C38" s="111" t="e">
        <f>#REF!</f>
        <v>#REF!</v>
      </c>
      <c r="D38" s="120" t="e">
        <f t="shared" si="0"/>
        <v>#REF!</v>
      </c>
      <c r="E38" s="121" t="e">
        <f t="shared" si="1"/>
        <v>#REF!</v>
      </c>
      <c r="F38" s="122" t="e">
        <f t="shared" si="2"/>
        <v>#REF!</v>
      </c>
      <c r="G38" s="123" t="e">
        <f t="shared" si="3"/>
        <v>#REF!</v>
      </c>
      <c r="H38" s="88" t="e">
        <f t="shared" si="4"/>
        <v>#REF!</v>
      </c>
      <c r="I38" s="111" t="e">
        <f t="shared" si="5"/>
        <v>#REF!</v>
      </c>
      <c r="J38" s="125" t="e">
        <f t="shared" si="6"/>
        <v>#REF!</v>
      </c>
      <c r="S38" s="62" t="e">
        <f>#REF!</f>
        <v>#REF!</v>
      </c>
      <c r="T38" s="126" t="e">
        <f t="shared" si="7"/>
        <v>#REF!</v>
      </c>
    </row>
    <row r="39" spans="1:20">
      <c r="A39" s="100" t="s">
        <v>39</v>
      </c>
      <c r="B39" s="102" t="e">
        <f>#REF!</f>
        <v>#REF!</v>
      </c>
      <c r="C39" s="111" t="e">
        <f>#REF!</f>
        <v>#REF!</v>
      </c>
      <c r="D39" s="120" t="e">
        <f t="shared" si="0"/>
        <v>#REF!</v>
      </c>
      <c r="E39" s="121" t="e">
        <f t="shared" si="1"/>
        <v>#REF!</v>
      </c>
      <c r="F39" s="122" t="e">
        <f t="shared" si="2"/>
        <v>#REF!</v>
      </c>
      <c r="G39" s="123" t="e">
        <f t="shared" si="3"/>
        <v>#REF!</v>
      </c>
      <c r="H39" s="88" t="e">
        <f t="shared" si="4"/>
        <v>#REF!</v>
      </c>
      <c r="I39" s="111" t="e">
        <f t="shared" si="5"/>
        <v>#REF!</v>
      </c>
      <c r="J39" s="125" t="e">
        <f t="shared" si="6"/>
        <v>#REF!</v>
      </c>
      <c r="S39" s="62" t="e">
        <f>#REF!</f>
        <v>#REF!</v>
      </c>
      <c r="T39" s="126" t="e">
        <f t="shared" si="7"/>
        <v>#REF!</v>
      </c>
    </row>
    <row r="40" spans="1:20">
      <c r="A40" s="100" t="s">
        <v>40</v>
      </c>
      <c r="B40" s="102" t="e">
        <f>#REF!</f>
        <v>#REF!</v>
      </c>
      <c r="C40" s="111" t="e">
        <f>#REF!</f>
        <v>#REF!</v>
      </c>
      <c r="D40" s="120" t="e">
        <f t="shared" si="0"/>
        <v>#REF!</v>
      </c>
      <c r="E40" s="121" t="e">
        <f t="shared" si="1"/>
        <v>#REF!</v>
      </c>
      <c r="F40" s="122" t="e">
        <f t="shared" si="2"/>
        <v>#REF!</v>
      </c>
      <c r="G40" s="123" t="e">
        <f t="shared" si="3"/>
        <v>#REF!</v>
      </c>
      <c r="H40" s="88" t="e">
        <f t="shared" si="4"/>
        <v>#REF!</v>
      </c>
      <c r="I40" s="111" t="e">
        <f t="shared" si="5"/>
        <v>#REF!</v>
      </c>
      <c r="J40" s="125" t="e">
        <f t="shared" si="6"/>
        <v>#REF!</v>
      </c>
      <c r="S40" s="62" t="e">
        <f>#REF!</f>
        <v>#REF!</v>
      </c>
      <c r="T40" s="126" t="e">
        <f t="shared" si="7"/>
        <v>#REF!</v>
      </c>
    </row>
    <row r="41" spans="1:20" ht="13.5" thickBot="1">
      <c r="A41" s="101" t="s">
        <v>41</v>
      </c>
      <c r="B41" s="103" t="e">
        <f>#REF!</f>
        <v>#REF!</v>
      </c>
      <c r="C41" s="112" t="e">
        <f>#REF!</f>
        <v>#REF!</v>
      </c>
      <c r="D41" s="127" t="e">
        <f t="shared" si="0"/>
        <v>#REF!</v>
      </c>
      <c r="E41" s="128" t="e">
        <f t="shared" si="1"/>
        <v>#REF!</v>
      </c>
      <c r="F41" s="129" t="e">
        <f t="shared" si="2"/>
        <v>#REF!</v>
      </c>
      <c r="G41" s="130" t="e">
        <f t="shared" si="3"/>
        <v>#REF!</v>
      </c>
      <c r="H41" s="89" t="e">
        <f t="shared" si="4"/>
        <v>#REF!</v>
      </c>
      <c r="I41" s="112" t="e">
        <f t="shared" si="5"/>
        <v>#REF!</v>
      </c>
      <c r="J41" s="131" t="e">
        <f t="shared" si="6"/>
        <v>#REF!</v>
      </c>
      <c r="S41" s="62" t="e">
        <f>#REF!</f>
        <v>#REF!</v>
      </c>
      <c r="T41" s="126" t="e">
        <f t="shared" si="7"/>
        <v>#REF!</v>
      </c>
    </row>
    <row r="42" spans="1:20" ht="13.5" thickBot="1">
      <c r="A42" s="59"/>
      <c r="B42" s="104" t="e">
        <f>SUM(B31:B41)</f>
        <v>#REF!</v>
      </c>
      <c r="C42" s="132" t="e">
        <f>SUM(C31:C41)</f>
        <v>#REF!</v>
      </c>
      <c r="E42" s="116"/>
      <c r="F42" s="116"/>
      <c r="G42" s="105" t="e">
        <f>SUM(G31:G41)</f>
        <v>#REF!</v>
      </c>
      <c r="H42" s="106" t="e">
        <f>SUM(H31:H41)</f>
        <v>#REF!</v>
      </c>
      <c r="I42" s="107" t="e">
        <f>G42-H42</f>
        <v>#REF!</v>
      </c>
      <c r="J42" s="115"/>
      <c r="S42" s="62" t="e">
        <f>#REF!</f>
        <v>#REF!</v>
      </c>
      <c r="T42" s="126" t="e">
        <f t="shared" si="7"/>
        <v>#REF!</v>
      </c>
    </row>
    <row r="43" spans="1:20">
      <c r="D43" s="60"/>
      <c r="G43"/>
      <c r="J43" s="115"/>
      <c r="S43" s="62" t="e">
        <f>#REF!</f>
        <v>#REF!</v>
      </c>
      <c r="T43" s="126" t="e">
        <f t="shared" si="7"/>
        <v>#REF!</v>
      </c>
    </row>
    <row r="44" spans="1:20">
      <c r="I44" s="19"/>
      <c r="S44" s="62" t="e">
        <f>#REF!</f>
        <v>#REF!</v>
      </c>
      <c r="T44" s="126" t="e">
        <f t="shared" si="7"/>
        <v>#REF!</v>
      </c>
    </row>
    <row r="45" spans="1:20">
      <c r="S45" s="62" t="e">
        <f>#REF!</f>
        <v>#REF!</v>
      </c>
      <c r="T45" s="126" t="e">
        <f t="shared" si="7"/>
        <v>#REF!</v>
      </c>
    </row>
    <row r="46" spans="1:20">
      <c r="C46" s="116"/>
      <c r="S46" s="60" t="e">
        <f>SUM(S34:S45)</f>
        <v>#REF!</v>
      </c>
      <c r="T46" s="5"/>
    </row>
    <row r="47" spans="1:20" s="94" customFormat="1"/>
    <row r="61" spans="7:9">
      <c r="G61"/>
      <c r="I61" s="115"/>
    </row>
    <row r="62" spans="7:9">
      <c r="G62"/>
      <c r="H62" s="115"/>
    </row>
  </sheetData>
  <mergeCells count="3">
    <mergeCell ref="B16:C16"/>
    <mergeCell ref="D16:E16"/>
    <mergeCell ref="A1:J1"/>
  </mergeCells>
  <phoneticPr fontId="0" type="noConversion"/>
  <pageMargins left="0.75" right="0.75" top="1" bottom="1" header="0.5" footer="0.5"/>
  <pageSetup paperSize="9" scale="80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Page 1 - Est Participants</vt:lpstr>
      <vt:lpstr>Page 2 - Proposed Surcharge</vt:lpstr>
      <vt:lpstr>Page 3 - Proposed Credit</vt:lpstr>
      <vt:lpstr>Table 2</vt:lpstr>
      <vt:lpstr>Table B (Participation)</vt:lpstr>
      <vt:lpstr>Table C (Acct Detail)</vt:lpstr>
      <vt:lpstr>Table D (Benefit Cost Ratios) </vt:lpstr>
      <vt:lpstr>'Page 2 - Proposed Surcharge'!Print_Area</vt:lpstr>
      <vt:lpstr>'Page 3 - Proposed Credit'!Print_Area</vt:lpstr>
      <vt:lpstr>'Table 2'!Print_Area</vt:lpstr>
      <vt:lpstr>'Table C (Acct Detail)'!Print_Area</vt:lpstr>
      <vt:lpstr>'Table D (Benefit Cost Ratios) '!Print_Area</vt:lpstr>
      <vt:lpstr>'Table 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Zimmerman, Michael</dc:creator>
  <cp:lastModifiedBy>mpaschal</cp:lastModifiedBy>
  <cp:lastPrinted>2014-11-18T15:23:14Z</cp:lastPrinted>
  <dcterms:created xsi:type="dcterms:W3CDTF">2004-12-03T22:41:15Z</dcterms:created>
  <dcterms:modified xsi:type="dcterms:W3CDTF">2014-11-24T19:53:34Z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