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1600" windowHeight="9735"/>
  </bookViews>
  <sheets>
    <sheet name="Balancing Acct - Proposed Rate" sheetId="1" r:id="rId1"/>
    <sheet name="Sheet2" sheetId="2" r:id="rId2"/>
    <sheet name="Sheet3" sheetId="3" r:id="rId3"/>
  </sheets>
  <externalReferences>
    <externalReference r:id="rId4"/>
    <externalReference r:id="rId5"/>
  </externalReferences>
  <definedNames>
    <definedName name="_xlnm.Print_Titles" localSheetId="0">'Balancing Acct - Proposed Rate'!$1:$4</definedName>
  </definedNames>
  <calcPr calcId="152511"/>
</workbook>
</file>

<file path=xl/calcChain.xml><?xml version="1.0" encoding="utf-8"?>
<calcChain xmlns="http://schemas.openxmlformats.org/spreadsheetml/2006/main">
  <c r="D52" i="1" l="1"/>
  <c r="D48" i="1"/>
  <c r="D47" i="1"/>
  <c r="C21" i="1" l="1"/>
  <c r="C35" i="1"/>
  <c r="E9" i="1"/>
  <c r="F9" i="1" s="1"/>
  <c r="B47" i="1"/>
  <c r="B48" i="1"/>
  <c r="B52" i="1"/>
  <c r="B53" i="1"/>
  <c r="B54" i="1"/>
  <c r="B55" i="1"/>
  <c r="B56" i="1"/>
  <c r="B57" i="1"/>
  <c r="B58" i="1"/>
  <c r="B59" i="1"/>
  <c r="B60" i="1"/>
  <c r="B61" i="1"/>
  <c r="B62" i="1"/>
  <c r="B63" i="1"/>
  <c r="G74" i="1"/>
  <c r="C49" i="1"/>
  <c r="C65" i="1" s="1"/>
  <c r="C64" i="1"/>
  <c r="D64" i="1"/>
  <c r="D49" i="1"/>
  <c r="B49" i="1"/>
  <c r="J6" i="1"/>
  <c r="D35" i="1"/>
  <c r="B35" i="1"/>
  <c r="D21" i="1"/>
  <c r="B21" i="1"/>
  <c r="G9" i="1" l="1"/>
  <c r="E10" i="1"/>
  <c r="F10" i="1" s="1"/>
  <c r="J9" i="1"/>
  <c r="G70" i="1"/>
  <c r="B64" i="1"/>
  <c r="G10" i="1" l="1"/>
  <c r="E11" i="1"/>
  <c r="F11" i="1" s="1"/>
  <c r="J10" i="1"/>
  <c r="E12" i="1" l="1"/>
  <c r="G11" i="1"/>
  <c r="F12" i="1"/>
  <c r="J11" i="1"/>
  <c r="J12" i="1" s="1"/>
  <c r="E13" i="1" l="1"/>
  <c r="G12" i="1"/>
  <c r="F13" i="1"/>
  <c r="J13" i="1"/>
  <c r="G13" i="1" l="1"/>
  <c r="E14" i="1"/>
  <c r="J14" i="1" s="1"/>
  <c r="F14" i="1" l="1"/>
  <c r="G14" i="1" l="1"/>
  <c r="E15" i="1"/>
  <c r="J15" i="1" s="1"/>
  <c r="F15" i="1" l="1"/>
  <c r="E16" i="1" l="1"/>
  <c r="J16" i="1" s="1"/>
  <c r="G15" i="1"/>
  <c r="F16" i="1" l="1"/>
  <c r="E17" i="1" l="1"/>
  <c r="J17" i="1" s="1"/>
  <c r="G16" i="1"/>
  <c r="F17" i="1" l="1"/>
  <c r="G17" i="1" l="1"/>
  <c r="E18" i="1"/>
  <c r="J18" i="1" s="1"/>
  <c r="J19" i="1" s="1"/>
  <c r="F18" i="1" l="1"/>
  <c r="G18" i="1" l="1"/>
  <c r="F19" i="1"/>
  <c r="G19" i="1" l="1"/>
  <c r="E20" i="1"/>
  <c r="E21" i="1" l="1"/>
  <c r="J20" i="1"/>
  <c r="F20" i="1"/>
  <c r="E23" i="1" l="1"/>
  <c r="G20" i="1"/>
  <c r="F23" i="1" l="1"/>
  <c r="J23" i="1"/>
  <c r="E24" i="1" l="1"/>
  <c r="G23" i="1"/>
  <c r="F24" i="1"/>
  <c r="J24" i="1"/>
  <c r="G24" i="1" l="1"/>
  <c r="E25" i="1"/>
  <c r="F25" i="1" s="1"/>
  <c r="E26" i="1" l="1"/>
  <c r="G25" i="1"/>
  <c r="J25" i="1"/>
  <c r="J26" i="1" s="1"/>
  <c r="F26" i="1" l="1"/>
  <c r="G26" i="1" l="1"/>
  <c r="E27" i="1"/>
  <c r="J27" i="1" s="1"/>
  <c r="F27" i="1" l="1"/>
  <c r="E28" i="1" l="1"/>
  <c r="J28" i="1" s="1"/>
  <c r="G27" i="1"/>
  <c r="F28" i="1" l="1"/>
  <c r="E29" i="1" l="1"/>
  <c r="J29" i="1" s="1"/>
  <c r="G28" i="1"/>
  <c r="F29" i="1" l="1"/>
  <c r="G29" i="1" l="1"/>
  <c r="E30" i="1"/>
  <c r="J30" i="1" s="1"/>
  <c r="F30" i="1" l="1"/>
  <c r="E31" i="1" l="1"/>
  <c r="J31" i="1" s="1"/>
  <c r="G30" i="1"/>
  <c r="F31" i="1" l="1"/>
  <c r="E32" i="1" l="1"/>
  <c r="J32" i="1" s="1"/>
  <c r="J33" i="1" s="1"/>
  <c r="G31" i="1"/>
  <c r="F32" i="1"/>
  <c r="G32" i="1" l="1"/>
  <c r="F33" i="1"/>
  <c r="E34" i="1" l="1"/>
  <c r="G33" i="1"/>
  <c r="F34" i="1"/>
  <c r="E37" i="1" l="1"/>
  <c r="F37" i="1" s="1"/>
  <c r="G34" i="1"/>
  <c r="E35" i="1"/>
  <c r="J34" i="1"/>
  <c r="J37" i="1" s="1"/>
  <c r="E38" i="1" l="1"/>
  <c r="G37" i="1"/>
  <c r="F38" i="1"/>
  <c r="J38" i="1"/>
  <c r="G38" i="1" l="1"/>
  <c r="E39" i="1"/>
  <c r="F39" i="1" l="1"/>
  <c r="J39" i="1"/>
  <c r="G39" i="1" l="1"/>
  <c r="E40" i="1"/>
  <c r="F40" i="1" l="1"/>
  <c r="J40" i="1"/>
  <c r="E41" i="1" l="1"/>
  <c r="G40" i="1"/>
  <c r="F41" i="1"/>
  <c r="E42" i="1" l="1"/>
  <c r="F42" i="1" s="1"/>
  <c r="G41" i="1"/>
  <c r="J41" i="1"/>
  <c r="J42" i="1" s="1"/>
  <c r="E43" i="1" l="1"/>
  <c r="F43" i="1" s="1"/>
  <c r="G42" i="1"/>
  <c r="G43" i="1" l="1"/>
  <c r="E44" i="1"/>
  <c r="F44" i="1" s="1"/>
  <c r="J43" i="1"/>
  <c r="E45" i="1" l="1"/>
  <c r="F45" i="1" s="1"/>
  <c r="G44" i="1"/>
  <c r="J44" i="1"/>
  <c r="J45" i="1" s="1"/>
  <c r="E46" i="1" l="1"/>
  <c r="F46" i="1" s="1"/>
  <c r="G45" i="1"/>
  <c r="E47" i="1" l="1"/>
  <c r="G46" i="1"/>
  <c r="G68" i="1" s="1"/>
  <c r="F47" i="1"/>
  <c r="J46" i="1"/>
  <c r="J47" i="1" s="1"/>
  <c r="E48" i="1" l="1"/>
  <c r="E49" i="1" s="1"/>
  <c r="G47" i="1"/>
  <c r="F48" i="1"/>
  <c r="J48" i="1"/>
  <c r="E52" i="1" l="1"/>
  <c r="G48" i="1"/>
  <c r="F52" i="1"/>
  <c r="E53" i="1" l="1"/>
  <c r="F53" i="1" s="1"/>
  <c r="G52" i="1"/>
  <c r="J52" i="1"/>
  <c r="J53" i="1" s="1"/>
  <c r="E54" i="1" l="1"/>
  <c r="F54" i="1" s="1"/>
  <c r="G53" i="1"/>
  <c r="J54" i="1"/>
  <c r="E55" i="1" l="1"/>
  <c r="F55" i="1" s="1"/>
  <c r="G54" i="1"/>
  <c r="J55" i="1"/>
  <c r="E56" i="1" l="1"/>
  <c r="F56" i="1" s="1"/>
  <c r="G55" i="1"/>
  <c r="J56" i="1"/>
  <c r="E57" i="1" l="1"/>
  <c r="G56" i="1"/>
  <c r="F57" i="1"/>
  <c r="J57" i="1"/>
  <c r="E58" i="1" l="1"/>
  <c r="G57" i="1"/>
  <c r="F58" i="1"/>
  <c r="E59" i="1" l="1"/>
  <c r="G58" i="1"/>
  <c r="F59" i="1"/>
  <c r="J58" i="1"/>
  <c r="J59" i="1" s="1"/>
  <c r="E60" i="1" l="1"/>
  <c r="J60" i="1" s="1"/>
  <c r="G59" i="1"/>
  <c r="F60" i="1"/>
  <c r="E61" i="1" l="1"/>
  <c r="J61" i="1" s="1"/>
  <c r="G60" i="1"/>
  <c r="F61" i="1"/>
  <c r="E62" i="1" l="1"/>
  <c r="J62" i="1" s="1"/>
  <c r="G61" i="1"/>
  <c r="F62" i="1"/>
  <c r="E63" i="1" l="1"/>
  <c r="F63" i="1" s="1"/>
  <c r="G63" i="1" s="1"/>
  <c r="G62" i="1"/>
  <c r="G71" i="1" l="1"/>
  <c r="G72" i="1" s="1"/>
  <c r="G76" i="1" s="1"/>
  <c r="E64" i="1"/>
  <c r="J63" i="1"/>
</calcChain>
</file>

<file path=xl/sharedStrings.xml><?xml version="1.0" encoding="utf-8"?>
<sst xmlns="http://schemas.openxmlformats.org/spreadsheetml/2006/main" count="75" uniqueCount="38">
  <si>
    <t/>
  </si>
  <si>
    <t>Monthly Program Costs - Fixed Assets</t>
  </si>
  <si>
    <t>Accrued Program Costs</t>
  </si>
  <si>
    <t>Rate Recovery</t>
  </si>
  <si>
    <t xml:space="preserve">Carrying Charge </t>
  </si>
  <si>
    <t>Cash Basis Accumulated Balance</t>
  </si>
  <si>
    <t xml:space="preserve">Accrual Based Accumulated Balance </t>
  </si>
  <si>
    <t>Carrying Charge Rate</t>
  </si>
  <si>
    <t xml:space="preserve">Accumulated Balance Total Carrying Costs  </t>
  </si>
  <si>
    <t>December</t>
  </si>
  <si>
    <t>2011 totals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</si>
  <si>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</si>
  <si>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</si>
  <si>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</si>
  <si>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</si>
  <si>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</si>
  <si>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</si>
  <si>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</si>
  <si>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</si>
  <si>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</si>
  <si>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</si>
  <si>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</si>
  <si>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2012 totals</t>
  </si>
  <si>
    <t>2013 totals</t>
  </si>
  <si>
    <t>2014 totals</t>
  </si>
  <si>
    <t>2015 totals</t>
  </si>
  <si>
    <t>Total Accruals</t>
  </si>
  <si>
    <t>DSM balancing account as of August 31, 2014</t>
  </si>
  <si>
    <t>Forecast DSM expenses through December 2015</t>
  </si>
  <si>
    <t>Forecast carrying charges through December 2015</t>
  </si>
  <si>
    <t>Total expenses through December 2015</t>
  </si>
  <si>
    <t>Total DSM surcharge collections through December 2015</t>
  </si>
  <si>
    <t>Forecast DSM balancing account as of December 31, 2015</t>
  </si>
  <si>
    <t>Notes:</t>
  </si>
  <si>
    <t xml:space="preserve">1. Figures provided through October 2014 are actuals. </t>
  </si>
  <si>
    <t>Exhibit C</t>
  </si>
  <si>
    <t>Utah Demand-Side Management Balance Account Analysis - Proposed Rate</t>
  </si>
  <si>
    <t>2. New rates effective February 2015.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</si>
</sst>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_(* #,##0_);_(* \(#,##0\);_(* &quot;-&quot;??_);_(@_)"/>
  </numFmts>
  <fonts count="11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u/>
      <sz val="9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1"/>
      <name val="Arial"/>
      <family val="2"/>
    </font>
    <font>
      <u val="singleAccounting"/>
      <sz val="10"/>
      <name val="Arial"/>
      <family val="2"/>
    </font>
    <font>
      <b/>
      <u val="singleAccounting"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92D050"/>
        <bgColor rgb="FF000000"/>
      </patternFill>
    </fill>
    <fill>
      <patternFill patternType="solid">
        <fgColor rgb="FFFFFF99"/>
        <bgColor rgb="FF000000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5">
    <xf numFmtId="0" fontId="0" fillId="0" borderId="0"/>
    <xf numFmtId="0" fontId="4" fillId="0" borderId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</cellStyleXfs>
  <cellXfs count="41">
    <xf numFmtId="0" fontId="0" fillId="0" borderId="0" xfId="0"/>
    <xf numFmtId="0" fontId="1" fillId="0" borderId="0" xfId="0" applyFont="1" applyFill="1" applyBorder="1" applyAlignment="1" applyProtection="1">
      <alignment horizontal="centerContinuous" vertical="center"/>
      <protection locked="0"/>
    </xf>
    <xf numFmtId="0" fontId="2" fillId="0" borderId="0" xfId="0" applyFont="1" applyFill="1" applyBorder="1" applyAlignment="1" applyProtection="1">
      <alignment horizontal="centerContinuous" vertical="center"/>
      <protection locked="0"/>
    </xf>
    <xf numFmtId="0" fontId="3" fillId="0" borderId="0" xfId="0" applyFont="1" applyFill="1" applyBorder="1" applyAlignment="1" applyProtection="1">
      <alignment horizontal="centerContinuous" vertical="center"/>
      <protection locked="0"/>
    </xf>
    <xf numFmtId="0" fontId="4" fillId="0" borderId="0" xfId="0" applyFont="1" applyFill="1" applyBorder="1" applyAlignment="1" applyProtection="1">
      <alignment horizontal="centerContinuous" vertical="center"/>
      <protection locked="0"/>
    </xf>
    <xf numFmtId="0" fontId="4" fillId="0" borderId="0" xfId="0" applyFont="1" applyFill="1" applyBorder="1" applyAlignment="1" applyProtection="1">
      <alignment horizontal="centerContinuous"/>
      <protection locked="0"/>
    </xf>
    <xf numFmtId="0" fontId="4" fillId="0" borderId="0" xfId="0" applyFont="1" applyFill="1" applyBorder="1" applyAlignment="1" applyProtection="1">
      <protection locked="0"/>
    </xf>
    <xf numFmtId="0" fontId="5" fillId="0" borderId="0" xfId="1" applyFont="1" applyFill="1" applyBorder="1" applyAlignment="1" applyProtection="1">
      <alignment horizontal="centerContinuous"/>
      <protection locked="0"/>
    </xf>
    <xf numFmtId="0" fontId="6" fillId="0" borderId="0" xfId="1" applyFont="1" applyFill="1" applyBorder="1" applyAlignment="1" applyProtection="1">
      <alignment horizontal="center"/>
      <protection locked="0"/>
    </xf>
    <xf numFmtId="0" fontId="7" fillId="0" borderId="0" xfId="1" quotePrefix="1" applyFont="1" applyFill="1" applyBorder="1" applyAlignment="1" applyProtection="1">
      <alignment horizontal="center"/>
      <protection locked="0"/>
    </xf>
    <xf numFmtId="0" fontId="6" fillId="0" borderId="0" xfId="1" quotePrefix="1" applyFont="1" applyFill="1" applyBorder="1" applyAlignment="1" applyProtection="1">
      <alignment horizontal="center"/>
      <protection locked="0"/>
    </xf>
    <xf numFmtId="0" fontId="6" fillId="0" borderId="0" xfId="1" applyFont="1" applyFill="1" applyBorder="1"/>
    <xf numFmtId="0" fontId="4" fillId="0" borderId="0" xfId="1" applyFont="1" applyFill="1" applyBorder="1"/>
    <xf numFmtId="0" fontId="8" fillId="0" borderId="0" xfId="0" applyFont="1" applyFill="1" applyBorder="1"/>
    <xf numFmtId="0" fontId="9" fillId="0" borderId="0" xfId="0" applyFont="1" applyFill="1" applyBorder="1" applyAlignment="1" applyProtection="1">
      <alignment horizontal="center"/>
      <protection locked="0"/>
    </xf>
    <xf numFmtId="40" fontId="10" fillId="0" borderId="0" xfId="0" quotePrefix="1" applyNumberFormat="1" applyFont="1" applyFill="1" applyBorder="1" applyAlignment="1" applyProtection="1">
      <alignment horizontal="center" wrapText="1"/>
      <protection locked="0"/>
    </xf>
    <xf numFmtId="10" fontId="10" fillId="0" borderId="0" xfId="0" quotePrefix="1" applyNumberFormat="1" applyFont="1" applyFill="1" applyBorder="1" applyAlignment="1" applyProtection="1">
      <alignment horizontal="center" wrapText="1"/>
      <protection locked="0"/>
    </xf>
    <xf numFmtId="0" fontId="2" fillId="0" borderId="0" xfId="0" applyFont="1" applyFill="1" applyBorder="1" applyAlignment="1" applyProtection="1">
      <protection locked="0"/>
    </xf>
    <xf numFmtId="0" fontId="2" fillId="0" borderId="0" xfId="1" applyFont="1" applyFill="1" applyBorder="1" applyAlignment="1" applyProtection="1">
      <alignment horizontal="center"/>
      <protection locked="0"/>
    </xf>
    <xf numFmtId="44" fontId="4" fillId="0" borderId="0" xfId="1" applyNumberFormat="1" applyFont="1" applyFill="1" applyBorder="1" applyAlignment="1" applyProtection="1">
      <protection locked="0"/>
    </xf>
    <xf numFmtId="10" fontId="4" fillId="0" borderId="0" xfId="2" applyNumberFormat="1" applyFont="1" applyFill="1" applyBorder="1" applyAlignment="1" applyProtection="1">
      <alignment horizontal="center"/>
      <protection locked="0"/>
    </xf>
    <xf numFmtId="0" fontId="6" fillId="0" borderId="0" xfId="1" applyFont="1" applyFill="1" applyBorder="1" applyAlignment="1" applyProtection="1">
      <protection locked="0"/>
    </xf>
    <xf numFmtId="0" fontId="4" fillId="0" borderId="0" xfId="1" applyFont="1" applyFill="1" applyBorder="1" applyAlignment="1" applyProtection="1">
      <protection locked="0"/>
    </xf>
    <xf numFmtId="164" fontId="4" fillId="0" borderId="0" xfId="1" applyNumberFormat="1" applyFont="1" applyFill="1" applyBorder="1" applyAlignment="1" applyProtection="1">
      <protection locked="0"/>
    </xf>
    <xf numFmtId="10" fontId="4" fillId="0" borderId="0" xfId="1" applyNumberFormat="1" applyFont="1" applyFill="1" applyBorder="1" applyAlignment="1" applyProtection="1">
      <protection locked="0"/>
    </xf>
    <xf numFmtId="44" fontId="2" fillId="0" borderId="0" xfId="3" quotePrefix="1" applyFont="1" applyFill="1" applyBorder="1" applyAlignment="1" applyProtection="1">
      <alignment horizontal="center"/>
      <protection locked="0"/>
    </xf>
    <xf numFmtId="164" fontId="4" fillId="0" borderId="1" xfId="3" applyNumberFormat="1" applyFont="1" applyFill="1" applyBorder="1" applyAlignment="1" applyProtection="1">
      <protection locked="0"/>
    </xf>
    <xf numFmtId="164" fontId="4" fillId="0" borderId="0" xfId="3" applyNumberFormat="1" applyFont="1" applyFill="1" applyBorder="1" applyAlignment="1" applyProtection="1">
      <protection locked="0"/>
    </xf>
    <xf numFmtId="44" fontId="4" fillId="0" borderId="0" xfId="3" applyFont="1" applyFill="1" applyBorder="1" applyAlignment="1" applyProtection="1">
      <alignment horizontal="center"/>
      <protection locked="0"/>
    </xf>
    <xf numFmtId="164" fontId="4" fillId="2" borderId="0" xfId="1" applyNumberFormat="1" applyFont="1" applyFill="1" applyBorder="1" applyAlignment="1" applyProtection="1">
      <protection locked="0"/>
    </xf>
    <xf numFmtId="164" fontId="4" fillId="3" borderId="0" xfId="1" applyNumberFormat="1" applyFont="1" applyFill="1" applyBorder="1" applyAlignment="1" applyProtection="1">
      <protection locked="0"/>
    </xf>
    <xf numFmtId="0" fontId="2" fillId="0" borderId="0" xfId="0" applyFont="1" applyFill="1" applyBorder="1" applyAlignment="1">
      <alignment horizontal="right"/>
    </xf>
    <xf numFmtId="164" fontId="4" fillId="0" borderId="0" xfId="0" applyNumberFormat="1" applyFont="1" applyFill="1" applyBorder="1"/>
    <xf numFmtId="164" fontId="8" fillId="0" borderId="0" xfId="0" applyNumberFormat="1" applyFont="1" applyFill="1" applyBorder="1"/>
    <xf numFmtId="0" fontId="4" fillId="0" borderId="0" xfId="4" applyFont="1" applyFill="1" applyBorder="1"/>
    <xf numFmtId="164" fontId="4" fillId="0" borderId="1" xfId="0" applyNumberFormat="1" applyFont="1" applyFill="1" applyBorder="1"/>
    <xf numFmtId="0" fontId="4" fillId="0" borderId="0" xfId="4" applyFont="1" applyFill="1" applyBorder="1" applyAlignment="1" applyProtection="1">
      <protection locked="0"/>
    </xf>
    <xf numFmtId="164" fontId="4" fillId="0" borderId="2" xfId="0" applyNumberFormat="1" applyFont="1" applyFill="1" applyBorder="1"/>
    <xf numFmtId="0" fontId="2" fillId="0" borderId="0" xfId="4" applyFont="1" applyFill="1" applyBorder="1" applyAlignment="1"/>
    <xf numFmtId="0" fontId="4" fillId="0" borderId="0" xfId="4" applyFont="1" applyFill="1" applyBorder="1" applyAlignment="1"/>
    <xf numFmtId="0" fontId="1" fillId="0" borderId="0" xfId="0" applyFont="1" applyFill="1" applyBorder="1" applyAlignment="1" applyProtection="1">
      <alignment horizontal="center" vertical="center"/>
      <protection locked="0"/>
    </xf>
  </cellXfs>
  <cellStyles count="5">
    <cellStyle name="Currency 4" xfId="3"/>
    <cellStyle name="Normal" xfId="0" builtinId="0"/>
    <cellStyle name="Normal 3 2" xfId="4"/>
    <cellStyle name="Normal 33" xfId="1"/>
    <cellStyle name="Percent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rogram%20Mgmt\UT\Filings\0.collections\Nov%202014%20tariff%20rider%20increase\UT%20Nov%202014%20workbook%20for%20tariff%20adj%20udpated%2011-21-201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SM\Program%20Mgmt\UT\Filings\0.collections\Nov%202014%20tariff%20rider%20increase\Revenue%20calc%20-%20updated%20anal%20thru%202015%20from%207-2014%20Base%20Revenue%20Projections%20REVISED%2012.23.1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ing Acct - Orig 3.3% rate"/>
      <sheetName val="Balancing acct 2015 to 3.45%"/>
      <sheetName val="Program Expenses"/>
    </sheetNames>
    <sheetDataSet>
      <sheetData sheetId="0"/>
      <sheetData sheetId="1"/>
      <sheetData sheetId="2">
        <row r="32">
          <cell r="N32">
            <v>5035766</v>
          </cell>
          <cell r="O32">
            <v>5009171</v>
          </cell>
          <cell r="U32">
            <v>4760450.5</v>
          </cell>
          <cell r="V32">
            <v>4006731.5</v>
          </cell>
          <cell r="W32">
            <v>4037850.5</v>
          </cell>
          <cell r="X32">
            <v>4844212.5</v>
          </cell>
          <cell r="Y32">
            <v>4343801.5</v>
          </cell>
          <cell r="Z32">
            <v>4486537.5</v>
          </cell>
          <cell r="AA32">
            <v>5252686.5</v>
          </cell>
          <cell r="AB32">
            <v>4804953.5</v>
          </cell>
          <cell r="AC32">
            <v>6145922.5</v>
          </cell>
          <cell r="AD32">
            <v>5528323.5</v>
          </cell>
          <cell r="AE32">
            <v>7485054</v>
          </cell>
          <cell r="AF32">
            <v>5259223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21">
          <cell r="N21">
            <v>-4512617.4736102587</v>
          </cell>
          <cell r="O21">
            <v>-4871262.2337097125</v>
          </cell>
          <cell r="R21">
            <v>-5136296.4918396929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81"/>
  <sheetViews>
    <sheetView tabSelected="1" workbookViewId="0">
      <selection activeCell="B20" sqref="B20"/>
    </sheetView>
  </sheetViews>
  <sheetFormatPr defaultColWidth="9.140625" defaultRowHeight="14.25" x14ac:dyDescent="0.2"/>
  <cols>
    <col min="1" max="1" width="17.5703125" style="13" customWidth="1"/>
    <col min="2" max="2" width="17.28515625" style="13" customWidth="1"/>
    <col min="3" max="3" width="15.28515625" style="13" customWidth="1"/>
    <col min="4" max="4" width="17" style="13" customWidth="1"/>
    <col min="5" max="5" width="15.7109375" style="13" bestFit="1" customWidth="1"/>
    <col min="6" max="6" width="17" style="13" bestFit="1" customWidth="1"/>
    <col min="7" max="7" width="19.140625" style="13" bestFit="1" customWidth="1"/>
    <col min="8" max="8" width="9.28515625" style="13" customWidth="1"/>
    <col min="9" max="9" width="1.42578125" style="13" customWidth="1"/>
    <col min="10" max="10" width="16.42578125" style="13" hidden="1" customWidth="1"/>
    <col min="11" max="11" width="2.7109375" style="13" hidden="1" customWidth="1"/>
    <col min="12" max="16384" width="9.140625" style="13"/>
  </cols>
  <sheetData>
    <row r="1" spans="1:134" s="6" customFormat="1" ht="16.149999999999999" customHeight="1" x14ac:dyDescent="0.2">
      <c r="A1" s="40" t="s">
        <v>35</v>
      </c>
      <c r="B1" s="40"/>
      <c r="C1" s="40"/>
      <c r="D1" s="40"/>
      <c r="E1" s="40"/>
      <c r="F1" s="40"/>
      <c r="G1" s="40"/>
      <c r="H1" s="40"/>
      <c r="I1" s="5"/>
      <c r="J1" s="5"/>
    </row>
    <row r="2" spans="1:134" s="6" customFormat="1" ht="16.149999999999999" customHeight="1" x14ac:dyDescent="0.2">
      <c r="A2" s="1" t="s">
        <v>36</v>
      </c>
      <c r="B2" s="2"/>
      <c r="C2" s="2"/>
      <c r="D2" s="3"/>
      <c r="E2" s="2"/>
      <c r="F2" s="2"/>
      <c r="G2" s="2"/>
      <c r="H2" s="4"/>
      <c r="I2" s="5"/>
      <c r="J2" s="5"/>
    </row>
    <row r="3" spans="1:134" x14ac:dyDescent="0.2">
      <c r="A3" s="7"/>
      <c r="B3" s="8"/>
      <c r="C3" s="8"/>
      <c r="D3" s="8"/>
      <c r="E3" s="9"/>
      <c r="F3" s="10" t="s">
        <v>0</v>
      </c>
      <c r="G3" s="10"/>
      <c r="H3" s="11"/>
      <c r="I3" s="12"/>
      <c r="J3" s="10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  <c r="AU3" s="12"/>
      <c r="AV3" s="12"/>
      <c r="AW3" s="12"/>
      <c r="AX3" s="12"/>
      <c r="AY3" s="12"/>
      <c r="AZ3" s="12"/>
      <c r="BA3" s="12"/>
      <c r="BB3" s="12"/>
      <c r="BC3" s="12"/>
      <c r="BD3" s="12"/>
      <c r="BE3" s="12"/>
      <c r="BF3" s="12"/>
      <c r="BG3" s="12"/>
      <c r="BH3" s="12"/>
      <c r="BI3" s="12"/>
      <c r="BJ3" s="12"/>
      <c r="BK3" s="12"/>
      <c r="BL3" s="12"/>
      <c r="BM3" s="12"/>
      <c r="BN3" s="12"/>
      <c r="BO3" s="12"/>
      <c r="BP3" s="12"/>
      <c r="BQ3" s="12"/>
      <c r="BR3" s="12"/>
      <c r="BS3" s="12"/>
      <c r="BT3" s="12"/>
      <c r="BU3" s="12"/>
      <c r="BV3" s="12"/>
      <c r="BW3" s="12"/>
      <c r="BX3" s="12"/>
      <c r="BY3" s="12"/>
      <c r="BZ3" s="12"/>
      <c r="CA3" s="12"/>
      <c r="CB3" s="12"/>
      <c r="CC3" s="12"/>
      <c r="CD3" s="12"/>
      <c r="CE3" s="12"/>
      <c r="CF3" s="12"/>
      <c r="CG3" s="12"/>
      <c r="CH3" s="12"/>
      <c r="CI3" s="12"/>
      <c r="CJ3" s="12"/>
      <c r="CK3" s="12"/>
      <c r="CL3" s="12"/>
      <c r="CM3" s="12"/>
      <c r="CN3" s="12"/>
      <c r="CO3" s="12"/>
      <c r="CP3" s="12"/>
      <c r="CQ3" s="12"/>
      <c r="CR3" s="12"/>
      <c r="CS3" s="12"/>
      <c r="CT3" s="12"/>
      <c r="CU3" s="12"/>
      <c r="CV3" s="12"/>
      <c r="CW3" s="12"/>
      <c r="CX3" s="12"/>
      <c r="CY3" s="12"/>
      <c r="CZ3" s="12"/>
      <c r="DA3" s="12"/>
      <c r="DB3" s="12"/>
      <c r="DC3" s="12"/>
      <c r="DD3" s="12"/>
      <c r="DE3" s="12"/>
      <c r="DF3" s="12"/>
      <c r="DG3" s="12"/>
      <c r="DH3" s="12"/>
      <c r="DI3" s="12"/>
      <c r="DJ3" s="12"/>
      <c r="DK3" s="12"/>
      <c r="DL3" s="12"/>
      <c r="DM3" s="12"/>
      <c r="DN3" s="12"/>
      <c r="DO3" s="12"/>
      <c r="DP3" s="12"/>
      <c r="DQ3" s="12"/>
      <c r="DR3" s="12"/>
      <c r="DS3" s="12"/>
      <c r="DT3" s="12"/>
      <c r="DU3" s="12"/>
      <c r="DV3" s="12"/>
      <c r="DW3" s="12"/>
      <c r="DX3" s="12"/>
      <c r="DY3" s="12"/>
      <c r="DZ3" s="12"/>
      <c r="EA3" s="12"/>
      <c r="EB3" s="12"/>
      <c r="EC3" s="12"/>
      <c r="ED3" s="12"/>
    </row>
    <row r="4" spans="1:134" s="6" customFormat="1" ht="51" customHeight="1" x14ac:dyDescent="0.35">
      <c r="A4" s="14"/>
      <c r="B4" s="15" t="s">
        <v>1</v>
      </c>
      <c r="C4" s="15" t="s">
        <v>2</v>
      </c>
      <c r="D4" s="15" t="s">
        <v>3</v>
      </c>
      <c r="E4" s="15" t="s">
        <v>4</v>
      </c>
      <c r="F4" s="15" t="s">
        <v>5</v>
      </c>
      <c r="G4" s="15" t="s">
        <v>6</v>
      </c>
      <c r="H4" s="16" t="s">
        <v>7</v>
      </c>
      <c r="I4" s="17"/>
      <c r="J4" s="16" t="s">
        <v>8</v>
      </c>
    </row>
    <row r="5" spans="1:134" x14ac:dyDescent="0.2">
      <c r="A5" s="18"/>
      <c r="B5" s="19"/>
      <c r="C5" s="19"/>
      <c r="D5" s="19"/>
      <c r="E5" s="19"/>
      <c r="F5" s="19"/>
      <c r="G5" s="19"/>
      <c r="H5" s="20"/>
      <c r="I5" s="12"/>
      <c r="J5" s="19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  <c r="BF5" s="12"/>
      <c r="BG5" s="12"/>
      <c r="BH5" s="12"/>
      <c r="BI5" s="12"/>
      <c r="BJ5" s="12"/>
      <c r="BK5" s="12"/>
      <c r="BL5" s="12"/>
      <c r="BM5" s="12"/>
      <c r="BN5" s="12"/>
      <c r="BO5" s="12"/>
      <c r="BP5" s="12"/>
      <c r="BQ5" s="12"/>
      <c r="BR5" s="12"/>
      <c r="BS5" s="12"/>
      <c r="BT5" s="12"/>
      <c r="BU5" s="12"/>
      <c r="BV5" s="12"/>
      <c r="BW5" s="12"/>
      <c r="BX5" s="12"/>
      <c r="BY5" s="12"/>
      <c r="BZ5" s="12"/>
      <c r="CA5" s="12"/>
      <c r="CB5" s="12"/>
      <c r="CC5" s="12"/>
      <c r="CD5" s="12"/>
      <c r="CE5" s="12"/>
      <c r="CF5" s="12"/>
      <c r="CG5" s="12"/>
      <c r="CH5" s="12"/>
      <c r="CI5" s="12"/>
      <c r="CJ5" s="12"/>
      <c r="CK5" s="12"/>
      <c r="CL5" s="12"/>
      <c r="CM5" s="12"/>
      <c r="CN5" s="12"/>
      <c r="CO5" s="12"/>
      <c r="CP5" s="12"/>
      <c r="CQ5" s="12"/>
      <c r="CR5" s="12"/>
      <c r="CS5" s="12"/>
      <c r="CT5" s="12"/>
      <c r="CU5" s="12"/>
      <c r="CV5" s="12"/>
      <c r="CW5" s="12"/>
      <c r="CX5" s="12"/>
      <c r="CY5" s="12"/>
      <c r="CZ5" s="12"/>
      <c r="DA5" s="12"/>
      <c r="DB5" s="12"/>
      <c r="DC5" s="12"/>
      <c r="DD5" s="12"/>
      <c r="DE5" s="12"/>
      <c r="DF5" s="12"/>
      <c r="DG5" s="12"/>
      <c r="DH5" s="12"/>
      <c r="DI5" s="12"/>
      <c r="DJ5" s="12"/>
      <c r="DK5" s="12"/>
      <c r="DL5" s="12"/>
      <c r="DM5" s="12"/>
      <c r="DN5" s="12"/>
      <c r="DO5" s="12"/>
      <c r="DP5" s="12"/>
      <c r="DQ5" s="12"/>
      <c r="DR5" s="12"/>
      <c r="DS5" s="12"/>
      <c r="DT5" s="12"/>
      <c r="DU5" s="12"/>
      <c r="DV5" s="12"/>
      <c r="DW5" s="12"/>
      <c r="DX5" s="12"/>
      <c r="DY5" s="12"/>
      <c r="DZ5" s="21"/>
      <c r="EA5" s="21"/>
      <c r="EB5" s="21"/>
      <c r="EC5" s="12"/>
      <c r="ED5" s="12"/>
    </row>
    <row r="6" spans="1:134" hidden="1" x14ac:dyDescent="0.2">
      <c r="A6" s="22" t="s">
        <v>9</v>
      </c>
      <c r="B6" s="23">
        <v>7319715.7999999998</v>
      </c>
      <c r="C6" s="23">
        <v>3865060.19</v>
      </c>
      <c r="D6" s="23">
        <v>-4520686.72</v>
      </c>
      <c r="E6" s="23">
        <v>-61578</v>
      </c>
      <c r="F6" s="23">
        <v>-8770676.345999999</v>
      </c>
      <c r="G6" s="23">
        <v>-4905616.1559999995</v>
      </c>
      <c r="H6" s="24">
        <v>7.3099999999999998E-2</v>
      </c>
      <c r="I6" s="12"/>
      <c r="J6" s="23" t="e">
        <f>+#REF!+E6</f>
        <v>#REF!</v>
      </c>
    </row>
    <row r="7" spans="1:134" hidden="1" x14ac:dyDescent="0.2">
      <c r="A7" s="25" t="s">
        <v>10</v>
      </c>
      <c r="B7" s="26">
        <v>43638929.749999993</v>
      </c>
      <c r="C7" s="26">
        <v>3865060.19</v>
      </c>
      <c r="D7" s="26">
        <v>-54147493.57</v>
      </c>
      <c r="E7" s="26">
        <v>-428385</v>
      </c>
      <c r="F7" s="27"/>
      <c r="G7" s="27"/>
      <c r="H7" s="28"/>
      <c r="I7" s="12"/>
      <c r="J7" s="23"/>
    </row>
    <row r="8" spans="1:134" hidden="1" x14ac:dyDescent="0.2">
      <c r="A8" s="25"/>
      <c r="B8" s="27"/>
      <c r="C8" s="27"/>
      <c r="D8" s="27"/>
      <c r="E8" s="27"/>
      <c r="F8" s="27"/>
      <c r="G8" s="27"/>
      <c r="H8" s="28"/>
      <c r="I8" s="12"/>
      <c r="J8" s="23"/>
    </row>
    <row r="9" spans="1:134" hidden="1" x14ac:dyDescent="0.2">
      <c r="A9" s="22" t="s">
        <v>11</v>
      </c>
      <c r="B9" s="23">
        <v>2035552.58</v>
      </c>
      <c r="C9" s="23">
        <v>743676.71000000043</v>
      </c>
      <c r="D9" s="23">
        <v>-4535374.0599999996</v>
      </c>
      <c r="E9" s="23">
        <f>ROUND((((B9+D9)/2)+F6)*(7.65%/12),0)</f>
        <v>-63881</v>
      </c>
      <c r="F9" s="23">
        <f>+F6+B9+D9+E9</f>
        <v>-11334378.825999998</v>
      </c>
      <c r="G9" s="23">
        <f>SUM(C9)+C7+F9</f>
        <v>-6725641.9259999972</v>
      </c>
      <c r="H9" s="24">
        <v>7.8299999999999995E-2</v>
      </c>
      <c r="I9" s="12"/>
      <c r="J9" s="23" t="e">
        <f>+J6+E9</f>
        <v>#REF!</v>
      </c>
    </row>
    <row r="10" spans="1:134" hidden="1" x14ac:dyDescent="0.2">
      <c r="A10" s="22" t="s">
        <v>12</v>
      </c>
      <c r="B10" s="23">
        <v>3193737.73</v>
      </c>
      <c r="C10" s="23">
        <v>-860971.41000000015</v>
      </c>
      <c r="D10" s="23">
        <v>-3862872.07</v>
      </c>
      <c r="E10" s="23">
        <f t="shared" ref="E10:E18" si="0">ROUND((((B10+D10)/2)+F9)*(7.65%/12),0)</f>
        <v>-74390</v>
      </c>
      <c r="F10" s="23">
        <f t="shared" ref="F10:F20" si="1">+F9+B10+D10+E10</f>
        <v>-12077903.165999997</v>
      </c>
      <c r="G10" s="23">
        <f>SUM(C9:C10)+$C$7+F10</f>
        <v>-8330137.6759999972</v>
      </c>
      <c r="H10" s="24">
        <v>7.8299999999999995E-2</v>
      </c>
      <c r="I10" s="12"/>
      <c r="J10" s="23" t="e">
        <f t="shared" ref="J10:J15" si="2">+J9+E10</f>
        <v>#REF!</v>
      </c>
    </row>
    <row r="11" spans="1:134" hidden="1" x14ac:dyDescent="0.2">
      <c r="A11" s="22" t="s">
        <v>13</v>
      </c>
      <c r="B11" s="23">
        <v>2149971.48</v>
      </c>
      <c r="C11" s="23">
        <v>505170.29</v>
      </c>
      <c r="D11" s="23">
        <v>-3413817.31</v>
      </c>
      <c r="E11" s="23">
        <f t="shared" si="0"/>
        <v>-81025</v>
      </c>
      <c r="F11" s="23">
        <f t="shared" si="1"/>
        <v>-13422773.995999997</v>
      </c>
      <c r="G11" s="23">
        <f>SUM(C9:C11)+$C$7+F11</f>
        <v>-9169838.2159999982</v>
      </c>
      <c r="H11" s="24">
        <v>7.8299999999999995E-2</v>
      </c>
      <c r="I11" s="22"/>
      <c r="J11" s="23" t="e">
        <f t="shared" si="2"/>
        <v>#REF!</v>
      </c>
    </row>
    <row r="12" spans="1:134" hidden="1" x14ac:dyDescent="0.2">
      <c r="A12" s="22" t="s">
        <v>14</v>
      </c>
      <c r="B12" s="23">
        <v>3154287.41</v>
      </c>
      <c r="C12" s="23">
        <v>-48581.33</v>
      </c>
      <c r="D12" s="23">
        <v>-3256842.93</v>
      </c>
      <c r="E12" s="23">
        <f t="shared" si="0"/>
        <v>-85897</v>
      </c>
      <c r="F12" s="23">
        <f t="shared" si="1"/>
        <v>-13611226.515999997</v>
      </c>
      <c r="G12" s="23">
        <f>SUM(C9:C12)+$C$7+F12</f>
        <v>-9406872.0659999959</v>
      </c>
      <c r="H12" s="24">
        <v>7.8299999999999995E-2</v>
      </c>
      <c r="I12" s="12"/>
      <c r="J12" s="23" t="e">
        <f t="shared" si="2"/>
        <v>#REF!</v>
      </c>
    </row>
    <row r="13" spans="1:134" hidden="1" x14ac:dyDescent="0.2">
      <c r="A13" s="22" t="s">
        <v>15</v>
      </c>
      <c r="B13" s="23">
        <v>3051084.96</v>
      </c>
      <c r="C13" s="23">
        <v>-32772.42</v>
      </c>
      <c r="D13" s="23">
        <v>-3579247.55</v>
      </c>
      <c r="E13" s="23">
        <f t="shared" si="0"/>
        <v>-88455</v>
      </c>
      <c r="F13" s="23">
        <f t="shared" si="1"/>
        <v>-14227844.105999999</v>
      </c>
      <c r="G13" s="23">
        <f>SUM(C9:C13)+$C$7+F13</f>
        <v>-10056262.075999998</v>
      </c>
      <c r="H13" s="24">
        <v>7.8299999999999995E-2</v>
      </c>
      <c r="I13" s="12"/>
      <c r="J13" s="23" t="e">
        <f t="shared" si="2"/>
        <v>#REF!</v>
      </c>
    </row>
    <row r="14" spans="1:134" hidden="1" x14ac:dyDescent="0.2">
      <c r="A14" s="22" t="s">
        <v>16</v>
      </c>
      <c r="B14" s="23">
        <v>3856812.28</v>
      </c>
      <c r="C14" s="23">
        <v>91098.19</v>
      </c>
      <c r="D14" s="23">
        <v>-4145533.85</v>
      </c>
      <c r="E14" s="23">
        <f t="shared" si="0"/>
        <v>-91623</v>
      </c>
      <c r="F14" s="23">
        <f t="shared" si="1"/>
        <v>-14608188.675999999</v>
      </c>
      <c r="G14" s="23">
        <f>SUM(C9:C14)+$C$7+F14</f>
        <v>-10345508.455999998</v>
      </c>
      <c r="H14" s="24">
        <v>7.8299999999999995E-2</v>
      </c>
      <c r="I14" s="12"/>
      <c r="J14" s="23" t="e">
        <f t="shared" si="2"/>
        <v>#REF!</v>
      </c>
    </row>
    <row r="15" spans="1:134" hidden="1" x14ac:dyDescent="0.2">
      <c r="A15" s="22" t="s">
        <v>17</v>
      </c>
      <c r="B15" s="23">
        <v>2807664.03</v>
      </c>
      <c r="C15" s="23">
        <v>528549.84</v>
      </c>
      <c r="D15" s="23">
        <v>-4867370.49</v>
      </c>
      <c r="E15" s="23">
        <f t="shared" si="0"/>
        <v>-99693</v>
      </c>
      <c r="F15" s="23">
        <f t="shared" si="1"/>
        <v>-16767588.136</v>
      </c>
      <c r="G15" s="23">
        <f>SUM(C9:C15)+$C$7+F15</f>
        <v>-11976358.075999999</v>
      </c>
      <c r="H15" s="24">
        <v>7.8299999999999995E-2</v>
      </c>
      <c r="I15" s="12"/>
      <c r="J15" s="23" t="e">
        <f t="shared" si="2"/>
        <v>#REF!</v>
      </c>
    </row>
    <row r="16" spans="1:134" hidden="1" x14ac:dyDescent="0.2">
      <c r="A16" s="22" t="s">
        <v>18</v>
      </c>
      <c r="B16" s="23">
        <v>3068278.63</v>
      </c>
      <c r="C16" s="23">
        <v>3016070.23</v>
      </c>
      <c r="D16" s="23">
        <v>-5186367.51</v>
      </c>
      <c r="E16" s="23">
        <f t="shared" si="0"/>
        <v>-113645</v>
      </c>
      <c r="F16" s="23">
        <f t="shared" si="1"/>
        <v>-18999322.016000003</v>
      </c>
      <c r="G16" s="23">
        <f>SUM(C9:C16)+$C$7+F16</f>
        <v>-11192021.726000004</v>
      </c>
      <c r="H16" s="24">
        <v>7.8299999999999995E-2</v>
      </c>
      <c r="I16" s="12"/>
      <c r="J16" s="23" t="e">
        <f>+J15+E16</f>
        <v>#REF!</v>
      </c>
    </row>
    <row r="17" spans="1:10" hidden="1" x14ac:dyDescent="0.2">
      <c r="A17" s="22" t="s">
        <v>19</v>
      </c>
      <c r="B17" s="23">
        <v>4293491.51</v>
      </c>
      <c r="C17" s="23">
        <v>182812.08</v>
      </c>
      <c r="D17" s="23">
        <v>-4702265.68</v>
      </c>
      <c r="E17" s="23">
        <f t="shared" si="0"/>
        <v>-122424</v>
      </c>
      <c r="F17" s="23">
        <f t="shared" si="1"/>
        <v>-19530520.186000004</v>
      </c>
      <c r="G17" s="23">
        <f>SUM(C9:C17)+$C$7+F17</f>
        <v>-11540407.816000003</v>
      </c>
      <c r="H17" s="24">
        <v>7.8299999999999995E-2</v>
      </c>
      <c r="I17" s="12"/>
      <c r="J17" s="23" t="e">
        <f>+J16+E17</f>
        <v>#REF!</v>
      </c>
    </row>
    <row r="18" spans="1:10" hidden="1" x14ac:dyDescent="0.2">
      <c r="A18" s="22" t="s">
        <v>20</v>
      </c>
      <c r="B18" s="23">
        <v>4884267.2699999996</v>
      </c>
      <c r="C18" s="23">
        <v>642118.97</v>
      </c>
      <c r="D18" s="23">
        <v>-3545468.62</v>
      </c>
      <c r="E18" s="23">
        <f t="shared" si="0"/>
        <v>-120240</v>
      </c>
      <c r="F18" s="23">
        <f t="shared" si="1"/>
        <v>-18311961.536000006</v>
      </c>
      <c r="G18" s="23">
        <f>SUM(C9:C18)+$C$7+F18</f>
        <v>-9679730.196000006</v>
      </c>
      <c r="H18" s="24">
        <v>7.8299999999999995E-2</v>
      </c>
      <c r="I18" s="12"/>
      <c r="J18" s="23" t="e">
        <f>+J17+E18</f>
        <v>#REF!</v>
      </c>
    </row>
    <row r="19" spans="1:10" hidden="1" x14ac:dyDescent="0.2">
      <c r="A19" s="22" t="s">
        <v>21</v>
      </c>
      <c r="B19" s="23">
        <v>8022526.7000000002</v>
      </c>
      <c r="C19" s="23">
        <v>-3250194.49</v>
      </c>
      <c r="D19" s="23">
        <v>-3292615.61</v>
      </c>
      <c r="E19" s="23">
        <v>-126929</v>
      </c>
      <c r="F19" s="23">
        <f t="shared" si="1"/>
        <v>-13708979.446000006</v>
      </c>
      <c r="G19" s="23">
        <f>SUM(C9:C19)+$C$7+F19</f>
        <v>-8326942.5960000064</v>
      </c>
      <c r="H19" s="24">
        <v>7.8299999999999995E-2</v>
      </c>
      <c r="I19" s="12"/>
      <c r="J19" s="23" t="e">
        <f>+J18+E19</f>
        <v>#REF!</v>
      </c>
    </row>
    <row r="20" spans="1:10" x14ac:dyDescent="0.2">
      <c r="A20" s="22" t="s">
        <v>9</v>
      </c>
      <c r="B20" s="23">
        <v>4369420.42</v>
      </c>
      <c r="C20" s="23">
        <v>-735403.22</v>
      </c>
      <c r="D20" s="23">
        <v>-3513303.55</v>
      </c>
      <c r="E20" s="23">
        <f>ROUND((((B20+D20)/2)+F19)*(H20/12),0)</f>
        <v>-86658</v>
      </c>
      <c r="F20" s="23">
        <f t="shared" si="1"/>
        <v>-12939520.576000005</v>
      </c>
      <c r="G20" s="23">
        <f>SUM(C9:C20)+$C$7+F20</f>
        <v>-8292886.9460000051</v>
      </c>
      <c r="H20" s="24">
        <v>7.8299999999999995E-2</v>
      </c>
      <c r="I20" s="12"/>
      <c r="J20" s="23" t="e">
        <f>+J19+E20</f>
        <v>#REF!</v>
      </c>
    </row>
    <row r="21" spans="1:10" x14ac:dyDescent="0.2">
      <c r="A21" s="25" t="s">
        <v>22</v>
      </c>
      <c r="B21" s="26">
        <f>SUM(B9:B20)</f>
        <v>44887095</v>
      </c>
      <c r="C21" s="26">
        <f>SUM(C9:C20)</f>
        <v>781573.44000000018</v>
      </c>
      <c r="D21" s="26">
        <f>SUM(D9:D20)</f>
        <v>-47901079.229999989</v>
      </c>
      <c r="E21" s="26">
        <f>SUM(E9:E20)</f>
        <v>-1154860</v>
      </c>
      <c r="F21" s="27"/>
      <c r="G21" s="27"/>
      <c r="H21" s="28"/>
      <c r="I21" s="12"/>
      <c r="J21" s="23"/>
    </row>
    <row r="22" spans="1:10" x14ac:dyDescent="0.2">
      <c r="A22" s="25"/>
      <c r="B22" s="27"/>
      <c r="C22" s="27"/>
      <c r="D22" s="27"/>
      <c r="E22" s="27"/>
      <c r="F22" s="27"/>
      <c r="G22" s="27"/>
      <c r="H22" s="28"/>
      <c r="I22" s="12"/>
      <c r="J22" s="23"/>
    </row>
    <row r="23" spans="1:10" x14ac:dyDescent="0.2">
      <c r="A23" s="22" t="s">
        <v>11</v>
      </c>
      <c r="B23" s="23">
        <v>2239835.92</v>
      </c>
      <c r="C23" s="23">
        <v>468371.4</v>
      </c>
      <c r="D23" s="23">
        <v>-3769989.72</v>
      </c>
      <c r="E23" s="23">
        <f>ROUND((((B23+D23)/2)+F20)*(7.83%/12),0)</f>
        <v>-89422</v>
      </c>
      <c r="F23" s="23">
        <f>+F20+B23+D23+E23</f>
        <v>-14559096.376000006</v>
      </c>
      <c r="G23" s="23">
        <f>SUM(C23)+$C$7+$C$21+F23</f>
        <v>-9444091.3460000046</v>
      </c>
      <c r="H23" s="24">
        <v>7.7700000000000005E-2</v>
      </c>
      <c r="I23" s="12"/>
      <c r="J23" s="23" t="e">
        <f>+J20+E23</f>
        <v>#REF!</v>
      </c>
    </row>
    <row r="24" spans="1:10" x14ac:dyDescent="0.2">
      <c r="A24" s="22" t="s">
        <v>12</v>
      </c>
      <c r="B24" s="23">
        <v>1840981.91</v>
      </c>
      <c r="C24" s="23">
        <v>556090.38</v>
      </c>
      <c r="D24" s="23">
        <v>-3595521.42</v>
      </c>
      <c r="E24" s="23">
        <f t="shared" ref="E24:E30" si="3">ROUND((((B24+D24)/2)+F23)*(7.83%/12),0)</f>
        <v>-100722</v>
      </c>
      <c r="F24" s="23">
        <f t="shared" ref="F24:F34" si="4">+F23+B24+D24+E24</f>
        <v>-16414357.886000006</v>
      </c>
      <c r="G24" s="23">
        <f>SUM(C23:C24)+$C$7+$C$21+F24</f>
        <v>-10743262.476000005</v>
      </c>
      <c r="H24" s="24">
        <v>7.7700000000000005E-2</v>
      </c>
      <c r="I24" s="12"/>
      <c r="J24" s="23" t="e">
        <f t="shared" ref="J24:J29" si="5">+J23+E24</f>
        <v>#REF!</v>
      </c>
    </row>
    <row r="25" spans="1:10" x14ac:dyDescent="0.2">
      <c r="A25" s="22" t="s">
        <v>13</v>
      </c>
      <c r="B25" s="23">
        <v>4105879.7</v>
      </c>
      <c r="C25" s="23">
        <v>-378161.72</v>
      </c>
      <c r="D25" s="23">
        <v>-3171663.13</v>
      </c>
      <c r="E25" s="23">
        <f t="shared" si="3"/>
        <v>-104056</v>
      </c>
      <c r="F25" s="23">
        <f t="shared" si="4"/>
        <v>-15584197.316000003</v>
      </c>
      <c r="G25" s="23">
        <f>SUM(C23:C25)+$C$7+$C$21+F25</f>
        <v>-10291263.626000002</v>
      </c>
      <c r="H25" s="24">
        <v>7.7700000000000005E-2</v>
      </c>
      <c r="I25" s="22"/>
      <c r="J25" s="23" t="e">
        <f t="shared" si="5"/>
        <v>#REF!</v>
      </c>
    </row>
    <row r="26" spans="1:10" x14ac:dyDescent="0.2">
      <c r="A26" s="22" t="s">
        <v>14</v>
      </c>
      <c r="B26" s="23">
        <v>3968473.7</v>
      </c>
      <c r="C26" s="23">
        <v>55405.23</v>
      </c>
      <c r="D26" s="23">
        <v>-2745404.79</v>
      </c>
      <c r="E26" s="23">
        <f t="shared" si="3"/>
        <v>-97697</v>
      </c>
      <c r="F26" s="23">
        <f t="shared" si="4"/>
        <v>-14458825.406000003</v>
      </c>
      <c r="G26" s="23">
        <f>SUM(C23:C26)+$C$7+$C$21+F26</f>
        <v>-9110486.4860000014</v>
      </c>
      <c r="H26" s="24">
        <v>7.7700000000000005E-2</v>
      </c>
      <c r="I26" s="12"/>
      <c r="J26" s="23" t="e">
        <f t="shared" si="5"/>
        <v>#REF!</v>
      </c>
    </row>
    <row r="27" spans="1:10" x14ac:dyDescent="0.2">
      <c r="A27" s="22" t="s">
        <v>15</v>
      </c>
      <c r="B27" s="23">
        <v>4432566.2699999996</v>
      </c>
      <c r="C27" s="23">
        <v>-1259705.19</v>
      </c>
      <c r="D27" s="23">
        <v>-2876432.82</v>
      </c>
      <c r="E27" s="23">
        <f t="shared" si="3"/>
        <v>-89267</v>
      </c>
      <c r="F27" s="23">
        <f t="shared" si="4"/>
        <v>-12991958.956000004</v>
      </c>
      <c r="G27" s="23">
        <f>SUM(C23:C27)+$C$7+$C$21+F27</f>
        <v>-8903325.2260000035</v>
      </c>
      <c r="H27" s="24">
        <v>7.7700000000000005E-2</v>
      </c>
      <c r="I27" s="12"/>
      <c r="J27" s="23" t="e">
        <f t="shared" si="5"/>
        <v>#REF!</v>
      </c>
    </row>
    <row r="28" spans="1:10" x14ac:dyDescent="0.2">
      <c r="A28" s="22" t="s">
        <v>16</v>
      </c>
      <c r="B28" s="23">
        <v>3151913.14</v>
      </c>
      <c r="C28" s="23">
        <v>209875.65</v>
      </c>
      <c r="D28" s="23">
        <v>-3561547.17</v>
      </c>
      <c r="E28" s="23">
        <f t="shared" si="3"/>
        <v>-86109</v>
      </c>
      <c r="F28" s="23">
        <f t="shared" si="4"/>
        <v>-13487701.986000003</v>
      </c>
      <c r="G28" s="23">
        <f>SUM(C23:C28)+$C$7+$C$21+F28</f>
        <v>-9189192.6060000025</v>
      </c>
      <c r="H28" s="24">
        <v>7.7700000000000005E-2</v>
      </c>
      <c r="I28" s="12"/>
      <c r="J28" s="23" t="e">
        <f t="shared" si="5"/>
        <v>#REF!</v>
      </c>
    </row>
    <row r="29" spans="1:10" x14ac:dyDescent="0.2">
      <c r="A29" s="22" t="s">
        <v>17</v>
      </c>
      <c r="B29" s="23">
        <v>4851756.74</v>
      </c>
      <c r="C29" s="23">
        <v>-244503.08</v>
      </c>
      <c r="D29" s="23">
        <v>-4488209.18</v>
      </c>
      <c r="E29" s="23">
        <f t="shared" si="3"/>
        <v>-86821</v>
      </c>
      <c r="F29" s="23">
        <f t="shared" si="4"/>
        <v>-13210975.426000003</v>
      </c>
      <c r="G29" s="23">
        <f>SUM(C23:C29)+$C$7+$C$21+F29</f>
        <v>-9156969.126000002</v>
      </c>
      <c r="H29" s="24">
        <v>7.7700000000000005E-2</v>
      </c>
      <c r="I29" s="12"/>
      <c r="J29" s="23" t="e">
        <f t="shared" si="5"/>
        <v>#REF!</v>
      </c>
    </row>
    <row r="30" spans="1:10" x14ac:dyDescent="0.2">
      <c r="A30" s="22" t="s">
        <v>18</v>
      </c>
      <c r="B30" s="23">
        <v>3159027.16</v>
      </c>
      <c r="C30" s="23">
        <v>3252542.93</v>
      </c>
      <c r="D30" s="23">
        <v>-4740990.0199999996</v>
      </c>
      <c r="E30" s="23">
        <f t="shared" si="3"/>
        <v>-91363</v>
      </c>
      <c r="F30" s="23">
        <f t="shared" si="4"/>
        <v>-14884301.286000002</v>
      </c>
      <c r="G30" s="23">
        <f>SUM(C23:C30)+$C$7+$C$21+F30</f>
        <v>-7577752.0560000008</v>
      </c>
      <c r="H30" s="24">
        <v>7.7700000000000005E-2</v>
      </c>
      <c r="I30" s="12"/>
      <c r="J30" s="23" t="e">
        <f>+J29+E30</f>
        <v>#REF!</v>
      </c>
    </row>
    <row r="31" spans="1:10" x14ac:dyDescent="0.2">
      <c r="A31" s="22" t="s">
        <v>19</v>
      </c>
      <c r="B31" s="23">
        <v>2652617.64</v>
      </c>
      <c r="C31" s="23">
        <v>64462.400000000001</v>
      </c>
      <c r="D31" s="23">
        <v>-4427712.4000000004</v>
      </c>
      <c r="E31" s="23">
        <f>ROUND((((B31+D31)/2)+F30)*(7.83%/12),0)</f>
        <v>-102911</v>
      </c>
      <c r="F31" s="23">
        <f t="shared" si="4"/>
        <v>-16762307.046000002</v>
      </c>
      <c r="G31" s="23">
        <f>SUM(C23:C31)+$C$7+$C$21+F31</f>
        <v>-9391295.4160000011</v>
      </c>
      <c r="H31" s="24">
        <v>7.7700000000000005E-2</v>
      </c>
      <c r="I31" s="12"/>
      <c r="J31" s="23" t="e">
        <f>+J30+E31</f>
        <v>#REF!</v>
      </c>
    </row>
    <row r="32" spans="1:10" x14ac:dyDescent="0.2">
      <c r="A32" s="22" t="s">
        <v>20</v>
      </c>
      <c r="B32" s="23">
        <v>5504239.0499999998</v>
      </c>
      <c r="C32" s="13">
        <v>-904372.67</v>
      </c>
      <c r="D32" s="23">
        <v>-4114849.64</v>
      </c>
      <c r="E32" s="23">
        <f>ROUND((((B32+D32)/2)+F31)*(7.83%/12),0)</f>
        <v>-104841</v>
      </c>
      <c r="F32" s="23">
        <f t="shared" si="4"/>
        <v>-15477758.636000004</v>
      </c>
      <c r="G32" s="23">
        <f>SUM(C23:C33)+$C$7+$C$21+F32</f>
        <v>-7871782.8560000034</v>
      </c>
      <c r="H32" s="24">
        <v>7.7700000000000005E-2</v>
      </c>
      <c r="I32" s="12"/>
      <c r="J32" s="23" t="e">
        <f>+J31+E32</f>
        <v>#REF!</v>
      </c>
    </row>
    <row r="33" spans="1:10" x14ac:dyDescent="0.2">
      <c r="A33" s="22" t="s">
        <v>21</v>
      </c>
      <c r="B33" s="23">
        <v>3263631.97</v>
      </c>
      <c r="C33" s="23">
        <v>1139336.82</v>
      </c>
      <c r="D33" s="23">
        <v>-3868999.04</v>
      </c>
      <c r="E33" s="23">
        <v>-94611</v>
      </c>
      <c r="F33" s="23">
        <f t="shared" si="4"/>
        <v>-16177736.706000004</v>
      </c>
      <c r="G33" s="23">
        <f>SUM(C23:C33)+$C$7+$C$21+F33</f>
        <v>-8571760.9260000028</v>
      </c>
      <c r="H33" s="24">
        <v>7.7700000000000005E-2</v>
      </c>
      <c r="I33" s="12"/>
      <c r="J33" s="23" t="e">
        <f>+J32+E33</f>
        <v>#REF!</v>
      </c>
    </row>
    <row r="34" spans="1:10" x14ac:dyDescent="0.2">
      <c r="A34" s="22" t="s">
        <v>9</v>
      </c>
      <c r="B34" s="23">
        <v>11905939.859999999</v>
      </c>
      <c r="C34" s="23">
        <v>-4945115.43</v>
      </c>
      <c r="D34" s="23">
        <v>-4580101.47</v>
      </c>
      <c r="E34" s="23">
        <f>ROUND((((B34+D34)/2)+F33)*(7.77%/12),0)</f>
        <v>-81033</v>
      </c>
      <c r="F34" s="23">
        <f t="shared" si="4"/>
        <v>-8932931.3160000034</v>
      </c>
      <c r="G34" s="23">
        <f>SUM(C23:C34)+$C$7+$C$21+F34</f>
        <v>-6272070.9660000028</v>
      </c>
      <c r="H34" s="24">
        <v>7.7700000000000005E-2</v>
      </c>
      <c r="I34" s="12"/>
      <c r="J34" s="23" t="e">
        <f>+J33+E34</f>
        <v>#REF!</v>
      </c>
    </row>
    <row r="35" spans="1:10" x14ac:dyDescent="0.2">
      <c r="A35" s="25" t="s">
        <v>23</v>
      </c>
      <c r="B35" s="26">
        <f>SUM(B23:B34)</f>
        <v>51076863.060000002</v>
      </c>
      <c r="C35" s="26">
        <f>SUM(C23:C34)</f>
        <v>-1985773.2799999993</v>
      </c>
      <c r="D35" s="26">
        <f>SUM(D23:D34)</f>
        <v>-45941420.799999997</v>
      </c>
      <c r="E35" s="26">
        <f>SUM(E23:E34)</f>
        <v>-1128853</v>
      </c>
      <c r="F35" s="27"/>
      <c r="G35" s="27"/>
      <c r="H35" s="28"/>
      <c r="I35" s="12"/>
      <c r="J35" s="23"/>
    </row>
    <row r="36" spans="1:10" x14ac:dyDescent="0.2">
      <c r="A36" s="25"/>
      <c r="B36" s="27"/>
      <c r="C36" s="27"/>
      <c r="D36" s="27"/>
      <c r="E36" s="27"/>
      <c r="F36" s="27"/>
      <c r="G36" s="27"/>
      <c r="H36" s="28"/>
      <c r="I36" s="12"/>
      <c r="J36" s="23"/>
    </row>
    <row r="37" spans="1:10" x14ac:dyDescent="0.2">
      <c r="A37" s="22" t="s">
        <v>11</v>
      </c>
      <c r="B37" s="23">
        <v>4196557.4000000004</v>
      </c>
      <c r="C37" s="23">
        <v>1838939.81</v>
      </c>
      <c r="D37" s="23">
        <v>-4530672.1500000004</v>
      </c>
      <c r="E37" s="23">
        <f>ROUND((((B37+D37)/2)+F34)*(7.77%/12),0)</f>
        <v>-58922</v>
      </c>
      <c r="F37" s="23">
        <f>+F34+B37+D37+E37</f>
        <v>-9325968.0660000034</v>
      </c>
      <c r="G37" s="23">
        <f>SUM(C37)+$C$7+$C$21+$C$35+F37</f>
        <v>-4826167.9060000023</v>
      </c>
      <c r="H37" s="24">
        <v>7.7700000000000005E-2</v>
      </c>
      <c r="I37" s="12"/>
      <c r="J37" s="23" t="e">
        <f>+J34+E37</f>
        <v>#REF!</v>
      </c>
    </row>
    <row r="38" spans="1:10" x14ac:dyDescent="0.2">
      <c r="A38" s="22" t="s">
        <v>12</v>
      </c>
      <c r="B38" s="23">
        <v>7301899.2400000002</v>
      </c>
      <c r="C38" s="23">
        <v>-719294.72</v>
      </c>
      <c r="D38" s="23">
        <v>-3936377.67</v>
      </c>
      <c r="E38" s="23">
        <f t="shared" ref="E38:E48" si="6">ROUND((((B38+D38)/2)+F37)*(7.77%/12),0)</f>
        <v>-49490</v>
      </c>
      <c r="F38" s="23">
        <f t="shared" ref="F38:F48" si="7">+F37+B38+D38+E38</f>
        <v>-6009936.4960000031</v>
      </c>
      <c r="G38" s="23">
        <f>SUM(C37:C38)+$C$7+$C$21+$C$35+F38</f>
        <v>-2229431.0560000017</v>
      </c>
      <c r="H38" s="24">
        <v>7.7700000000000005E-2</v>
      </c>
      <c r="I38" s="12"/>
      <c r="J38" s="23" t="e">
        <f t="shared" ref="J38:J43" si="8">+J37+E38</f>
        <v>#REF!</v>
      </c>
    </row>
    <row r="39" spans="1:10" x14ac:dyDescent="0.2">
      <c r="A39" s="22" t="s">
        <v>13</v>
      </c>
      <c r="B39" s="23">
        <v>9513000.9499999993</v>
      </c>
      <c r="C39" s="23">
        <v>107508.32</v>
      </c>
      <c r="D39" s="23">
        <v>-4826683.72</v>
      </c>
      <c r="E39" s="23">
        <f t="shared" si="6"/>
        <v>-23742</v>
      </c>
      <c r="F39" s="23">
        <f t="shared" si="7"/>
        <v>-1347361.2660000036</v>
      </c>
      <c r="G39" s="23">
        <f>SUM(C37:C39)+$C$7+$C$21+$C$35+F39</f>
        <v>2540652.4939999972</v>
      </c>
      <c r="H39" s="24">
        <v>7.7700000000000005E-2</v>
      </c>
      <c r="I39" s="22"/>
      <c r="J39" s="23" t="e">
        <f t="shared" si="8"/>
        <v>#REF!</v>
      </c>
    </row>
    <row r="40" spans="1:10" x14ac:dyDescent="0.2">
      <c r="A40" s="22" t="s">
        <v>14</v>
      </c>
      <c r="B40" s="23">
        <v>8332524.4299999997</v>
      </c>
      <c r="C40" s="23">
        <v>-364021.59</v>
      </c>
      <c r="D40" s="23">
        <v>-4024107.75</v>
      </c>
      <c r="E40" s="23">
        <f t="shared" si="6"/>
        <v>5224</v>
      </c>
      <c r="F40" s="23">
        <f t="shared" si="7"/>
        <v>2966279.4139999961</v>
      </c>
      <c r="G40" s="23">
        <f>SUM(C37:C40)+$C$7+$C$21+$C$35+F40</f>
        <v>6490271.583999997</v>
      </c>
      <c r="H40" s="24">
        <v>7.7700000000000005E-2</v>
      </c>
      <c r="I40" s="12"/>
      <c r="J40" s="23" t="e">
        <f t="shared" si="8"/>
        <v>#REF!</v>
      </c>
    </row>
    <row r="41" spans="1:10" x14ac:dyDescent="0.2">
      <c r="A41" s="22" t="s">
        <v>15</v>
      </c>
      <c r="B41" s="23">
        <v>5867664.04</v>
      </c>
      <c r="C41" s="23">
        <v>86444.05</v>
      </c>
      <c r="D41" s="23">
        <v>-4206797.6900000004</v>
      </c>
      <c r="E41" s="23">
        <f t="shared" si="6"/>
        <v>24584</v>
      </c>
      <c r="F41" s="23">
        <f t="shared" si="7"/>
        <v>4651729.7639999958</v>
      </c>
      <c r="G41" s="23">
        <f>SUM(C37:C41)+$C$7+$C$21+$C$35+F41</f>
        <v>8262165.9839999974</v>
      </c>
      <c r="H41" s="24">
        <v>7.7700000000000005E-2</v>
      </c>
      <c r="I41" s="12"/>
      <c r="J41" s="23" t="e">
        <f t="shared" si="8"/>
        <v>#REF!</v>
      </c>
    </row>
    <row r="42" spans="1:10" x14ac:dyDescent="0.2">
      <c r="A42" s="22" t="s">
        <v>16</v>
      </c>
      <c r="B42" s="23">
        <v>9395350.6799999997</v>
      </c>
      <c r="C42" s="23">
        <v>-224949.94</v>
      </c>
      <c r="D42" s="23">
        <v>-5230146.9000000004</v>
      </c>
      <c r="E42" s="23">
        <f t="shared" si="6"/>
        <v>43605</v>
      </c>
      <c r="F42" s="23">
        <f t="shared" si="7"/>
        <v>8860538.5439999942</v>
      </c>
      <c r="G42" s="23">
        <f>SUM(C37:C42)+$C$7+$C$21+$C$35+F42</f>
        <v>12246024.823999995</v>
      </c>
      <c r="H42" s="24">
        <v>7.7700000000000005E-2</v>
      </c>
      <c r="I42" s="12"/>
      <c r="J42" s="23" t="e">
        <f t="shared" si="8"/>
        <v>#REF!</v>
      </c>
    </row>
    <row r="43" spans="1:10" x14ac:dyDescent="0.2">
      <c r="A43" s="22" t="s">
        <v>17</v>
      </c>
      <c r="B43" s="23">
        <v>6005272.6799999997</v>
      </c>
      <c r="C43" s="23">
        <v>707312.72</v>
      </c>
      <c r="D43" s="23">
        <v>-6293445.3200000003</v>
      </c>
      <c r="E43" s="23">
        <f t="shared" si="6"/>
        <v>56439</v>
      </c>
      <c r="F43" s="23">
        <f t="shared" si="7"/>
        <v>8628804.9039999936</v>
      </c>
      <c r="G43" s="23">
        <f>SUM(C37:C43)+$C$7+$C$21+$C$35+F43</f>
        <v>12721603.903999995</v>
      </c>
      <c r="H43" s="24">
        <v>7.7700000000000005E-2</v>
      </c>
      <c r="I43" s="12"/>
      <c r="J43" s="23" t="e">
        <f t="shared" si="8"/>
        <v>#REF!</v>
      </c>
    </row>
    <row r="44" spans="1:10" x14ac:dyDescent="0.2">
      <c r="A44" s="22" t="s">
        <v>18</v>
      </c>
      <c r="B44" s="23">
        <v>5839647.3200000003</v>
      </c>
      <c r="C44" s="23">
        <v>1966034.46</v>
      </c>
      <c r="D44" s="23">
        <v>-6733047.1699999999</v>
      </c>
      <c r="E44" s="23">
        <f t="shared" si="6"/>
        <v>52979</v>
      </c>
      <c r="F44" s="23">
        <f t="shared" si="7"/>
        <v>7788384.053999994</v>
      </c>
      <c r="G44" s="23">
        <f>SUM(C37:C44)+$C$7+$C$21+$C$35+F44</f>
        <v>13847217.513999995</v>
      </c>
      <c r="H44" s="24">
        <v>7.7700000000000005E-2</v>
      </c>
      <c r="I44" s="12"/>
      <c r="J44" s="23" t="e">
        <f>+J43+E44</f>
        <v>#REF!</v>
      </c>
    </row>
    <row r="45" spans="1:10" x14ac:dyDescent="0.2">
      <c r="A45" s="22" t="s">
        <v>19</v>
      </c>
      <c r="B45" s="23">
        <v>4767034.04</v>
      </c>
      <c r="C45" s="23">
        <v>334494.95</v>
      </c>
      <c r="D45" s="23">
        <v>-5742216.3899999997</v>
      </c>
      <c r="E45" s="23">
        <f t="shared" si="6"/>
        <v>47273</v>
      </c>
      <c r="F45" s="23">
        <f t="shared" si="7"/>
        <v>6860474.7039999934</v>
      </c>
      <c r="G45" s="23">
        <f>SUM(C37:C45)+$C$7+$C$21+$C$35+F45</f>
        <v>13253803.113999994</v>
      </c>
      <c r="H45" s="24">
        <v>7.7700000000000005E-2</v>
      </c>
      <c r="I45" s="12"/>
      <c r="J45" s="23" t="e">
        <f>+J44+E45</f>
        <v>#REF!</v>
      </c>
    </row>
    <row r="46" spans="1:10" x14ac:dyDescent="0.2">
      <c r="A46" s="22" t="s">
        <v>20</v>
      </c>
      <c r="B46" s="23">
        <v>5954205.6799999997</v>
      </c>
      <c r="C46" s="23">
        <v>-1449084.99</v>
      </c>
      <c r="D46" s="23">
        <v>-4844019.55</v>
      </c>
      <c r="E46" s="23">
        <f t="shared" si="6"/>
        <v>48016</v>
      </c>
      <c r="F46" s="23">
        <f t="shared" si="7"/>
        <v>8018676.8339999923</v>
      </c>
      <c r="G46" s="29">
        <f>SUM(C37:C46)+$C$7+$C$21+$C$35+F46</f>
        <v>12962920.253999993</v>
      </c>
      <c r="H46" s="24">
        <v>7.7700000000000005E-2</v>
      </c>
      <c r="I46" s="12"/>
      <c r="J46" s="23" t="e">
        <f>+J45+E46</f>
        <v>#REF!</v>
      </c>
    </row>
    <row r="47" spans="1:10" x14ac:dyDescent="0.2">
      <c r="A47" s="22" t="s">
        <v>21</v>
      </c>
      <c r="B47" s="30">
        <f>+'[1]Program Expenses'!N32</f>
        <v>5035766</v>
      </c>
      <c r="C47" s="23"/>
      <c r="D47" s="30">
        <f>+[2]Sheet1!$N$21</f>
        <v>-4512617.4736102587</v>
      </c>
      <c r="E47" s="23">
        <f t="shared" si="6"/>
        <v>53615</v>
      </c>
      <c r="F47" s="23">
        <f t="shared" si="7"/>
        <v>8595440.3603897318</v>
      </c>
      <c r="G47" s="23">
        <f>SUM(C37:C47)+$C$7+$C$21+$C$35+F47</f>
        <v>13539683.780389734</v>
      </c>
      <c r="H47" s="24">
        <v>7.7700000000000005E-2</v>
      </c>
      <c r="I47" s="12"/>
      <c r="J47" s="23" t="e">
        <f>+J46+E47</f>
        <v>#REF!</v>
      </c>
    </row>
    <row r="48" spans="1:10" x14ac:dyDescent="0.2">
      <c r="A48" s="22" t="s">
        <v>9</v>
      </c>
      <c r="B48" s="30">
        <f>+'[1]Program Expenses'!O32</f>
        <v>5009171</v>
      </c>
      <c r="C48" s="23"/>
      <c r="D48" s="30">
        <f>+[2]Sheet1!$O$21</f>
        <v>-4871262.2337097125</v>
      </c>
      <c r="E48" s="23">
        <f t="shared" si="6"/>
        <v>56102</v>
      </c>
      <c r="F48" s="23">
        <f t="shared" si="7"/>
        <v>8789451.1266800202</v>
      </c>
      <c r="G48" s="23">
        <f>SUM(C37:C48)+$C$7+$C$21+$C$35+F48</f>
        <v>13733694.546680022</v>
      </c>
      <c r="H48" s="24">
        <v>7.7700000000000005E-2</v>
      </c>
      <c r="I48" s="12"/>
      <c r="J48" s="23" t="e">
        <f>+J47+E48</f>
        <v>#REF!</v>
      </c>
    </row>
    <row r="49" spans="1:10" x14ac:dyDescent="0.2">
      <c r="A49" s="25" t="s">
        <v>24</v>
      </c>
      <c r="B49" s="26">
        <f>SUM(B37:B48)</f>
        <v>77218093.460000008</v>
      </c>
      <c r="C49" s="26">
        <f>SUM(C37:C48)</f>
        <v>2283383.0700000003</v>
      </c>
      <c r="D49" s="26">
        <f>SUM(D37:D48)</f>
        <v>-59751394.017319977</v>
      </c>
      <c r="E49" s="26">
        <f>SUM(E37:E48)</f>
        <v>255683</v>
      </c>
      <c r="F49" s="27"/>
      <c r="G49" s="27"/>
      <c r="H49" s="28"/>
      <c r="I49" s="12"/>
      <c r="J49" s="23"/>
    </row>
    <row r="50" spans="1:10" x14ac:dyDescent="0.2">
      <c r="A50" s="31"/>
      <c r="B50" s="32"/>
      <c r="C50" s="32"/>
      <c r="D50" s="33"/>
      <c r="E50" s="33"/>
      <c r="F50" s="33"/>
      <c r="G50" s="33"/>
      <c r="J50" s="33"/>
    </row>
    <row r="51" spans="1:10" x14ac:dyDescent="0.2">
      <c r="A51" s="31"/>
      <c r="B51" s="32"/>
      <c r="C51" s="32"/>
      <c r="D51" s="33"/>
      <c r="E51" s="33"/>
      <c r="F51" s="33"/>
      <c r="G51" s="33"/>
      <c r="J51" s="33"/>
    </row>
    <row r="52" spans="1:10" x14ac:dyDescent="0.2">
      <c r="A52" s="22" t="s">
        <v>11</v>
      </c>
      <c r="B52" s="30">
        <f>+'[1]Program Expenses'!U32</f>
        <v>4760450.5</v>
      </c>
      <c r="C52" s="23"/>
      <c r="D52" s="30">
        <f>+[2]Sheet1!$R$21</f>
        <v>-5136296.4918396929</v>
      </c>
      <c r="E52" s="23">
        <f>ROUND((((B52+D52)/2)+F48)*(7.77%/12),0)</f>
        <v>55695</v>
      </c>
      <c r="F52" s="23">
        <f>+F48+B52+D52+E52</f>
        <v>8469300.1348403282</v>
      </c>
      <c r="G52" s="23">
        <f>SUM(C52)+$C$7+$C$21+$C$35+$C$49+F52</f>
        <v>13413543.55484033</v>
      </c>
      <c r="H52" s="24">
        <v>7.7700000000000005E-2</v>
      </c>
      <c r="I52" s="12"/>
      <c r="J52" s="23">
        <f>+J49+E52</f>
        <v>55695</v>
      </c>
    </row>
    <row r="53" spans="1:10" x14ac:dyDescent="0.2">
      <c r="A53" s="22" t="s">
        <v>12</v>
      </c>
      <c r="B53" s="30">
        <f>+'[1]Program Expenses'!V32</f>
        <v>4006731.5</v>
      </c>
      <c r="C53" s="23"/>
      <c r="D53" s="30">
        <v>-4756490.631469273</v>
      </c>
      <c r="E53" s="23">
        <f t="shared" ref="E53:E63" si="9">ROUND((((B53+D53)/2)+F52)*(7.77%/12),0)</f>
        <v>52411</v>
      </c>
      <c r="F53" s="23">
        <f t="shared" ref="F53:F63" si="10">+F52+B53+D53+E53</f>
        <v>7771952.0033710552</v>
      </c>
      <c r="G53" s="23">
        <f>SUM(C52:C53)+$C$7+$C$21+$C$35+$C$49+F53</f>
        <v>12716195.423371056</v>
      </c>
      <c r="H53" s="24">
        <v>7.7700000000000005E-2</v>
      </c>
      <c r="I53" s="12"/>
      <c r="J53" s="23">
        <f t="shared" ref="J53:J58" si="11">+J52+E53</f>
        <v>108106</v>
      </c>
    </row>
    <row r="54" spans="1:10" x14ac:dyDescent="0.2">
      <c r="A54" s="22" t="s">
        <v>13</v>
      </c>
      <c r="B54" s="30">
        <f>+'[1]Program Expenses'!W32</f>
        <v>4037850.5</v>
      </c>
      <c r="C54" s="23"/>
      <c r="D54" s="30">
        <v>-4919856.2954588737</v>
      </c>
      <c r="E54" s="23">
        <f t="shared" si="9"/>
        <v>47468</v>
      </c>
      <c r="F54" s="23">
        <f t="shared" si="10"/>
        <v>6937414.2079121824</v>
      </c>
      <c r="G54" s="23">
        <f>SUM(C52:C54)+$C$7+$C$21+$C$35+$C$49+F54</f>
        <v>11881657.627912182</v>
      </c>
      <c r="H54" s="24">
        <v>7.7700000000000005E-2</v>
      </c>
      <c r="I54" s="22"/>
      <c r="J54" s="23">
        <f t="shared" si="11"/>
        <v>155574</v>
      </c>
    </row>
    <row r="55" spans="1:10" x14ac:dyDescent="0.2">
      <c r="A55" s="22" t="s">
        <v>14</v>
      </c>
      <c r="B55" s="30">
        <f>+'[1]Program Expenses'!X32</f>
        <v>4844212.5</v>
      </c>
      <c r="C55" s="23"/>
      <c r="D55" s="30">
        <v>-4687347.8628949123</v>
      </c>
      <c r="E55" s="23">
        <f t="shared" si="9"/>
        <v>45428</v>
      </c>
      <c r="F55" s="23">
        <f t="shared" si="10"/>
        <v>7139706.8450172702</v>
      </c>
      <c r="G55" s="23">
        <f>SUM(C52:C55)+$C$7+$C$21+$C$35+$C$49+F55</f>
        <v>12083950.265017271</v>
      </c>
      <c r="H55" s="24">
        <v>7.7700000000000005E-2</v>
      </c>
      <c r="I55" s="12"/>
      <c r="J55" s="23">
        <f t="shared" si="11"/>
        <v>201002</v>
      </c>
    </row>
    <row r="56" spans="1:10" x14ac:dyDescent="0.2">
      <c r="A56" s="22" t="s">
        <v>15</v>
      </c>
      <c r="B56" s="30">
        <f>+'[1]Program Expenses'!Y32</f>
        <v>4343801.5</v>
      </c>
      <c r="C56" s="23"/>
      <c r="D56" s="30">
        <v>-5013832.8861365914</v>
      </c>
      <c r="E56" s="23">
        <f t="shared" si="9"/>
        <v>44060</v>
      </c>
      <c r="F56" s="23">
        <f t="shared" si="10"/>
        <v>6513735.4588806778</v>
      </c>
      <c r="G56" s="23">
        <f>SUM(C52:C56)+$C$7+$C$21+$C$35+$C$49+F56</f>
        <v>11457978.87888068</v>
      </c>
      <c r="H56" s="24">
        <v>7.7700000000000005E-2</v>
      </c>
      <c r="I56" s="12"/>
      <c r="J56" s="23">
        <f t="shared" si="11"/>
        <v>245062</v>
      </c>
    </row>
    <row r="57" spans="1:10" x14ac:dyDescent="0.2">
      <c r="A57" s="22" t="s">
        <v>16</v>
      </c>
      <c r="B57" s="30">
        <f>+'[1]Program Expenses'!Z32</f>
        <v>4486537.5</v>
      </c>
      <c r="C57" s="23"/>
      <c r="D57" s="30">
        <v>-5728989.1111235125</v>
      </c>
      <c r="E57" s="23">
        <f t="shared" si="9"/>
        <v>38154</v>
      </c>
      <c r="F57" s="23">
        <f t="shared" si="10"/>
        <v>5309437.8477571653</v>
      </c>
      <c r="G57" s="23">
        <f>SUM(C52:C57)+$C$7+$C$21+$C$35+$C$49+F57</f>
        <v>10253681.267757166</v>
      </c>
      <c r="H57" s="24">
        <v>7.7700000000000005E-2</v>
      </c>
      <c r="I57" s="12"/>
      <c r="J57" s="23">
        <f t="shared" si="11"/>
        <v>283216</v>
      </c>
    </row>
    <row r="58" spans="1:10" x14ac:dyDescent="0.2">
      <c r="A58" s="22" t="s">
        <v>17</v>
      </c>
      <c r="B58" s="30">
        <f>+'[1]Program Expenses'!AA32</f>
        <v>5252686.5</v>
      </c>
      <c r="C58" s="23"/>
      <c r="D58" s="30">
        <v>-6778734.7499211645</v>
      </c>
      <c r="E58" s="23">
        <f t="shared" si="9"/>
        <v>29438</v>
      </c>
      <c r="F58" s="23">
        <f t="shared" si="10"/>
        <v>3812827.5978359999</v>
      </c>
      <c r="G58" s="23">
        <f>SUM(C52:C58)+$C$7+$C$21+$C$35+$C$49+F58</f>
        <v>8757071.0178360008</v>
      </c>
      <c r="H58" s="24">
        <v>7.7700000000000005E-2</v>
      </c>
      <c r="I58" s="12"/>
      <c r="J58" s="23">
        <f t="shared" si="11"/>
        <v>312654</v>
      </c>
    </row>
    <row r="59" spans="1:10" x14ac:dyDescent="0.2">
      <c r="A59" s="22" t="s">
        <v>18</v>
      </c>
      <c r="B59" s="30">
        <f>+'[1]Program Expenses'!AB32</f>
        <v>4804953.5</v>
      </c>
      <c r="C59" s="23"/>
      <c r="D59" s="30">
        <v>-6589400.8136445554</v>
      </c>
      <c r="E59" s="23">
        <f t="shared" si="9"/>
        <v>18911</v>
      </c>
      <c r="F59" s="23">
        <f t="shared" si="10"/>
        <v>2047291.2841914436</v>
      </c>
      <c r="G59" s="23">
        <f>SUM(C52:C59)+$C$7+$C$21+$C$35+$C$49+F59</f>
        <v>6991534.7041914444</v>
      </c>
      <c r="H59" s="24">
        <v>7.7700000000000005E-2</v>
      </c>
      <c r="I59" s="12"/>
      <c r="J59" s="23">
        <f>+J58+E59</f>
        <v>331565</v>
      </c>
    </row>
    <row r="60" spans="1:10" x14ac:dyDescent="0.2">
      <c r="A60" s="22" t="s">
        <v>19</v>
      </c>
      <c r="B60" s="30">
        <f>+'[1]Program Expenses'!AC32</f>
        <v>6145922.5</v>
      </c>
      <c r="C60" s="23"/>
      <c r="D60" s="30">
        <v>-5455633.54363502</v>
      </c>
      <c r="E60" s="23">
        <f t="shared" si="9"/>
        <v>15491</v>
      </c>
      <c r="F60" s="23">
        <f t="shared" si="10"/>
        <v>2753071.2405564236</v>
      </c>
      <c r="G60" s="23">
        <f>SUM(C52:C60)+$C$7+$C$21+$C$35+$C$49+F60</f>
        <v>7697314.6605564244</v>
      </c>
      <c r="H60" s="24">
        <v>7.7700000000000005E-2</v>
      </c>
      <c r="I60" s="12"/>
      <c r="J60" s="23">
        <f>+J59+E60</f>
        <v>347056</v>
      </c>
    </row>
    <row r="61" spans="1:10" x14ac:dyDescent="0.2">
      <c r="A61" s="22" t="s">
        <v>20</v>
      </c>
      <c r="B61" s="30">
        <f>+'[1]Program Expenses'!AD32</f>
        <v>5528323.5</v>
      </c>
      <c r="C61" s="23"/>
      <c r="D61" s="30">
        <v>-4996596.6662206342</v>
      </c>
      <c r="E61" s="23">
        <f t="shared" si="9"/>
        <v>19548</v>
      </c>
      <c r="F61" s="23">
        <f t="shared" si="10"/>
        <v>3304346.0743357893</v>
      </c>
      <c r="G61" s="23">
        <f>SUM(C52:C61)+$C$7+$C$21+$C$35+$C$49+F61</f>
        <v>8248589.4943357902</v>
      </c>
      <c r="H61" s="24">
        <v>7.7700000000000005E-2</v>
      </c>
      <c r="I61" s="12"/>
      <c r="J61" s="23">
        <f>+J60+E61</f>
        <v>366604</v>
      </c>
    </row>
    <row r="62" spans="1:10" x14ac:dyDescent="0.2">
      <c r="A62" s="22" t="s">
        <v>21</v>
      </c>
      <c r="B62" s="30">
        <f>+'[1]Program Expenses'!AE32</f>
        <v>7485054</v>
      </c>
      <c r="C62" s="23"/>
      <c r="D62" s="30">
        <v>-5020059.6732871793</v>
      </c>
      <c r="E62" s="23">
        <f t="shared" si="9"/>
        <v>29376</v>
      </c>
      <c r="F62" s="23">
        <f t="shared" si="10"/>
        <v>5798716.40104861</v>
      </c>
      <c r="G62" s="23">
        <f>SUM(C52:C62)+$C$7+$C$21+$C$35+$C$49+F62</f>
        <v>10742959.82104861</v>
      </c>
      <c r="H62" s="24">
        <v>7.7700000000000005E-2</v>
      </c>
      <c r="I62" s="12"/>
      <c r="J62" s="23">
        <f>+J61+E62</f>
        <v>395980</v>
      </c>
    </row>
    <row r="63" spans="1:10" x14ac:dyDescent="0.2">
      <c r="A63" s="22" t="s">
        <v>9</v>
      </c>
      <c r="B63" s="30">
        <f>+'[1]Program Expenses'!AF32</f>
        <v>5259223</v>
      </c>
      <c r="C63" s="23"/>
      <c r="D63" s="30">
        <v>-5445719.8711501574</v>
      </c>
      <c r="E63" s="23">
        <f t="shared" si="9"/>
        <v>36943</v>
      </c>
      <c r="F63" s="23">
        <f t="shared" si="10"/>
        <v>5649162.5298984526</v>
      </c>
      <c r="G63" s="23">
        <f>SUM(C52:C63)+$C$7+$C$21+$C$35+$C$49+F63</f>
        <v>10593405.949898453</v>
      </c>
      <c r="H63" s="24">
        <v>7.7700000000000005E-2</v>
      </c>
      <c r="I63" s="12"/>
      <c r="J63" s="23">
        <f>+J62+E63</f>
        <v>432923</v>
      </c>
    </row>
    <row r="64" spans="1:10" x14ac:dyDescent="0.2">
      <c r="A64" s="25" t="s">
        <v>25</v>
      </c>
      <c r="B64" s="26">
        <f>SUM(B52:B63)</f>
        <v>60955747</v>
      </c>
      <c r="C64" s="26">
        <f>SUM(C52:C63)</f>
        <v>0</v>
      </c>
      <c r="D64" s="26">
        <f>SUM(D52:D63)</f>
        <v>-64528958.596781574</v>
      </c>
      <c r="E64" s="26">
        <f>SUM(E52:E63)</f>
        <v>432923</v>
      </c>
      <c r="F64" s="27"/>
      <c r="G64" s="27"/>
      <c r="H64" s="28"/>
      <c r="I64" s="12"/>
      <c r="J64" s="23"/>
    </row>
    <row r="65" spans="1:10" x14ac:dyDescent="0.2">
      <c r="A65" s="31" t="s">
        <v>26</v>
      </c>
      <c r="B65" s="32"/>
      <c r="C65" s="32">
        <f>+C7+C21+C35+C49+C64</f>
        <v>4944243.4200000009</v>
      </c>
      <c r="D65" s="33"/>
      <c r="E65" s="33"/>
      <c r="F65" s="33"/>
      <c r="G65" s="33"/>
      <c r="J65" s="33"/>
    </row>
    <row r="66" spans="1:10" x14ac:dyDescent="0.2">
      <c r="A66" s="31"/>
      <c r="B66" s="32"/>
      <c r="C66" s="32"/>
      <c r="D66" s="33"/>
      <c r="E66" s="33"/>
      <c r="F66" s="33"/>
      <c r="G66" s="33"/>
      <c r="J66" s="33"/>
    </row>
    <row r="67" spans="1:10" x14ac:dyDescent="0.2">
      <c r="B67" s="33"/>
      <c r="C67" s="33"/>
      <c r="D67" s="33"/>
      <c r="E67" s="33"/>
      <c r="F67" s="33"/>
      <c r="G67" s="32"/>
      <c r="J67" s="33"/>
    </row>
    <row r="68" spans="1:10" x14ac:dyDescent="0.2">
      <c r="A68" s="34" t="s">
        <v>27</v>
      </c>
      <c r="B68" s="33"/>
      <c r="C68" s="33"/>
      <c r="D68" s="33"/>
      <c r="E68" s="33"/>
      <c r="F68" s="33"/>
      <c r="G68" s="32">
        <f>+G46</f>
        <v>12962920.253999993</v>
      </c>
      <c r="J68" s="33"/>
    </row>
    <row r="69" spans="1:10" x14ac:dyDescent="0.2">
      <c r="A69" s="34"/>
      <c r="B69" s="33"/>
      <c r="C69" s="33"/>
      <c r="D69" s="33"/>
      <c r="E69" s="33"/>
      <c r="F69" s="33"/>
      <c r="G69" s="32"/>
      <c r="J69" s="33"/>
    </row>
    <row r="70" spans="1:10" x14ac:dyDescent="0.2">
      <c r="A70" s="34" t="s">
        <v>28</v>
      </c>
      <c r="B70" s="33"/>
      <c r="C70" s="33"/>
      <c r="D70" s="33"/>
      <c r="E70" s="33"/>
      <c r="F70" s="33"/>
      <c r="G70" s="32">
        <f>+SUM(B47:B48)+SUM(B52:B63)</f>
        <v>71000684</v>
      </c>
      <c r="J70" s="33"/>
    </row>
    <row r="71" spans="1:10" x14ac:dyDescent="0.2">
      <c r="A71" s="34" t="s">
        <v>29</v>
      </c>
      <c r="B71" s="33"/>
      <c r="C71" s="33"/>
      <c r="D71" s="33"/>
      <c r="E71" s="33"/>
      <c r="F71" s="33"/>
      <c r="G71" s="32">
        <f>+SUM(E47:E48)+SUM(E52:E63)</f>
        <v>542640</v>
      </c>
    </row>
    <row r="72" spans="1:10" x14ac:dyDescent="0.2">
      <c r="A72" s="34" t="s">
        <v>30</v>
      </c>
      <c r="B72" s="33"/>
      <c r="C72" s="33"/>
      <c r="D72" s="33"/>
      <c r="E72" s="33"/>
      <c r="F72" s="33"/>
      <c r="G72" s="35">
        <f>SUM(G70:G71)</f>
        <v>71543324</v>
      </c>
    </row>
    <row r="73" spans="1:10" x14ac:dyDescent="0.2">
      <c r="A73" s="34"/>
      <c r="B73" s="33"/>
      <c r="C73" s="33"/>
      <c r="D73" s="33"/>
      <c r="E73" s="33"/>
      <c r="F73" s="33"/>
      <c r="G73" s="32"/>
    </row>
    <row r="74" spans="1:10" x14ac:dyDescent="0.2">
      <c r="A74" s="34" t="s">
        <v>31</v>
      </c>
      <c r="B74" s="33"/>
      <c r="C74" s="33"/>
      <c r="D74" s="33"/>
      <c r="E74" s="33"/>
      <c r="F74" s="33"/>
      <c r="G74" s="32">
        <f>SUM(D47:D48)+SUM(D52:D63)</f>
        <v>-73912838.304101542</v>
      </c>
    </row>
    <row r="75" spans="1:10" x14ac:dyDescent="0.2">
      <c r="A75" s="36"/>
      <c r="B75" s="33"/>
      <c r="C75" s="33"/>
      <c r="D75" s="33"/>
      <c r="E75" s="33"/>
      <c r="F75" s="33"/>
      <c r="G75" s="32"/>
    </row>
    <row r="76" spans="1:10" ht="15" thickBot="1" x14ac:dyDescent="0.25">
      <c r="A76" s="34" t="s">
        <v>32</v>
      </c>
      <c r="B76" s="33"/>
      <c r="C76" s="33"/>
      <c r="D76" s="33"/>
      <c r="E76" s="33"/>
      <c r="F76" s="33"/>
      <c r="G76" s="37">
        <f>+G68+G72+G74</f>
        <v>10593405.949898452</v>
      </c>
    </row>
    <row r="77" spans="1:10" ht="15" thickTop="1" x14ac:dyDescent="0.2">
      <c r="A77" s="34"/>
      <c r="B77" s="33"/>
      <c r="C77" s="33"/>
      <c r="D77" s="33"/>
      <c r="E77" s="33"/>
      <c r="F77" s="33"/>
      <c r="G77" s="32"/>
    </row>
    <row r="78" spans="1:10" x14ac:dyDescent="0.2">
      <c r="A78" s="38" t="s">
        <v>33</v>
      </c>
      <c r="B78" s="33"/>
      <c r="C78" s="33"/>
      <c r="D78" s="33"/>
      <c r="E78" s="33"/>
      <c r="F78" s="33"/>
      <c r="G78" s="33"/>
    </row>
    <row r="79" spans="1:10" x14ac:dyDescent="0.2">
      <c r="A79" s="39" t="s">
        <v>34</v>
      </c>
      <c r="B79" s="33"/>
      <c r="C79" s="33"/>
      <c r="D79" s="33"/>
      <c r="E79" s="33"/>
      <c r="F79" s="33"/>
      <c r="G79" s="33"/>
    </row>
    <row r="80" spans="1:10" x14ac:dyDescent="0.2">
      <c r="A80" s="13" t="s">
        <v>37</v>
      </c>
      <c r="B80" s="33"/>
      <c r="C80" s="33"/>
      <c r="D80" s="33"/>
      <c r="E80" s="33"/>
      <c r="F80" s="33"/>
      <c r="G80" s="33"/>
    </row>
    <row r="81" spans="2:7" x14ac:dyDescent="0.2">
      <c r="B81" s="33"/>
      <c r="C81" s="33"/>
      <c r="D81" s="33"/>
      <c r="E81" s="33"/>
      <c r="F81" s="33"/>
      <c r="G81" s="33"/>
    </row>
  </sheetData>
  <mergeCells count="1">
    <mergeCell ref="A1:H1"/>
  </mergeCells>
  <pageMargins left="0.7" right="0.7" top="0.75" bottom="0.75" header="0.3" footer="0.3"/>
  <pageSetup scale="65" orientation="portrait" r:id="rId1"/>
  <ignoredErrors>
    <ignoredError sqref="E20:G20 E17:F19 E36:G37 E21:G23 B21:D35 E35:G35 E24:F33 E46:G46 E38:F45 F47:G49 E47:E49 B50:E51 B49:D49 F52:G63 B64:E64 B52:C63 F34:G34 B47:C47 B48:C48" unlockedFormula="1"/>
    <ignoredError sqref="G17:G19 G24:G33 G38:G45" formulaRange="1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Balancing Acct - Proposed Rate</vt:lpstr>
      <vt:lpstr>Sheet2</vt:lpstr>
      <vt:lpstr>Sheet3</vt:lpstr>
      <vt:lpstr>'Balancing Acct - Proposed Rate'!Print_Titles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2014-11-25T20:55:32Z</dcterms:created>
  <dcterms:modified xsi:type="dcterms:W3CDTF">2015-01-02T19:17:39Z</dcterms:modified>
  <cp:contentStatus/>
</cp:coreProperties>
</file>