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/>
  </bookViews>
  <sheets>
    <sheet name="Balancing Acct - Alt Rate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'Balancing Acct - Alt Rate'!$1:$4</definedName>
  </definedNames>
  <calcPr calcId="152511"/>
</workbook>
</file>

<file path=xl/calcChain.xml><?xml version="1.0" encoding="utf-8"?>
<calcChain xmlns="http://schemas.openxmlformats.org/spreadsheetml/2006/main">
  <c r="D78" i="1" l="1"/>
  <c r="D77" i="1"/>
  <c r="D76" i="1"/>
  <c r="D75" i="1"/>
  <c r="D74" i="1"/>
  <c r="D73" i="1"/>
  <c r="D72" i="1"/>
  <c r="D71" i="1"/>
  <c r="D70" i="1"/>
  <c r="D69" i="1"/>
  <c r="D68" i="1"/>
  <c r="D67" i="1"/>
  <c r="B78" i="1" l="1"/>
  <c r="B77" i="1"/>
  <c r="B76" i="1"/>
  <c r="B75" i="1"/>
  <c r="B74" i="1"/>
  <c r="B73" i="1"/>
  <c r="B72" i="1"/>
  <c r="B71" i="1"/>
  <c r="B70" i="1"/>
  <c r="B69" i="1"/>
  <c r="B68" i="1"/>
  <c r="B67" i="1"/>
  <c r="C79" i="1" l="1"/>
  <c r="D79" i="1"/>
  <c r="B79" i="1" l="1"/>
  <c r="D56" i="1"/>
  <c r="D60" i="1"/>
  <c r="D57" i="1"/>
  <c r="D54" i="1"/>
  <c r="D58" i="1"/>
  <c r="D62" i="1"/>
  <c r="D53" i="1"/>
  <c r="D61" i="1"/>
  <c r="D55" i="1"/>
  <c r="D59" i="1"/>
  <c r="D63" i="1"/>
  <c r="D52" i="1" l="1"/>
  <c r="G88" i="1" s="1"/>
  <c r="C21" i="1" l="1"/>
  <c r="C35" i="1"/>
  <c r="E9" i="1"/>
  <c r="F9" i="1" s="1"/>
  <c r="E10" i="1" s="1"/>
  <c r="B52" i="1"/>
  <c r="B53" i="1"/>
  <c r="B54" i="1"/>
  <c r="B55" i="1"/>
  <c r="B56" i="1"/>
  <c r="B57" i="1"/>
  <c r="B58" i="1"/>
  <c r="B59" i="1"/>
  <c r="B60" i="1"/>
  <c r="B61" i="1"/>
  <c r="B62" i="1"/>
  <c r="B63" i="1"/>
  <c r="C49" i="1"/>
  <c r="C64" i="1"/>
  <c r="D64" i="1"/>
  <c r="D49" i="1"/>
  <c r="B49" i="1"/>
  <c r="J6" i="1"/>
  <c r="D35" i="1"/>
  <c r="B35" i="1"/>
  <c r="D21" i="1"/>
  <c r="B21" i="1"/>
  <c r="C80" i="1" l="1"/>
  <c r="G84" i="1"/>
  <c r="J9" i="1"/>
  <c r="J10" i="1" s="1"/>
  <c r="G9" i="1"/>
  <c r="F10" i="1"/>
  <c r="B64" i="1"/>
  <c r="E11" i="1" l="1"/>
  <c r="F11" i="1" s="1"/>
  <c r="G10" i="1"/>
  <c r="E12" i="1" l="1"/>
  <c r="F12" i="1" s="1"/>
  <c r="G11" i="1"/>
  <c r="J11" i="1"/>
  <c r="J12" i="1" l="1"/>
  <c r="E13" i="1"/>
  <c r="F13" i="1" s="1"/>
  <c r="G12" i="1"/>
  <c r="J13" i="1" l="1"/>
  <c r="E14" i="1"/>
  <c r="F14" i="1" s="1"/>
  <c r="G13" i="1"/>
  <c r="J14" i="1" l="1"/>
  <c r="E15" i="1"/>
  <c r="G14" i="1"/>
  <c r="J15" i="1" l="1"/>
  <c r="F15" i="1"/>
  <c r="E16" i="1" s="1"/>
  <c r="F16" i="1" s="1"/>
  <c r="G15" i="1" l="1"/>
  <c r="E17" i="1"/>
  <c r="F17" i="1" s="1"/>
  <c r="G16" i="1"/>
  <c r="J16" i="1"/>
  <c r="J17" i="1" l="1"/>
  <c r="E18" i="1"/>
  <c r="G17" i="1"/>
  <c r="J18" i="1" l="1"/>
  <c r="J19" i="1" s="1"/>
  <c r="F18" i="1"/>
  <c r="F19" i="1" s="1"/>
  <c r="G18" i="1" l="1"/>
  <c r="G19" i="1"/>
  <c r="E20" i="1"/>
  <c r="E21" i="1" l="1"/>
  <c r="J20" i="1"/>
  <c r="F20" i="1"/>
  <c r="G20" i="1" l="1"/>
  <c r="E23" i="1"/>
  <c r="F23" i="1" l="1"/>
  <c r="J23" i="1"/>
  <c r="E24" i="1" l="1"/>
  <c r="G23" i="1"/>
  <c r="F24" i="1" l="1"/>
  <c r="J24" i="1"/>
  <c r="E25" i="1" l="1"/>
  <c r="G24" i="1"/>
  <c r="F25" i="1" l="1"/>
  <c r="J25" i="1"/>
  <c r="E26" i="1" l="1"/>
  <c r="J26" i="1" s="1"/>
  <c r="G25" i="1"/>
  <c r="F26" i="1" l="1"/>
  <c r="G26" i="1" l="1"/>
  <c r="E27" i="1"/>
  <c r="J27" i="1" s="1"/>
  <c r="F27" i="1" l="1"/>
  <c r="G27" i="1" l="1"/>
  <c r="E28" i="1"/>
  <c r="J28" i="1" s="1"/>
  <c r="F28" i="1" l="1"/>
  <c r="G28" i="1" l="1"/>
  <c r="E29" i="1"/>
  <c r="J29" i="1" s="1"/>
  <c r="F29" i="1" l="1"/>
  <c r="E30" i="1" l="1"/>
  <c r="J30" i="1" s="1"/>
  <c r="G29" i="1"/>
  <c r="F30" i="1" l="1"/>
  <c r="G30" i="1" l="1"/>
  <c r="E31" i="1"/>
  <c r="J31" i="1" s="1"/>
  <c r="F31" i="1" l="1"/>
  <c r="G31" i="1" l="1"/>
  <c r="E32" i="1"/>
  <c r="J32" i="1" s="1"/>
  <c r="J33" i="1" s="1"/>
  <c r="F32" i="1" l="1"/>
  <c r="F33" i="1" l="1"/>
  <c r="G32" i="1"/>
  <c r="E34" i="1" l="1"/>
  <c r="F34" i="1" s="1"/>
  <c r="G33" i="1"/>
  <c r="E37" i="1" l="1"/>
  <c r="F37" i="1" s="1"/>
  <c r="G34" i="1"/>
  <c r="E35" i="1"/>
  <c r="J34" i="1"/>
  <c r="J37" i="1" l="1"/>
  <c r="E38" i="1"/>
  <c r="F38" i="1" s="1"/>
  <c r="G37" i="1"/>
  <c r="J38" i="1" l="1"/>
  <c r="E39" i="1"/>
  <c r="G38" i="1"/>
  <c r="J39" i="1" l="1"/>
  <c r="F39" i="1"/>
  <c r="G39" i="1" l="1"/>
  <c r="E40" i="1"/>
  <c r="F40" i="1" l="1"/>
  <c r="J40" i="1"/>
  <c r="E41" i="1" l="1"/>
  <c r="F41" i="1" s="1"/>
  <c r="G40" i="1"/>
  <c r="E42" i="1" l="1"/>
  <c r="F42" i="1" s="1"/>
  <c r="G41" i="1"/>
  <c r="J41" i="1"/>
  <c r="J42" i="1" l="1"/>
  <c r="G42" i="1"/>
  <c r="E43" i="1"/>
  <c r="F43" i="1" s="1"/>
  <c r="G43" i="1" l="1"/>
  <c r="E44" i="1"/>
  <c r="F44" i="1" s="1"/>
  <c r="J43" i="1"/>
  <c r="G44" i="1" l="1"/>
  <c r="E45" i="1"/>
  <c r="F45" i="1" s="1"/>
  <c r="J44" i="1"/>
  <c r="G45" i="1" l="1"/>
  <c r="E46" i="1"/>
  <c r="F46" i="1" s="1"/>
  <c r="E47" i="1" s="1"/>
  <c r="J45" i="1"/>
  <c r="J46" i="1" l="1"/>
  <c r="G46" i="1"/>
  <c r="J47" i="1" l="1"/>
  <c r="F47" i="1"/>
  <c r="E48" i="1" s="1"/>
  <c r="G47" i="1" l="1"/>
  <c r="F48" i="1"/>
  <c r="E52" i="1" s="1"/>
  <c r="F52" i="1" l="1"/>
  <c r="E53" i="1" s="1"/>
  <c r="G48" i="1"/>
  <c r="G82" i="1" s="1"/>
  <c r="J48" i="1"/>
  <c r="E49" i="1"/>
  <c r="F53" i="1" l="1"/>
  <c r="E54" i="1" s="1"/>
  <c r="G52" i="1"/>
  <c r="J52" i="1"/>
  <c r="J53" i="1" l="1"/>
  <c r="F54" i="1"/>
  <c r="E55" i="1" s="1"/>
  <c r="G53" i="1"/>
  <c r="J54" i="1" l="1"/>
  <c r="G54" i="1"/>
  <c r="J55" i="1" l="1"/>
  <c r="F55" i="1"/>
  <c r="E56" i="1" s="1"/>
  <c r="F56" i="1" l="1"/>
  <c r="E57" i="1" s="1"/>
  <c r="G55" i="1"/>
  <c r="F57" i="1" l="1"/>
  <c r="E58" i="1" s="1"/>
  <c r="G56" i="1"/>
  <c r="J56" i="1"/>
  <c r="J57" i="1" l="1"/>
  <c r="G57" i="1"/>
  <c r="J58" i="1" l="1"/>
  <c r="F58" i="1"/>
  <c r="E59" i="1" s="1"/>
  <c r="G58" i="1" l="1"/>
  <c r="J59" i="1"/>
  <c r="F59" i="1"/>
  <c r="E60" i="1" l="1"/>
  <c r="J60" i="1" s="1"/>
  <c r="G59" i="1"/>
  <c r="F60" i="1" l="1"/>
  <c r="E61" i="1" s="1"/>
  <c r="J61" i="1" s="1"/>
  <c r="F61" i="1" l="1"/>
  <c r="E62" i="1" s="1"/>
  <c r="J62" i="1" s="1"/>
  <c r="G60" i="1"/>
  <c r="F62" i="1" l="1"/>
  <c r="G62" i="1" s="1"/>
  <c r="G61" i="1"/>
  <c r="E63" i="1" l="1"/>
  <c r="J63" i="1" s="1"/>
  <c r="F63" i="1" l="1"/>
  <c r="G63" i="1" s="1"/>
  <c r="E64" i="1"/>
  <c r="E67" i="1" l="1"/>
  <c r="F67" i="1" s="1"/>
  <c r="G67" i="1" s="1"/>
  <c r="E68" i="1" l="1"/>
  <c r="F68" i="1" s="1"/>
  <c r="G68" i="1" s="1"/>
  <c r="J67" i="1"/>
  <c r="E69" i="1" l="1"/>
  <c r="F69" i="1" s="1"/>
  <c r="E70" i="1" s="1"/>
  <c r="F70" i="1" s="1"/>
  <c r="E71" i="1" s="1"/>
  <c r="J68" i="1"/>
  <c r="G70" i="1" l="1"/>
  <c r="J69" i="1"/>
  <c r="J70" i="1" s="1"/>
  <c r="J71" i="1" s="1"/>
  <c r="G69" i="1"/>
  <c r="F71" i="1"/>
  <c r="G71" i="1" l="1"/>
  <c r="E72" i="1"/>
  <c r="F72" i="1" s="1"/>
  <c r="G72" i="1" l="1"/>
  <c r="E73" i="1"/>
  <c r="F73" i="1" s="1"/>
  <c r="J72" i="1"/>
  <c r="J73" i="1" l="1"/>
  <c r="E74" i="1"/>
  <c r="F74" i="1" s="1"/>
  <c r="G73" i="1"/>
  <c r="E75" i="1" l="1"/>
  <c r="F75" i="1" s="1"/>
  <c r="G74" i="1"/>
  <c r="J74" i="1"/>
  <c r="J75" i="1" l="1"/>
  <c r="E76" i="1"/>
  <c r="F76" i="1" s="1"/>
  <c r="G75" i="1"/>
  <c r="E77" i="1" l="1"/>
  <c r="F77" i="1" s="1"/>
  <c r="G77" i="1" s="1"/>
  <c r="G76" i="1"/>
  <c r="J76" i="1"/>
  <c r="J77" i="1" l="1"/>
  <c r="E78" i="1"/>
  <c r="F78" i="1" l="1"/>
  <c r="G78" i="1" s="1"/>
  <c r="G85" i="1"/>
  <c r="G86" i="1" s="1"/>
  <c r="G90" i="1" s="1"/>
  <c r="E79" i="1"/>
  <c r="J78" i="1"/>
</calcChain>
</file>

<file path=xl/comments1.xml><?xml version="1.0" encoding="utf-8"?>
<comments xmlns="http://schemas.openxmlformats.org/spreadsheetml/2006/main">
  <authors>
    <author>Author</author>
  </authors>
  <commentList>
    <comment ref="E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Trued-up</t>
        </r>
      </text>
    </comment>
  </commentList>
</comments>
</file>

<file path=xl/sharedStrings.xml><?xml version="1.0" encoding="utf-8"?>
<sst xmlns="http://schemas.openxmlformats.org/spreadsheetml/2006/main" count="89" uniqueCount="40">
  <si>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</si>
  <si>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</si>
  <si>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</si>
  <si>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</si>
  <si>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</si>
  <si>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</si>
  <si>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</si>
  <si>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Carrying Charge Rate</t>
  </si>
  <si>
    <t xml:space="preserve">Accumulated Balance Total Carrying Costs  </t>
  </si>
  <si>
    <t>December</t>
  </si>
  <si>
    <t>2011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</si>
  <si>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</si>
  <si>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</si>
  <si>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</si>
  <si>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</si>
  <si>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</si>
  <si>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</si>
  <si>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</si>
  <si>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</si>
  <si>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</si>
  <si>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</si>
  <si>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</si>
  <si>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2012 totals</t>
  </si>
  <si>
    <t>2013 totals</t>
  </si>
  <si>
    <t>2014 totals</t>
  </si>
  <si>
    <t>2015 totals</t>
  </si>
  <si>
    <t>Notes:</t>
  </si>
  <si>
    <t>2016 totals</t>
  </si>
  <si>
    <t>Forecast carrying charges through December 2016</t>
  </si>
  <si>
    <t>Total expenses through December 2016</t>
  </si>
  <si>
    <t>Total DSM surcharge collections through December 2016</t>
  </si>
  <si>
    <t>Forecast DSM balancing account as of December 31, 2016</t>
  </si>
  <si>
    <t>2. New proposed rate of 3.62% effective February 2015.</t>
  </si>
  <si>
    <t>DSM balancing account as of December 31, 2014</t>
  </si>
  <si>
    <t>Forecast DSM expenses through December 2016</t>
  </si>
  <si>
    <t xml:space="preserve">1. Figures provided through December 2014 are actuals. </t>
  </si>
  <si>
    <t xml:space="preserve">   Total accrual for Dec 2014</t>
  </si>
  <si>
    <t>Utah Demand-Side Management Balance Account Analysis - Alternative Rate with 2nd year increase</t>
  </si>
  <si>
    <t>3. Est 2017 rate of 3.94% to bring account to zero</t>
  </si>
  <si>
    <t>Revised Exhibit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</si>
</sst>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center"/>
      <protection locked="0"/>
    </xf>
    <xf numFmtId="0" fontId="6" fillId="0" borderId="0" xfId="1" quotePrefix="1" applyFont="1" applyFill="1" applyBorder="1" applyAlignment="1" applyProtection="1">
      <alignment horizontal="center"/>
      <protection locked="0"/>
    </xf>
    <xf numFmtId="0" fontId="6" fillId="0" borderId="0" xfId="1" applyFont="1" applyFill="1" applyBorder="1"/>
    <xf numFmtId="0" fontId="4" fillId="0" borderId="0" xfId="1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40" fontId="10" fillId="0" borderId="0" xfId="0" quotePrefix="1" applyNumberFormat="1" applyFont="1" applyFill="1" applyBorder="1" applyAlignment="1" applyProtection="1">
      <alignment horizontal="center" wrapText="1"/>
      <protection locked="0"/>
    </xf>
    <xf numFmtId="10" fontId="10" fillId="0" borderId="0" xfId="0" quotePrefix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44" fontId="4" fillId="0" borderId="0" xfId="1" applyNumberFormat="1" applyFont="1" applyFill="1" applyBorder="1" applyAlignment="1" applyProtection="1">
      <protection locked="0"/>
    </xf>
    <xf numFmtId="10" fontId="4" fillId="0" borderId="0" xfId="2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10" fontId="4" fillId="0" borderId="0" xfId="1" applyNumberFormat="1" applyFont="1" applyFill="1" applyBorder="1" applyAlignment="1" applyProtection="1">
      <protection locked="0"/>
    </xf>
    <xf numFmtId="44" fontId="2" fillId="0" borderId="0" xfId="3" quotePrefix="1" applyFont="1" applyFill="1" applyBorder="1" applyAlignment="1" applyProtection="1">
      <alignment horizontal="center"/>
      <protection locked="0"/>
    </xf>
    <xf numFmtId="164" fontId="4" fillId="0" borderId="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44" fontId="4" fillId="0" borderId="0" xfId="3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8" fillId="0" borderId="0" xfId="0" applyNumberFormat="1" applyFont="1" applyFill="1" applyBorder="1"/>
    <xf numFmtId="0" fontId="4" fillId="0" borderId="0" xfId="4" applyFont="1" applyFill="1" applyBorder="1"/>
    <xf numFmtId="164" fontId="4" fillId="0" borderId="1" xfId="0" applyNumberFormat="1" applyFont="1" applyFill="1" applyBorder="1"/>
    <xf numFmtId="0" fontId="4" fillId="0" borderId="0" xfId="4" applyFont="1" applyFill="1" applyBorder="1" applyAlignment="1" applyProtection="1">
      <protection locked="0"/>
    </xf>
    <xf numFmtId="164" fontId="4" fillId="0" borderId="2" xfId="0" applyNumberFormat="1" applyFont="1" applyFill="1" applyBorder="1"/>
    <xf numFmtId="0" fontId="2" fillId="0" borderId="0" xfId="4" applyFont="1" applyFill="1" applyBorder="1" applyAlignment="1"/>
    <xf numFmtId="164" fontId="4" fillId="3" borderId="0" xfId="1" applyNumberFormat="1" applyFont="1" applyFill="1" applyBorder="1" applyAlignment="1" applyProtection="1">
      <protection locked="0"/>
    </xf>
    <xf numFmtId="0" fontId="4" fillId="0" borderId="0" xfId="4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5">
    <cellStyle name="Currency 4" xfId="3"/>
    <cellStyle name="Normal" xfId="0" builtinId="0"/>
    <cellStyle name="Normal 3 2" xfId="4"/>
    <cellStyle name="Normal 33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0.collections\Nov%202014%20tariff%20rider%20increase\UT%20Nov%202014%20workbook%20for%20tariff%20adj%20udpated%2011-21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Program%20Mgmt\UT\Filings\0.collections\Nov%202014%20tariff%20rider%20increase\Revenue%20calc%20-%20updated%20anal%20thru%202015%20from%207-2014%20Base%20Revenue%20Projections%20REVISED%2012.23.14%20Alternative%20R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Exhibit%20A%20Program%20Expenditures%20updated%20through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Revenue%20calc%20-%20updated%20thru%202016%20using%20Reg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ing Acct - Orig 3.3% rate"/>
      <sheetName val="Balancing acct 2015 to 3.45%"/>
      <sheetName val="Program Expenses"/>
    </sheetNames>
    <sheetDataSet>
      <sheetData sheetId="0"/>
      <sheetData sheetId="1"/>
      <sheetData sheetId="2">
        <row r="32">
          <cell r="U32">
            <v>4760450.5</v>
          </cell>
          <cell r="V32">
            <v>4006731.5</v>
          </cell>
          <cell r="W32">
            <v>4037850.5</v>
          </cell>
          <cell r="X32">
            <v>4844212.5</v>
          </cell>
          <cell r="Y32">
            <v>4343801.5</v>
          </cell>
          <cell r="Z32">
            <v>4486537.5</v>
          </cell>
          <cell r="AA32">
            <v>5252686.5</v>
          </cell>
          <cell r="AB32">
            <v>4804953.5</v>
          </cell>
          <cell r="AC32">
            <v>6145922.5</v>
          </cell>
          <cell r="AD32">
            <v>5528323.5</v>
          </cell>
          <cell r="AE32">
            <v>7485054</v>
          </cell>
          <cell r="AF32">
            <v>5259223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1">
          <cell r="N21">
            <v>-4512617.4736102587</v>
          </cell>
        </row>
        <row r="23">
          <cell r="R23">
            <v>-5136296.4918396929</v>
          </cell>
          <cell r="S23">
            <v>-4990868.4307010919</v>
          </cell>
          <cell r="T23">
            <v>-5162283.9969742382</v>
          </cell>
          <cell r="U23">
            <v>-4918318.6271535028</v>
          </cell>
          <cell r="V23">
            <v>-5228598.5645839022</v>
          </cell>
          <cell r="W23">
            <v>-6001432.0528310481</v>
          </cell>
          <cell r="X23">
            <v>-7112759.3607868459</v>
          </cell>
          <cell r="Y23">
            <v>-6914095.9262009542</v>
          </cell>
          <cell r="Z23">
            <v>-5724461.8631764548</v>
          </cell>
          <cell r="AA23">
            <v>-5242805.777309767</v>
          </cell>
          <cell r="AB23">
            <v>-5267424.9325506054</v>
          </cell>
          <cell r="AC23">
            <v>-5714059.6908879913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Expenses"/>
    </sheetNames>
    <sheetDataSet>
      <sheetData sheetId="0">
        <row r="31">
          <cell r="AI31">
            <v>5011470.7759999996</v>
          </cell>
          <cell r="AJ31">
            <v>4344284.9639999997</v>
          </cell>
          <cell r="AK31">
            <v>4394012.4780000001</v>
          </cell>
          <cell r="AL31">
            <v>5166402.7039999999</v>
          </cell>
          <cell r="AM31">
            <v>4548741.9920000006</v>
          </cell>
          <cell r="AN31">
            <v>4565251.4060000004</v>
          </cell>
          <cell r="AO31">
            <v>5507950.4100000001</v>
          </cell>
          <cell r="AP31">
            <v>4548753.7180000003</v>
          </cell>
          <cell r="AQ31">
            <v>6802286.7320000008</v>
          </cell>
          <cell r="AR31">
            <v>5152208.2659999998</v>
          </cell>
          <cell r="AS31">
            <v>6843401.04</v>
          </cell>
          <cell r="AT31">
            <v>4981249.318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R27">
            <v>6230.6161929924774</v>
          </cell>
          <cell r="S27">
            <v>5519.0255497985327</v>
          </cell>
          <cell r="T27">
            <v>5708.5811157347362</v>
          </cell>
          <cell r="U27">
            <v>5438.7981855689031</v>
          </cell>
          <cell r="V27">
            <v>5645.8969648684924</v>
          </cell>
          <cell r="W27">
            <v>6415.3668183348482</v>
          </cell>
          <cell r="X27">
            <v>7865.4649359764553</v>
          </cell>
          <cell r="Y27">
            <v>7645.7780044305082</v>
          </cell>
          <cell r="Z27">
            <v>6330.2512819958429</v>
          </cell>
          <cell r="AA27">
            <v>5797.6240887478762</v>
          </cell>
          <cell r="AB27">
            <v>5824.8485585320968</v>
          </cell>
          <cell r="AC27">
            <v>6318.7483030192216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1" sqref="L81"/>
    </sheetView>
  </sheetViews>
  <sheetFormatPr defaultColWidth="9.140625" defaultRowHeight="14.25" x14ac:dyDescent="0.2"/>
  <cols>
    <col min="1" max="1" width="17.5703125" style="13" customWidth="1"/>
    <col min="2" max="2" width="17.28515625" style="13" customWidth="1"/>
    <col min="3" max="3" width="15.28515625" style="13" customWidth="1"/>
    <col min="4" max="4" width="17" style="13" customWidth="1"/>
    <col min="5" max="5" width="15.7109375" style="13" bestFit="1" customWidth="1"/>
    <col min="6" max="6" width="17" style="13" bestFit="1" customWidth="1"/>
    <col min="7" max="7" width="19.140625" style="13" bestFit="1" customWidth="1"/>
    <col min="8" max="8" width="9.28515625" style="13" customWidth="1"/>
    <col min="9" max="9" width="1.42578125" style="13" customWidth="1"/>
    <col min="10" max="10" width="16.42578125" style="13" hidden="1" customWidth="1"/>
    <col min="11" max="11" width="2.7109375" style="13" hidden="1" customWidth="1"/>
    <col min="12" max="16384" width="9.140625" style="13"/>
  </cols>
  <sheetData>
    <row r="1" spans="1:134" s="6" customFormat="1" ht="16.149999999999999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5"/>
      <c r="J1" s="5"/>
    </row>
    <row r="2" spans="1:134" s="6" customFormat="1" ht="16.149999999999999" customHeight="1" x14ac:dyDescent="0.2">
      <c r="A2" s="1" t="s">
        <v>37</v>
      </c>
      <c r="B2" s="2"/>
      <c r="C2" s="2"/>
      <c r="D2" s="3"/>
      <c r="E2" s="2"/>
      <c r="F2" s="2"/>
      <c r="G2" s="2"/>
      <c r="H2" s="4"/>
      <c r="I2" s="5"/>
      <c r="J2" s="5"/>
    </row>
    <row r="3" spans="1:134" x14ac:dyDescent="0.2">
      <c r="A3" s="7"/>
      <c r="B3" s="8"/>
      <c r="C3" s="8"/>
      <c r="D3" s="8"/>
      <c r="E3" s="9"/>
      <c r="F3" s="10" t="s">
        <v>0</v>
      </c>
      <c r="G3" s="10"/>
      <c r="H3" s="11"/>
      <c r="I3" s="12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</row>
    <row r="4" spans="1:134" s="6" customFormat="1" ht="51" customHeight="1" x14ac:dyDescent="0.35">
      <c r="A4" s="14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17"/>
      <c r="J4" s="16" t="s">
        <v>8</v>
      </c>
    </row>
    <row r="5" spans="1:134" x14ac:dyDescent="0.2">
      <c r="A5" s="18"/>
      <c r="B5" s="19"/>
      <c r="C5" s="19"/>
      <c r="D5" s="19"/>
      <c r="E5" s="19"/>
      <c r="F5" s="19"/>
      <c r="G5" s="19"/>
      <c r="H5" s="20"/>
      <c r="I5" s="12"/>
      <c r="J5" s="19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21"/>
      <c r="EA5" s="21"/>
      <c r="EB5" s="21"/>
      <c r="EC5" s="12"/>
      <c r="ED5" s="12"/>
    </row>
    <row r="6" spans="1:134" hidden="1" x14ac:dyDescent="0.2">
      <c r="A6" s="22" t="s">
        <v>9</v>
      </c>
      <c r="B6" s="23">
        <v>7319715.7999999998</v>
      </c>
      <c r="C6" s="23">
        <v>3865060.19</v>
      </c>
      <c r="D6" s="23">
        <v>-4520686.72</v>
      </c>
      <c r="E6" s="23">
        <v>-61578</v>
      </c>
      <c r="F6" s="23">
        <v>-8770676.345999999</v>
      </c>
      <c r="G6" s="23">
        <v>-4905616.1559999995</v>
      </c>
      <c r="H6" s="24">
        <v>7.3099999999999998E-2</v>
      </c>
      <c r="I6" s="12"/>
      <c r="J6" s="23" t="e">
        <f>+#REF!+E6</f>
        <v>#REF!</v>
      </c>
    </row>
    <row r="7" spans="1:134" hidden="1" x14ac:dyDescent="0.2">
      <c r="A7" s="25" t="s">
        <v>10</v>
      </c>
      <c r="B7" s="26">
        <v>43638929.749999993</v>
      </c>
      <c r="C7" s="26">
        <v>3865060.19</v>
      </c>
      <c r="D7" s="26">
        <v>-54147493.57</v>
      </c>
      <c r="E7" s="26">
        <v>-428385</v>
      </c>
      <c r="F7" s="27"/>
      <c r="G7" s="27"/>
      <c r="H7" s="28"/>
      <c r="I7" s="12"/>
      <c r="J7" s="23"/>
    </row>
    <row r="8" spans="1:134" hidden="1" x14ac:dyDescent="0.2">
      <c r="A8" s="25"/>
      <c r="B8" s="27"/>
      <c r="C8" s="27"/>
      <c r="D8" s="27"/>
      <c r="E8" s="27"/>
      <c r="F8" s="27"/>
      <c r="G8" s="27"/>
      <c r="H8" s="28"/>
      <c r="I8" s="12"/>
      <c r="J8" s="23"/>
    </row>
    <row r="9" spans="1:134" hidden="1" x14ac:dyDescent="0.2">
      <c r="A9" s="22" t="s">
        <v>11</v>
      </c>
      <c r="B9" s="23">
        <v>2035552.58</v>
      </c>
      <c r="C9" s="23">
        <v>743676.71000000043</v>
      </c>
      <c r="D9" s="23">
        <v>-4535374.0599999996</v>
      </c>
      <c r="E9" s="23">
        <f>ROUND((((B9+D9)/2)+F6)*(7.65%/12),0)</f>
        <v>-63881</v>
      </c>
      <c r="F9" s="23">
        <f>+F6+B9+D9+E9</f>
        <v>-11334378.825999998</v>
      </c>
      <c r="G9" s="23">
        <f>SUM(C9)+C7+F9</f>
        <v>-6725641.9259999972</v>
      </c>
      <c r="H9" s="24">
        <v>7.8299999999999995E-2</v>
      </c>
      <c r="I9" s="12"/>
      <c r="J9" s="23" t="e">
        <f>+J6+E9</f>
        <v>#REF!</v>
      </c>
    </row>
    <row r="10" spans="1:134" hidden="1" x14ac:dyDescent="0.2">
      <c r="A10" s="22" t="s">
        <v>12</v>
      </c>
      <c r="B10" s="23">
        <v>3193737.73</v>
      </c>
      <c r="C10" s="23">
        <v>-860971.41000000015</v>
      </c>
      <c r="D10" s="23">
        <v>-3862872.07</v>
      </c>
      <c r="E10" s="23">
        <f t="shared" ref="E10:E18" si="0">ROUND((((B10+D10)/2)+F9)*(7.65%/12),0)</f>
        <v>-74390</v>
      </c>
      <c r="F10" s="23">
        <f t="shared" ref="F10:F20" si="1">+F9+B10+D10+E10</f>
        <v>-12077903.165999997</v>
      </c>
      <c r="G10" s="23">
        <f>SUM(C9:C10)+$C$7+F10</f>
        <v>-8330137.6759999972</v>
      </c>
      <c r="H10" s="24">
        <v>7.8299999999999995E-2</v>
      </c>
      <c r="I10" s="12"/>
      <c r="J10" s="23" t="e">
        <f t="shared" ref="J10:J15" si="2">+J9+E10</f>
        <v>#REF!</v>
      </c>
    </row>
    <row r="11" spans="1:134" hidden="1" x14ac:dyDescent="0.2">
      <c r="A11" s="22" t="s">
        <v>13</v>
      </c>
      <c r="B11" s="23">
        <v>2149971.48</v>
      </c>
      <c r="C11" s="23">
        <v>505170.29</v>
      </c>
      <c r="D11" s="23">
        <v>-3413817.31</v>
      </c>
      <c r="E11" s="23">
        <f t="shared" si="0"/>
        <v>-81025</v>
      </c>
      <c r="F11" s="23">
        <f t="shared" si="1"/>
        <v>-13422773.995999997</v>
      </c>
      <c r="G11" s="23">
        <f>SUM(C9:C11)+$C$7+F11</f>
        <v>-9169838.2159999982</v>
      </c>
      <c r="H11" s="24">
        <v>7.8299999999999995E-2</v>
      </c>
      <c r="I11" s="22"/>
      <c r="J11" s="23" t="e">
        <f t="shared" si="2"/>
        <v>#REF!</v>
      </c>
    </row>
    <row r="12" spans="1:134" hidden="1" x14ac:dyDescent="0.2">
      <c r="A12" s="22" t="s">
        <v>14</v>
      </c>
      <c r="B12" s="23">
        <v>3154287.41</v>
      </c>
      <c r="C12" s="23">
        <v>-48581.33</v>
      </c>
      <c r="D12" s="23">
        <v>-3256842.93</v>
      </c>
      <c r="E12" s="23">
        <f t="shared" si="0"/>
        <v>-85897</v>
      </c>
      <c r="F12" s="23">
        <f t="shared" si="1"/>
        <v>-13611226.515999997</v>
      </c>
      <c r="G12" s="23">
        <f>SUM(C9:C12)+$C$7+F12</f>
        <v>-9406872.0659999959</v>
      </c>
      <c r="H12" s="24">
        <v>7.8299999999999995E-2</v>
      </c>
      <c r="I12" s="12"/>
      <c r="J12" s="23" t="e">
        <f t="shared" si="2"/>
        <v>#REF!</v>
      </c>
    </row>
    <row r="13" spans="1:134" hidden="1" x14ac:dyDescent="0.2">
      <c r="A13" s="22" t="s">
        <v>15</v>
      </c>
      <c r="B13" s="23">
        <v>3051084.96</v>
      </c>
      <c r="C13" s="23">
        <v>-32772.42</v>
      </c>
      <c r="D13" s="23">
        <v>-3579247.55</v>
      </c>
      <c r="E13" s="23">
        <f t="shared" si="0"/>
        <v>-88455</v>
      </c>
      <c r="F13" s="23">
        <f t="shared" si="1"/>
        <v>-14227844.105999999</v>
      </c>
      <c r="G13" s="23">
        <f>SUM(C9:C13)+$C$7+F13</f>
        <v>-10056262.075999998</v>
      </c>
      <c r="H13" s="24">
        <v>7.8299999999999995E-2</v>
      </c>
      <c r="I13" s="12"/>
      <c r="J13" s="23" t="e">
        <f t="shared" si="2"/>
        <v>#REF!</v>
      </c>
    </row>
    <row r="14" spans="1:134" hidden="1" x14ac:dyDescent="0.2">
      <c r="A14" s="22" t="s">
        <v>16</v>
      </c>
      <c r="B14" s="23">
        <v>3856812.28</v>
      </c>
      <c r="C14" s="23">
        <v>91098.19</v>
      </c>
      <c r="D14" s="23">
        <v>-4145533.85</v>
      </c>
      <c r="E14" s="23">
        <f t="shared" si="0"/>
        <v>-91623</v>
      </c>
      <c r="F14" s="23">
        <f t="shared" si="1"/>
        <v>-14608188.675999999</v>
      </c>
      <c r="G14" s="23">
        <f>SUM(C9:C14)+$C$7+F14</f>
        <v>-10345508.455999998</v>
      </c>
      <c r="H14" s="24">
        <v>7.8299999999999995E-2</v>
      </c>
      <c r="I14" s="12"/>
      <c r="J14" s="23" t="e">
        <f t="shared" si="2"/>
        <v>#REF!</v>
      </c>
    </row>
    <row r="15" spans="1:134" hidden="1" x14ac:dyDescent="0.2">
      <c r="A15" s="22" t="s">
        <v>17</v>
      </c>
      <c r="B15" s="23">
        <v>2807664.03</v>
      </c>
      <c r="C15" s="23">
        <v>528549.84</v>
      </c>
      <c r="D15" s="23">
        <v>-4867370.49</v>
      </c>
      <c r="E15" s="23">
        <f t="shared" si="0"/>
        <v>-99693</v>
      </c>
      <c r="F15" s="23">
        <f t="shared" si="1"/>
        <v>-16767588.136</v>
      </c>
      <c r="G15" s="23">
        <f>SUM(C9:C15)+$C$7+F15</f>
        <v>-11976358.075999999</v>
      </c>
      <c r="H15" s="24">
        <v>7.8299999999999995E-2</v>
      </c>
      <c r="I15" s="12"/>
      <c r="J15" s="23" t="e">
        <f t="shared" si="2"/>
        <v>#REF!</v>
      </c>
    </row>
    <row r="16" spans="1:134" hidden="1" x14ac:dyDescent="0.2">
      <c r="A16" s="22" t="s">
        <v>18</v>
      </c>
      <c r="B16" s="23">
        <v>3068278.63</v>
      </c>
      <c r="C16" s="23">
        <v>3016070.23</v>
      </c>
      <c r="D16" s="23">
        <v>-5186367.51</v>
      </c>
      <c r="E16" s="23">
        <f t="shared" si="0"/>
        <v>-113645</v>
      </c>
      <c r="F16" s="23">
        <f t="shared" si="1"/>
        <v>-18999322.016000003</v>
      </c>
      <c r="G16" s="23">
        <f>SUM(C9:C16)+$C$7+F16</f>
        <v>-11192021.726000004</v>
      </c>
      <c r="H16" s="24">
        <v>7.8299999999999995E-2</v>
      </c>
      <c r="I16" s="12"/>
      <c r="J16" s="23" t="e">
        <f>+J15+E16</f>
        <v>#REF!</v>
      </c>
    </row>
    <row r="17" spans="1:10" hidden="1" x14ac:dyDescent="0.2">
      <c r="A17" s="22" t="s">
        <v>19</v>
      </c>
      <c r="B17" s="23">
        <v>4293491.51</v>
      </c>
      <c r="C17" s="23">
        <v>182812.08</v>
      </c>
      <c r="D17" s="23">
        <v>-4702265.68</v>
      </c>
      <c r="E17" s="23">
        <f t="shared" si="0"/>
        <v>-122424</v>
      </c>
      <c r="F17" s="23">
        <f t="shared" si="1"/>
        <v>-19530520.186000004</v>
      </c>
      <c r="G17" s="23">
        <f>SUM(C9:C17)+$C$7+F17</f>
        <v>-11540407.816000003</v>
      </c>
      <c r="H17" s="24">
        <v>7.8299999999999995E-2</v>
      </c>
      <c r="I17" s="12"/>
      <c r="J17" s="23" t="e">
        <f>+J16+E17</f>
        <v>#REF!</v>
      </c>
    </row>
    <row r="18" spans="1:10" hidden="1" x14ac:dyDescent="0.2">
      <c r="A18" s="22" t="s">
        <v>20</v>
      </c>
      <c r="B18" s="23">
        <v>4884267.2699999996</v>
      </c>
      <c r="C18" s="23">
        <v>642118.97</v>
      </c>
      <c r="D18" s="23">
        <v>-3545468.62</v>
      </c>
      <c r="E18" s="23">
        <f t="shared" si="0"/>
        <v>-120240</v>
      </c>
      <c r="F18" s="23">
        <f t="shared" si="1"/>
        <v>-18311961.536000006</v>
      </c>
      <c r="G18" s="23">
        <f>SUM(C9:C18)+$C$7+F18</f>
        <v>-9679730.196000006</v>
      </c>
      <c r="H18" s="24">
        <v>7.8299999999999995E-2</v>
      </c>
      <c r="I18" s="12"/>
      <c r="J18" s="23" t="e">
        <f>+J17+E18</f>
        <v>#REF!</v>
      </c>
    </row>
    <row r="19" spans="1:10" hidden="1" x14ac:dyDescent="0.2">
      <c r="A19" s="22" t="s">
        <v>21</v>
      </c>
      <c r="B19" s="23">
        <v>8022526.7000000002</v>
      </c>
      <c r="C19" s="23">
        <v>-3250194.49</v>
      </c>
      <c r="D19" s="23">
        <v>-3292615.61</v>
      </c>
      <c r="E19" s="23">
        <v>-126929</v>
      </c>
      <c r="F19" s="23">
        <f t="shared" si="1"/>
        <v>-13708979.446000006</v>
      </c>
      <c r="G19" s="23">
        <f>SUM(C9:C19)+$C$7+F19</f>
        <v>-8326942.5960000064</v>
      </c>
      <c r="H19" s="24">
        <v>7.8299999999999995E-2</v>
      </c>
      <c r="I19" s="12"/>
      <c r="J19" s="23" t="e">
        <f>+J18+E19</f>
        <v>#REF!</v>
      </c>
    </row>
    <row r="20" spans="1:10" x14ac:dyDescent="0.2">
      <c r="A20" s="22" t="s">
        <v>9</v>
      </c>
      <c r="B20" s="23">
        <v>4369420.42</v>
      </c>
      <c r="C20" s="23">
        <v>-735403.22</v>
      </c>
      <c r="D20" s="23">
        <v>-3513303.55</v>
      </c>
      <c r="E20" s="23">
        <f>ROUND((((B20+D20)/2)+F19)*(H20/12),0)</f>
        <v>-86658</v>
      </c>
      <c r="F20" s="23">
        <f t="shared" si="1"/>
        <v>-12939520.576000005</v>
      </c>
      <c r="G20" s="23">
        <f>SUM(C9:C20)+$C$7+F20</f>
        <v>-8292886.9460000051</v>
      </c>
      <c r="H20" s="24">
        <v>7.8299999999999995E-2</v>
      </c>
      <c r="I20" s="12"/>
      <c r="J20" s="23" t="e">
        <f>+J19+E20</f>
        <v>#REF!</v>
      </c>
    </row>
    <row r="21" spans="1:10" x14ac:dyDescent="0.2">
      <c r="A21" s="25" t="s">
        <v>22</v>
      </c>
      <c r="B21" s="26">
        <f>SUM(B9:B20)</f>
        <v>44887095</v>
      </c>
      <c r="C21" s="26">
        <f>SUM(C9:C20)</f>
        <v>781573.44000000018</v>
      </c>
      <c r="D21" s="26">
        <f>SUM(D9:D20)</f>
        <v>-47901079.229999989</v>
      </c>
      <c r="E21" s="26">
        <f>SUM(E9:E20)</f>
        <v>-1154860</v>
      </c>
      <c r="F21" s="27"/>
      <c r="G21" s="27"/>
      <c r="H21" s="28"/>
      <c r="I21" s="12"/>
      <c r="J21" s="23"/>
    </row>
    <row r="22" spans="1:10" x14ac:dyDescent="0.2">
      <c r="A22" s="25"/>
      <c r="B22" s="27"/>
      <c r="C22" s="27"/>
      <c r="D22" s="27"/>
      <c r="E22" s="27"/>
      <c r="F22" s="27"/>
      <c r="G22" s="27"/>
      <c r="H22" s="28"/>
      <c r="I22" s="12"/>
      <c r="J22" s="23"/>
    </row>
    <row r="23" spans="1:10" x14ac:dyDescent="0.2">
      <c r="A23" s="22" t="s">
        <v>11</v>
      </c>
      <c r="B23" s="23">
        <v>2239835.92</v>
      </c>
      <c r="C23" s="23">
        <v>468371.4</v>
      </c>
      <c r="D23" s="23">
        <v>-3769989.72</v>
      </c>
      <c r="E23" s="23">
        <f>ROUND((((B23+D23)/2)+F20)*(7.83%/12),0)</f>
        <v>-89422</v>
      </c>
      <c r="F23" s="23">
        <f>+F20+B23+D23+E23</f>
        <v>-14559096.376000006</v>
      </c>
      <c r="G23" s="23">
        <f>SUM(C23)+$C$7+$C$21+F23</f>
        <v>-9444091.3460000046</v>
      </c>
      <c r="H23" s="24">
        <v>7.7700000000000005E-2</v>
      </c>
      <c r="I23" s="12"/>
      <c r="J23" s="23" t="e">
        <f>+J20+E23</f>
        <v>#REF!</v>
      </c>
    </row>
    <row r="24" spans="1:10" x14ac:dyDescent="0.2">
      <c r="A24" s="22" t="s">
        <v>12</v>
      </c>
      <c r="B24" s="23">
        <v>1840981.91</v>
      </c>
      <c r="C24" s="23">
        <v>556090.38</v>
      </c>
      <c r="D24" s="23">
        <v>-3595521.42</v>
      </c>
      <c r="E24" s="23">
        <f t="shared" ref="E24:E30" si="3">ROUND((((B24+D24)/2)+F23)*(7.83%/12),0)</f>
        <v>-100722</v>
      </c>
      <c r="F24" s="23">
        <f t="shared" ref="F24:F34" si="4">+F23+B24+D24+E24</f>
        <v>-16414357.886000006</v>
      </c>
      <c r="G24" s="23">
        <f>SUM(C23:C24)+$C$7+$C$21+F24</f>
        <v>-10743262.476000005</v>
      </c>
      <c r="H24" s="24">
        <v>7.7700000000000005E-2</v>
      </c>
      <c r="I24" s="12"/>
      <c r="J24" s="23" t="e">
        <f t="shared" ref="J24:J29" si="5">+J23+E24</f>
        <v>#REF!</v>
      </c>
    </row>
    <row r="25" spans="1:10" x14ac:dyDescent="0.2">
      <c r="A25" s="22" t="s">
        <v>13</v>
      </c>
      <c r="B25" s="23">
        <v>4105879.7</v>
      </c>
      <c r="C25" s="23">
        <v>-378161.72</v>
      </c>
      <c r="D25" s="23">
        <v>-3171663.13</v>
      </c>
      <c r="E25" s="23">
        <f t="shared" si="3"/>
        <v>-104056</v>
      </c>
      <c r="F25" s="23">
        <f t="shared" si="4"/>
        <v>-15584197.316000003</v>
      </c>
      <c r="G25" s="23">
        <f>SUM(C23:C25)+$C$7+$C$21+F25</f>
        <v>-10291263.626000002</v>
      </c>
      <c r="H25" s="24">
        <v>7.7700000000000005E-2</v>
      </c>
      <c r="I25" s="22"/>
      <c r="J25" s="23" t="e">
        <f t="shared" si="5"/>
        <v>#REF!</v>
      </c>
    </row>
    <row r="26" spans="1:10" x14ac:dyDescent="0.2">
      <c r="A26" s="22" t="s">
        <v>14</v>
      </c>
      <c r="B26" s="23">
        <v>3968473.7</v>
      </c>
      <c r="C26" s="23">
        <v>55405.23</v>
      </c>
      <c r="D26" s="23">
        <v>-2745404.79</v>
      </c>
      <c r="E26" s="23">
        <f t="shared" si="3"/>
        <v>-97697</v>
      </c>
      <c r="F26" s="23">
        <f t="shared" si="4"/>
        <v>-14458825.406000003</v>
      </c>
      <c r="G26" s="23">
        <f>SUM(C23:C26)+$C$7+$C$21+F26</f>
        <v>-9110486.4860000014</v>
      </c>
      <c r="H26" s="24">
        <v>7.7700000000000005E-2</v>
      </c>
      <c r="I26" s="12"/>
      <c r="J26" s="23" t="e">
        <f t="shared" si="5"/>
        <v>#REF!</v>
      </c>
    </row>
    <row r="27" spans="1:10" x14ac:dyDescent="0.2">
      <c r="A27" s="22" t="s">
        <v>15</v>
      </c>
      <c r="B27" s="23">
        <v>4432566.2699999996</v>
      </c>
      <c r="C27" s="23">
        <v>-1259705.19</v>
      </c>
      <c r="D27" s="23">
        <v>-2876432.82</v>
      </c>
      <c r="E27" s="23">
        <f t="shared" si="3"/>
        <v>-89267</v>
      </c>
      <c r="F27" s="23">
        <f t="shared" si="4"/>
        <v>-12991958.956000004</v>
      </c>
      <c r="G27" s="23">
        <f>SUM(C23:C27)+$C$7+$C$21+F27</f>
        <v>-8903325.2260000035</v>
      </c>
      <c r="H27" s="24">
        <v>7.7700000000000005E-2</v>
      </c>
      <c r="I27" s="12"/>
      <c r="J27" s="23" t="e">
        <f t="shared" si="5"/>
        <v>#REF!</v>
      </c>
    </row>
    <row r="28" spans="1:10" x14ac:dyDescent="0.2">
      <c r="A28" s="22" t="s">
        <v>16</v>
      </c>
      <c r="B28" s="23">
        <v>3151913.14</v>
      </c>
      <c r="C28" s="23">
        <v>209875.65</v>
      </c>
      <c r="D28" s="23">
        <v>-3561547.17</v>
      </c>
      <c r="E28" s="23">
        <f t="shared" si="3"/>
        <v>-86109</v>
      </c>
      <c r="F28" s="23">
        <f t="shared" si="4"/>
        <v>-13487701.986000003</v>
      </c>
      <c r="G28" s="23">
        <f>SUM(C23:C28)+$C$7+$C$21+F28</f>
        <v>-9189192.6060000025</v>
      </c>
      <c r="H28" s="24">
        <v>7.7700000000000005E-2</v>
      </c>
      <c r="I28" s="12"/>
      <c r="J28" s="23" t="e">
        <f t="shared" si="5"/>
        <v>#REF!</v>
      </c>
    </row>
    <row r="29" spans="1:10" x14ac:dyDescent="0.2">
      <c r="A29" s="22" t="s">
        <v>17</v>
      </c>
      <c r="B29" s="23">
        <v>4851756.74</v>
      </c>
      <c r="C29" s="23">
        <v>-244503.08</v>
      </c>
      <c r="D29" s="23">
        <v>-4488209.18</v>
      </c>
      <c r="E29" s="23">
        <f t="shared" si="3"/>
        <v>-86821</v>
      </c>
      <c r="F29" s="23">
        <f t="shared" si="4"/>
        <v>-13210975.426000003</v>
      </c>
      <c r="G29" s="23">
        <f>SUM(C23:C29)+$C$7+$C$21+F29</f>
        <v>-9156969.126000002</v>
      </c>
      <c r="H29" s="24">
        <v>7.7700000000000005E-2</v>
      </c>
      <c r="I29" s="12"/>
      <c r="J29" s="23" t="e">
        <f t="shared" si="5"/>
        <v>#REF!</v>
      </c>
    </row>
    <row r="30" spans="1:10" x14ac:dyDescent="0.2">
      <c r="A30" s="22" t="s">
        <v>18</v>
      </c>
      <c r="B30" s="23">
        <v>3159027.16</v>
      </c>
      <c r="C30" s="23">
        <v>3252542.93</v>
      </c>
      <c r="D30" s="23">
        <v>-4740990.0199999996</v>
      </c>
      <c r="E30" s="23">
        <f t="shared" si="3"/>
        <v>-91363</v>
      </c>
      <c r="F30" s="23">
        <f t="shared" si="4"/>
        <v>-14884301.286000002</v>
      </c>
      <c r="G30" s="23">
        <f>SUM(C23:C30)+$C$7+$C$21+F30</f>
        <v>-7577752.0560000008</v>
      </c>
      <c r="H30" s="24">
        <v>7.7700000000000005E-2</v>
      </c>
      <c r="I30" s="12"/>
      <c r="J30" s="23" t="e">
        <f>+J29+E30</f>
        <v>#REF!</v>
      </c>
    </row>
    <row r="31" spans="1:10" x14ac:dyDescent="0.2">
      <c r="A31" s="22" t="s">
        <v>19</v>
      </c>
      <c r="B31" s="23">
        <v>2652617.64</v>
      </c>
      <c r="C31" s="23">
        <v>64462.400000000001</v>
      </c>
      <c r="D31" s="23">
        <v>-4427712.4000000004</v>
      </c>
      <c r="E31" s="23">
        <f>ROUND((((B31+D31)/2)+F30)*(7.83%/12),0)</f>
        <v>-102911</v>
      </c>
      <c r="F31" s="23">
        <f t="shared" si="4"/>
        <v>-16762307.046000002</v>
      </c>
      <c r="G31" s="23">
        <f>SUM(C23:C31)+$C$7+$C$21+F31</f>
        <v>-9391295.4160000011</v>
      </c>
      <c r="H31" s="24">
        <v>7.7700000000000005E-2</v>
      </c>
      <c r="I31" s="12"/>
      <c r="J31" s="23" t="e">
        <f>+J30+E31</f>
        <v>#REF!</v>
      </c>
    </row>
    <row r="32" spans="1:10" x14ac:dyDescent="0.2">
      <c r="A32" s="22" t="s">
        <v>20</v>
      </c>
      <c r="B32" s="23">
        <v>5504239.0499999998</v>
      </c>
      <c r="C32" s="13">
        <v>-904372.67</v>
      </c>
      <c r="D32" s="23">
        <v>-4114849.64</v>
      </c>
      <c r="E32" s="23">
        <f>ROUND((((B32+D32)/2)+F31)*(7.83%/12),0)</f>
        <v>-104841</v>
      </c>
      <c r="F32" s="23">
        <f t="shared" si="4"/>
        <v>-15477758.636000004</v>
      </c>
      <c r="G32" s="23">
        <f>SUM(C23:C33)+$C$7+$C$21+F32</f>
        <v>-7871782.8560000034</v>
      </c>
      <c r="H32" s="24">
        <v>7.7700000000000005E-2</v>
      </c>
      <c r="I32" s="12"/>
      <c r="J32" s="23" t="e">
        <f>+J31+E32</f>
        <v>#REF!</v>
      </c>
    </row>
    <row r="33" spans="1:10" x14ac:dyDescent="0.2">
      <c r="A33" s="22" t="s">
        <v>21</v>
      </c>
      <c r="B33" s="23">
        <v>3263631.97</v>
      </c>
      <c r="C33" s="23">
        <v>1139336.82</v>
      </c>
      <c r="D33" s="23">
        <v>-3868999.04</v>
      </c>
      <c r="E33" s="23">
        <v>-94611</v>
      </c>
      <c r="F33" s="23">
        <f t="shared" si="4"/>
        <v>-16177736.706000004</v>
      </c>
      <c r="G33" s="23">
        <f>SUM(C23:C33)+$C$7+$C$21+F33</f>
        <v>-8571760.9260000028</v>
      </c>
      <c r="H33" s="24">
        <v>7.7700000000000005E-2</v>
      </c>
      <c r="I33" s="12"/>
      <c r="J33" s="23" t="e">
        <f>+J32+E33</f>
        <v>#REF!</v>
      </c>
    </row>
    <row r="34" spans="1:10" x14ac:dyDescent="0.2">
      <c r="A34" s="22" t="s">
        <v>9</v>
      </c>
      <c r="B34" s="23">
        <v>11905939.859999999</v>
      </c>
      <c r="C34" s="23">
        <v>-4945115.43</v>
      </c>
      <c r="D34" s="23">
        <v>-4580101.47</v>
      </c>
      <c r="E34" s="23">
        <f>ROUND((((B34+D34)/2)+F33)*(7.77%/12),0)</f>
        <v>-81033</v>
      </c>
      <c r="F34" s="23">
        <f t="shared" si="4"/>
        <v>-8932931.3160000034</v>
      </c>
      <c r="G34" s="23">
        <f>SUM(C23:C34)+$C$7+$C$21+F34</f>
        <v>-6272070.9660000028</v>
      </c>
      <c r="H34" s="24">
        <v>7.7700000000000005E-2</v>
      </c>
      <c r="I34" s="12"/>
      <c r="J34" s="23" t="e">
        <f>+J33+E34</f>
        <v>#REF!</v>
      </c>
    </row>
    <row r="35" spans="1:10" x14ac:dyDescent="0.2">
      <c r="A35" s="25" t="s">
        <v>23</v>
      </c>
      <c r="B35" s="26">
        <f>SUM(B23:B34)</f>
        <v>51076863.060000002</v>
      </c>
      <c r="C35" s="26">
        <f>SUM(C23:C34)</f>
        <v>-1985773.2799999993</v>
      </c>
      <c r="D35" s="26">
        <f>SUM(D23:D34)</f>
        <v>-45941420.799999997</v>
      </c>
      <c r="E35" s="26">
        <f>SUM(E23:E34)</f>
        <v>-1128853</v>
      </c>
      <c r="F35" s="27"/>
      <c r="G35" s="27"/>
      <c r="H35" s="28"/>
      <c r="I35" s="12"/>
      <c r="J35" s="23"/>
    </row>
    <row r="36" spans="1:10" x14ac:dyDescent="0.2">
      <c r="A36" s="25"/>
      <c r="B36" s="27"/>
      <c r="C36" s="27"/>
      <c r="D36" s="27"/>
      <c r="E36" s="27"/>
      <c r="F36" s="27"/>
      <c r="G36" s="27"/>
      <c r="H36" s="28"/>
      <c r="I36" s="12"/>
      <c r="J36" s="23"/>
    </row>
    <row r="37" spans="1:10" x14ac:dyDescent="0.2">
      <c r="A37" s="22" t="s">
        <v>11</v>
      </c>
      <c r="B37" s="23">
        <v>4196557.4000000004</v>
      </c>
      <c r="C37" s="23">
        <v>1838939.81</v>
      </c>
      <c r="D37" s="23">
        <v>-4530672.1500000004</v>
      </c>
      <c r="E37" s="23">
        <f>ROUND((((B37+D37)/2)+F34)*(7.77%/12),0)</f>
        <v>-58922</v>
      </c>
      <c r="F37" s="23">
        <f>+F34+B37+D37+E37</f>
        <v>-9325968.0660000034</v>
      </c>
      <c r="G37" s="23">
        <f>SUM(C37)+$C$7+$C$21+$C$35+F37</f>
        <v>-4826167.9060000023</v>
      </c>
      <c r="H37" s="24">
        <v>7.7600000000000002E-2</v>
      </c>
      <c r="I37" s="12"/>
      <c r="J37" s="23" t="e">
        <f>+J34+E37</f>
        <v>#REF!</v>
      </c>
    </row>
    <row r="38" spans="1:10" x14ac:dyDescent="0.2">
      <c r="A38" s="22" t="s">
        <v>12</v>
      </c>
      <c r="B38" s="23">
        <v>7301899.2400000002</v>
      </c>
      <c r="C38" s="23">
        <v>-719294.72</v>
      </c>
      <c r="D38" s="23">
        <v>-3936377.67</v>
      </c>
      <c r="E38" s="23">
        <f t="shared" ref="E38:E46" si="6">ROUND((((B38+D38)/2)+F37)*(7.77%/12),0)</f>
        <v>-49490</v>
      </c>
      <c r="F38" s="23">
        <f t="shared" ref="F38:F48" si="7">+F37+B38+D38+E38</f>
        <v>-6009936.4960000031</v>
      </c>
      <c r="G38" s="23">
        <f>SUM(C37:C38)+$C$7+$C$21+$C$35+F38</f>
        <v>-2229431.0560000017</v>
      </c>
      <c r="H38" s="24">
        <v>7.7600000000000002E-2</v>
      </c>
      <c r="I38" s="12"/>
      <c r="J38" s="23" t="e">
        <f t="shared" ref="J38:J43" si="8">+J37+E38</f>
        <v>#REF!</v>
      </c>
    </row>
    <row r="39" spans="1:10" x14ac:dyDescent="0.2">
      <c r="A39" s="22" t="s">
        <v>13</v>
      </c>
      <c r="B39" s="23">
        <v>9513000.9499999993</v>
      </c>
      <c r="C39" s="23">
        <v>107508.32</v>
      </c>
      <c r="D39" s="23">
        <v>-4826683.72</v>
      </c>
      <c r="E39" s="23">
        <f t="shared" si="6"/>
        <v>-23742</v>
      </c>
      <c r="F39" s="23">
        <f t="shared" si="7"/>
        <v>-1347361.2660000036</v>
      </c>
      <c r="G39" s="23">
        <f>SUM(C37:C39)+$C$7+$C$21+$C$35+F39</f>
        <v>2540652.4939999972</v>
      </c>
      <c r="H39" s="24">
        <v>7.7600000000000002E-2</v>
      </c>
      <c r="I39" s="22"/>
      <c r="J39" s="23" t="e">
        <f t="shared" si="8"/>
        <v>#REF!</v>
      </c>
    </row>
    <row r="40" spans="1:10" x14ac:dyDescent="0.2">
      <c r="A40" s="22" t="s">
        <v>14</v>
      </c>
      <c r="B40" s="23">
        <v>8332524.4299999997</v>
      </c>
      <c r="C40" s="23">
        <v>-364021.59</v>
      </c>
      <c r="D40" s="23">
        <v>-4024107.75</v>
      </c>
      <c r="E40" s="23">
        <f t="shared" si="6"/>
        <v>5224</v>
      </c>
      <c r="F40" s="23">
        <f t="shared" si="7"/>
        <v>2966279.4139999961</v>
      </c>
      <c r="G40" s="23">
        <f>SUM(C37:C40)+$C$7+$C$21+$C$35+F40</f>
        <v>6490271.583999997</v>
      </c>
      <c r="H40" s="24">
        <v>7.7600000000000002E-2</v>
      </c>
      <c r="I40" s="12"/>
      <c r="J40" s="23" t="e">
        <f t="shared" si="8"/>
        <v>#REF!</v>
      </c>
    </row>
    <row r="41" spans="1:10" x14ac:dyDescent="0.2">
      <c r="A41" s="22" t="s">
        <v>15</v>
      </c>
      <c r="B41" s="23">
        <v>5867664.04</v>
      </c>
      <c r="C41" s="23">
        <v>86444.05</v>
      </c>
      <c r="D41" s="23">
        <v>-4206797.6900000004</v>
      </c>
      <c r="E41" s="23">
        <f t="shared" si="6"/>
        <v>24584</v>
      </c>
      <c r="F41" s="23">
        <f t="shared" si="7"/>
        <v>4651729.7639999958</v>
      </c>
      <c r="G41" s="23">
        <f>SUM(C37:C41)+$C$7+$C$21+$C$35+F41</f>
        <v>8262165.9839999974</v>
      </c>
      <c r="H41" s="24">
        <v>7.7600000000000002E-2</v>
      </c>
      <c r="I41" s="12"/>
      <c r="J41" s="23" t="e">
        <f t="shared" si="8"/>
        <v>#REF!</v>
      </c>
    </row>
    <row r="42" spans="1:10" x14ac:dyDescent="0.2">
      <c r="A42" s="22" t="s">
        <v>16</v>
      </c>
      <c r="B42" s="23">
        <v>9395350.6799999997</v>
      </c>
      <c r="C42" s="23">
        <v>-224949.94</v>
      </c>
      <c r="D42" s="23">
        <v>-5230146.9000000004</v>
      </c>
      <c r="E42" s="23">
        <f t="shared" si="6"/>
        <v>43605</v>
      </c>
      <c r="F42" s="23">
        <f t="shared" si="7"/>
        <v>8860538.5439999942</v>
      </c>
      <c r="G42" s="23">
        <f>SUM(C37:C42)+$C$7+$C$21+$C$35+F42</f>
        <v>12246024.823999995</v>
      </c>
      <c r="H42" s="24">
        <v>7.7600000000000002E-2</v>
      </c>
      <c r="I42" s="12"/>
      <c r="J42" s="23" t="e">
        <f t="shared" si="8"/>
        <v>#REF!</v>
      </c>
    </row>
    <row r="43" spans="1:10" x14ac:dyDescent="0.2">
      <c r="A43" s="22" t="s">
        <v>17</v>
      </c>
      <c r="B43" s="23">
        <v>6005272.6799999997</v>
      </c>
      <c r="C43" s="23">
        <v>707312.72</v>
      </c>
      <c r="D43" s="23">
        <v>-6293445.3200000003</v>
      </c>
      <c r="E43" s="23">
        <f t="shared" si="6"/>
        <v>56439</v>
      </c>
      <c r="F43" s="23">
        <f t="shared" si="7"/>
        <v>8628804.9039999936</v>
      </c>
      <c r="G43" s="23">
        <f>SUM(C37:C43)+$C$7+$C$21+$C$35+F43</f>
        <v>12721603.903999995</v>
      </c>
      <c r="H43" s="24">
        <v>7.7600000000000002E-2</v>
      </c>
      <c r="I43" s="12"/>
      <c r="J43" s="23" t="e">
        <f t="shared" si="8"/>
        <v>#REF!</v>
      </c>
    </row>
    <row r="44" spans="1:10" x14ac:dyDescent="0.2">
      <c r="A44" s="22" t="s">
        <v>18</v>
      </c>
      <c r="B44" s="23">
        <v>5839647.3200000003</v>
      </c>
      <c r="C44" s="23">
        <v>1966034.46</v>
      </c>
      <c r="D44" s="23">
        <v>-6733047.1699999999</v>
      </c>
      <c r="E44" s="23">
        <f t="shared" si="6"/>
        <v>52979</v>
      </c>
      <c r="F44" s="23">
        <f t="shared" si="7"/>
        <v>7788384.053999994</v>
      </c>
      <c r="G44" s="23">
        <f>SUM(C37:C44)+$C$7+$C$21+$C$35+F44</f>
        <v>13847217.513999995</v>
      </c>
      <c r="H44" s="24">
        <v>7.7600000000000002E-2</v>
      </c>
      <c r="I44" s="12"/>
      <c r="J44" s="23" t="e">
        <f>+J43+E44</f>
        <v>#REF!</v>
      </c>
    </row>
    <row r="45" spans="1:10" x14ac:dyDescent="0.2">
      <c r="A45" s="22" t="s">
        <v>19</v>
      </c>
      <c r="B45" s="23">
        <v>4767034.04</v>
      </c>
      <c r="C45" s="23">
        <v>334494.95</v>
      </c>
      <c r="D45" s="23">
        <v>-5742216.3899999997</v>
      </c>
      <c r="E45" s="23">
        <f t="shared" si="6"/>
        <v>47273</v>
      </c>
      <c r="F45" s="23">
        <f t="shared" si="7"/>
        <v>6860474.7039999934</v>
      </c>
      <c r="G45" s="23">
        <f>SUM(C37:C45)+$C$7+$C$21+$C$35+F45</f>
        <v>13253803.113999994</v>
      </c>
      <c r="H45" s="24">
        <v>7.7600000000000002E-2</v>
      </c>
      <c r="I45" s="12"/>
      <c r="J45" s="23" t="e">
        <f>+J44+E45</f>
        <v>#REF!</v>
      </c>
    </row>
    <row r="46" spans="1:10" x14ac:dyDescent="0.2">
      <c r="A46" s="22" t="s">
        <v>20</v>
      </c>
      <c r="B46" s="23">
        <v>5954205.6799999997</v>
      </c>
      <c r="C46" s="23">
        <v>-1449084.99</v>
      </c>
      <c r="D46" s="23">
        <v>-4844019.55</v>
      </c>
      <c r="E46" s="23">
        <f t="shared" si="6"/>
        <v>48016</v>
      </c>
      <c r="F46" s="23">
        <f t="shared" si="7"/>
        <v>8018676.8339999923</v>
      </c>
      <c r="G46" s="23">
        <f>SUM(C37:C46)+$C$7+$C$21+$C$35+F46</f>
        <v>12962920.253999993</v>
      </c>
      <c r="H46" s="24">
        <v>7.7600000000000002E-2</v>
      </c>
      <c r="I46" s="12"/>
      <c r="J46" s="23" t="e">
        <f>+J45+E46</f>
        <v>#REF!</v>
      </c>
    </row>
    <row r="47" spans="1:10" x14ac:dyDescent="0.2">
      <c r="A47" s="22" t="s">
        <v>21</v>
      </c>
      <c r="B47" s="23">
        <v>8026170.0499999998</v>
      </c>
      <c r="C47" s="23">
        <v>-832510.46</v>
      </c>
      <c r="D47" s="23">
        <v>-4253145.43</v>
      </c>
      <c r="E47" s="23">
        <f>ROUND((((B47+D47)/2)+F46)*(7.77%/12),0)</f>
        <v>64136</v>
      </c>
      <c r="F47" s="23">
        <f t="shared" si="7"/>
        <v>11855837.453999992</v>
      </c>
      <c r="G47" s="23">
        <f>SUM(C37:C47)+$C$7+$C$21+$C$35+F47</f>
        <v>15967570.413999993</v>
      </c>
      <c r="H47" s="24">
        <v>7.7600000000000002E-2</v>
      </c>
      <c r="I47" s="12"/>
      <c r="J47" s="23" t="e">
        <f>+J46+E47</f>
        <v>#REF!</v>
      </c>
    </row>
    <row r="48" spans="1:10" x14ac:dyDescent="0.2">
      <c r="A48" s="22" t="s">
        <v>9</v>
      </c>
      <c r="B48" s="23">
        <v>6528307.1600000001</v>
      </c>
      <c r="C48" s="23">
        <v>572303.66</v>
      </c>
      <c r="D48" s="23">
        <v>-4736239.2699999996</v>
      </c>
      <c r="E48" s="23">
        <f>ROUND((((B48+D48)/2)+F47)*(7.76%/12),0)-270</f>
        <v>82192</v>
      </c>
      <c r="F48" s="23">
        <f t="shared" si="7"/>
        <v>13730097.343999993</v>
      </c>
      <c r="G48" s="38">
        <f>SUM(C37:C48)+$C$7+$C$21+$C$35+F48</f>
        <v>18414133.963999994</v>
      </c>
      <c r="H48" s="24">
        <v>7.7600000000000002E-2</v>
      </c>
      <c r="I48" s="12"/>
      <c r="J48" s="23" t="e">
        <f>+J47+E48</f>
        <v>#REF!</v>
      </c>
    </row>
    <row r="49" spans="1:10" x14ac:dyDescent="0.2">
      <c r="A49" s="25" t="s">
        <v>24</v>
      </c>
      <c r="B49" s="26">
        <f>SUM(B37:B48)</f>
        <v>81727633.670000002</v>
      </c>
      <c r="C49" s="26">
        <f>SUM(C37:C48)</f>
        <v>2023176.2700000005</v>
      </c>
      <c r="D49" s="26">
        <f>SUM(D37:D48)</f>
        <v>-59356899.010000005</v>
      </c>
      <c r="E49" s="26">
        <f>SUM(E37:E48)</f>
        <v>292294</v>
      </c>
      <c r="F49" s="27"/>
      <c r="G49" s="27"/>
      <c r="H49" s="28"/>
      <c r="I49" s="12"/>
      <c r="J49" s="23"/>
    </row>
    <row r="50" spans="1:10" x14ac:dyDescent="0.2">
      <c r="A50" s="30"/>
      <c r="B50" s="31"/>
      <c r="C50" s="31"/>
      <c r="D50" s="32"/>
      <c r="E50" s="32"/>
      <c r="F50" s="32"/>
      <c r="G50" s="32"/>
      <c r="J50" s="32"/>
    </row>
    <row r="51" spans="1:10" x14ac:dyDescent="0.2">
      <c r="A51" s="30"/>
      <c r="B51" s="31"/>
      <c r="C51" s="31"/>
      <c r="D51" s="32"/>
      <c r="E51" s="32"/>
      <c r="F51" s="32"/>
      <c r="G51" s="32"/>
      <c r="J51" s="32"/>
    </row>
    <row r="52" spans="1:10" x14ac:dyDescent="0.2">
      <c r="A52" s="22" t="s">
        <v>11</v>
      </c>
      <c r="B52" s="29">
        <f>+'[1]Program Expenses'!U32</f>
        <v>4760450.5</v>
      </c>
      <c r="C52" s="23"/>
      <c r="D52" s="29">
        <f>+[2]Sheet1!$R$23</f>
        <v>-5136296.4918396929</v>
      </c>
      <c r="E52" s="23">
        <f>ROUND((((B52+D52)/2)+F48)*(7.76%/12),0)</f>
        <v>87573</v>
      </c>
      <c r="F52" s="23">
        <f>+F48+B52+D52+E52</f>
        <v>13441824.352160301</v>
      </c>
      <c r="G52" s="23">
        <f>SUM(C52)+$C$7+$C$21+$C$35+$C$49+F52</f>
        <v>18125860.972160302</v>
      </c>
      <c r="H52" s="24">
        <v>7.7600000000000002E-2</v>
      </c>
      <c r="I52" s="12"/>
      <c r="J52" s="23">
        <f>+J49+E52</f>
        <v>87573</v>
      </c>
    </row>
    <row r="53" spans="1:10" x14ac:dyDescent="0.2">
      <c r="A53" s="22" t="s">
        <v>12</v>
      </c>
      <c r="B53" s="29">
        <f>+'[1]Program Expenses'!V32</f>
        <v>4006731.5</v>
      </c>
      <c r="C53" s="23"/>
      <c r="D53" s="29">
        <f>+[2]Sheet1!$S$23</f>
        <v>-4990868.4307010919</v>
      </c>
      <c r="E53" s="23">
        <f t="shared" ref="E53:E63" si="9">ROUND((((B53+D53)/2)+F52)*(7.76%/12),0)</f>
        <v>83742</v>
      </c>
      <c r="F53" s="23">
        <f t="shared" ref="F53:F63" si="10">+F52+B53+D53+E53</f>
        <v>12541429.421459209</v>
      </c>
      <c r="G53" s="23">
        <f>SUM(C52:C53)+$C$7+$C$21+$C$35+$C$49+F53</f>
        <v>17225466.04145921</v>
      </c>
      <c r="H53" s="24">
        <v>7.7600000000000002E-2</v>
      </c>
      <c r="I53" s="12"/>
      <c r="J53" s="23">
        <f t="shared" ref="J53:J58" si="11">+J52+E53</f>
        <v>171315</v>
      </c>
    </row>
    <row r="54" spans="1:10" x14ac:dyDescent="0.2">
      <c r="A54" s="22" t="s">
        <v>13</v>
      </c>
      <c r="B54" s="29">
        <f>+'[1]Program Expenses'!W32</f>
        <v>4037850.5</v>
      </c>
      <c r="C54" s="23"/>
      <c r="D54" s="29">
        <f>+[2]Sheet1!$T$23</f>
        <v>-5162283.9969742382</v>
      </c>
      <c r="E54" s="23">
        <f t="shared" si="9"/>
        <v>77466</v>
      </c>
      <c r="F54" s="23">
        <f t="shared" si="10"/>
        <v>11494461.924484972</v>
      </c>
      <c r="G54" s="23">
        <f>SUM(C52:C54)+$C$7+$C$21+$C$35+$C$49+F54</f>
        <v>16178498.544484973</v>
      </c>
      <c r="H54" s="24">
        <v>7.7600000000000002E-2</v>
      </c>
      <c r="I54" s="22"/>
      <c r="J54" s="23">
        <f t="shared" si="11"/>
        <v>248781</v>
      </c>
    </row>
    <row r="55" spans="1:10" x14ac:dyDescent="0.2">
      <c r="A55" s="22" t="s">
        <v>14</v>
      </c>
      <c r="B55" s="29">
        <f>+'[1]Program Expenses'!X32</f>
        <v>4844212.5</v>
      </c>
      <c r="C55" s="23"/>
      <c r="D55" s="29">
        <f>+[2]Sheet1!$U$23</f>
        <v>-4918318.6271535028</v>
      </c>
      <c r="E55" s="23">
        <f t="shared" si="9"/>
        <v>74091</v>
      </c>
      <c r="F55" s="23">
        <f t="shared" si="10"/>
        <v>11494446.797331469</v>
      </c>
      <c r="G55" s="23">
        <f>SUM(C52:C55)+$C$7+$C$21+$C$35+$C$49+F55</f>
        <v>16178483.41733147</v>
      </c>
      <c r="H55" s="24">
        <v>7.7600000000000002E-2</v>
      </c>
      <c r="I55" s="12"/>
      <c r="J55" s="23">
        <f t="shared" si="11"/>
        <v>322872</v>
      </c>
    </row>
    <row r="56" spans="1:10" x14ac:dyDescent="0.2">
      <c r="A56" s="22" t="s">
        <v>15</v>
      </c>
      <c r="B56" s="29">
        <f>+'[1]Program Expenses'!Y32</f>
        <v>4343801.5</v>
      </c>
      <c r="C56" s="23"/>
      <c r="D56" s="29">
        <f>+[2]Sheet1!$V$23</f>
        <v>-5228598.5645839022</v>
      </c>
      <c r="E56" s="23">
        <f t="shared" si="9"/>
        <v>71470</v>
      </c>
      <c r="F56" s="23">
        <f t="shared" si="10"/>
        <v>10681119.732747566</v>
      </c>
      <c r="G56" s="23">
        <f>SUM(C52:C56)+$C$7+$C$21+$C$35+$C$49+F56</f>
        <v>15365156.352747567</v>
      </c>
      <c r="H56" s="24">
        <v>7.7600000000000002E-2</v>
      </c>
      <c r="I56" s="12"/>
      <c r="J56" s="23">
        <f t="shared" si="11"/>
        <v>394342</v>
      </c>
    </row>
    <row r="57" spans="1:10" x14ac:dyDescent="0.2">
      <c r="A57" s="22" t="s">
        <v>16</v>
      </c>
      <c r="B57" s="29">
        <f>+'[1]Program Expenses'!Z32</f>
        <v>4486537.5</v>
      </c>
      <c r="C57" s="23"/>
      <c r="D57" s="29">
        <f>+[2]Sheet1!$W$23</f>
        <v>-6001432.0528310481</v>
      </c>
      <c r="E57" s="23">
        <f t="shared" si="9"/>
        <v>64173</v>
      </c>
      <c r="F57" s="23">
        <f t="shared" si="10"/>
        <v>9230398.1799165178</v>
      </c>
      <c r="G57" s="23">
        <f>SUM(C52:C57)+$C$7+$C$21+$C$35+$C$49+F57</f>
        <v>13914434.799916519</v>
      </c>
      <c r="H57" s="24">
        <v>7.7600000000000002E-2</v>
      </c>
      <c r="I57" s="12"/>
      <c r="J57" s="23">
        <f t="shared" si="11"/>
        <v>458515</v>
      </c>
    </row>
    <row r="58" spans="1:10" x14ac:dyDescent="0.2">
      <c r="A58" s="22" t="s">
        <v>17</v>
      </c>
      <c r="B58" s="29">
        <f>+'[1]Program Expenses'!AA32</f>
        <v>5252686.5</v>
      </c>
      <c r="C58" s="23"/>
      <c r="D58" s="29">
        <f>+[2]Sheet1!$X$23</f>
        <v>-7112759.3607868459</v>
      </c>
      <c r="E58" s="23">
        <f t="shared" si="9"/>
        <v>53676</v>
      </c>
      <c r="F58" s="23">
        <f t="shared" si="10"/>
        <v>7424001.3191296719</v>
      </c>
      <c r="G58" s="23">
        <f>SUM(C52:C58)+$C$7+$C$21+$C$35+$C$49+F58</f>
        <v>12108037.939129673</v>
      </c>
      <c r="H58" s="24">
        <v>7.7600000000000002E-2</v>
      </c>
      <c r="I58" s="12"/>
      <c r="J58" s="23">
        <f t="shared" si="11"/>
        <v>512191</v>
      </c>
    </row>
    <row r="59" spans="1:10" x14ac:dyDescent="0.2">
      <c r="A59" s="22" t="s">
        <v>18</v>
      </c>
      <c r="B59" s="29">
        <f>+'[1]Program Expenses'!AB32</f>
        <v>4804953.5</v>
      </c>
      <c r="C59" s="23"/>
      <c r="D59" s="29">
        <f>+[2]Sheet1!$Y$23</f>
        <v>-6914095.9262009542</v>
      </c>
      <c r="E59" s="23">
        <f t="shared" si="9"/>
        <v>41189</v>
      </c>
      <c r="F59" s="23">
        <f t="shared" si="10"/>
        <v>5356047.8929287177</v>
      </c>
      <c r="G59" s="23">
        <f>SUM(C52:C59)+$C$7+$C$21+$C$35+$C$49+F59</f>
        <v>10040084.512928719</v>
      </c>
      <c r="H59" s="24">
        <v>7.7600000000000002E-2</v>
      </c>
      <c r="I59" s="12"/>
      <c r="J59" s="23">
        <f>+J58+E59</f>
        <v>553380</v>
      </c>
    </row>
    <row r="60" spans="1:10" x14ac:dyDescent="0.2">
      <c r="A60" s="22" t="s">
        <v>19</v>
      </c>
      <c r="B60" s="29">
        <f>+'[1]Program Expenses'!AC32</f>
        <v>6145922.5</v>
      </c>
      <c r="C60" s="23"/>
      <c r="D60" s="29">
        <f>+[2]Sheet1!$Z$23</f>
        <v>-5724461.8631764548</v>
      </c>
      <c r="E60" s="23">
        <f t="shared" si="9"/>
        <v>35998</v>
      </c>
      <c r="F60" s="23">
        <f t="shared" si="10"/>
        <v>5813506.5297522629</v>
      </c>
      <c r="G60" s="23">
        <f>SUM(C52:C60)+$C$7+$C$21+$C$35+$C$49+F60</f>
        <v>10497543.149752263</v>
      </c>
      <c r="H60" s="24">
        <v>7.7600000000000002E-2</v>
      </c>
      <c r="I60" s="12"/>
      <c r="J60" s="23">
        <f>+J59+E60</f>
        <v>589378</v>
      </c>
    </row>
    <row r="61" spans="1:10" x14ac:dyDescent="0.2">
      <c r="A61" s="22" t="s">
        <v>20</v>
      </c>
      <c r="B61" s="29">
        <f>+'[1]Program Expenses'!AD32</f>
        <v>5528323.5</v>
      </c>
      <c r="C61" s="23"/>
      <c r="D61" s="29">
        <f>+[2]Sheet1!$AA$23</f>
        <v>-5242805.777309767</v>
      </c>
      <c r="E61" s="23">
        <f t="shared" si="9"/>
        <v>38517</v>
      </c>
      <c r="F61" s="23">
        <f t="shared" si="10"/>
        <v>6137541.252442495</v>
      </c>
      <c r="G61" s="23">
        <f>SUM(C52:C61)+$C$7+$C$21+$C$35+$C$49+F61</f>
        <v>10821577.872442495</v>
      </c>
      <c r="H61" s="24">
        <v>7.7600000000000002E-2</v>
      </c>
      <c r="I61" s="12"/>
      <c r="J61" s="23">
        <f>+J60+E61</f>
        <v>627895</v>
      </c>
    </row>
    <row r="62" spans="1:10" x14ac:dyDescent="0.2">
      <c r="A62" s="22" t="s">
        <v>21</v>
      </c>
      <c r="B62" s="29">
        <f>+'[1]Program Expenses'!AE32</f>
        <v>7485054</v>
      </c>
      <c r="C62" s="23"/>
      <c r="D62" s="29">
        <f>+[2]Sheet1!$AB$23</f>
        <v>-5267424.9325506054</v>
      </c>
      <c r="E62" s="23">
        <f t="shared" si="9"/>
        <v>46860</v>
      </c>
      <c r="F62" s="23">
        <f t="shared" si="10"/>
        <v>8402030.3198918886</v>
      </c>
      <c r="G62" s="23">
        <f>SUM(C52:C62)+$C$7+$C$21+$C$35+$C$49+F62</f>
        <v>13086066.93989189</v>
      </c>
      <c r="H62" s="24">
        <v>7.7600000000000002E-2</v>
      </c>
      <c r="I62" s="12"/>
      <c r="J62" s="23">
        <f>+J61+E62</f>
        <v>674755</v>
      </c>
    </row>
    <row r="63" spans="1:10" x14ac:dyDescent="0.2">
      <c r="A63" s="22" t="s">
        <v>9</v>
      </c>
      <c r="B63" s="29">
        <f>+'[1]Program Expenses'!AF32</f>
        <v>5259223</v>
      </c>
      <c r="C63" s="23"/>
      <c r="D63" s="29">
        <f>+[2]Sheet1!$AC$23</f>
        <v>-5714059.6908879913</v>
      </c>
      <c r="E63" s="23">
        <f t="shared" si="9"/>
        <v>52862</v>
      </c>
      <c r="F63" s="23">
        <f t="shared" si="10"/>
        <v>8000055.6290038973</v>
      </c>
      <c r="G63" s="23">
        <f>SUM(C52:C63)+$C$7+$C$21+$C$35+$C$49+F63</f>
        <v>12684092.249003898</v>
      </c>
      <c r="H63" s="24">
        <v>7.7600000000000002E-2</v>
      </c>
      <c r="I63" s="12"/>
      <c r="J63" s="23">
        <f>+J62+E63</f>
        <v>727617</v>
      </c>
    </row>
    <row r="64" spans="1:10" x14ac:dyDescent="0.2">
      <c r="A64" s="25" t="s">
        <v>25</v>
      </c>
      <c r="B64" s="26">
        <f>SUM(B52:B63)</f>
        <v>60955747</v>
      </c>
      <c r="C64" s="26">
        <f>SUM(C52:C63)</f>
        <v>0</v>
      </c>
      <c r="D64" s="26">
        <f>SUM(D52:D63)</f>
        <v>-67413405.714996099</v>
      </c>
      <c r="E64" s="26">
        <f>SUM(E52:E63)</f>
        <v>727617</v>
      </c>
      <c r="F64" s="27"/>
      <c r="G64" s="27"/>
      <c r="H64" s="28"/>
      <c r="I64" s="12"/>
      <c r="J64" s="23"/>
    </row>
    <row r="65" spans="1:10" x14ac:dyDescent="0.2">
      <c r="A65" s="25"/>
      <c r="B65" s="27"/>
      <c r="C65" s="27"/>
      <c r="D65" s="27"/>
      <c r="E65" s="27"/>
      <c r="F65" s="27"/>
      <c r="G65" s="27"/>
      <c r="H65" s="28"/>
      <c r="I65" s="12"/>
      <c r="J65" s="23"/>
    </row>
    <row r="66" spans="1:10" x14ac:dyDescent="0.2">
      <c r="A66" s="25"/>
      <c r="B66" s="27"/>
      <c r="C66" s="27"/>
      <c r="D66" s="27"/>
      <c r="E66" s="27"/>
      <c r="F66" s="27"/>
      <c r="G66" s="27"/>
      <c r="H66" s="28"/>
      <c r="I66" s="12"/>
      <c r="J66" s="23"/>
    </row>
    <row r="67" spans="1:10" x14ac:dyDescent="0.2">
      <c r="A67" s="22" t="s">
        <v>11</v>
      </c>
      <c r="B67" s="29">
        <f>+'[3]Program Expenses'!$AI$31</f>
        <v>5011470.7759999996</v>
      </c>
      <c r="C67" s="23"/>
      <c r="D67" s="29">
        <f>-[4]Sheet1!$R$27*1000</f>
        <v>-6230616.1929924777</v>
      </c>
      <c r="E67" s="23">
        <f>ROUND((((B67+D67)/2)+F63)*(7.76%/12),0)</f>
        <v>47792</v>
      </c>
      <c r="F67" s="23">
        <f>+F63+B67+D67+E67</f>
        <v>6828702.2120114202</v>
      </c>
      <c r="G67" s="23">
        <f>SUM(C67)+$C$7+$C$21+$C$35+$C$49+F67+C64</f>
        <v>11512738.83201142</v>
      </c>
      <c r="H67" s="24">
        <v>7.7600000000000002E-2</v>
      </c>
      <c r="I67" s="12"/>
      <c r="J67" s="23">
        <f>+J64+E67</f>
        <v>47792</v>
      </c>
    </row>
    <row r="68" spans="1:10" x14ac:dyDescent="0.2">
      <c r="A68" s="22" t="s">
        <v>12</v>
      </c>
      <c r="B68" s="29">
        <f>+'[3]Program Expenses'!$AJ$31</f>
        <v>4344284.9639999997</v>
      </c>
      <c r="C68" s="23"/>
      <c r="D68" s="29">
        <f>-[4]Sheet1!$S$27*1000</f>
        <v>-5519025.5497985324</v>
      </c>
      <c r="E68" s="23">
        <f t="shared" ref="E68:E78" si="12">ROUND((((B68+D68)/2)+F67)*(7.76%/12),0)</f>
        <v>40361</v>
      </c>
      <c r="F68" s="23">
        <f t="shared" ref="F68:F78" si="13">+F67+B68+D68+E68</f>
        <v>5694322.6262128884</v>
      </c>
      <c r="G68" s="23">
        <f>SUM(C67:C68)+$C$7+$C$21+$C$35+$C$49+F68+C64</f>
        <v>10378359.246212889</v>
      </c>
      <c r="H68" s="24">
        <v>7.7600000000000002E-2</v>
      </c>
      <c r="I68" s="12"/>
      <c r="J68" s="23">
        <f t="shared" ref="J68:J73" si="14">+J67+E68</f>
        <v>88153</v>
      </c>
    </row>
    <row r="69" spans="1:10" x14ac:dyDescent="0.2">
      <c r="A69" s="22" t="s">
        <v>13</v>
      </c>
      <c r="B69" s="29">
        <f>+'[3]Program Expenses'!$AK$31</f>
        <v>4394012.4780000001</v>
      </c>
      <c r="C69" s="23"/>
      <c r="D69" s="29">
        <f>-[4]Sheet1!$T$27*1000</f>
        <v>-5708581.1157347364</v>
      </c>
      <c r="E69" s="23">
        <f t="shared" si="12"/>
        <v>32573</v>
      </c>
      <c r="F69" s="23">
        <f t="shared" si="13"/>
        <v>4412326.9884781512</v>
      </c>
      <c r="G69" s="23">
        <f>SUM(C67:C69)+$C$7+$C$21+$C$35+$C$49+F69+C64</f>
        <v>9096363.6084781513</v>
      </c>
      <c r="H69" s="24">
        <v>7.7600000000000002E-2</v>
      </c>
      <c r="I69" s="22"/>
      <c r="J69" s="23">
        <f t="shared" si="14"/>
        <v>120726</v>
      </c>
    </row>
    <row r="70" spans="1:10" x14ac:dyDescent="0.2">
      <c r="A70" s="22" t="s">
        <v>14</v>
      </c>
      <c r="B70" s="29">
        <f>+'[3]Program Expenses'!$AL$31</f>
        <v>5166402.7039999999</v>
      </c>
      <c r="C70" s="23"/>
      <c r="D70" s="29">
        <f>-[4]Sheet1!$U$27*1000</f>
        <v>-5438798.1855689036</v>
      </c>
      <c r="E70" s="23">
        <f t="shared" si="12"/>
        <v>27652</v>
      </c>
      <c r="F70" s="23">
        <f t="shared" si="13"/>
        <v>4167583.5069092466</v>
      </c>
      <c r="G70" s="23">
        <f>SUM(C67:C70)+$C$7+$C$21+$C$35+$C$49+F70+C64</f>
        <v>8851620.1269092485</v>
      </c>
      <c r="H70" s="24">
        <v>7.7600000000000002E-2</v>
      </c>
      <c r="I70" s="12"/>
      <c r="J70" s="23">
        <f t="shared" si="14"/>
        <v>148378</v>
      </c>
    </row>
    <row r="71" spans="1:10" x14ac:dyDescent="0.2">
      <c r="A71" s="22" t="s">
        <v>15</v>
      </c>
      <c r="B71" s="29">
        <f>+'[3]Program Expenses'!$AM$31</f>
        <v>4548741.9920000006</v>
      </c>
      <c r="C71" s="23"/>
      <c r="D71" s="29">
        <f>-[4]Sheet1!$V$27*1000</f>
        <v>-5645896.9648684924</v>
      </c>
      <c r="E71" s="23">
        <f t="shared" si="12"/>
        <v>23403</v>
      </c>
      <c r="F71" s="23">
        <f t="shared" si="13"/>
        <v>3093831.5340407537</v>
      </c>
      <c r="G71" s="23">
        <f>SUM(C67:C71)+$C$7+$C$21+$C$35+$C$49+F71+C64</f>
        <v>7777868.1540407548</v>
      </c>
      <c r="H71" s="24">
        <v>7.7600000000000002E-2</v>
      </c>
      <c r="I71" s="12"/>
      <c r="J71" s="23">
        <f t="shared" si="14"/>
        <v>171781</v>
      </c>
    </row>
    <row r="72" spans="1:10" x14ac:dyDescent="0.2">
      <c r="A72" s="22" t="s">
        <v>16</v>
      </c>
      <c r="B72" s="29">
        <f>+'[3]Program Expenses'!$AN$31</f>
        <v>4565251.4060000004</v>
      </c>
      <c r="C72" s="23"/>
      <c r="D72" s="29">
        <f>-[4]Sheet1!$W$27*1000</f>
        <v>-6415366.8183348486</v>
      </c>
      <c r="E72" s="23">
        <f t="shared" si="12"/>
        <v>14025</v>
      </c>
      <c r="F72" s="23">
        <f t="shared" si="13"/>
        <v>1257741.1217059055</v>
      </c>
      <c r="G72" s="23">
        <f>SUM(C67:C72)+$C$7+$C$21+$C$35+$C$49+F72+C64</f>
        <v>5941777.7417059066</v>
      </c>
      <c r="H72" s="24">
        <v>7.7600000000000002E-2</v>
      </c>
      <c r="I72" s="12"/>
      <c r="J72" s="23">
        <f t="shared" si="14"/>
        <v>185806</v>
      </c>
    </row>
    <row r="73" spans="1:10" x14ac:dyDescent="0.2">
      <c r="A73" s="22" t="s">
        <v>17</v>
      </c>
      <c r="B73" s="29">
        <f>+'[3]Program Expenses'!$AO$31</f>
        <v>5507950.4100000001</v>
      </c>
      <c r="C73" s="23"/>
      <c r="D73" s="29">
        <f>-[4]Sheet1!$X$27*1000</f>
        <v>-7865464.935976455</v>
      </c>
      <c r="E73" s="23">
        <f t="shared" si="12"/>
        <v>511</v>
      </c>
      <c r="F73" s="23">
        <f t="shared" si="13"/>
        <v>-1099262.4042705493</v>
      </c>
      <c r="G73" s="23">
        <f>SUM(C67:C73)+$C$7+$C$21+$C$35+$C$49+F73+C64</f>
        <v>3584774.2157294517</v>
      </c>
      <c r="H73" s="24">
        <v>7.7600000000000002E-2</v>
      </c>
      <c r="I73" s="12"/>
      <c r="J73" s="23">
        <f t="shared" si="14"/>
        <v>186317</v>
      </c>
    </row>
    <row r="74" spans="1:10" x14ac:dyDescent="0.2">
      <c r="A74" s="22" t="s">
        <v>18</v>
      </c>
      <c r="B74" s="29">
        <f>+'[3]Program Expenses'!$AP$31</f>
        <v>4548753.7180000003</v>
      </c>
      <c r="C74" s="23"/>
      <c r="D74" s="29">
        <f>-[4]Sheet1!$Y$27*1000</f>
        <v>-7645778.0044305082</v>
      </c>
      <c r="E74" s="23">
        <f t="shared" si="12"/>
        <v>-17122</v>
      </c>
      <c r="F74" s="23">
        <f t="shared" si="13"/>
        <v>-4213408.6907010572</v>
      </c>
      <c r="G74" s="23">
        <f>SUM(C67:C74)+$C$7+$C$21+$C$35+$C$49+F74+C64</f>
        <v>470627.92929894384</v>
      </c>
      <c r="H74" s="24">
        <v>7.7600000000000002E-2</v>
      </c>
      <c r="I74" s="12"/>
      <c r="J74" s="23">
        <f>+J73+E74</f>
        <v>169195</v>
      </c>
    </row>
    <row r="75" spans="1:10" x14ac:dyDescent="0.2">
      <c r="A75" s="22" t="s">
        <v>19</v>
      </c>
      <c r="B75" s="29">
        <f>+'[3]Program Expenses'!$AQ$31</f>
        <v>6802286.7320000008</v>
      </c>
      <c r="C75" s="23"/>
      <c r="D75" s="29">
        <f>-[4]Sheet1!$Z$27*1000</f>
        <v>-6330251.2819958432</v>
      </c>
      <c r="E75" s="23">
        <f t="shared" si="12"/>
        <v>-25720</v>
      </c>
      <c r="F75" s="23">
        <f t="shared" si="13"/>
        <v>-3767093.2406968996</v>
      </c>
      <c r="G75" s="23">
        <f>SUM(C67:C75)+$C$7+$C$21+$C$35+$C$49+F75+C64</f>
        <v>916943.37930310145</v>
      </c>
      <c r="H75" s="24">
        <v>7.7600000000000002E-2</v>
      </c>
      <c r="I75" s="12"/>
      <c r="J75" s="23">
        <f>+J74+E75</f>
        <v>143475</v>
      </c>
    </row>
    <row r="76" spans="1:10" x14ac:dyDescent="0.2">
      <c r="A76" s="22" t="s">
        <v>20</v>
      </c>
      <c r="B76" s="29">
        <f>+'[3]Program Expenses'!$AR$31</f>
        <v>5152208.2659999998</v>
      </c>
      <c r="C76" s="23"/>
      <c r="D76" s="29">
        <f>-[4]Sheet1!$AA$27*1000</f>
        <v>-5797624.0887478758</v>
      </c>
      <c r="E76" s="23">
        <f t="shared" si="12"/>
        <v>-26447</v>
      </c>
      <c r="F76" s="23">
        <f t="shared" si="13"/>
        <v>-4438956.0634447755</v>
      </c>
      <c r="G76" s="23">
        <f>SUM(C67:C76)+$C$7+$C$21+$C$35+$C$49+F76+C64</f>
        <v>245080.55655522551</v>
      </c>
      <c r="H76" s="24">
        <v>7.7600000000000002E-2</v>
      </c>
      <c r="I76" s="12"/>
      <c r="J76" s="23">
        <f>+J75+E76</f>
        <v>117028</v>
      </c>
    </row>
    <row r="77" spans="1:10" x14ac:dyDescent="0.2">
      <c r="A77" s="22" t="s">
        <v>21</v>
      </c>
      <c r="B77" s="29">
        <f>+'[3]Program Expenses'!$AS$31</f>
        <v>6843401.04</v>
      </c>
      <c r="C77" s="23"/>
      <c r="D77" s="29">
        <f>-[4]Sheet1!$AB$27*1000</f>
        <v>-5824848.5585320964</v>
      </c>
      <c r="E77" s="23">
        <f t="shared" si="12"/>
        <v>-25412</v>
      </c>
      <c r="F77" s="23">
        <f t="shared" si="13"/>
        <v>-3445815.5819768719</v>
      </c>
      <c r="G77" s="23">
        <f>SUM(C67:C77)+$C$7+$C$21+$C$35+$C$49+F77+C64</f>
        <v>1238221.0380231291</v>
      </c>
      <c r="H77" s="24">
        <v>7.7600000000000002E-2</v>
      </c>
      <c r="I77" s="12"/>
      <c r="J77" s="23">
        <f>+J76+E77</f>
        <v>91616</v>
      </c>
    </row>
    <row r="78" spans="1:10" x14ac:dyDescent="0.2">
      <c r="A78" s="22" t="s">
        <v>9</v>
      </c>
      <c r="B78" s="29">
        <f>+'[3]Program Expenses'!$AT$31</f>
        <v>4981249.318</v>
      </c>
      <c r="C78" s="23"/>
      <c r="D78" s="29">
        <f>-[4]Sheet1!$AC$27*1000</f>
        <v>-6318748.3030192219</v>
      </c>
      <c r="E78" s="23">
        <f t="shared" si="12"/>
        <v>-26608</v>
      </c>
      <c r="F78" s="23">
        <f t="shared" si="13"/>
        <v>-4809922.5669960938</v>
      </c>
      <c r="G78" s="23">
        <f>SUM(C67:C78)+$C$7+$C$21+$C$35+$C$49+F78+C64</f>
        <v>-125885.9469960928</v>
      </c>
      <c r="H78" s="24">
        <v>7.7600000000000002E-2</v>
      </c>
      <c r="I78" s="12"/>
      <c r="J78" s="23">
        <f>+J77+E78</f>
        <v>65008</v>
      </c>
    </row>
    <row r="79" spans="1:10" x14ac:dyDescent="0.2">
      <c r="A79" s="25" t="s">
        <v>27</v>
      </c>
      <c r="B79" s="26">
        <f>SUM(B67:B78)</f>
        <v>61866013.804000005</v>
      </c>
      <c r="C79" s="26">
        <f>SUM(C67:C78)</f>
        <v>0</v>
      </c>
      <c r="D79" s="26">
        <f>SUM(D67:D78)</f>
        <v>-74741000</v>
      </c>
      <c r="E79" s="26">
        <f>SUM(E67:E78)</f>
        <v>65008</v>
      </c>
      <c r="F79" s="27"/>
      <c r="G79" s="27"/>
      <c r="H79" s="28"/>
      <c r="I79" s="12"/>
      <c r="J79" s="23"/>
    </row>
    <row r="80" spans="1:10" x14ac:dyDescent="0.2">
      <c r="A80" s="40" t="s">
        <v>36</v>
      </c>
      <c r="B80" s="31"/>
      <c r="C80" s="31">
        <f>+C49+C35+C21+C7</f>
        <v>4684036.620000001</v>
      </c>
      <c r="D80" s="32"/>
      <c r="E80" s="32"/>
      <c r="F80" s="32"/>
      <c r="G80" s="32"/>
      <c r="J80" s="32"/>
    </row>
    <row r="81" spans="1:10" x14ac:dyDescent="0.2">
      <c r="B81" s="32"/>
      <c r="C81" s="32"/>
      <c r="D81" s="32"/>
      <c r="E81" s="32"/>
      <c r="F81" s="32"/>
      <c r="G81" s="31"/>
      <c r="J81" s="32"/>
    </row>
    <row r="82" spans="1:10" x14ac:dyDescent="0.2">
      <c r="A82" s="33" t="s">
        <v>33</v>
      </c>
      <c r="B82" s="32"/>
      <c r="C82" s="32"/>
      <c r="D82" s="32"/>
      <c r="E82" s="32"/>
      <c r="F82" s="32"/>
      <c r="G82" s="31">
        <f>+G48</f>
        <v>18414133.963999994</v>
      </c>
      <c r="J82" s="32"/>
    </row>
    <row r="83" spans="1:10" x14ac:dyDescent="0.2">
      <c r="A83" s="33"/>
      <c r="B83" s="32"/>
      <c r="C83" s="32"/>
      <c r="D83" s="32"/>
      <c r="E83" s="32"/>
      <c r="F83" s="32"/>
      <c r="G83" s="31"/>
      <c r="J83" s="32"/>
    </row>
    <row r="84" spans="1:10" x14ac:dyDescent="0.2">
      <c r="A84" s="33" t="s">
        <v>34</v>
      </c>
      <c r="B84" s="32"/>
      <c r="C84" s="32"/>
      <c r="D84" s="32"/>
      <c r="E84" s="32"/>
      <c r="F84" s="32"/>
      <c r="G84" s="31">
        <f>+SUM(B52:B63)+SUM(B67:B78)</f>
        <v>122821760.80400001</v>
      </c>
      <c r="J84" s="32"/>
    </row>
    <row r="85" spans="1:10" x14ac:dyDescent="0.2">
      <c r="A85" s="33" t="s">
        <v>28</v>
      </c>
      <c r="B85" s="32"/>
      <c r="C85" s="32"/>
      <c r="D85" s="32"/>
      <c r="E85" s="32"/>
      <c r="F85" s="32"/>
      <c r="G85" s="31">
        <f>SUM(E52:E63)+SUM(E67:E78)</f>
        <v>792625</v>
      </c>
    </row>
    <row r="86" spans="1:10" x14ac:dyDescent="0.2">
      <c r="A86" s="33" t="s">
        <v>29</v>
      </c>
      <c r="B86" s="32"/>
      <c r="C86" s="32"/>
      <c r="D86" s="32"/>
      <c r="E86" s="32"/>
      <c r="F86" s="32"/>
      <c r="G86" s="34">
        <f>SUM(G84:G85)</f>
        <v>123614385.80400001</v>
      </c>
    </row>
    <row r="87" spans="1:10" x14ac:dyDescent="0.2">
      <c r="A87" s="33"/>
      <c r="B87" s="32"/>
      <c r="C87" s="32"/>
      <c r="D87" s="32"/>
      <c r="E87" s="32"/>
      <c r="F87" s="32"/>
      <c r="G87" s="31"/>
    </row>
    <row r="88" spans="1:10" x14ac:dyDescent="0.2">
      <c r="A88" s="33" t="s">
        <v>30</v>
      </c>
      <c r="B88" s="32"/>
      <c r="C88" s="32"/>
      <c r="D88" s="32"/>
      <c r="E88" s="32"/>
      <c r="F88" s="32"/>
      <c r="G88" s="31">
        <f>SUM(D52:D63)+SUM(D67:D78)</f>
        <v>-142154405.7149961</v>
      </c>
    </row>
    <row r="89" spans="1:10" x14ac:dyDescent="0.2">
      <c r="A89" s="35"/>
      <c r="B89" s="32"/>
      <c r="C89" s="32"/>
      <c r="D89" s="32"/>
      <c r="E89" s="32"/>
      <c r="F89" s="32"/>
      <c r="G89" s="31"/>
    </row>
    <row r="90" spans="1:10" ht="15" thickBot="1" x14ac:dyDescent="0.25">
      <c r="A90" s="33" t="s">
        <v>31</v>
      </c>
      <c r="B90" s="32"/>
      <c r="C90" s="32"/>
      <c r="D90" s="32"/>
      <c r="E90" s="32"/>
      <c r="F90" s="32"/>
      <c r="G90" s="36">
        <f>+G82+G86+G88</f>
        <v>-125885.9469960928</v>
      </c>
    </row>
    <row r="91" spans="1:10" ht="15" thickTop="1" x14ac:dyDescent="0.2">
      <c r="A91" s="33"/>
      <c r="B91" s="32"/>
      <c r="C91" s="32"/>
      <c r="D91" s="32"/>
      <c r="E91" s="32"/>
      <c r="F91" s="32"/>
      <c r="G91" s="31"/>
    </row>
    <row r="92" spans="1:10" x14ac:dyDescent="0.2">
      <c r="A92" s="37" t="s">
        <v>26</v>
      </c>
      <c r="B92" s="32"/>
      <c r="C92" s="32"/>
      <c r="D92" s="32"/>
      <c r="E92" s="32"/>
      <c r="F92" s="32"/>
      <c r="G92" s="32"/>
    </row>
    <row r="93" spans="1:10" x14ac:dyDescent="0.2">
      <c r="A93" s="39" t="s">
        <v>35</v>
      </c>
      <c r="B93" s="32"/>
      <c r="C93" s="32"/>
      <c r="D93" s="32"/>
      <c r="E93" s="32"/>
      <c r="F93" s="32"/>
      <c r="G93" s="32"/>
    </row>
    <row r="94" spans="1:10" x14ac:dyDescent="0.2">
      <c r="A94" s="39" t="s">
        <v>32</v>
      </c>
      <c r="B94" s="32"/>
      <c r="C94" s="32"/>
      <c r="D94" s="32"/>
      <c r="E94" s="32"/>
      <c r="F94" s="32"/>
      <c r="G94" s="32"/>
    </row>
    <row r="95" spans="1:10" x14ac:dyDescent="0.2">
      <c r="A95" s="39" t="s">
        <v>38</v>
      </c>
      <c r="B95" s="32"/>
      <c r="C95" s="32"/>
      <c r="D95" s="32"/>
      <c r="E95" s="32"/>
      <c r="F95" s="32"/>
      <c r="G95" s="32"/>
    </row>
    <row r="96" spans="1:10" x14ac:dyDescent="0.2">
      <c r="A96" s="39"/>
    </row>
  </sheetData>
  <mergeCells count="1">
    <mergeCell ref="A1:H1"/>
  </mergeCells>
  <pageMargins left="0.7" right="0.7" top="0.75" bottom="0.75" header="0.3" footer="0.3"/>
  <pageSetup scale="54" orientation="portrait" r:id="rId1"/>
  <ignoredErrors>
    <ignoredError sqref="E20:G20 E17:F19 E36:G37 E21:G23 B21:D35 E35:G35 E24:F33 E46:F46 E38:F45 F48:G49 E47:E48 B50:E51 B49:D49 F52:G63 B64:D64 B52:C63 F34:G34 E52:E63 E65:E78 F78 F67 F68 F69 F70 F71 F72 F73 F74 F75 F76 F77:G77 G67:G76 B67:B79 C79 E64 D52:D63 D65:D66 E49 F47 D79 D67:D78 G78" unlockedFormula="1"/>
    <ignoredError sqref="G17:G19 G24:G33 G38:G47" formulaRange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Balancing Acct - Alt Rate</vt:lpstr>
      <vt:lpstr>Sheet2</vt:lpstr>
      <vt:lpstr>Sheet3</vt:lpstr>
      <vt:lpstr>'Balancing Acct - Alt Rate'!Print_Titles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2014-11-25T20:55:32Z</dcterms:created>
  <dcterms:modified xsi:type="dcterms:W3CDTF">2015-01-29T16:13:06Z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