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120" yWindow="285" windowWidth="15180" windowHeight="8910" tabRatio="826" activeTab="1"/>
  </bookViews>
  <sheets>
    <sheet name="Exhibit-RMP(JRS-1) page 1" sheetId="10" r:id="rId1"/>
    <sheet name="Exhibit-RMP(JRS-1) page 2" sheetId="6" r:id="rId2"/>
    <sheet name="Exhibit-RMP(JRS-2)" sheetId="5" r:id="rId3"/>
    <sheet name="Balance" sheetId="19" r:id="rId4"/>
    <sheet name="Deferral" sheetId="13" r:id="rId5"/>
    <sheet name="Allocator-2014" sheetId="18" r:id="rId6"/>
    <sheet name="Allocator-2012" sheetId="8" r:id="rId7"/>
    <sheet name="Comparison" sheetId="17" r:id="rId8"/>
    <sheet name="Sch1 Bill Impact" sheetId="9" r:id="rId9"/>
    <sheet name="Note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\0" localSheetId="0">[1]Jan!#REF!</definedName>
    <definedName name="\0" localSheetId="8">[1]Jan!#REF!</definedName>
    <definedName name="\0">[1]Jan!#REF!</definedName>
    <definedName name="\A" localSheetId="0">#REF!</definedName>
    <definedName name="\A" localSheetId="8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 localSheetId="0">#REF!</definedName>
    <definedName name="\BLOCK">#REF!</definedName>
    <definedName name="\BLOCKT" localSheetId="0">#REF!</definedName>
    <definedName name="\BLOCKT">#REF!</definedName>
    <definedName name="\C" localSheetId="0">#REF!</definedName>
    <definedName name="\C">#REF!</definedName>
    <definedName name="\COMP" localSheetId="0">#REF!</definedName>
    <definedName name="\COMP">#REF!</definedName>
    <definedName name="\COMPT" localSheetId="0">#REF!</definedName>
    <definedName name="\COMPT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G" localSheetId="0">#REF!</definedName>
    <definedName name="\G">#REF!</definedName>
    <definedName name="\I" localSheetId="0">#REF!</definedName>
    <definedName name="\I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[2]Actual!#REF!</definedName>
    <definedName name="\Q" localSheetId="8">[2]Actual!#REF!</definedName>
    <definedName name="\Q">[2]Actual!#REF!</definedName>
    <definedName name="\R" localSheetId="0">#REF!</definedName>
    <definedName name="\R" localSheetId="8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 localSheetId="0">#REF!</definedName>
    <definedName name="\TABLE2">#REF!</definedName>
    <definedName name="\TABLEA" localSheetId="0">#REF!</definedName>
    <definedName name="\TABLEA">#REF!</definedName>
    <definedName name="\TBL1" localSheetId="0">#REF!</definedName>
    <definedName name="\TBL1" localSheetId="8">#REF!</definedName>
    <definedName name="\TBL1">#REF!</definedName>
    <definedName name="\TBL2" localSheetId="0">#REF!</definedName>
    <definedName name="\TBL2">#REF!</definedName>
    <definedName name="\TBL3" localSheetId="0">#REF!</definedName>
    <definedName name="\TBL3">#REF!</definedName>
    <definedName name="\TBL4" localSheetId="0">#REF!</definedName>
    <definedName name="\TBL4">#REF!</definedName>
    <definedName name="\TBL5" localSheetId="0">#REF!</definedName>
    <definedName name="\TBL5">#REF!</definedName>
    <definedName name="\W" localSheetId="0">#REF!</definedName>
    <definedName name="\W">#REF!</definedName>
    <definedName name="\WORK1" localSheetId="0">#REF!</definedName>
    <definedName name="\WORK1">#REF!</definedName>
    <definedName name="\X" localSheetId="0">#REF!</definedName>
    <definedName name="\X">#REF!</definedName>
    <definedName name="\Z" localSheetId="0">#REF!</definedName>
    <definedName name="\Z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[1]Jan!#REF!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TOP1">[1]Jan!#REF!</definedName>
    <definedName name="___DAT1">#REF!</definedName>
    <definedName name="___DAT11">[3]Sheet1!#REF!</definedName>
    <definedName name="___DAT12">[3]Sheet1!#REF!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0" hidden="1">[4]Inputs!#REF!</definedName>
    <definedName name="__123Graph_A" localSheetId="2" hidden="1">'Exhibit-RMP(JRS-2)'!#REF!</definedName>
    <definedName name="__123Graph_A" localSheetId="8" hidden="1">[4]Inputs!#REF!</definedName>
    <definedName name="__123Graph_A" hidden="1">[4]Inputs!#REF!</definedName>
    <definedName name="__123Graph_AGRAPH1" localSheetId="2" hidden="1">'Exhibit-RMP(JRS-2)'!#REF!</definedName>
    <definedName name="__123Graph_B" localSheetId="0" hidden="1">[4]Inputs!#REF!</definedName>
    <definedName name="__123Graph_B" localSheetId="2" hidden="1">'Exhibit-RMP(JRS-2)'!#REF!</definedName>
    <definedName name="__123Graph_B" localSheetId="8" hidden="1">[4]Inputs!#REF!</definedName>
    <definedName name="__123Graph_B" hidden="1">[4]Inputs!#REF!</definedName>
    <definedName name="__123Graph_C" localSheetId="2" hidden="1">'Exhibit-RMP(JRS-2)'!#REF!</definedName>
    <definedName name="__123Graph_D" localSheetId="0" hidden="1">[4]Inputs!#REF!</definedName>
    <definedName name="__123Graph_D" localSheetId="2" hidden="1">'Exhibit-RMP(JRS-2)'!#REF!</definedName>
    <definedName name="__123Graph_D" localSheetId="8" hidden="1">[4]Inputs!#REF!</definedName>
    <definedName name="__123Graph_D" hidden="1">[4]Inputs!#REF!</definedName>
    <definedName name="__123Graph_E" localSheetId="2" hidden="1">'Exhibit-RMP(JRS-2)'!#REF!</definedName>
    <definedName name="__123Graph_E" hidden="1">[5]Input!$E$22:$E$37</definedName>
    <definedName name="__123Graph_F" localSheetId="2" hidden="1">'Exhibit-RMP(JRS-2)'!#REF!</definedName>
    <definedName name="__123Graph_F" hidden="1">[5]Input!$D$22:$D$37</definedName>
    <definedName name="__att3">#REF!</definedName>
    <definedName name="__att7">#REF!</definedName>
    <definedName name="__AUG96">#REF!</definedName>
    <definedName name="__DAT1">#REF!</definedName>
    <definedName name="__DAT10">#REF!</definedName>
    <definedName name="__DAT11">[3]Sheet1!#REF!</definedName>
    <definedName name="__DAT12">[3]Sheet1!#REF!</definedName>
    <definedName name="__DAT13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EC94">#REF!</definedName>
    <definedName name="__DEC95">#REF!</definedName>
    <definedName name="__DEC96">#REF!</definedName>
    <definedName name="__DEC97">#REF!</definedName>
    <definedName name="__FEB96">#REF!</definedName>
    <definedName name="__FEB97">#REF!</definedName>
    <definedName name="__FEB98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JAN98">#REF!</definedName>
    <definedName name="__MAY95">#REF!</definedName>
    <definedName name="__MAY97">#REF!</definedName>
    <definedName name="__MAY98">#REF!</definedName>
    <definedName name="__MEN2" localSheetId="0">[1]Jan!#REF!</definedName>
    <definedName name="__MEN2">[1]Jan!#REF!</definedName>
    <definedName name="__MEN3" localSheetId="0">[1]Jan!#REF!</definedName>
    <definedName name="__MEN3" localSheetId="1">[1]Jan!#REF!</definedName>
    <definedName name="__MEN3" localSheetId="2">[1]Jan!#REF!</definedName>
    <definedName name="__MEN3" localSheetId="8">[1]Jan!#REF!</definedName>
    <definedName name="__MEN3">[1]Jan!#REF!</definedName>
    <definedName name="__NOV97">#REF!</definedName>
    <definedName name="__OCT95">#REF!</definedName>
    <definedName name="__OCT97">#REF!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tab10">#REF!</definedName>
    <definedName name="__tab11">#REF!</definedName>
    <definedName name="__tab1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OP1" localSheetId="0">[1]Jan!#REF!</definedName>
    <definedName name="__TOP1" localSheetId="1">[1]Jan!#REF!</definedName>
    <definedName name="__TOP1" localSheetId="2">[1]Jan!#REF!</definedName>
    <definedName name="__TOP1" localSheetId="8">[1]Jan!#REF!</definedName>
    <definedName name="__TOP1">[1]Jan!#REF!</definedName>
    <definedName name="__WO800">#REF!</definedName>
    <definedName name="__WO800802">#REF!</definedName>
    <definedName name="_1_0Price_Ta">#REF!</definedName>
    <definedName name="_100_SUM">#REF!</definedName>
    <definedName name="_1Price_Ta">#REF!</definedName>
    <definedName name="_2Price_Ta">#REF!</definedName>
    <definedName name="_3Price_Ta" localSheetId="0">#REF!</definedName>
    <definedName name="_3Price_Ta" localSheetId="8">#REF!</definedName>
    <definedName name="_3Price_Ta">#REF!</definedName>
    <definedName name="_5Price_Ta">#REF!</definedName>
    <definedName name="_att3">#REF!</definedName>
    <definedName name="_att7">#REF!</definedName>
    <definedName name="_AUG96">#REF!</definedName>
    <definedName name="_B" localSheetId="0">#REF!</definedName>
    <definedName name="_B" localSheetId="8">#REF!</definedName>
    <definedName name="_B">#REF!</definedName>
    <definedName name="_BLOCK" localSheetId="0">#REF!</definedName>
    <definedName name="_BLOCK" localSheetId="1">#REF!</definedName>
    <definedName name="_BLOCK" localSheetId="2">#REF!</definedName>
    <definedName name="_BLOCK">#REF!</definedName>
    <definedName name="_BLOCKT" localSheetId="0">#REF!</definedName>
    <definedName name="_BLOCKT" localSheetId="1">#REF!</definedName>
    <definedName name="_BLOCKT" localSheetId="2">#REF!</definedName>
    <definedName name="_BLOCKT">#REF!</definedName>
    <definedName name="_COMP" localSheetId="0">#REF!</definedName>
    <definedName name="_COMP" localSheetId="1">#REF!</definedName>
    <definedName name="_COMP" localSheetId="2">#REF!</definedName>
    <definedName name="_COMP">#REF!</definedName>
    <definedName name="_COMPR" localSheetId="0">#REF!</definedName>
    <definedName name="_COMPR" localSheetId="1">#REF!</definedName>
    <definedName name="_COMPR" localSheetId="2">#REF!</definedName>
    <definedName name="_COMPR">#REF!</definedName>
    <definedName name="_COMPT" localSheetId="0">#REF!</definedName>
    <definedName name="_COMPT" localSheetId="1">#REF!</definedName>
    <definedName name="_COMPT" localSheetId="2">#REF!</definedName>
    <definedName name="_COMPT">#REF!</definedName>
    <definedName name="_DAT1">#REF!</definedName>
    <definedName name="_DAT10">#REF!</definedName>
    <definedName name="_DAT11">[3]Sheet1!#REF!</definedName>
    <definedName name="_DAT12">[3]Sheet1!#REF!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94">#REF!</definedName>
    <definedName name="_DEC95">#REF!</definedName>
    <definedName name="_DEC96">#REF!</definedName>
    <definedName name="_DEC97">#REF!</definedName>
    <definedName name="_Dist_Values" localSheetId="2" hidden="1">'Exhibit-RMP(JRS-2)'!#REF!</definedName>
    <definedName name="_FEB96">#REF!</definedName>
    <definedName name="_FEB97">#REF!</definedName>
    <definedName name="_FEB98">#REF!</definedName>
    <definedName name="_Fill" localSheetId="6" hidden="1">#REF!</definedName>
    <definedName name="_Fill" localSheetId="4" hidden="1">#REF!</definedName>
    <definedName name="_Fill" localSheetId="0" hidden="1">#REF!</definedName>
    <definedName name="_Fill" localSheetId="1" hidden="1">#REF!</definedName>
    <definedName name="_Fill" localSheetId="2" hidden="1">'Exhibit-RMP(JRS-2)'!#REF!</definedName>
    <definedName name="_Fill" localSheetId="8" hidden="1">#REF!</definedName>
    <definedName name="_Fill" hidden="1">#REF!</definedName>
    <definedName name="_xlnm._FilterDatabase" localSheetId="2" hidden="1">'Exhibit-RMP(JRS-2)'!#REF!</definedName>
    <definedName name="_xlnm._FilterDatabase" hidden="1">#REF!</definedName>
    <definedName name="_idahoshr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JAN98">#REF!</definedName>
    <definedName name="_Key1" localSheetId="6" hidden="1">#REF!</definedName>
    <definedName name="_Key1" localSheetId="4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4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AY95">#REF!</definedName>
    <definedName name="_MAY97">#REF!</definedName>
    <definedName name="_MAY98">#REF!</definedName>
    <definedName name="_MEN2" localSheetId="0">[1]Jan!#REF!</definedName>
    <definedName name="_MEN2" localSheetId="8">[1]Jan!#REF!</definedName>
    <definedName name="_MEN2">[1]Jan!#REF!</definedName>
    <definedName name="_MEN3" localSheetId="0">[1]Jan!#REF!</definedName>
    <definedName name="_MEN3" localSheetId="8">[1]Jan!#REF!</definedName>
    <definedName name="_MEN3">[1]Jan!#REF!</definedName>
    <definedName name="_NOV97">#REF!</definedName>
    <definedName name="_OCT95">#REF!</definedName>
    <definedName name="_OCT97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6" hidden="1">255</definedName>
    <definedName name="_Order1" localSheetId="4" hidden="1">255</definedName>
    <definedName name="_Order1" localSheetId="0" hidden="1">255</definedName>
    <definedName name="_Order1" localSheetId="1" hidden="1">255</definedName>
    <definedName name="_Order1" localSheetId="8" hidden="1">255</definedName>
    <definedName name="_Order1" hidden="1">0</definedName>
    <definedName name="_Order2" localSheetId="6" hidden="1">255</definedName>
    <definedName name="_Order2" localSheetId="0" hidden="1">255</definedName>
    <definedName name="_Order2" localSheetId="1" hidden="1">255</definedName>
    <definedName name="_Order2" localSheetId="8" hidden="1">255</definedName>
    <definedName name="_Order2" hidden="1">0</definedName>
    <definedName name="_P" localSheetId="0">#REF!</definedName>
    <definedName name="_P" localSheetId="8">#REF!</definedName>
    <definedName name="_P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6" hidden="1">#REF!</definedName>
    <definedName name="_Sort" localSheetId="4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SPL" localSheetId="0">#REF!</definedName>
    <definedName name="_SPL" localSheetId="1">#REF!</definedName>
    <definedName name="_SPL" localSheetId="2">#REF!</definedName>
    <definedName name="_SPL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 localSheetId="0">[1]Jan!#REF!</definedName>
    <definedName name="_TOP1" localSheetId="8">[1]Jan!#REF!</definedName>
    <definedName name="_TOP1">[1]Jan!#REF!</definedName>
    <definedName name="_WO800">#REF!</definedName>
    <definedName name="_WO800802">#REF!</definedName>
    <definedName name="a" localSheetId="1" hidden="1">#REF!</definedName>
    <definedName name="a" localSheetId="2" hidden="1">#REF!</definedName>
    <definedName name="a" localSheetId="8" hidden="1">#REF!</definedName>
    <definedName name="a" hidden="1">'[4]DSM Output'!$J$21:$J$23</definedName>
    <definedName name="A_36" localSheetId="0">#REF!</definedName>
    <definedName name="A_36" localSheetId="8">#REF!</definedName>
    <definedName name="A_36">#REF!</definedName>
    <definedName name="ABSTRACT" localSheetId="0">#REF!</definedName>
    <definedName name="ABSTRACT" localSheetId="1">#REF!</definedName>
    <definedName name="ABSTRACT" localSheetId="2">#REF!</definedName>
    <definedName name="ABSTRACT">#REF!</definedName>
    <definedName name="Access_Button1" hidden="1">"Headcount_Workbook_Schedules_List"</definedName>
    <definedName name="AccessDatabase" hidden="1">"P:\HR\SharonPlummer\Headcount Workbook.mdb"</definedName>
    <definedName name="accrued">'[6]-'!$B$1:$B$15</definedName>
    <definedName name="Acct108364">'[7]Func Study'!#REF!</definedName>
    <definedName name="Acct108364S">'[7]Func Study'!#REF!</definedName>
    <definedName name="Acct108D_S" localSheetId="6">[8]FuncStudy!$F$2065</definedName>
    <definedName name="Acct108D_S" localSheetId="4">[9]FuncStudy!$F$2065</definedName>
    <definedName name="Acct108D_S">'[10]Func Study'!$H$2448</definedName>
    <definedName name="Acct108D00S" localSheetId="6">[8]FuncStudy!$F$2057</definedName>
    <definedName name="Acct108D00S" localSheetId="4">[9]FuncStudy!$F$2057</definedName>
    <definedName name="Acct108D00S">'[10]Func Study'!$H$2440</definedName>
    <definedName name="Acct108DSS" localSheetId="6">[8]FuncStudy!$F$2061</definedName>
    <definedName name="Acct108DSS" localSheetId="4">[9]FuncStudy!$F$2061</definedName>
    <definedName name="Acct108DSS">'[10]Func Study'!$H$2444</definedName>
    <definedName name="Acct151SE">'[10]Func Study'!#REF!</definedName>
    <definedName name="Acct154SNPP">'[11]Functional Study'!$H$2034</definedName>
    <definedName name="Acct200DGP">'[12]Functional Study'!#REF!</definedName>
    <definedName name="Acct228.42TROJD" localSheetId="6">[8]FuncStudy!$F$1867</definedName>
    <definedName name="Acct228.42TROJD" localSheetId="4">[9]FuncStudy!$F$1867</definedName>
    <definedName name="Acct228.42TROJD" localSheetId="0">'[13]Func Study'!#REF!</definedName>
    <definedName name="Acct228.42TROJD" localSheetId="8">'[13]Func Study'!#REF!</definedName>
    <definedName name="Acct228.42TROJD">'[13]Func Study'!#REF!</definedName>
    <definedName name="ACCT2281" localSheetId="6">[8]FuncStudy!$F$1847</definedName>
    <definedName name="ACCT2281" localSheetId="4">[9]FuncStudy!$F$1847</definedName>
    <definedName name="ACCT2281">'[10]Func Study'!$H$2216</definedName>
    <definedName name="Acct2281SO">'[11]Functional Study'!$H$2139</definedName>
    <definedName name="Acct2282" localSheetId="6">[8]FuncStudy!$F$1851</definedName>
    <definedName name="Acct2282" localSheetId="4">[9]FuncStudy!$F$1851</definedName>
    <definedName name="Acct2282">'[10]Func Study'!$H$2220</definedName>
    <definedName name="Acct2283" localSheetId="6">[8]FuncStudy!$F$1855</definedName>
    <definedName name="Acct2283" localSheetId="4">[9]FuncStudy!$F$1855</definedName>
    <definedName name="Acct2283">'[10]Func Study'!$H$2224</definedName>
    <definedName name="Acct2283S" localSheetId="6">[8]FuncStudy!$F$1859</definedName>
    <definedName name="Acct2283S" localSheetId="4">[9]FuncStudy!$F$1859</definedName>
    <definedName name="Acct2283S">'[10]Func Study'!$H$2228</definedName>
    <definedName name="Acct2283SO">'[11]Functional Study'!$H$2147</definedName>
    <definedName name="Acct22841SE">'[11]Functional Study'!$H$2155</definedName>
    <definedName name="Acct22842" localSheetId="6">[8]FuncStudy!$F$1868</definedName>
    <definedName name="Acct22842" localSheetId="4">[9]FuncStudy!$F$1868</definedName>
    <definedName name="Acct22842">'[10]Func Study'!$H$2237</definedName>
    <definedName name="Acct22842TROJD" localSheetId="0">'[13]Func Study'!#REF!</definedName>
    <definedName name="Acct22842TROJD" localSheetId="8">'[13]Func Study'!#REF!</definedName>
    <definedName name="Acct22842TROJD">'[13]Func Study'!#REF!</definedName>
    <definedName name="Acct228SO" localSheetId="6">[8]FuncStudy!$F$1850</definedName>
    <definedName name="Acct228SO" localSheetId="4">[9]FuncStudy!$F$1850</definedName>
    <definedName name="Acct228SO">'[10]Func Study'!$H$2219</definedName>
    <definedName name="ACCT25398" localSheetId="6">[8]FuncStudy!$F$1880</definedName>
    <definedName name="ACCT25398" localSheetId="4">[9]FuncStudy!$F$1880</definedName>
    <definedName name="ACCT25398">'[10]Func Study'!$H$2249</definedName>
    <definedName name="Acct25399" localSheetId="6">[8]FuncStudy!$F$1887</definedName>
    <definedName name="Acct25399" localSheetId="4">[9]FuncStudy!$F$1887</definedName>
    <definedName name="Acct25399">'[10]Func Study'!$H$2256</definedName>
    <definedName name="Acct254" localSheetId="6">[8]FuncStudy!$F$1864</definedName>
    <definedName name="Acct254" localSheetId="4">[9]FuncStudy!$F$1864</definedName>
    <definedName name="Acct254">'[10]Func Study'!$H$2233</definedName>
    <definedName name="ACCT254SO">'[11]Functional Study'!$H$2151</definedName>
    <definedName name="Acct282DITBAL" localSheetId="6">[8]FuncStudy!$F$1912</definedName>
    <definedName name="Acct282DITBAL" localSheetId="4">[9]FuncStudy!$F$1912</definedName>
    <definedName name="Acct282DITBAL">[14]FuncStudy!$F$1912</definedName>
    <definedName name="Acct282SGP">'[11]Functional Study'!#REF!</definedName>
    <definedName name="Acct350" localSheetId="6">[8]FuncStudy!$F$1323</definedName>
    <definedName name="Acct350" localSheetId="4">[9]FuncStudy!$F$1323</definedName>
    <definedName name="Acct350">'[10]Func Study'!$H$1660</definedName>
    <definedName name="Acct352" localSheetId="6">[8]FuncStudy!$F$1330</definedName>
    <definedName name="Acct352" localSheetId="4">[9]FuncStudy!$F$1330</definedName>
    <definedName name="Acct352">'[10]Func Study'!$H$1667</definedName>
    <definedName name="Acct353" localSheetId="6">[8]FuncStudy!$F$1336</definedName>
    <definedName name="Acct353" localSheetId="4">[9]FuncStudy!$F$1336</definedName>
    <definedName name="Acct353">'[10]Func Study'!$H$1673</definedName>
    <definedName name="Acct354" localSheetId="6">[8]FuncStudy!$F$1342</definedName>
    <definedName name="Acct354" localSheetId="4">[9]FuncStudy!$F$1342</definedName>
    <definedName name="Acct354">'[10]Func Study'!$H$1679</definedName>
    <definedName name="Acct355" localSheetId="6">[8]FuncStudy!$F$1348</definedName>
    <definedName name="Acct355" localSheetId="4">[9]FuncStudy!$F$1348</definedName>
    <definedName name="Acct355">'[10]Func Study'!$H$1685</definedName>
    <definedName name="Acct356" localSheetId="6">[8]FuncStudy!$F$1354</definedName>
    <definedName name="Acct356" localSheetId="4">[9]FuncStudy!$F$1354</definedName>
    <definedName name="Acct356">'[10]Func Study'!$H$1691</definedName>
    <definedName name="Acct357" localSheetId="6">[8]FuncStudy!$F$1360</definedName>
    <definedName name="Acct357" localSheetId="4">[9]FuncStudy!$F$1360</definedName>
    <definedName name="Acct357">'[10]Func Study'!$H$1697</definedName>
    <definedName name="Acct358" localSheetId="6">[8]FuncStudy!$F$1366</definedName>
    <definedName name="Acct358" localSheetId="4">[9]FuncStudy!$F$1366</definedName>
    <definedName name="Acct358">'[10]Func Study'!$H$1703</definedName>
    <definedName name="Acct359" localSheetId="6">[8]FuncStudy!$F$1372</definedName>
    <definedName name="Acct359" localSheetId="4">[9]FuncStudy!$F$1372</definedName>
    <definedName name="Acct359">'[10]Func Study'!$H$1709</definedName>
    <definedName name="Acct360" localSheetId="6">[8]FuncStudy!$F$1388</definedName>
    <definedName name="Acct360" localSheetId="4">[9]FuncStudy!$F$1388</definedName>
    <definedName name="Acct360">'[10]Func Study'!$H$1729</definedName>
    <definedName name="Acct361" localSheetId="6">[8]FuncStudy!$F$1394</definedName>
    <definedName name="Acct361" localSheetId="4">[9]FuncStudy!$F$1394</definedName>
    <definedName name="Acct361">'[10]Func Study'!$H$1735</definedName>
    <definedName name="Acct362" localSheetId="6">[8]FuncStudy!$F$1400</definedName>
    <definedName name="Acct362" localSheetId="4">[9]FuncStudy!$F$1400</definedName>
    <definedName name="Acct362">'[10]Func Study'!$H$1741</definedName>
    <definedName name="Acct364" localSheetId="6">[8]FuncStudy!$F$1407</definedName>
    <definedName name="Acct364" localSheetId="4">[9]FuncStudy!$F$1407</definedName>
    <definedName name="Acct364">'[10]Func Study'!$H$1748</definedName>
    <definedName name="Acct365" localSheetId="6">[8]FuncStudy!$F$1414</definedName>
    <definedName name="Acct365" localSheetId="4">[9]FuncStudy!$F$1414</definedName>
    <definedName name="Acct365">'[10]Func Study'!$H$1755</definedName>
    <definedName name="Acct366" localSheetId="6">[8]FuncStudy!$F$1421</definedName>
    <definedName name="Acct366" localSheetId="4">[9]FuncStudy!$F$1421</definedName>
    <definedName name="Acct366">'[10]Func Study'!$H$1762</definedName>
    <definedName name="Acct367" localSheetId="6">[8]FuncStudy!$F$1428</definedName>
    <definedName name="Acct367" localSheetId="4">[9]FuncStudy!$F$1428</definedName>
    <definedName name="Acct367">'[10]Func Study'!$H$1769</definedName>
    <definedName name="Acct368" localSheetId="6">[8]FuncStudy!$F$1434</definedName>
    <definedName name="Acct368" localSheetId="4">[9]FuncStudy!$F$1434</definedName>
    <definedName name="Acct368">'[10]Func Study'!$H$1775</definedName>
    <definedName name="Acct369" localSheetId="6">[8]FuncStudy!$F$1441</definedName>
    <definedName name="Acct369" localSheetId="4">[9]FuncStudy!$F$1441</definedName>
    <definedName name="Acct369">'[10]Func Study'!$H$1782</definedName>
    <definedName name="Acct370" localSheetId="6">[8]FuncStudy!$F$1447</definedName>
    <definedName name="Acct370" localSheetId="4">[9]FuncStudy!$F$1447</definedName>
    <definedName name="Acct370">'[10]Func Study'!$H$1793</definedName>
    <definedName name="Acct371" localSheetId="6">[8]FuncStudy!$F$1454</definedName>
    <definedName name="Acct371" localSheetId="4">[9]FuncStudy!$F$1454</definedName>
    <definedName name="Acct371">'[10]Func Study'!$H$1800</definedName>
    <definedName name="Acct371___Demand__Primary">'[12]Functional Study'!$I$1518</definedName>
    <definedName name="Acct372" localSheetId="6">[8]FuncStudy!$F$1461</definedName>
    <definedName name="Acct372" localSheetId="4">[9]FuncStudy!$F$1461</definedName>
    <definedName name="Acct372">'[10]Func Study'!$H$1807</definedName>
    <definedName name="Acct372A" localSheetId="6">[8]FuncStudy!$F$1460</definedName>
    <definedName name="Acct372A" localSheetId="4">[9]FuncStudy!$F$1460</definedName>
    <definedName name="Acct372A">'[10]Func Study'!$H$1806</definedName>
    <definedName name="Acct372DP" localSheetId="6">[8]FuncStudy!$F$1458</definedName>
    <definedName name="Acct372DP" localSheetId="4">[9]FuncStudy!$F$1458</definedName>
    <definedName name="Acct372DP">'[10]Func Study'!$H$1804</definedName>
    <definedName name="Acct372DS" localSheetId="6">[8]FuncStudy!$F$1459</definedName>
    <definedName name="Acct372DS" localSheetId="4">[9]FuncStudy!$F$1459</definedName>
    <definedName name="Acct372DS">'[10]Func Study'!$H$1805</definedName>
    <definedName name="Acct373" localSheetId="6">[8]FuncStudy!$F$1467</definedName>
    <definedName name="Acct373" localSheetId="4">[9]FuncStudy!$F$1467</definedName>
    <definedName name="Acct373">'[10]Func Study'!$H$1813</definedName>
    <definedName name="Acct403HPSG">'[10]Func Study'!#REF!</definedName>
    <definedName name="Acct41011">'[15]Functional Study'!#REF!</definedName>
    <definedName name="Acct41011BADDEBT">'[15]Functional Study'!#REF!</definedName>
    <definedName name="Acct41011DITEXP">'[15]Functional Study'!#REF!</definedName>
    <definedName name="Acct41011S">'[15]Functional Study'!#REF!</definedName>
    <definedName name="Acct41011SE">'[15]Functional Study'!#REF!</definedName>
    <definedName name="Acct41011SG1">'[15]Functional Study'!#REF!</definedName>
    <definedName name="Acct41011SG2">'[15]Functional Study'!#REF!</definedName>
    <definedName name="ACCT41011SGCT">'[15]Functional Study'!#REF!</definedName>
    <definedName name="Acct41011SGPP">'[15]Functional Study'!#REF!</definedName>
    <definedName name="Acct41011SNP">'[15]Functional Study'!#REF!</definedName>
    <definedName name="ACCT41011SNPD">'[15]Functional Study'!#REF!</definedName>
    <definedName name="Acct41011SO">'[15]Functional Study'!#REF!</definedName>
    <definedName name="Acct41011TROJP">'[15]Functional Study'!#REF!</definedName>
    <definedName name="Acct41111">'[15]Functional Study'!#REF!</definedName>
    <definedName name="Acct41111BADDEBT">'[15]Functional Study'!#REF!</definedName>
    <definedName name="Acct41111DITEXP">'[15]Functional Study'!#REF!</definedName>
    <definedName name="Acct41111S">'[15]Functional Study'!#REF!</definedName>
    <definedName name="Acct41111SE">'[15]Functional Study'!#REF!</definedName>
    <definedName name="Acct41111SG1">'[15]Functional Study'!#REF!</definedName>
    <definedName name="Acct41111SG2">'[15]Functional Study'!#REF!</definedName>
    <definedName name="Acct41111SG3">'[15]Functional Study'!#REF!</definedName>
    <definedName name="Acct41111SGPP">'[15]Functional Study'!#REF!</definedName>
    <definedName name="Acct41111SNP">'[15]Functional Study'!#REF!</definedName>
    <definedName name="Acct41111SNTP">'[15]Functional Study'!#REF!</definedName>
    <definedName name="Acct41111SO">'[15]Functional Study'!#REF!</definedName>
    <definedName name="Acct41111TROJP">'[15]Functional Study'!#REF!</definedName>
    <definedName name="Acct411BADDEBT">'[15]Functional Study'!#REF!</definedName>
    <definedName name="Acct411DGP">'[15]Functional Study'!#REF!</definedName>
    <definedName name="Acct411DGU">'[15]Functional Study'!#REF!</definedName>
    <definedName name="Acct411DITEXP">'[15]Functional Study'!#REF!</definedName>
    <definedName name="Acct411DNPP">'[15]Functional Study'!#REF!</definedName>
    <definedName name="Acct411DNPTP">'[15]Functional Study'!#REF!</definedName>
    <definedName name="Acct411S">'[15]Functional Study'!#REF!</definedName>
    <definedName name="Acct411SE">'[15]Functional Study'!#REF!</definedName>
    <definedName name="Acct411SG">'[15]Functional Study'!#REF!</definedName>
    <definedName name="Acct411SGPP">'[15]Functional Study'!#REF!</definedName>
    <definedName name="Acct411SO">'[15]Functional Study'!#REF!</definedName>
    <definedName name="Acct411TROJP">'[15]Functional Study'!#REF!</definedName>
    <definedName name="Acct444S" localSheetId="6">[8]FuncStudy!$F$105</definedName>
    <definedName name="Acct444S" localSheetId="4">[9]FuncStudy!$F$105</definedName>
    <definedName name="Acct444S">'[10]Func Study'!$H$264</definedName>
    <definedName name="Acct447">'[11]Functional Study'!$H$288</definedName>
    <definedName name="Acct447DGU" localSheetId="0">'[13]Func Study'!#REF!</definedName>
    <definedName name="Acct447DGU" localSheetId="8">'[13]Func Study'!#REF!</definedName>
    <definedName name="Acct447DGU">'[13]Func Study'!#REF!</definedName>
    <definedName name="Acct448">'[11]Functional Study'!$H$276</definedName>
    <definedName name="Acct448S" localSheetId="6">[8]FuncStudy!$F$114</definedName>
    <definedName name="Acct448S" localSheetId="4">[9]FuncStudy!$F$114</definedName>
    <definedName name="Acct448S">'[10]Func Study'!$H$273</definedName>
    <definedName name="Acct448SO">'[11]Functional Study'!$H$275</definedName>
    <definedName name="Acct450S" localSheetId="6">[8]FuncStudy!$F$138</definedName>
    <definedName name="Acct450S" localSheetId="4">[9]FuncStudy!$F$138</definedName>
    <definedName name="Acct450S">'[10]Func Study'!$H$297</definedName>
    <definedName name="Acct451S" localSheetId="6">[8]FuncStudy!$F$143</definedName>
    <definedName name="Acct451S" localSheetId="4">[9]FuncStudy!$F$143</definedName>
    <definedName name="Acct451S">'[10]Func Study'!$H$302</definedName>
    <definedName name="Acct454S" localSheetId="6">[8]FuncStudy!$F$153</definedName>
    <definedName name="Acct454S" localSheetId="4">[9]FuncStudy!$F$153</definedName>
    <definedName name="Acct454S">'[10]Func Study'!$H$312</definedName>
    <definedName name="Acct456S" localSheetId="6">[8]FuncStudy!$F$159</definedName>
    <definedName name="Acct456S" localSheetId="4">[9]FuncStudy!$F$159</definedName>
    <definedName name="Acct456S">'[10]Func Study'!$H$318</definedName>
    <definedName name="Acct502DNPPSU">'[10]Func Study'!#REF!</definedName>
    <definedName name="ACCT547SSECT">'[12]Functional Study'!#REF!</definedName>
    <definedName name="ACCT548SSGCT">'[12]Functional Study'!#REF!</definedName>
    <definedName name="Acct565">'[11]Functional Study'!$H$732</definedName>
    <definedName name="Acct580" localSheetId="6">[8]FuncStudy!$F$536</definedName>
    <definedName name="Acct580" localSheetId="4">[9]FuncStudy!$F$536</definedName>
    <definedName name="Acct580">'[10]Func Study'!$H$748</definedName>
    <definedName name="Acct581" localSheetId="6">[8]FuncStudy!$F$541</definedName>
    <definedName name="Acct581" localSheetId="4">[9]FuncStudy!$F$541</definedName>
    <definedName name="Acct581">'[10]Func Study'!$H$753</definedName>
    <definedName name="Acct582" localSheetId="6">[8]FuncStudy!$F$546</definedName>
    <definedName name="Acct582" localSheetId="4">[9]FuncStudy!$F$546</definedName>
    <definedName name="Acct582">'[10]Func Study'!$H$758</definedName>
    <definedName name="Acct583" localSheetId="6">[8]FuncStudy!$F$551</definedName>
    <definedName name="Acct583" localSheetId="4">[9]FuncStudy!$F$551</definedName>
    <definedName name="Acct583">'[10]Func Study'!$H$763</definedName>
    <definedName name="Acct584" localSheetId="6">[8]FuncStudy!$F$556</definedName>
    <definedName name="Acct584" localSheetId="4">[9]FuncStudy!$F$556</definedName>
    <definedName name="Acct584">'[10]Func Study'!$H$768</definedName>
    <definedName name="Acct585" localSheetId="6">[8]FuncStudy!$F$561</definedName>
    <definedName name="Acct585" localSheetId="4">[9]FuncStudy!$F$561</definedName>
    <definedName name="Acct585">'[10]Func Study'!$H$773</definedName>
    <definedName name="Acct586" localSheetId="6">[8]FuncStudy!$F$566</definedName>
    <definedName name="Acct586" localSheetId="4">[9]FuncStudy!$F$566</definedName>
    <definedName name="Acct586">'[10]Func Study'!$H$778</definedName>
    <definedName name="Acct587" localSheetId="6">[8]FuncStudy!$F$571</definedName>
    <definedName name="Acct587" localSheetId="4">[9]FuncStudy!$F$571</definedName>
    <definedName name="Acct587">'[10]Func Study'!$H$783</definedName>
    <definedName name="Acct588" localSheetId="6">[8]FuncStudy!$F$576</definedName>
    <definedName name="Acct588" localSheetId="4">[9]FuncStudy!$F$576</definedName>
    <definedName name="Acct588">'[10]Func Study'!$H$788</definedName>
    <definedName name="Acct589" localSheetId="6">[8]FuncStudy!$F$581</definedName>
    <definedName name="Acct589" localSheetId="4">[9]FuncStudy!$F$581</definedName>
    <definedName name="Acct589">'[10]Func Study'!$H$793</definedName>
    <definedName name="Acct590" localSheetId="6">[8]FuncStudy!$F$586</definedName>
    <definedName name="Acct590" localSheetId="4">[9]FuncStudy!$F$586</definedName>
    <definedName name="Acct590">'[10]Func Study'!$H$798</definedName>
    <definedName name="Acct590DNPD">'[11]Functional Study'!$H$828</definedName>
    <definedName name="Acct590S">'[11]Functional Study'!$H$827</definedName>
    <definedName name="Acct591" localSheetId="6">[8]FuncStudy!$F$591</definedName>
    <definedName name="Acct591" localSheetId="4">[9]FuncStudy!$F$591</definedName>
    <definedName name="Acct591">'[10]Func Study'!$H$803</definedName>
    <definedName name="Acct592" localSheetId="6">[8]FuncStudy!$F$596</definedName>
    <definedName name="Acct592" localSheetId="4">[9]FuncStudy!$F$596</definedName>
    <definedName name="Acct592">'[10]Func Study'!$H$808</definedName>
    <definedName name="Acct593" localSheetId="6">[8]FuncStudy!$F$601</definedName>
    <definedName name="Acct593" localSheetId="4">[9]FuncStudy!$F$601</definedName>
    <definedName name="Acct593">'[10]Func Study'!$H$813</definedName>
    <definedName name="Acct594" localSheetId="6">[8]FuncStudy!$F$606</definedName>
    <definedName name="Acct594" localSheetId="4">[9]FuncStudy!$F$606</definedName>
    <definedName name="Acct594">'[10]Func Study'!$H$818</definedName>
    <definedName name="Acct595" localSheetId="6">[8]FuncStudy!$F$611</definedName>
    <definedName name="Acct595" localSheetId="4">[9]FuncStudy!$F$611</definedName>
    <definedName name="Acct595">'[10]Func Study'!$H$823</definedName>
    <definedName name="Acct596" localSheetId="6">[8]FuncStudy!$F$616</definedName>
    <definedName name="Acct596" localSheetId="4">[9]FuncStudy!$F$616</definedName>
    <definedName name="Acct596">'[10]Func Study'!$H$833</definedName>
    <definedName name="Acct597" localSheetId="6">[8]FuncStudy!$F$621</definedName>
    <definedName name="Acct597" localSheetId="4">[9]FuncStudy!$F$621</definedName>
    <definedName name="Acct597">'[10]Func Study'!$H$838</definedName>
    <definedName name="Acct598" localSheetId="6">[8]FuncStudy!$F$626</definedName>
    <definedName name="Acct598" localSheetId="4">[9]FuncStudy!$F$626</definedName>
    <definedName name="Acct598">'[10]Func Study'!$H$843</definedName>
    <definedName name="ACCT904SG">'[16]Functional Study'!#REF!</definedName>
    <definedName name="Acct928RE" localSheetId="6">[8]FuncStudy!$F$749</definedName>
    <definedName name="Acct928RE" localSheetId="4">[9]FuncStudy!$F$749</definedName>
    <definedName name="Acct928RE">'[10]Func Study'!$H$983</definedName>
    <definedName name="AcctAGA" localSheetId="6">[8]FuncStudy!$F$132</definedName>
    <definedName name="AcctAGA" localSheetId="4">[9]FuncStudy!$F$132</definedName>
    <definedName name="AcctAGA">'[10]Func Study'!$H$291</definedName>
    <definedName name="AcctDGU">'[12]Functional Study'!#REF!</definedName>
    <definedName name="AcctFIT">'[10]Func Study'!$H$1422</definedName>
    <definedName name="AcctOWCDGP">'[12]Functional Study'!#REF!</definedName>
    <definedName name="AcctTable">[17]Variables!$AK$42:$AK$396</definedName>
    <definedName name="AcctTS0" localSheetId="6">[8]FuncStudy!$F$1380</definedName>
    <definedName name="AcctTS0" localSheetId="4">[9]FuncStudy!$F$1380</definedName>
    <definedName name="AcctTS0">'[10]Func Study'!$H$1717</definedName>
    <definedName name="ActualROE">[14]FuncStudy!$E$61</definedName>
    <definedName name="ActualROR" localSheetId="6">'Allocator-2012'!#REF!</definedName>
    <definedName name="ActualROR" localSheetId="4">#REF!</definedName>
    <definedName name="actualror">[18]WorkArea!$F$86</definedName>
    <definedName name="ACYear">[19]Variables!$C$13</definedName>
    <definedName name="Additions_by_Function_Project_State_Month">'[20]Apr 05 - Mar 06 Adds'!#REF!</definedName>
    <definedName name="Adjs2avg">[21]Inputs!$L$255:'[21]Inputs'!$T$505</definedName>
    <definedName name="ADJTOTAL">#REF!</definedName>
    <definedName name="aftertax_ror">[22]Utah!#REF!</definedName>
    <definedName name="alkjslkj" hidden="1">{0,#N/A,TRUE,0;0,#N/A,TRUE,0;0,#N/A,TRUE,0;0,#N/A,TRUE,0;0,#N/A,TRUE,0;0,#N/A,TRUE,0;0,#N/A,TRUE,0;0,#N/A,TRUE,0}</definedName>
    <definedName name="ALL" localSheetId="0">#REF!</definedName>
    <definedName name="ALL" localSheetId="8">#REF!</definedName>
    <definedName name="ALL">#REF!</definedName>
    <definedName name="all_months" localSheetId="0">#REF!</definedName>
    <definedName name="all_months">#REF!</definedName>
    <definedName name="AllocationMethod">[23]Variables!$AP$33</definedName>
    <definedName name="annual.hours">#REF!</definedName>
    <definedName name="anscount" hidden="1">1</definedName>
    <definedName name="APR" localSheetId="0">#REF!</definedName>
    <definedName name="APR" localSheetId="8">#REF!</definedName>
    <definedName name="APR">#REF!</definedName>
    <definedName name="APRIL95">#REF!</definedName>
    <definedName name="APRIL96">#REF!</definedName>
    <definedName name="APRIL97">#REF!</definedName>
    <definedName name="APRIL98">#REF!</definedName>
    <definedName name="APRT" localSheetId="0">#REF!</definedName>
    <definedName name="APRT">#REF!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k_Mid_Bid1">#REF!</definedName>
    <definedName name="Ask_Mid_Bid2">#REF!</definedName>
    <definedName name="AT_48" localSheetId="0">#REF!</definedName>
    <definedName name="AT_48">#REF!</definedName>
    <definedName name="AUG" localSheetId="0">#REF!</definedName>
    <definedName name="AUG" localSheetId="8">#REF!</definedName>
    <definedName name="AUG">#REF!</definedName>
    <definedName name="AUGT" localSheetId="0">#REF!</definedName>
    <definedName name="AUGT">#REF!</definedName>
    <definedName name="average.price">#REF!</definedName>
    <definedName name="AverageFactors">[24]UTCR!$AC$22:$AQ$108</definedName>
    <definedName name="AverageFuelCost">#REF!</definedName>
    <definedName name="AverageInput">[24]Inputs!$F$3:$I$1722</definedName>
    <definedName name="AvgFactorCopy">#REF!</definedName>
    <definedName name="AvgFactors">[17]Factors!$B$3:$P$99</definedName>
    <definedName name="AVOIDED_COSTS">'[25]Avoided Costs'!$A$3:$G$38</definedName>
    <definedName name="AvoidedCosts">'[19]Avoided Costs'!$A$3:$G$35</definedName>
    <definedName name="b">[26]Variables!$AL$29</definedName>
    <definedName name="B1_Print">#REF!</definedName>
    <definedName name="BACK1" localSheetId="0">#REF!</definedName>
    <definedName name="BACK1" localSheetId="8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 localSheetId="0">#REF!</definedName>
    <definedName name="BACKUP1">#REF!</definedName>
    <definedName name="Baseline" localSheetId="0">#REF!</definedName>
    <definedName name="Baseline">#REF!</definedName>
    <definedName name="BLOCK" localSheetId="0">#REF!</definedName>
    <definedName name="BLOCK">#REF!</definedName>
    <definedName name="BLOCKTOP" localSheetId="0">#REF!</definedName>
    <definedName name="BLOCKTOP">#REF!</definedName>
    <definedName name="BOOKADJ" localSheetId="0">#REF!</definedName>
    <definedName name="BOOKADJ">#REF!</definedName>
    <definedName name="Bottom">[27]Variance!#REF!</definedName>
    <definedName name="budsum2">[28]Att1!#REF!</definedName>
    <definedName name="bump">[22]Utah!#REF!</definedName>
    <definedName name="Burn">#REF!</definedName>
    <definedName name="burn.rate">#REF!</definedName>
    <definedName name="C_">'[29]Other States WZAMRT98'!#REF!</definedName>
    <definedName name="calcoutput">'[30]Calcoutput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'[30]OTC Gas Quotes'!$M$2</definedName>
    <definedName name="cap">[31]Readings!$B$2</definedName>
    <definedName name="Capacity" localSheetId="0">#REF!</definedName>
    <definedName name="Capacity" localSheetId="1">#REF!</definedName>
    <definedName name="Capacity" localSheetId="2">#REF!</definedName>
    <definedName name="Capacity" localSheetId="8">#REF!</definedName>
    <definedName name="Capacity">#REF!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 localSheetId="8">#REF!</definedName>
    <definedName name="Check">#REF!</definedName>
    <definedName name="Classification" localSheetId="6">[8]FuncStudy!$Y$91</definedName>
    <definedName name="Classification" localSheetId="4">[9]FuncStudy!$Y$91</definedName>
    <definedName name="Classification">'[10]Func Study'!$AB$251</definedName>
    <definedName name="Cntr">[32]Inputs!$N$14</definedName>
    <definedName name="COBAsk">#REF!</definedName>
    <definedName name="COBAskHist">#REF!</definedName>
    <definedName name="COBAskOff">#REF!</definedName>
    <definedName name="COBAskToday">#REF!</definedName>
    <definedName name="COBBid">#REF!</definedName>
    <definedName name="COBBidHist">#REF!</definedName>
    <definedName name="COBBidOff">#REF!</definedName>
    <definedName name="COBBidToday">#REF!</definedName>
    <definedName name="cobhlhask">#REF!</definedName>
    <definedName name="cobhlhbid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 localSheetId="8">#REF!</definedName>
    <definedName name="COMADJ">#REF!</definedName>
    <definedName name="combined1" hidden="1">{"YTD-Total",#N/A,TRUE,"Provision";"YTD-Utility",#N/A,TRUE,"Prov Utility";"YTD-NonUtility",#N/A,TRUE,"Prov NonUtility"}</definedName>
    <definedName name="comm">[22]Utah!#REF!</definedName>
    <definedName name="comm_cost">[22]Utah!#REF!</definedName>
    <definedName name="Comn">[33]Inputs!$K$21</definedName>
    <definedName name="COMP" localSheetId="0">#REF!</definedName>
    <definedName name="COMP" localSheetId="8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 localSheetId="0">#REF!</definedName>
    <definedName name="COMPWEATHER">#REF!</definedName>
    <definedName name="CONTRACTDATA">[30]MarketData!#REF!</definedName>
    <definedName name="contractsymbol">[30]Futures!$B$2:$B$500</definedName>
    <definedName name="ContractTypeDol" localSheetId="4">'[34]Check Dollars'!$R$258:$S$643</definedName>
    <definedName name="ContractTypeDol">'[35]Check Dollars'!$R$258:$S$643</definedName>
    <definedName name="ContractTypeMWh" localSheetId="4">'[34]Check MWh'!$R$258:$S$643</definedName>
    <definedName name="ContractTypeMWh">'[35]Check MWh'!$R$258:$S$643</definedName>
    <definedName name="Conversion">[36]Conversion!$A$2:$E$1253</definedName>
    <definedName name="copy" hidden="1">#REF!</definedName>
    <definedName name="COSFacVal" localSheetId="6">[8]Inputs!$W$11</definedName>
    <definedName name="COSFacVal" localSheetId="4">[9]Inputs!$W$11</definedName>
    <definedName name="COSFacVal">[10]Inputs!$W$11</definedName>
    <definedName name="Cost">#REF!</definedName>
    <definedName name="Cost.Load">#REF!</definedName>
    <definedName name="Cust_Exp_Acct_903" localSheetId="0">#REF!</definedName>
    <definedName name="Cust_Exp_Acct_903">#REF!</definedName>
    <definedName name="CustNames">[37]Codes!$F$1:$H$121</definedName>
    <definedName name="D">#REF!</definedName>
    <definedName name="D_2">#REF!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[38]glpca!#REF!</definedName>
    <definedName name="DATA111">[38]glpca!#REF!</definedName>
    <definedName name="DATA112">[38]glpca!#REF!</definedName>
    <definedName name="DATA113">[38]glpca!#REF!</definedName>
    <definedName name="DATA114">[38]glpca!#REF!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_xlnm.Database" localSheetId="0">[39]Invoice!#REF!</definedName>
    <definedName name="_xlnm.Database" localSheetId="1">[39]Invoice!#REF!</definedName>
    <definedName name="_xlnm.Database" localSheetId="2">[39]Invoice!#REF!</definedName>
    <definedName name="_xlnm.Database">[39]Invoice!#REF!</definedName>
    <definedName name="DataCheck">#REF!</definedName>
    <definedName name="DataCheck_Base">#REF!</definedName>
    <definedName name="DataCheck_Delta">#REF!</definedName>
    <definedName name="DataCheck_NPC">#REF!</definedName>
    <definedName name="DATE" localSheetId="0">[40]Jan!#REF!</definedName>
    <definedName name="DATE">[40]Jan!#REF!</definedName>
    <definedName name="Date1">'[41]PE Summary'!$X$2</definedName>
    <definedName name="dateTable">'[42]on off peak hours'!$C$15:$Z$15</definedName>
    <definedName name="daysMonth">'[42]on off peak hours'!$C$3:$Z$3</definedName>
    <definedName name="debt">[22]Utah!#REF!</definedName>
    <definedName name="Debt_">[33]Inputs!$K$19</definedName>
    <definedName name="debt_cost">[22]Utah!#REF!</definedName>
    <definedName name="DebtCost">#REF!</definedName>
    <definedName name="DEC" localSheetId="0">#REF!</definedName>
    <definedName name="DEC" localSheetId="8">#REF!</definedName>
    <definedName name="DEC">#REF!</definedName>
    <definedName name="DECT" localSheetId="0">#REF!</definedName>
    <definedName name="DECT">#REF!</definedName>
    <definedName name="Demand" localSheetId="6">[43]Inputs!$D$9</definedName>
    <definedName name="Demand" localSheetId="4">[44]Inputs!$D$9</definedName>
    <definedName name="Demand">[13]Inputs!$D$8</definedName>
    <definedName name="Demand2" localSheetId="6">[8]Inputs!$D$10</definedName>
    <definedName name="Demand2" localSheetId="4">[9]Inputs!$D$10</definedName>
    <definedName name="Demand2">[10]Inputs!$D$10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rectory">[42]ImportData!$D$7</definedName>
    <definedName name="Dis" localSheetId="6">[8]FuncStudy!$Y$90</definedName>
    <definedName name="Dis" localSheetId="4">[9]FuncStudy!$Y$90</definedName>
    <definedName name="Dis">'[10]Func Study'!$AB$250</definedName>
    <definedName name="DisFac" localSheetId="6">'[8]Func Dist Factor Table'!$A$11:$G$25</definedName>
    <definedName name="DisFac" localSheetId="4">'[9]Func Dist Factor Table'!$A$11:$G$25</definedName>
    <definedName name="DisFac">'[10]Func Dist Factor Table'!$A$11:$G$25</definedName>
    <definedName name="DispatchSum">"GRID Thermal Generation!R2C1:R4C2"</definedName>
    <definedName name="Dist_factor" localSheetId="0">#REF!</definedName>
    <definedName name="Dist_factor" localSheetId="8">#REF!</definedName>
    <definedName name="Dist_factor">#REF!</definedName>
    <definedName name="DistPeakMethod">[16]Inputs!#REF!</definedName>
    <definedName name="DistSub_Year1">[19]Variables!$C$23</definedName>
    <definedName name="DistSub_Year2">[19]Variables!$D$23</definedName>
    <definedName name="DISTSUB_YR1">[25]Variables!$C$23</definedName>
    <definedName name="DISTSUB_YR2">[25]Variables!$D$23</definedName>
    <definedName name="dsd" hidden="1">[4]Inputs!#REF!</definedName>
    <definedName name="DUDE" localSheetId="0" hidden="1">#REF!</definedName>
    <definedName name="DUDE" localSheetId="8" hidden="1">#REF!</definedName>
    <definedName name="DUDE" hidden="1">#REF!</definedName>
    <definedName name="ECDQF_Exp">#REF!</definedName>
    <definedName name="ECDQF_MWh">#REF!</definedName>
    <definedName name="EffectiveTaxRate">#REF!</definedName>
    <definedName name="EmbeddedCapCost">#REF!</definedName>
    <definedName name="End_month">#REF!</definedName>
    <definedName name="energy">[31]Readings!$B$3</definedName>
    <definedName name="Engy">[13]Inputs!$D$9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scalationRegion">[19]Variables!$C$12</definedName>
    <definedName name="Exchange_Rates___Bloomberg">[30]MarketData!$J$1</definedName>
    <definedName name="ExchangeMWh">#REF!</definedName>
    <definedName name="extra">'[45]-'!$A$1:$A$15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ExtractDates">[42]ImportData!$H$14:$I$32</definedName>
    <definedName name="ExtractTable">[46]ImportData!$B$14:$I$33</definedName>
    <definedName name="f101top" localSheetId="0">#REF!</definedName>
    <definedName name="f101top" localSheetId="8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 localSheetId="0">#REF!</definedName>
    <definedName name="f140top">#REF!</definedName>
    <definedName name="Factbl1">#REF!</definedName>
    <definedName name="Factor">#REF!</definedName>
    <definedName name="Factorck" localSheetId="6">'[8]COS Factor Table'!$Q$15:$Q$136</definedName>
    <definedName name="Factorck" localSheetId="4">'[9]COS Factor Table'!$Q$15:$Q$136</definedName>
    <definedName name="Factorck">'[10]COS Factor Table'!$S$15:$S$145</definedName>
    <definedName name="FactorMethod">[24]Variables!$AB$2</definedName>
    <definedName name="Factors3" localSheetId="0">#REF!</definedName>
    <definedName name="Factors3">#REF!</definedName>
    <definedName name="FactorType">[17]Variables!$AK$2:$AL$12</definedName>
    <definedName name="FACTP" localSheetId="0">#REF!</definedName>
    <definedName name="FACTP" localSheetId="8">#REF!</definedName>
    <definedName name="FACTP">#REF!</definedName>
    <definedName name="FactSum" localSheetId="6">'[8]COS Factor Table'!$A$14:$Q$137</definedName>
    <definedName name="FactSum" localSheetId="4">'[9]COS Factor Table'!$A$14:$Q$137</definedName>
    <definedName name="FactSum">'[10]COS Factor Table'!$A$14:$S$146</definedName>
    <definedName name="FEB" localSheetId="0">#REF!</definedName>
    <definedName name="FEB" localSheetId="8">#REF!</definedName>
    <definedName name="FEB">#REF!</definedName>
    <definedName name="FEBT" localSheetId="0">#REF!</definedName>
    <definedName name="FEBT">#REF!</definedName>
    <definedName name="Fed_Funds___Bloomberg">[30]MarketData!$A$14</definedName>
    <definedName name="FedTax">[22]Utah!#REF!</definedName>
    <definedName name="fhfjhke" hidden="1">{0,#N/A,TRUE,0;0,#N/A,TRUE,0;0,#N/A,TRUE,0;0,#N/A,TRUE,0;0,#N/A,TRUE,0;0,#N/A,TRUE,0;0,#N/A,TRUE,0;0,#N/A,TRUE,0}</definedName>
    <definedName name="FIT">#REF!</definedName>
    <definedName name="FIX" localSheetId="0">#REF!</definedName>
    <definedName name="FIX" localSheetId="1">#REF!</definedName>
    <definedName name="FIX" localSheetId="2">#REF!</definedName>
    <definedName name="FIX">#REF!</definedName>
    <definedName name="fjljelj" hidden="1">{0,#N/A,TRUE,0;0,#N/A,TRUE,0;0,#N/A,TRUE,0;0,#N/A,TRUE,0;0,#N/A,TRUE,0;0,#N/A,TRUE,0;0,#N/A,TRUE,0;0,#N/A,TRUE,0}</definedName>
    <definedName name="Flat.Ask">#REF!</definedName>
    <definedName name="Flat.Bid">#REF!</definedName>
    <definedName name="FlatMonth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[21]Variables!$D$26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>#REF!</definedName>
    <definedName name="fuel.bucks">#REF!</definedName>
    <definedName name="fuel.bucks.name">#REF!</definedName>
    <definedName name="fuel.energy">#REF!</definedName>
    <definedName name="fuel.energy.name">#REF!</definedName>
    <definedName name="fuel.mill">#REF!</definedName>
    <definedName name="fuel.mill.name">#REF!</definedName>
    <definedName name="fuel.tons">#REF!</definedName>
    <definedName name="fuel.tons.name">#REF!</definedName>
    <definedName name="Func" localSheetId="6">'[8]Func Factor Table'!$A$10:$H$76</definedName>
    <definedName name="Func" localSheetId="4">'[9]Func Factor Table'!$A$10:$H$76</definedName>
    <definedName name="Func">'[10]Func Factor Table'!$A$10:$H$78</definedName>
    <definedName name="Func_Ftrs" localSheetId="0">#REF!</definedName>
    <definedName name="Func_Ftrs" localSheetId="8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 localSheetId="0">#REF!</definedName>
    <definedName name="Func_Percents">#REF!</definedName>
    <definedName name="Func_Rev_Req1" localSheetId="0">#REF!</definedName>
    <definedName name="Func_Rev_Req1">#REF!</definedName>
    <definedName name="Func_Rev_Req2" localSheetId="0">#REF!</definedName>
    <definedName name="Func_Rev_Req2">#REF!</definedName>
    <definedName name="Func_Revenue" localSheetId="0">#REF!</definedName>
    <definedName name="Func_Revenue">#REF!</definedName>
    <definedName name="Function" localSheetId="6">[8]FuncStudy!$Y$90</definedName>
    <definedName name="Function" localSheetId="4">[9]FuncStudy!$Y$90</definedName>
    <definedName name="Function">'[10]Func Study'!$AB$250</definedName>
    <definedName name="Gas_Forward_Price_Curve_copy_Instructions_List">'[30]Main Page'!#REF!</definedName>
    <definedName name="gassummarytable">#REF!</definedName>
    <definedName name="GREATER10MW" localSheetId="0">#REF!</definedName>
    <definedName name="GREATER10MW" localSheetId="8">#REF!</definedName>
    <definedName name="GREATER10MW">#REF!</definedName>
    <definedName name="Green_Res">#REF!</definedName>
    <definedName name="GResIDX">#REF!</definedName>
    <definedName name="GTD_Percents" localSheetId="0">#REF!</definedName>
    <definedName name="GTD_Percents">#REF!</definedName>
    <definedName name="GWI_Annualized">#REF!</definedName>
    <definedName name="GWI_Proforma">#REF!</definedName>
    <definedName name="HEIGHT" localSheetId="0">#REF!</definedName>
    <definedName name="HEIGHT">#REF!</definedName>
    <definedName name="HenryHub___Nymex">[30]MarketData!#REF!</definedName>
    <definedName name="Hide_Rows">#REF!</definedName>
    <definedName name="Hide_Rows_Recon">#REF!</definedName>
    <definedName name="High_Plan">#REF!</definedName>
    <definedName name="HLHMonth">#REF!</definedName>
    <definedName name="HolidayObserved">'[42]on off peak hours'!$C$21:$Z$21</definedName>
    <definedName name="Holidays">'[42]on off peak hours'!$C$7:$Z$7</definedName>
    <definedName name="Hours5by16">'[42]on off peak hours'!$C$26:$Z$29</definedName>
    <definedName name="HoursHoliday">'[42]on off peak hours'!$C$16:$Z$20</definedName>
    <definedName name="HoursNoHoliday">'[42]on off peak hours'!$C$10:$Z$13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ydro.energy">#REF!</definedName>
    <definedName name="hydro.energy.name">#REF!</definedName>
    <definedName name="ID_0303_RVN_data" localSheetId="0">#REF!</definedName>
    <definedName name="ID_0303_RVN_data">#REF!</definedName>
    <definedName name="IDAHOSHR">#REF!</definedName>
    <definedName name="IDAllocMethod">#REF!</definedName>
    <definedName name="IDcontractsRVN" localSheetId="0">#REF!</definedName>
    <definedName name="IDcontractsRVN">#REF!</definedName>
    <definedName name="IDRateBase">#REF!</definedName>
    <definedName name="ILLINOIS">#REF!</definedName>
    <definedName name="IncomeTaxOptVal" localSheetId="6">[43]Inputs!$Y$11</definedName>
    <definedName name="IncomeTaxOptVal" localSheetId="4">[44]Inputs!$Y$11</definedName>
    <definedName name="IncomeTaxOptVal">[33]Inputs!$Y$11</definedName>
    <definedName name="INDADJ" localSheetId="0">#REF!</definedName>
    <definedName name="INDADJ" localSheetId="8">#REF!</definedName>
    <definedName name="INDADJ">#REF!</definedName>
    <definedName name="INPUT" localSheetId="0">[47]Summary!#REF!</definedName>
    <definedName name="INPUT" localSheetId="8">[47]Summary!#REF!</definedName>
    <definedName name="INPUT">[47]Summary!#REF!</definedName>
    <definedName name="Instructions" localSheetId="0">#REF!</definedName>
    <definedName name="Instructions" localSheetId="8">#REF!</definedName>
    <definedName name="Instructions">#REF!</definedName>
    <definedName name="Interest_Rates___Bloomberg">[30]MarketData!$A$1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RR" localSheetId="0">#REF!</definedName>
    <definedName name="IRR">#REF!</definedName>
    <definedName name="IRRIGATION" localSheetId="0">#REF!</definedName>
    <definedName name="IRRIGATION" localSheetId="1">#REF!</definedName>
    <definedName name="IRRIGATION" localSheetId="2">#REF!</definedName>
    <definedName name="IRRIGATION">#REF!</definedName>
    <definedName name="JAN" localSheetId="0">#REF!</definedName>
    <definedName name="JAN" localSheetId="8">#REF!</definedName>
    <definedName name="JAN">#REF!</definedName>
    <definedName name="JANT" localSheetId="0">#REF!</definedName>
    <definedName name="JANT">#REF!</definedName>
    <definedName name="JETSET">'[29]Other States WZAMRT98'!#REF!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jj">[48]Inputs!$N$18</definedName>
    <definedName name="JUL" localSheetId="0">#REF!</definedName>
    <definedName name="JUL" localSheetId="8">#REF!</definedName>
    <definedName name="JUL">#REF!</definedName>
    <definedName name="JULT" localSheetId="0">#REF!</definedName>
    <definedName name="JULT">#REF!</definedName>
    <definedName name="JULY95">#REF!</definedName>
    <definedName name="JULY96">#REF!</definedName>
    <definedName name="JULY97">#REF!</definedName>
    <definedName name="JUN" localSheetId="0">#REF!</definedName>
    <definedName name="JUN" localSheetId="8">#REF!</definedName>
    <definedName name="JUN">#REF!</definedName>
    <definedName name="JUNE95">#REF!</definedName>
    <definedName name="JUNE96">#REF!</definedName>
    <definedName name="JUNE97">#REF!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 localSheetId="8">#REF!</definedName>
    <definedName name="JUNT">#REF!</definedName>
    <definedName name="Jurisdiction">[17]Variables!$AK$15</definedName>
    <definedName name="JurisNumber">[17]Variables!$AL$15</definedName>
    <definedName name="JurisTitle">#REF!</definedName>
    <definedName name="JVENTRY">#REF!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BORMOD" localSheetId="0">#REF!</definedName>
    <definedName name="LABORMOD" localSheetId="8">#REF!</definedName>
    <definedName name="LABORMOD">#REF!</definedName>
    <definedName name="LABORROLL" localSheetId="0">#REF!</definedName>
    <definedName name="LABORROLL">#REF!</definedName>
    <definedName name="last.row">#REF!</definedName>
    <definedName name="Last_Actual_Year">[49]Variables!$B$7</definedName>
    <definedName name="LastCell">[50]Variance!#REF!</definedName>
    <definedName name="LIGHT_YR1">[25]Variables!$C$24</definedName>
    <definedName name="LIGHT_YR2">[25]Variables!$D$24</definedName>
    <definedName name="limcount" hidden="1">1</definedName>
    <definedName name="Line_Ext_Credit" localSheetId="0">#REF!</definedName>
    <definedName name="Line_Ext_Credit" localSheetId="8">#REF!</definedName>
    <definedName name="Line_Ext_Credit">#REF!</definedName>
    <definedName name="LinkCos" localSheetId="6">'[8]JAM Download'!$I$4</definedName>
    <definedName name="LinkCos" localSheetId="4">'[9]JAM Download'!$I$4</definedName>
    <definedName name="LinkCos">'[10]JAM Download'!$I$4</definedName>
    <definedName name="ListOffset" hidden="1">1</definedName>
    <definedName name="LOG" localSheetId="0">[51]Backup!#REF!</definedName>
    <definedName name="LOG" localSheetId="8">[51]Backup!#REF!</definedName>
    <definedName name="LOG">[51]Backup!#REF!</definedName>
    <definedName name="LOSS" localSheetId="0">[51]Backup!#REF!</definedName>
    <definedName name="LOSS" localSheetId="8">[51]Backup!#REF!</definedName>
    <definedName name="LOSS">[51]Backup!#REF!</definedName>
    <definedName name="Low_Plan">#REF!</definedName>
    <definedName name="lu">#REF!</definedName>
    <definedName name="M">#REF!</definedName>
    <definedName name="M_2">#REF!</definedName>
    <definedName name="MACTIT" localSheetId="0">#REF!</definedName>
    <definedName name="MACTIT" localSheetId="8">#REF!</definedName>
    <definedName name="MACTIT">#REF!</definedName>
    <definedName name="MAR" localSheetId="0">#REF!</definedName>
    <definedName name="MAR" localSheetId="8">#REF!</definedName>
    <definedName name="MAR">#REF!</definedName>
    <definedName name="MARCH96">#REF!</definedName>
    <definedName name="MARCH97">#REF!</definedName>
    <definedName name="MARCH98">#REF!</definedName>
    <definedName name="Market1">#REF!</definedName>
    <definedName name="Market2">#REF!</definedName>
    <definedName name="market3">'[30]OTC Gas Quotes'!$G$5</definedName>
    <definedName name="market4">'[30]OTC Gas Quotes'!$H$5</definedName>
    <definedName name="market5">'[30]OTC Gas Quotes'!$I$5</definedName>
    <definedName name="market6">'[30]OTC Gas Quotes'!$J$5</definedName>
    <definedName name="market7">'[30]OTC Gas Quotes'!$K$5</definedName>
    <definedName name="MART" localSheetId="0">#REF!</definedName>
    <definedName name="MART">#REF!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 localSheetId="8">#REF!</definedName>
    <definedName name="MAY">#REF!</definedName>
    <definedName name="MAYT" localSheetId="0">#REF!</definedName>
    <definedName name="MAYT">#REF!</definedName>
    <definedName name="MCAsk">#REF!</definedName>
    <definedName name="MCAskOff">#REF!</definedName>
    <definedName name="MCAskToday">#REF!</definedName>
    <definedName name="MCBid">#REF!</definedName>
    <definedName name="MCBidOff">#REF!</definedName>
    <definedName name="MCBidToday">#REF!</definedName>
    <definedName name="mchlhask">#REF!</definedName>
    <definedName name="mchlhbid">#REF!</definedName>
    <definedName name="MCtoREV" localSheetId="0">#REF!</definedName>
    <definedName name="MCtoREV">#REF!</definedName>
    <definedName name="MD_High1">'[27]Master Data'!$A$2</definedName>
    <definedName name="MD_Low1">'[27]Master Data'!$D$28</definedName>
    <definedName name="MEN" localSheetId="0">[1]Jan!#REF!</definedName>
    <definedName name="MEN" localSheetId="8">[1]Jan!#REF!</definedName>
    <definedName name="MEN">[1]Jan!#REF!</definedName>
    <definedName name="Menu_Begin" localSheetId="0">#REF!</definedName>
    <definedName name="Menu_Begin" localSheetId="8">#REF!</definedName>
    <definedName name="Menu_Begin">#REF!</definedName>
    <definedName name="Menu_Caption" localSheetId="0">#REF!</definedName>
    <definedName name="Menu_Caption">#REF!</definedName>
    <definedName name="Menu_Large" localSheetId="0">[52]MacroBuilder!#REF!</definedName>
    <definedName name="Menu_Large" localSheetId="8">[52]MacroBuilder!#REF!</definedName>
    <definedName name="Menu_Large">[52]MacroBuilder!#REF!</definedName>
    <definedName name="Menu_Name" localSheetId="0">#REF!</definedName>
    <definedName name="Menu_Name" localSheetId="8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[52]MacroBuilder!#REF!</definedName>
    <definedName name="Menu_Small" localSheetId="8">[52]MacroBuilder!#REF!</definedName>
    <definedName name="Menu_Small">[52]MacroBuilder!#REF!</definedName>
    <definedName name="Meter_Year1">[19]Variables!$C$19</definedName>
    <definedName name="Meter_Year2">[19]Variables!$D$19</definedName>
    <definedName name="Method">[13]Inputs!$C$6</definedName>
    <definedName name="MidC">[53]lookup!$C$108:$D$116</definedName>
    <definedName name="MidColAskHist">#REF!</definedName>
    <definedName name="MidColBidHist">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 localSheetId="0">[51]Backup!#REF!</definedName>
    <definedName name="MONTH" localSheetId="8">[51]Backup!#REF!</definedName>
    <definedName name="MONTH">[51]Backup!#REF!</definedName>
    <definedName name="Monthdate">#REF!</definedName>
    <definedName name="monthlist">[54]Table!$R$2:$S$13</definedName>
    <definedName name="Months" localSheetId="4">'[55](6.4) Base UTGRC12 Stlmt NPC'!$F$7:$Q$7</definedName>
    <definedName name="Months">'[56](6.7) Base UTGRC12 Stlmt NPC'!$F$7:$Q$7</definedName>
    <definedName name="monthtotals">'[54]WA SBC'!$D$40:$O$40</definedName>
    <definedName name="MSP_Factor">#REF!</definedName>
    <definedName name="MSPAverageInput" localSheetId="0">[57]Inputs!#REF!</definedName>
    <definedName name="MSPAverageInput" localSheetId="8">[57]Inputs!#REF!</definedName>
    <definedName name="MSPAverageInput">[57]Inputs!#REF!</definedName>
    <definedName name="MSPYearEndInput" localSheetId="0">[57]Inputs!#REF!</definedName>
    <definedName name="MSPYearEndInput" localSheetId="8">[57]Inputs!#REF!</definedName>
    <definedName name="MSPYearEndInput">[57]Inputs!#REF!</definedName>
    <definedName name="MTAllocMethod">#REF!</definedName>
    <definedName name="MTKWH" localSheetId="0">#REF!</definedName>
    <definedName name="MTKWH" localSheetId="8">#REF!</definedName>
    <definedName name="MTKWH">#REF!</definedName>
    <definedName name="MTR_YR1">[25]Variables!$C$19</definedName>
    <definedName name="MTR_YR2">[25]Variables!$D$19</definedName>
    <definedName name="MTR_YR3">[58]Variables!$E$14</definedName>
    <definedName name="MTRateBase">#REF!</definedName>
    <definedName name="MTREV" localSheetId="0">#REF!</definedName>
    <definedName name="MTREV" localSheetId="8">#REF!</definedName>
    <definedName name="MTREV">#REF!</definedName>
    <definedName name="MULT" localSheetId="0">#REF!</definedName>
    <definedName name="MULT">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ameTable">#REF!</definedName>
    <definedName name="Net.System.Load">#REF!</definedName>
    <definedName name="Net_to_Gross_Factor">[59]Inputs!$G$8</definedName>
    <definedName name="NetPowerCost">#REF!</definedName>
    <definedName name="NetToGross" localSheetId="6">[8]Inputs!$H$21</definedName>
    <definedName name="NetToGross" localSheetId="4">[9]Inputs!$H$21</definedName>
    <definedName name="NetToGross">[21]Variables!$D$23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[59]Inputs!$N$24</definedName>
    <definedName name="NEWMO1" localSheetId="0">[1]Jan!#REF!</definedName>
    <definedName name="NEWMO1" localSheetId="8">[1]Jan!#REF!</definedName>
    <definedName name="NEWMO1">[1]Jan!#REF!</definedName>
    <definedName name="NEWMO2" localSheetId="0">[1]Jan!#REF!</definedName>
    <definedName name="NEWMO2" localSheetId="8">[1]Jan!#REF!</definedName>
    <definedName name="NEWMO2">[1]Jan!#REF!</definedName>
    <definedName name="NEWMONTH" localSheetId="0">[1]Jan!#REF!</definedName>
    <definedName name="NEWMONTH">[1]Jan!#REF!</definedName>
    <definedName name="NONRES" localSheetId="0">#REF!</definedName>
    <definedName name="NONRES" localSheetId="8">#REF!</definedName>
    <definedName name="NONRES">#REF!</definedName>
    <definedName name="NORMALIZE" localSheetId="0">#REF!</definedName>
    <definedName name="NORMALIZE">#REF!</definedName>
    <definedName name="NormalizedFedTaxExp">[22]Utah!#REF!</definedName>
    <definedName name="NormalizedOMExp">[22]Utah!#REF!</definedName>
    <definedName name="NormalizedState">[22]Utah!#REF!</definedName>
    <definedName name="NormalizedStateTaxExp">[22]Utah!#REF!</definedName>
    <definedName name="NormalizedTOIExp">[22]Utah!#REF!</definedName>
    <definedName name="NOV" localSheetId="0">#REF!</definedName>
    <definedName name="NOV" localSheetId="8">#REF!</definedName>
    <definedName name="NOV">#REF!</definedName>
    <definedName name="NOVT" localSheetId="0">#REF!</definedName>
    <definedName name="NOVT">#REF!</definedName>
    <definedName name="NPC">[16]Inputs!$N$18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NUM" localSheetId="0">#REF!</definedName>
    <definedName name="NUM">#REF!</definedName>
    <definedName name="NymexFutures">[30]Futures!$A$2:$J$500</definedName>
    <definedName name="NymexOptions">[30]Options!$A$2:$K$3000</definedName>
    <definedName name="O_MLIST">#REF!</definedName>
    <definedName name="OCT" localSheetId="0">#REF!</definedName>
    <definedName name="OCT" localSheetId="8">#REF!</definedName>
    <definedName name="OCT">#REF!</definedName>
    <definedName name="OCTT" localSheetId="0">#REF!</definedName>
    <definedName name="OCTT">#REF!</definedName>
    <definedName name="Off.Peak.Ask">#REF!</definedName>
    <definedName name="Off.Peak.Bid">#REF!</definedName>
    <definedName name="OH" localSheetId="6">[8]Inputs!$D$24</definedName>
    <definedName name="OH" localSheetId="4">[9]Inputs!$D$24</definedName>
    <definedName name="OH">[10]Inputs!$D$24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.Peak.Ask">#REF!</definedName>
    <definedName name="On.Peak.Bid">#REF!</definedName>
    <definedName name="ONE" localSheetId="0">[1]Jan!#REF!</definedName>
    <definedName name="ONE" localSheetId="8">[1]Jan!#REF!</definedName>
    <definedName name="ONE">[1]Jan!#REF!</definedName>
    <definedName name="OperatingIncome">#REF!</definedName>
    <definedName name="OpRevReturn">#REF!</definedName>
    <definedName name="option">'[18]Dist Misc'!$F$120</definedName>
    <definedName name="OptionsTable">[30]Options!$A$1:$P$3000</definedName>
    <definedName name="OR_305_12mo_endg_200203" localSheetId="0">#REF!</definedName>
    <definedName name="OR_305_12mo_endg_200203" localSheetId="8">#REF!</definedName>
    <definedName name="OR_305_12mo_endg_200203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" localSheetId="0">#REF!</definedName>
    <definedName name="P" localSheetId="1">#REF!</definedName>
    <definedName name="P" localSheetId="2">#REF!</definedName>
    <definedName name="P">#REF!</definedName>
    <definedName name="page1" localSheetId="0">[47]Summary!#REF!</definedName>
    <definedName name="page1">[47]Summary!#REF!</definedName>
    <definedName name="Page110" localSheetId="4">#REF!</definedName>
    <definedName name="Page110">#REF!</definedName>
    <definedName name="Page111" localSheetId="4">#REF!</definedName>
    <definedName name="Page111">#REF!</definedName>
    <definedName name="Page112" localSheetId="4">#REF!</definedName>
    <definedName name="Page112">#REF!</definedName>
    <definedName name="Page113" localSheetId="4">#REF!</definedName>
    <definedName name="Page113">#REF!</definedName>
    <definedName name="Page114" localSheetId="4">#REF!</definedName>
    <definedName name="Page114">#REF!</definedName>
    <definedName name="Page115" localSheetId="4">#REF!</definedName>
    <definedName name="Page115">#REF!</definedName>
    <definedName name="Page116" localSheetId="4">#REF!</definedName>
    <definedName name="Page116">#REF!</definedName>
    <definedName name="Page117" localSheetId="4">#REF!</definedName>
    <definedName name="Page117">#REF!</definedName>
    <definedName name="Page118" localSheetId="4">#REF!</definedName>
    <definedName name="Page118">#REF!</definedName>
    <definedName name="Page119" localSheetId="4">#REF!</definedName>
    <definedName name="Page119">#REF!</definedName>
    <definedName name="Page120" localSheetId="4">#REF!</definedName>
    <definedName name="Page120">#REF!</definedName>
    <definedName name="Page121" localSheetId="4">#REF!</definedName>
    <definedName name="Page121">#REF!</definedName>
    <definedName name="Page122" localSheetId="4">#REF!</definedName>
    <definedName name="Page122">#REF!</definedName>
    <definedName name="Page123" localSheetId="4">#REF!</definedName>
    <definedName name="Page123">#REF!</definedName>
    <definedName name="Page160" localSheetId="0">#REF!</definedName>
    <definedName name="Page160">#REF!</definedName>
    <definedName name="Page161" localSheetId="0">#REF!</definedName>
    <definedName name="Page161">#REF!</definedName>
    <definedName name="Page162" localSheetId="0">#REF!</definedName>
    <definedName name="Page162">#REF!</definedName>
    <definedName name="Page163">#REF!</definedName>
    <definedName name="Page164">#REF!</definedName>
    <definedName name="Page165">#REF!</definedName>
    <definedName name="Page166">#REF!</definedName>
    <definedName name="Page167">#REF!</definedName>
    <definedName name="Page168">#REF!</definedName>
    <definedName name="Page169">#REF!</definedName>
    <definedName name="Page170">#REF!</definedName>
    <definedName name="Page171">#REF!</definedName>
    <definedName name="Page172">#REF!</definedName>
    <definedName name="Page173">#REF!</definedName>
    <definedName name="Page174">#REF!</definedName>
    <definedName name="Page175">#REF!</definedName>
    <definedName name="Page176">#REF!</definedName>
    <definedName name="Page177">#REF!</definedName>
    <definedName name="Page178">#REF!</definedName>
    <definedName name="Page2" localSheetId="0">'[60]Summary Table - Earned'!#REF!</definedName>
    <definedName name="Page2" localSheetId="8">'[60]Summary Table - Earned'!#REF!</definedName>
    <definedName name="Page2">'[60]Summary Table - Earned'!#REF!</definedName>
    <definedName name="PAGE3" localSheetId="0">#REF!</definedName>
    <definedName name="PAGE3" localSheetId="8">#REF!</definedName>
    <definedName name="PAGE3">#REF!</definedName>
    <definedName name="Page30">#REF!</definedName>
    <definedName name="Page31">#REF!</definedName>
    <definedName name="Page4" localSheetId="0">#REF!</definedName>
    <definedName name="Page4">#REF!</definedName>
    <definedName name="Page43">'[61]Demand Factors'!#REF!</definedName>
    <definedName name="Page44">'[61]Demand Factors'!#REF!</definedName>
    <definedName name="Page45">'[61]Demand Factors'!#REF!</definedName>
    <definedName name="Page46">'[61]Energy Factor'!#REF!</definedName>
    <definedName name="Page47">'[61]Energy Factor'!#REF!</definedName>
    <definedName name="Page48">'[61]Energy Factor'!#REF!</definedName>
    <definedName name="Page5" localSheetId="0">#REF!</definedName>
    <definedName name="Page5">#REF!</definedName>
    <definedName name="Page6">#REF!</definedName>
    <definedName name="Page62" localSheetId="0">[52]TransInvest!#REF!</definedName>
    <definedName name="Page62" localSheetId="8">[52]TransInvest!#REF!</definedName>
    <definedName name="Page62">[52]TransInvest!#REF!</definedName>
    <definedName name="page63" localSheetId="6">'[8]Energy Factor'!#REF!</definedName>
    <definedName name="page63" localSheetId="4">'[9]Energy Factor'!#REF!</definedName>
    <definedName name="page63" localSheetId="0">'[14]Energy Factor'!#REF!</definedName>
    <definedName name="page63">'[14]Energy Factor'!#REF!</definedName>
    <definedName name="page64" localSheetId="6">'[8]Energy Factor'!#REF!</definedName>
    <definedName name="page64" localSheetId="4">'[9]Energy Factor'!#REF!</definedName>
    <definedName name="page64">'[14]Energy Factor'!#REF!</definedName>
    <definedName name="page65" localSheetId="0">#REF!</definedName>
    <definedName name="page65" localSheetId="8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 localSheetId="0">#REF!</definedName>
    <definedName name="page68">#REF!</definedName>
    <definedName name="page69" localSheetId="0">#REF!</definedName>
    <definedName name="page69">#REF!</definedName>
    <definedName name="Page7" localSheetId="0">#REF!</definedName>
    <definedName name="Page7">#REF!</definedName>
    <definedName name="page8" localSheetId="0">#REF!</definedName>
    <definedName name="page8">#REF!</definedName>
    <definedName name="PALL" localSheetId="0">#REF!</definedName>
    <definedName name="PALL">#REF!</definedName>
    <definedName name="paste.cell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_Year1">[19]Variables!$C$21</definedName>
    <definedName name="PC_Year2">[19]Variables!$D$21</definedName>
    <definedName name="PC_YR1">[25]Variables!$C$21</definedName>
    <definedName name="PC_YR2">[25]Variables!$D$21</definedName>
    <definedName name="PCOMP" localSheetId="0">#REF!</definedName>
    <definedName name="PCOMP" localSheetId="8">#REF!</definedName>
    <definedName name="PCOMP">#REF!</definedName>
    <definedName name="PCOMPOSITES" localSheetId="0">#REF!</definedName>
    <definedName name="PCOMPOSITES">#REF!</definedName>
    <definedName name="PCOMPWZ" localSheetId="0">#REF!</definedName>
    <definedName name="PCOMPWZ">#REF!</definedName>
    <definedName name="Peak">#REF!</definedName>
    <definedName name="peak.capacity">#REF!</definedName>
    <definedName name="PeakMethod">[13]Inputs!$T$5</definedName>
    <definedName name="Period">#REF!</definedName>
    <definedName name="Period2">[11]Inputs!$C$5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t.factor">#REF!</definedName>
    <definedName name="PlotsToday">#REF!</definedName>
    <definedName name="PLUG" localSheetId="0">#REF!</definedName>
    <definedName name="PLUG" localSheetId="1">#REF!</definedName>
    <definedName name="PLUG" localSheetId="2">#REF!</definedName>
    <definedName name="PLUG" localSheetId="8">#REF!</definedName>
    <definedName name="PLUG">#REF!</definedName>
    <definedName name="PMAC" localSheetId="0">[51]Backup!#REF!</definedName>
    <definedName name="PMAC" localSheetId="8">[51]Backup!#REF!</definedName>
    <definedName name="PMAC">[51]Backup!#REF!</definedName>
    <definedName name="pref">[22]Utah!#REF!</definedName>
    <definedName name="Pref_">[33]Inputs!$K$20</definedName>
    <definedName name="pref_cost">[22]Utah!#REF!</definedName>
    <definedName name="PrefCost">#REF!</definedName>
    <definedName name="PRESENT" localSheetId="0">#REF!</definedName>
    <definedName name="PRESENT" localSheetId="8">#REF!</definedName>
    <definedName name="PRESENT">#REF!</definedName>
    <definedName name="Pretax_ror">[22]Utah!#REF!</definedName>
    <definedName name="PRICCHNG" localSheetId="0">#REF!</definedName>
    <definedName name="PRICCHNG">#REF!</definedName>
    <definedName name="PricingInfo" hidden="1">[62]Inputs!#REF!</definedName>
    <definedName name="_xlnm.Print_Area" localSheetId="6">'Allocator-2012'!$A$1:$P$49</definedName>
    <definedName name="_xlnm.Print_Area" localSheetId="3">Balance!$A$1:$J$20</definedName>
    <definedName name="_xlnm.Print_Area" localSheetId="7">Comparison!$A$1:$E$24</definedName>
    <definedName name="_xlnm.Print_Area" localSheetId="0">'Exhibit-RMP(JRS-1) page 1'!$A$1:$AC$49</definedName>
    <definedName name="_xlnm.Print_Area" localSheetId="1">'Exhibit-RMP(JRS-1) page 2'!$A$1:$O$54</definedName>
    <definedName name="_xlnm.Print_Area" localSheetId="2">'Exhibit-RMP(JRS-2)'!$A$1:$O$512</definedName>
    <definedName name="_xlnm.Print_Area" localSheetId="8">'Sch1 Bill Impact'!$A$1:$U$37</definedName>
    <definedName name="_xlnm.Print_Area">#REF!</definedName>
    <definedName name="Print_Area_MI">#REF!</definedName>
    <definedName name="_xlnm.Print_Titles" localSheetId="0">'Exhibit-RMP(JRS-1) page 1'!$A:$I,'Exhibit-RMP(JRS-1) page 1'!$8:$13</definedName>
    <definedName name="_xlnm.Print_Titles" localSheetId="2">'Exhibit-RMP(JRS-2)'!$1:$10</definedName>
    <definedName name="_xlnm.Print_Titles">#REF!</definedName>
    <definedName name="Print_Titles_MI" localSheetId="2">'Exhibit-RMP(JRS-2)'!$2:$10</definedName>
    <definedName name="PrintAdjVariable">#REF!</definedName>
    <definedName name="PrintContractChange">#REF!</definedName>
    <definedName name="PrintDepr">#REF!</definedName>
    <definedName name="PrintDetail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tateReport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POSED" localSheetId="0">#REF!</definedName>
    <definedName name="PROPOSED" localSheetId="8">#REF!</definedName>
    <definedName name="PROPOSED">#REF!</definedName>
    <definedName name="ProRate1" localSheetId="0">#REF!</definedName>
    <definedName name="ProRate1">#REF!</definedName>
    <definedName name="PSATable" localSheetId="4">[34]Hermiston!$A$41:$E$56</definedName>
    <definedName name="PSATable">[35]Hermiston!$A$41:$E$56</definedName>
    <definedName name="PTABLES" localSheetId="0">#REF!</definedName>
    <definedName name="PTABLES" localSheetId="8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 localSheetId="0">#REF!</definedName>
    <definedName name="PTMOD">#REF!</definedName>
    <definedName name="PTROLL" localSheetId="0">#REF!</definedName>
    <definedName name="PTROLL">#REF!</definedName>
    <definedName name="purchase.bucks">#REF!</definedName>
    <definedName name="purchase.bucks.name">#REF!</definedName>
    <definedName name="purchase.energy">#REF!</definedName>
    <definedName name="purchase.energy.name">#REF!</definedName>
    <definedName name="purchase.mill">#REF!</definedName>
    <definedName name="purchase.mill.name">#REF!</definedName>
    <definedName name="Purchases">[53]lookup!$C$21:$D$81</definedName>
    <definedName name="PVAsk">#REF!</definedName>
    <definedName name="PVAskHist">#REF!</definedName>
    <definedName name="PVAskOff">#REF!</definedName>
    <definedName name="PVAskToday">#REF!</definedName>
    <definedName name="PVBid">#REF!</definedName>
    <definedName name="PVBidHist">#REF!</definedName>
    <definedName name="PVBidOff">#REF!</definedName>
    <definedName name="PVBidToday">#REF!</definedName>
    <definedName name="pvhlhask">#REF!</definedName>
    <definedName name="pvhlhbid">#REF!</definedName>
    <definedName name="PWORKBACK" localSheetId="0">#REF!</definedName>
    <definedName name="PWORKBACK">#REF!</definedName>
    <definedName name="QF_Data">#REF!</definedName>
    <definedName name="QF_Data_1">#REF!</definedName>
    <definedName name="QFs">[53]lookup!$C$83:$D$106</definedName>
    <definedName name="Query1" localSheetId="0">#REF!</definedName>
    <definedName name="Query1">#REF!</definedName>
    <definedName name="quoted">#REF!</definedName>
    <definedName name="RateBase">#REF!</definedName>
    <definedName name="RateBaseType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C_ADJ" localSheetId="0">#REF!</definedName>
    <definedName name="RC_ADJ">#REF!</definedName>
    <definedName name="Reg_ROR">[22]Utah!#REF!</definedName>
    <definedName name="Report">#REF!</definedName>
    <definedName name="ReportAdjData">#REF!</definedName>
    <definedName name="RESADJ" localSheetId="0">#REF!</definedName>
    <definedName name="RESADJ">#REF!</definedName>
    <definedName name="RESIDENTIAL" localSheetId="0">#REF!</definedName>
    <definedName name="RESIDENTIAL">#REF!</definedName>
    <definedName name="ResourceSupplier">[21]Variables!$D$28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8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8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_SCHD" localSheetId="0">#REF!</definedName>
    <definedName name="REV_SCHD" localSheetId="8">#REF!</definedName>
    <definedName name="REV_SCHD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1">'[25]PPL_905_Pg1 (RR by Class)'!$C$37</definedName>
    <definedName name="revenue3" localSheetId="0">#REF!</definedName>
    <definedName name="revenue3" localSheetId="8">#REF!</definedName>
    <definedName name="revenue3">#REF!</definedName>
    <definedName name="RevenueCheck" localSheetId="0">#REF!</definedName>
    <definedName name="RevenueCheck">#REF!</definedName>
    <definedName name="Revenues" localSheetId="0">#REF!</definedName>
    <definedName name="Revenues">#REF!</definedName>
    <definedName name="RevenueSum">"GRID Thermal Revenue!R2C1:R4C2"</definedName>
    <definedName name="RevFactorCheck">#REF!</definedName>
    <definedName name="REVN_High1">'[63]Master Data'!$AB$2</definedName>
    <definedName name="REVN_Low1">'[63]Master Data'!$AB$15</definedName>
    <definedName name="REVN_Low2">'[63]Master Data'!$AE$15</definedName>
    <definedName name="RevNumberSort">#REF!</definedName>
    <definedName name="RevReqSettle" localSheetId="0">#REF!</definedName>
    <definedName name="RevReqSettle" localSheetId="8">#REF!</definedName>
    <definedName name="RevReqSettle">#REF!</definedName>
    <definedName name="RevTypeCheck">#REF!</definedName>
    <definedName name="REVVSTRS" localSheetId="0">#REF!</definedName>
    <definedName name="REVVSTRS">#REF!</definedName>
    <definedName name="RFMData">#REF!</definedName>
    <definedName name="RISFORM" localSheetId="0">#REF!</definedName>
    <definedName name="RISFORM">#REF!</definedName>
    <definedName name="ROE">#REF!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>#REF!</definedName>
    <definedName name="Sales">[53]lookup!$C$3:$D$19</definedName>
    <definedName name="sales.bucks">#REF!</definedName>
    <definedName name="sales.bucks.name">#REF!</definedName>
    <definedName name="sales.energy">#REF!</definedName>
    <definedName name="sales.energy.name">#REF!</definedName>
    <definedName name="sales.mill">#REF!</definedName>
    <definedName name="sales.mill.name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"44KU92Q9LH2VK4DK86GZ93AXN"</definedName>
    <definedName name="Saturdays">'[42]on off peak hours'!$C$5:$Z$5</definedName>
    <definedName name="Sch25Split">[64]Inputs!$N$29</definedName>
    <definedName name="SCH33CUSTS" localSheetId="0">#REF!</definedName>
    <definedName name="SCH33CUSTS" localSheetId="8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 localSheetId="0">#REF!</definedName>
    <definedName name="SCHED47">#REF!</definedName>
    <definedName name="Schedule">[16]Inputs!$N$14</definedName>
    <definedName name="se" localSheetId="0">#REF!</definedName>
    <definedName name="se">#REF!</definedName>
    <definedName name="sec.sales.bucks">#REF!</definedName>
    <definedName name="sec.sales.bucks.name">#REF!</definedName>
    <definedName name="sec.sales.energy">#REF!</definedName>
    <definedName name="sec.sales.energy.name">#REF!</definedName>
    <definedName name="sec.sales.mill">#REF!</definedName>
    <definedName name="sec.sales.mill.name">#REF!</definedName>
    <definedName name="SECOND" localSheetId="0">[1]Jan!#REF!</definedName>
    <definedName name="SECOND" localSheetId="8">[1]Jan!#REF!</definedName>
    <definedName name="SECOND">[1]Jan!#REF!</definedName>
    <definedName name="SEP" localSheetId="0">#REF!</definedName>
    <definedName name="SEP" localSheetId="8">#REF!</definedName>
    <definedName name="SEP">#REF!</definedName>
    <definedName name="SEPT" localSheetId="0">#REF!</definedName>
    <definedName name="SEPT">#REF!</definedName>
    <definedName name="SEPT95">#REF!</definedName>
    <definedName name="SEPT96">#REF!</definedName>
    <definedName name="SEPT97">#REF!</definedName>
    <definedName name="September_2001_305_Detail" localSheetId="0">#REF!</definedName>
    <definedName name="September_2001_305_Detail">#REF!</definedName>
    <definedName name="Service_Year1">[19]Variables!$C$18</definedName>
    <definedName name="Service_Year2">[19]Variables!$D$18</definedName>
    <definedName name="SERVICES_3" localSheetId="0">#REF!</definedName>
    <definedName name="SERVICES_3" localSheetId="8">#REF!</definedName>
    <definedName name="SERVICES_3">#REF!</definedName>
    <definedName name="SettingAlloc">#REF!</definedName>
    <definedName name="SettingRB">#REF!</definedName>
    <definedName name="sg" localSheetId="0">#REF!</definedName>
    <definedName name="sg">#REF!</definedName>
    <definedName name="shapefactortable">'[30]GAS CURVE Engine'!$AW$3:$CB$34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lver_adj" localSheetId="2" hidden="1">'Exhibit-RMP(JRS-2)'!#REF!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'Exhibit-RMP(JRS-2)'!#REF!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RV_YR1">[25]Variables!$C$18</definedName>
    <definedName name="SRV_YR2">[25]Variables!$D$18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[50]Variance!#REF!</definedName>
    <definedName name="ST_Top1">[27]Variance!#REF!</definedName>
    <definedName name="ST_Top2">[27]Variance!#REF!</definedName>
    <definedName name="ST_Top3">#REF!</definedName>
    <definedName name="standard1" hidden="1">{"YTD-Total",#N/A,FALSE,"Provision"}</definedName>
    <definedName name="START" localSheetId="0">[1]Jan!#REF!</definedName>
    <definedName name="START" localSheetId="8">[1]Jan!#REF!</definedName>
    <definedName name="START">[1]Jan!#REF!</definedName>
    <definedName name="Start_Month">#REF!</definedName>
    <definedName name="startmonth">'[30]GAS CURVE Engine'!$N$2</definedName>
    <definedName name="startmonth1">'[30]OTC Gas Quotes'!$L$6</definedName>
    <definedName name="startmonth10">'[30]OTC Gas Quotes'!$L$15</definedName>
    <definedName name="startmonth2">'[30]OTC Gas Quotes'!$L$7</definedName>
    <definedName name="startmonth3">'[30]OTC Gas Quotes'!$L$8</definedName>
    <definedName name="startmonth4">'[30]OTC Gas Quotes'!$L$9</definedName>
    <definedName name="startmonth5">'[30]OTC Gas Quotes'!$L$10</definedName>
    <definedName name="startmonth6">'[30]OTC Gas Quotes'!$L$11</definedName>
    <definedName name="startmonth7">'[30]OTC Gas Quotes'!$L$12</definedName>
    <definedName name="startmonth8">'[30]OTC Gas Quotes'!$L$13</definedName>
    <definedName name="startmonth9">'[30]OTC Gas Quotes'!$L$14</definedName>
    <definedName name="StartMWh">#REF!</definedName>
    <definedName name="StartTheMill">#REF!</definedName>
    <definedName name="StartTheRack">#REF!</definedName>
    <definedName name="State" localSheetId="6">[8]Inputs!$C$5</definedName>
    <definedName name="State" localSheetId="4">[9]Inputs!$C$5</definedName>
    <definedName name="State">[19]Variables!$C$10</definedName>
    <definedName name="StateTax">[22]Utah!#REF!</definedName>
    <definedName name="Storage">[53]lookup!$C$118:$D$136</definedName>
    <definedName name="Streetlight_Year1">[19]Variables!$C$24</definedName>
    <definedName name="Streetlight_Year2">[19]Variables!$D$24</definedName>
    <definedName name="SUM_TAB1" localSheetId="0">#REF!</definedName>
    <definedName name="SUM_TAB1" localSheetId="8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SumAdjContract">[22]Utah!#REF!</definedName>
    <definedName name="SumAdjDepr">[22]Utah!#REF!</definedName>
    <definedName name="SumAdjMisc1">[22]Utah!#REF!</definedName>
    <definedName name="SumAdjMisc2">[22]Utah!#REF!</definedName>
    <definedName name="SumAdjNPC">[22]Utah!#REF!</definedName>
    <definedName name="SumAdjOM">[22]Utah!#REF!</definedName>
    <definedName name="SumAdjOther">[22]Utah!#REF!</definedName>
    <definedName name="SumAdjRB">[22]Utah!#REF!</definedName>
    <definedName name="SumAdjRev">[22]Utah!#REF!</definedName>
    <definedName name="SumAdjTax">[22]Utah!#REF!</definedName>
    <definedName name="SUMMARY">#REF!</definedName>
    <definedName name="SUMMARY23">[22]Utah!#REF!</definedName>
    <definedName name="SUMMARY3">[22]Utah!#REF!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Sundays">'[42]on off peak hours'!$C$6:$Z$6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[22]Utah!#REF!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[22]Utah!#REF!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4_A" localSheetId="0">#REF!</definedName>
    <definedName name="TABLE_4_A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7" localSheetId="0">#REF!</definedName>
    <definedName name="TABLE_7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3">'[65]Allocation FY2004'!#REF!</definedName>
    <definedName name="table4">'[65]Allocation FY2004'!#REF!</definedName>
    <definedName name="TABLEA" localSheetId="0">#REF!</definedName>
    <definedName name="TABLEA">#REF!</definedName>
    <definedName name="TABLEB" localSheetId="0">#REF!</definedName>
    <definedName name="TABLEB">#REF!</definedName>
    <definedName name="TABLEC" localSheetId="0">#REF!</definedName>
    <definedName name="TABLEC">#REF!</definedName>
    <definedName name="TABLEONE" localSheetId="0">#REF!</definedName>
    <definedName name="TABLEONE">#REF!</definedName>
    <definedName name="tablex">[66]Sheet1!#REF!</definedName>
    <definedName name="tabley">#REF!</definedName>
    <definedName name="TargetInc">[12]Inputs!$K$19</definedName>
    <definedName name="TargetROR" localSheetId="6">[8]Inputs!$L$6</definedName>
    <definedName name="TargetROR" localSheetId="4">[9]Inputs!$L$6</definedName>
    <definedName name="TargetROR" localSheetId="1">[67]Inputs!$L$6</definedName>
    <definedName name="TargetROR" localSheetId="8">[68]Inputs!$L$6</definedName>
    <definedName name="Targetror">[18]Variables!$I$38</definedName>
    <definedName name="TargetROR1">[69]Inputs!$G$30</definedName>
    <definedName name="TAX_RATE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[22]Utah!#REF!</definedName>
    <definedName name="TaxTypeCheck">#REF!</definedName>
    <definedName name="TDMOD" localSheetId="0">#REF!</definedName>
    <definedName name="TDMOD" localSheetId="8">#REF!</definedName>
    <definedName name="TDMOD">#REF!</definedName>
    <definedName name="TDROLL" localSheetId="0">#REF!</definedName>
    <definedName name="TDROLL">#REF!</definedName>
    <definedName name="TEMPADJ" localSheetId="0">#REF!</definedName>
    <definedName name="TEMPADJ">#REF!</definedName>
    <definedName name="Test" localSheetId="0">#REF!</definedName>
    <definedName name="Test">#REF!</definedName>
    <definedName name="Test_COS" localSheetId="6">'[8]Hot Sheet'!$F$120</definedName>
    <definedName name="Test_COS" localSheetId="4">'[9]Hot Sheet'!$F$120</definedName>
    <definedName name="Test_COS">'[10]Hot Sheet'!$F$120</definedName>
    <definedName name="TEST0">#REF!</definedName>
    <definedName name="Test1" localSheetId="0">#REF!</definedName>
    <definedName name="Test1" localSheetId="8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>#REF!</definedName>
    <definedName name="TESTKEYS">#REF!</definedName>
    <definedName name="TestPeriod" localSheetId="6">[8]Inputs!$C$6</definedName>
    <definedName name="TestPeriod" localSheetId="4">[9]Inputs!$C$6</definedName>
    <definedName name="TestPeriod">[10]Inputs!$C$6</definedName>
    <definedName name="TESTVKEY">#REF!</definedName>
    <definedName name="TESTYEAR">[25]Variables!$C$11</definedName>
    <definedName name="ThreeFactorElectric">#REF!</definedName>
    <definedName name="TIMAAVGRBOR">#REF!</definedName>
    <definedName name="title">#REF!</definedName>
    <definedName name="total.fuel.bucks">#REF!</definedName>
    <definedName name="total.fuel.energy">#REF!</definedName>
    <definedName name="total.hydro.energy">#REF!</definedName>
    <definedName name="total.purchase.bucks">#REF!</definedName>
    <definedName name="total.purchase.energy">#REF!</definedName>
    <definedName name="total.requirements">#REF!</definedName>
    <definedName name="total.resources">#REF!</definedName>
    <definedName name="total.sales.bucks">#REF!</definedName>
    <definedName name="total.sales.energy">#REF!</definedName>
    <definedName name="total.wheeling.bucks">#REF!</definedName>
    <definedName name="TotalRateBase" localSheetId="6">'[8]G+T+D+R+M'!$H$58</definedName>
    <definedName name="TotalRateBase" localSheetId="4">'[9]G+T+D+R+M'!$H$58</definedName>
    <definedName name="TotalRateBase">'[14]G+T+D+R+M'!$H$58</definedName>
    <definedName name="TotTaxRate" localSheetId="6">[8]Inputs!$H$17</definedName>
    <definedName name="TotTaxRate" localSheetId="4">[9]Inputs!$H$17</definedName>
    <definedName name="TotTaxRate">[14]Inputs!$H$17</definedName>
    <definedName name="Trans_Year1">[19]Variables!$C$22</definedName>
    <definedName name="Trans_Year2">[19]Variables!$D$22</definedName>
    <definedName name="TRANS_YR1">[25]Variables!$C$22</definedName>
    <definedName name="TRANS_YR2">[25]Variables!$D$22</definedName>
    <definedName name="TRANSM_2">[70]Transm2!$A$1:$M$461:'[70]10 Yr FC'!$M$47</definedName>
    <definedName name="Type1Adj">[22]Utah!#REF!</definedName>
    <definedName name="Type1AdjTax">[22]Utah!#REF!</definedName>
    <definedName name="Type2Adj">[22]Utah!#REF!</definedName>
    <definedName name="Type2AdjTax">[22]Utah!#REF!</definedName>
    <definedName name="Type3Adj">[22]Utah!#REF!</definedName>
    <definedName name="Type3AdjTax">[22]Utah!#REF!</definedName>
    <definedName name="UAACT115S">'[16]Functional Study'!#REF!</definedName>
    <definedName name="UAACT550SGW" localSheetId="6">[8]FuncStudy!$Y$405</definedName>
    <definedName name="UAACT550SGW" localSheetId="4">[9]FuncStudy!$Y$405</definedName>
    <definedName name="UAACT550SGW">[14]FuncStudy!$Y$405</definedName>
    <definedName name="UAACT554SGW" localSheetId="6">[8]FuncStudy!$Y$427</definedName>
    <definedName name="UAACT554SGW" localSheetId="4">[9]FuncStudy!$Y$427</definedName>
    <definedName name="UAACT554SGW">[14]FuncStudy!$Y$427</definedName>
    <definedName name="UAcct103" localSheetId="6">[8]FuncStudy!$Y$1315</definedName>
    <definedName name="UAcct103" localSheetId="4">[9]FuncStudy!$Y$1315</definedName>
    <definedName name="UAcct103">'[10]Func Study'!$AB$1645</definedName>
    <definedName name="UAcct105Dnpg">'[11]Functional Study'!$AG$1964</definedName>
    <definedName name="UAcct105S" localSheetId="6">[8]FuncStudy!$Y$1673</definedName>
    <definedName name="UAcct105S" localSheetId="4">[9]FuncStudy!$Y$1673</definedName>
    <definedName name="UAcct105S">'[10]Func Study'!$AB$2033</definedName>
    <definedName name="UAcct105SEU" localSheetId="6">[8]FuncStudy!$Y$1677</definedName>
    <definedName name="UAcct105SEU" localSheetId="4">[9]FuncStudy!$Y$1677</definedName>
    <definedName name="UAcct105SEU">'[10]Func Study'!$AB$2037</definedName>
    <definedName name="UAcct105SGG" localSheetId="6">[8]FuncStudy!$Y$1678</definedName>
    <definedName name="UAcct105SGG" localSheetId="4">[9]FuncStudy!$Y$1678</definedName>
    <definedName name="UAcct105SGG">'[10]Func Study'!$AB$2038</definedName>
    <definedName name="UAcct105SGP1" localSheetId="6">[8]FuncStudy!$Y$1674</definedName>
    <definedName name="UAcct105SGP1" localSheetId="4">[9]FuncStudy!$Y$1674</definedName>
    <definedName name="UAcct105SGP1">'[10]Func Study'!$AB$2034</definedName>
    <definedName name="UAcct105SGP2" localSheetId="6">[8]FuncStudy!$Y$1676</definedName>
    <definedName name="UAcct105SGP2" localSheetId="4">[9]FuncStudy!$Y$1676</definedName>
    <definedName name="UAcct105SGP2">'[10]Func Study'!$AB$2036</definedName>
    <definedName name="UAcct105SGT" localSheetId="6">[8]FuncStudy!$Y$1675</definedName>
    <definedName name="UAcct105SGT" localSheetId="4">[9]FuncStudy!$Y$1675</definedName>
    <definedName name="UAcct105SGT">'[10]Func Study'!$AB$2035</definedName>
    <definedName name="UAcct105Snppo">'[11]Functional Study'!$AG$1962</definedName>
    <definedName name="UAcct105Snpps">'[11]Functional Study'!$AG$1960</definedName>
    <definedName name="UAcct105Snpt">'[11]Functional Study'!$AG$1961</definedName>
    <definedName name="UAcct1081390" localSheetId="6">[8]FuncStudy!$Y$2099</definedName>
    <definedName name="UAcct1081390" localSheetId="4">[9]FuncStudy!$Y$2099</definedName>
    <definedName name="UAcct1081390">'[10]Func Study'!$AB$2487</definedName>
    <definedName name="UAcct1081390Rcl" localSheetId="6">[8]FuncStudy!$Y$2098</definedName>
    <definedName name="UAcct1081390Rcl" localSheetId="4">[9]FuncStudy!$Y$2098</definedName>
    <definedName name="UAcct1081390Rcl">'[10]Func Study'!$AB$2486</definedName>
    <definedName name="UAcct1081390Sou">'[11]Functional Study'!$AG$2403</definedName>
    <definedName name="UAcct1081399" localSheetId="6">[8]FuncStudy!$Y$2107</definedName>
    <definedName name="UAcct1081399" localSheetId="4">[9]FuncStudy!$Y$2107</definedName>
    <definedName name="UAcct1081399">'[10]Func Study'!$AB$2495</definedName>
    <definedName name="UAcct1081399Rcl" localSheetId="6">[8]FuncStudy!$Y$2106</definedName>
    <definedName name="UAcct1081399Rcl" localSheetId="4">[9]FuncStudy!$Y$2106</definedName>
    <definedName name="UAcct1081399Rcl">'[10]Func Study'!$AB$2494</definedName>
    <definedName name="UAcct1081399S">'[11]Functional Study'!$AG$2410</definedName>
    <definedName name="UAcct1081399Sep">'[11]Functional Study'!$AG$2411</definedName>
    <definedName name="UAcct108360" localSheetId="6">[8]FuncStudy!$Y$2006</definedName>
    <definedName name="UAcct108360" localSheetId="4">[9]FuncStudy!$Y$2006</definedName>
    <definedName name="UAcct108360">'[10]Func Study'!$AB$2389</definedName>
    <definedName name="UAcct108361" localSheetId="6">[8]FuncStudy!$Y$2010</definedName>
    <definedName name="UAcct108361" localSheetId="4">[9]FuncStudy!$Y$2010</definedName>
    <definedName name="UAcct108361">'[10]Func Study'!$AB$2393</definedName>
    <definedName name="UAcct108362" localSheetId="6">[8]FuncStudy!$Y$2014</definedName>
    <definedName name="UAcct108362" localSheetId="4">[9]FuncStudy!$Y$2014</definedName>
    <definedName name="UAcct108362">'[10]Func Study'!$AB$2397</definedName>
    <definedName name="UAcct108364" localSheetId="6">[8]FuncStudy!$Y$2018</definedName>
    <definedName name="UAcct108364" localSheetId="4">[9]FuncStudy!$Y$2018</definedName>
    <definedName name="UAcct108364">'[10]Func Study'!$AB$2401</definedName>
    <definedName name="UAcct108365" localSheetId="6">[8]FuncStudy!$Y$2022</definedName>
    <definedName name="UAcct108365" localSheetId="4">[9]FuncStudy!$Y$2022</definedName>
    <definedName name="UAcct108365">'[10]Func Study'!$AB$2405</definedName>
    <definedName name="UAcct108366" localSheetId="6">[8]FuncStudy!$Y$2026</definedName>
    <definedName name="UAcct108366" localSheetId="4">[9]FuncStudy!$Y$2026</definedName>
    <definedName name="UAcct108366">'[10]Func Study'!$AB$2409</definedName>
    <definedName name="UAcct108367" localSheetId="6">[8]FuncStudy!$Y$2030</definedName>
    <definedName name="UAcct108367" localSheetId="4">[9]FuncStudy!$Y$2030</definedName>
    <definedName name="UAcct108367">'[10]Func Study'!$AB$2413</definedName>
    <definedName name="UAcct108368" localSheetId="6">[8]FuncStudy!$Y$2034</definedName>
    <definedName name="UAcct108368" localSheetId="4">[9]FuncStudy!$Y$2034</definedName>
    <definedName name="UAcct108368">'[10]Func Study'!$AB$2417</definedName>
    <definedName name="UAcct108369" localSheetId="6">[8]FuncStudy!$Y$2038</definedName>
    <definedName name="UAcct108369" localSheetId="4">[9]FuncStudy!$Y$2038</definedName>
    <definedName name="UAcct108369">'[10]Func Study'!$AB$2421</definedName>
    <definedName name="UAcct108370" localSheetId="6">[8]FuncStudy!$Y$2042</definedName>
    <definedName name="UAcct108370" localSheetId="4">[9]FuncStudy!$Y$2042</definedName>
    <definedName name="UAcct108370">'[10]Func Study'!$AB$2425</definedName>
    <definedName name="UAcct108371" localSheetId="6">[8]FuncStudy!$Y$2046</definedName>
    <definedName name="UAcct108371" localSheetId="4">[9]FuncStudy!$Y$2046</definedName>
    <definedName name="UAcct108371">'[10]Func Study'!$AB$2429</definedName>
    <definedName name="UAcct108372" localSheetId="6">[8]FuncStudy!$Y$2050</definedName>
    <definedName name="UAcct108372" localSheetId="4">[9]FuncStudy!$Y$2050</definedName>
    <definedName name="UAcct108372">'[10]Func Study'!$AB$2433</definedName>
    <definedName name="UAcct108373" localSheetId="6">[8]FuncStudy!$Y$2054</definedName>
    <definedName name="UAcct108373" localSheetId="4">[9]FuncStudy!$Y$2054</definedName>
    <definedName name="UAcct108373">'[10]Func Study'!$AB$2437</definedName>
    <definedName name="UAcct108D" localSheetId="6">[8]FuncStudy!$Y$2066</definedName>
    <definedName name="UAcct108D" localSheetId="4">[9]FuncStudy!$Y$2066</definedName>
    <definedName name="UAcct108D">'[10]Func Study'!$AB$2449</definedName>
    <definedName name="UAcct108D00" localSheetId="6">[8]FuncStudy!$Y$2058</definedName>
    <definedName name="UAcct108D00" localSheetId="4">[9]FuncStudy!$Y$2058</definedName>
    <definedName name="UAcct108D00">'[10]Func Study'!$AB$2441</definedName>
    <definedName name="UAcct108Ds" localSheetId="6">[8]FuncStudy!$Y$2062</definedName>
    <definedName name="UAcct108Ds" localSheetId="4">[9]FuncStudy!$Y$2062</definedName>
    <definedName name="UAcct108Ds">'[10]Func Study'!$AB$2445</definedName>
    <definedName name="UAcct108Ep" localSheetId="6">[8]FuncStudy!$Y$1988</definedName>
    <definedName name="UAcct108Ep" localSheetId="4">[9]FuncStudy!$Y$1988</definedName>
    <definedName name="UAcct108Ep">'[10]Func Study'!$AB$2362</definedName>
    <definedName name="UAcct108Epsgp">'[12]Functional Study'!#REF!</definedName>
    <definedName name="UAcct108Gpcn" localSheetId="6">[8]FuncStudy!$Y$2076</definedName>
    <definedName name="UAcct108Gpcn" localSheetId="4">[9]FuncStudy!$Y$2076</definedName>
    <definedName name="UAcct108Gpcn">'[10]Func Study'!$AB$2463</definedName>
    <definedName name="uacct108gpdeu">'[10]Func Study'!$AB$2466</definedName>
    <definedName name="UAcct108Gps" localSheetId="6">[8]FuncStudy!$Y$2072</definedName>
    <definedName name="UAcct108Gps" localSheetId="4">[9]FuncStudy!$Y$2072</definedName>
    <definedName name="UAcct108Gps">'[10]Func Study'!$AB$2459</definedName>
    <definedName name="UAcct108Gpse" localSheetId="6">[8]FuncStudy!$Y$2078</definedName>
    <definedName name="UAcct108Gpse" localSheetId="4">[9]FuncStudy!$Y$2078</definedName>
    <definedName name="UAcct108Gpse">'[10]Func Study'!$AB$2465</definedName>
    <definedName name="UAcct108Gpsg" localSheetId="6">[8]FuncStudy!$Y$2075</definedName>
    <definedName name="UAcct108Gpsg" localSheetId="4">[9]FuncStudy!$Y$2075</definedName>
    <definedName name="UAcct108Gpsg">'[10]Func Study'!$AB$2462</definedName>
    <definedName name="UAcct108Gpsgp" localSheetId="6">[8]FuncStudy!$Y$2073</definedName>
    <definedName name="UAcct108Gpsgp" localSheetId="4">[9]FuncStudy!$Y$2073</definedName>
    <definedName name="UAcct108Gpsgp">'[10]Func Study'!$AB$2460</definedName>
    <definedName name="UAcct108Gpsgu" localSheetId="6">[8]FuncStudy!$Y$2074</definedName>
    <definedName name="UAcct108Gpsgu" localSheetId="4">[9]FuncStudy!$Y$2074</definedName>
    <definedName name="UAcct108Gpsgu">'[10]Func Study'!$AB$2461</definedName>
    <definedName name="UAcct108Gpso" localSheetId="6">[8]FuncStudy!$Y$2077</definedName>
    <definedName name="UAcct108Gpso" localSheetId="4">[9]FuncStudy!$Y$2077</definedName>
    <definedName name="UAcct108Gpso">'[10]Func Study'!$AB$2464</definedName>
    <definedName name="UACCT108GPSSGCH" localSheetId="6">[8]FuncStudy!$Y$2080</definedName>
    <definedName name="UACCT108GPSSGCH" localSheetId="4">[9]FuncStudy!$Y$2080</definedName>
    <definedName name="UACCT108GPSSGCH">'[10]Func Study'!$AB$2468</definedName>
    <definedName name="UACCT108GPSSGCT" localSheetId="6">[8]FuncStudy!$Y$2079</definedName>
    <definedName name="UACCT108GPSSGCT" localSheetId="4">[9]FuncStudy!$Y$2079</definedName>
    <definedName name="UACCT108GPSSGCT">'[10]Func Study'!$AB$2467</definedName>
    <definedName name="UAcct108Hp" localSheetId="6">[8]FuncStudy!$Y$1975</definedName>
    <definedName name="UAcct108Hp" localSheetId="4">[9]FuncStudy!$Y$1975</definedName>
    <definedName name="UAcct108Hp">'[10]Func Study'!$AB$2349</definedName>
    <definedName name="UAcct108Hpdgu">'[12]Functional Study'!#REF!</definedName>
    <definedName name="UAcct108Mp" localSheetId="6">[8]FuncStudy!$Y$2092</definedName>
    <definedName name="UAcct108Mp" localSheetId="4">[9]FuncStudy!$Y$2092</definedName>
    <definedName name="UAcct108Mp">'[10]Func Study'!$AB$2480</definedName>
    <definedName name="UAcct108Np" localSheetId="6">[8]FuncStudy!$Y$1968</definedName>
    <definedName name="UAcct108Np" localSheetId="4">[9]FuncStudy!$Y$1968</definedName>
    <definedName name="UAcct108Np">'[10]Func Study'!$AB$2342</definedName>
    <definedName name="UAcct108Npdgu">'[12]Functional Study'!#REF!</definedName>
    <definedName name="UAcct108Npsgu">'[12]Functional Study'!#REF!</definedName>
    <definedName name="UACCT108NPSSCCT">'[11]Functional Study'!$AG$2276</definedName>
    <definedName name="UAcct108Op" localSheetId="6">[8]FuncStudy!$Y$1983</definedName>
    <definedName name="UAcct108Op" localSheetId="4">[9]FuncStudy!$Y$1983</definedName>
    <definedName name="UAcct108Op">'[10]Func Study'!$AB$2357</definedName>
    <definedName name="UAcct108Opsgw" localSheetId="6">[8]FuncStudy!$Y$1980</definedName>
    <definedName name="UAcct108Opsgw" localSheetId="4">[9]FuncStudy!$Y$1980</definedName>
    <definedName name="UAcct108Opsgw">[14]FuncStudy!$Y$1980</definedName>
    <definedName name="UAcct108OPSSGCT" localSheetId="6">[8]FuncStudy!$Y$1982</definedName>
    <definedName name="UAcct108OPSSGCT" localSheetId="4">[9]FuncStudy!$Y$1982</definedName>
    <definedName name="UAcct108OPSSGCT">'[10]Func Study'!$AB$2356</definedName>
    <definedName name="UAcct108Sp" localSheetId="6">[8]FuncStudy!$Y$1962</definedName>
    <definedName name="UAcct108Sp" localSheetId="4">[9]FuncStudy!$Y$1962</definedName>
    <definedName name="UAcct108Sp">'[10]Func Study'!$AB$2336</definedName>
    <definedName name="UAcct108Spdgp">'[12]Functional Study'!$AG$2002</definedName>
    <definedName name="UAcct108Spdgu">'[12]Functional Study'!#REF!</definedName>
    <definedName name="UAcct108Spsgp">'[12]Functional Study'!#REF!</definedName>
    <definedName name="uacct108spssgch" localSheetId="6">[8]FuncStudy!$Y$1961</definedName>
    <definedName name="uacct108spssgch" localSheetId="4">[9]FuncStudy!$Y$1961</definedName>
    <definedName name="uacct108spssgch">'[10]Func Study'!$AB$2335</definedName>
    <definedName name="UACCT108SSGCH">'[11]Functional Study'!$AG$2390</definedName>
    <definedName name="UACCT108SSGCT">'[11]Functional Study'!$AG$2389</definedName>
    <definedName name="UAcct108Tp" localSheetId="6">[8]FuncStudy!$Y$2002</definedName>
    <definedName name="UAcct108Tp" localSheetId="4">[9]FuncStudy!$Y$2002</definedName>
    <definedName name="UAcct108Tp">'[10]Func Study'!$AB$2380</definedName>
    <definedName name="UAcct111390" localSheetId="6">[8]FuncStudy!$Y$2159</definedName>
    <definedName name="UAcct111390" localSheetId="4">[9]FuncStudy!$Y$2159</definedName>
    <definedName name="UAcct111390">'[10]Func Study'!$AB$2554</definedName>
    <definedName name="UAcct111Clg" localSheetId="6">[8]FuncStudy!$Y$2128</definedName>
    <definedName name="UAcct111Clg" localSheetId="4">[9]FuncStudy!$Y$2128</definedName>
    <definedName name="UAcct111Clg">'[10]Func Study'!$AB$2523</definedName>
    <definedName name="UAcct111Clgcn" localSheetId="6">[8]FuncStudy!$Y$2124</definedName>
    <definedName name="UAcct111Clgcn" localSheetId="4">[9]FuncStudy!$Y$2124</definedName>
    <definedName name="UAcct111Clgcn">'[10]Func Study'!$AB$2519</definedName>
    <definedName name="UAcct111Clgsop" localSheetId="6">[8]FuncStudy!$Y$2127</definedName>
    <definedName name="UAcct111Clgsop" localSheetId="4">[9]FuncStudy!$Y$2127</definedName>
    <definedName name="UAcct111Clgsop">'[10]Func Study'!$AB$2522</definedName>
    <definedName name="UAcct111Clgsou" localSheetId="6">[8]FuncStudy!$Y$2126</definedName>
    <definedName name="UAcct111Clgsou" localSheetId="4">[9]FuncStudy!$Y$2126</definedName>
    <definedName name="UAcct111Clgsou">'[10]Func Study'!$AB$2521</definedName>
    <definedName name="UAcct111Clh" localSheetId="6">[8]FuncStudy!$Y$2134</definedName>
    <definedName name="UAcct111Clh" localSheetId="4">[9]FuncStudy!$Y$2134</definedName>
    <definedName name="UAcct111Clh">'[10]Func Study'!$AB$2529</definedName>
    <definedName name="UAcct111Clhdgu">'[12]Functional Study'!#REF!</definedName>
    <definedName name="UAcct111Cls" localSheetId="6">[8]FuncStudy!$Y$2119</definedName>
    <definedName name="UAcct111Cls" localSheetId="4">[9]FuncStudy!$Y$2119</definedName>
    <definedName name="UAcct111Cls">'[10]Func Study'!$AB$2514</definedName>
    <definedName name="UAcct111Ipcn" localSheetId="6">[8]FuncStudy!$Y$2143</definedName>
    <definedName name="UAcct111Ipcn" localSheetId="4">[9]FuncStudy!$Y$2143</definedName>
    <definedName name="UAcct111Ipcn">'[10]Func Study'!$AB$2538</definedName>
    <definedName name="UAcct111Ips" localSheetId="6">[8]FuncStudy!$Y$2138</definedName>
    <definedName name="UAcct111Ips" localSheetId="4">[9]FuncStudy!$Y$2138</definedName>
    <definedName name="UAcct111Ips">'[10]Func Study'!$AB$2533</definedName>
    <definedName name="UAcct111Ipse" localSheetId="6">[8]FuncStudy!$Y$2141</definedName>
    <definedName name="UAcct111Ipse" localSheetId="4">[9]FuncStudy!$Y$2141</definedName>
    <definedName name="UAcct111Ipse">'[10]Func Study'!$AB$2536</definedName>
    <definedName name="UAcct111Ipsg" localSheetId="6">[8]FuncStudy!$Y$2142</definedName>
    <definedName name="UAcct111Ipsg" localSheetId="4">[9]FuncStudy!$Y$2142</definedName>
    <definedName name="UAcct111Ipsg">'[10]Func Study'!$AB$2537</definedName>
    <definedName name="UAcct111Ipsgp" localSheetId="6">[8]FuncStudy!$Y$2139</definedName>
    <definedName name="UAcct111Ipsgp" localSheetId="4">[9]FuncStudy!$Y$2139</definedName>
    <definedName name="UAcct111Ipsgp">'[10]Func Study'!$AB$2534</definedName>
    <definedName name="UAcct111Ipsgu" localSheetId="6">[8]FuncStudy!$Y$2140</definedName>
    <definedName name="UAcct111Ipsgu" localSheetId="4">[9]FuncStudy!$Y$2140</definedName>
    <definedName name="UAcct111Ipsgu">'[10]Func Study'!$AB$2535</definedName>
    <definedName name="uacct111ipso" localSheetId="6">[8]FuncStudy!$Y$2146</definedName>
    <definedName name="uacct111ipso" localSheetId="4">[9]FuncStudy!$Y$2146</definedName>
    <definedName name="uacct111ipso">'[10]Func Study'!$AB$2541</definedName>
    <definedName name="UACCT111IPSSGCH" localSheetId="6">[8]FuncStudy!$Y$2145</definedName>
    <definedName name="UACCT111IPSSGCH" localSheetId="4">[9]FuncStudy!$Y$2145</definedName>
    <definedName name="UACCT111IPSSGCH">'[10]Func Study'!$AB$2540</definedName>
    <definedName name="UACCT111IPSSGCT">'[10]Func Study'!$AB$2539</definedName>
    <definedName name="UAcct114" localSheetId="6">[8]FuncStudy!$Y$1685</definedName>
    <definedName name="UAcct114" localSheetId="4">[9]FuncStudy!$Y$1685</definedName>
    <definedName name="UAcct114">'[10]Func Study'!$AB$2045</definedName>
    <definedName name="UAcct114Dgp">'[12]Functional Study'!#REF!</definedName>
    <definedName name="UACCT115">'[16]Functional Study'!#REF!</definedName>
    <definedName name="UACCT115DGP">'[16]Functional Study'!#REF!</definedName>
    <definedName name="UACCT115SG">'[16]Functional Study'!#REF!</definedName>
    <definedName name="UAcct120" localSheetId="6">[8]FuncStudy!$Y$1689</definedName>
    <definedName name="UAcct120" localSheetId="4">[9]FuncStudy!$Y$1689</definedName>
    <definedName name="UAcct120">'[10]Func Study'!$AB$2049</definedName>
    <definedName name="UAcct124" localSheetId="6">[8]FuncStudy!$Y$1694</definedName>
    <definedName name="UAcct124" localSheetId="4">[9]FuncStudy!$Y$1694</definedName>
    <definedName name="UAcct124">'[10]Func Study'!$AB$2054</definedName>
    <definedName name="UAcct141" localSheetId="6">[8]FuncStudy!$Y$1834</definedName>
    <definedName name="UAcct141" localSheetId="4">[9]FuncStudy!$Y$1834</definedName>
    <definedName name="UAcct141">'[10]Func Study'!$AB$2199</definedName>
    <definedName name="UAcct151" localSheetId="6">[8]FuncStudy!$Y$1716</definedName>
    <definedName name="UAcct151" localSheetId="4">[9]FuncStudy!$Y$1716</definedName>
    <definedName name="UAcct151">'[10]Func Study'!$AB$2076</definedName>
    <definedName name="UAcct151Se">'[10]Func Study'!#REF!</definedName>
    <definedName name="uacct151ssech" localSheetId="6">[8]FuncStudy!$Y$1715</definedName>
    <definedName name="uacct151ssech" localSheetId="4">[9]FuncStudy!$Y$1715</definedName>
    <definedName name="uacct151ssech">'[10]Func Study'!$AB$2075</definedName>
    <definedName name="UACCT151SSECT">'[11]Functional Study'!$AG$2001</definedName>
    <definedName name="UAcct154" localSheetId="6">[8]FuncStudy!$Y$1750</definedName>
    <definedName name="UAcct154" localSheetId="4">[9]FuncStudy!$Y$1750</definedName>
    <definedName name="UAcct154">'[10]Func Study'!$AB$2110</definedName>
    <definedName name="UAcct154Sg">'[12]Functional Study'!$AG$1795</definedName>
    <definedName name="UAcct154Sg2">'[12]Functional Study'!#REF!</definedName>
    <definedName name="uacct154ssgch" localSheetId="6">[8]FuncStudy!$Y$1749</definedName>
    <definedName name="uacct154ssgch" localSheetId="4">[9]FuncStudy!$Y$1749</definedName>
    <definedName name="uacct154ssgch">'[10]Func Study'!$AB$2109</definedName>
    <definedName name="uacct154ssgct">'[11]Functional Study'!$AG$2036</definedName>
    <definedName name="UAcct163" localSheetId="6">[8]FuncStudy!$Y$1755</definedName>
    <definedName name="UAcct163" localSheetId="4">[9]FuncStudy!$Y$1755</definedName>
    <definedName name="UAcct163">'[10]Func Study'!$AB$2120</definedName>
    <definedName name="UAcct165" localSheetId="6">[8]FuncStudy!$Y$1770</definedName>
    <definedName name="UAcct165" localSheetId="4">[9]FuncStudy!$Y$1770</definedName>
    <definedName name="UAcct165">'[10]Func Study'!$AB$2135</definedName>
    <definedName name="UAcct165Gps">'[11]Functional Study'!$AG$2058</definedName>
    <definedName name="UAcct165Se" localSheetId="6">[8]FuncStudy!$Y$1768</definedName>
    <definedName name="UAcct165Se" localSheetId="4">[9]FuncStudy!$Y$1768</definedName>
    <definedName name="UAcct165Se">'[10]Func Study'!$AB$2133</definedName>
    <definedName name="UAcct182" localSheetId="6">[8]FuncStudy!$Y$1701</definedName>
    <definedName name="UAcct182" localSheetId="4">[9]FuncStudy!$Y$1701</definedName>
    <definedName name="UAcct182">'[10]Func Study'!$AB$2061</definedName>
    <definedName name="UAcct18222" localSheetId="6">[8]FuncStudy!$Y$1824</definedName>
    <definedName name="UAcct18222" localSheetId="4">[9]FuncStudy!$Y$1824</definedName>
    <definedName name="UAcct18222">'[10]Func Study'!$AB$2189</definedName>
    <definedName name="UAcct182M" localSheetId="6">[8]FuncStudy!$Y$1780</definedName>
    <definedName name="UAcct182M" localSheetId="4">[9]FuncStudy!$Y$1780</definedName>
    <definedName name="UAcct182M">'[10]Func Study'!$AB$2145</definedName>
    <definedName name="UACCT182MSGCT">'[11]Functional Study'!$AG$2067</definedName>
    <definedName name="UAcct182MSSGCT" localSheetId="6">[8]FuncStudy!$Y$1778</definedName>
    <definedName name="UAcct182MSSGCT" localSheetId="4">[9]FuncStudy!$Y$1778</definedName>
    <definedName name="UAcct182MSSGCT">[14]FuncStudy!$Y$1778</definedName>
    <definedName name="uacct182ssgch">'[10]Func Study'!$AB$2142</definedName>
    <definedName name="UAcct186" localSheetId="6">[8]FuncStudy!$Y$1709</definedName>
    <definedName name="UAcct186" localSheetId="4">[9]FuncStudy!$Y$1709</definedName>
    <definedName name="UAcct186">'[10]Func Study'!$AB$2069</definedName>
    <definedName name="UAcct1869" localSheetId="6">[8]FuncStudy!$Y$1829</definedName>
    <definedName name="UAcct1869" localSheetId="4">[9]FuncStudy!$Y$1829</definedName>
    <definedName name="UAcct1869">'[10]Func Study'!$AB$2194</definedName>
    <definedName name="UAcct186M" localSheetId="6">[8]FuncStudy!$Y$1791</definedName>
    <definedName name="UAcct186M" localSheetId="4">[9]FuncStudy!$Y$1791</definedName>
    <definedName name="UAcct186M">'[10]Func Study'!$AB$2156</definedName>
    <definedName name="UAcct186Mse" localSheetId="6">[8]FuncStudy!$Y$1788</definedName>
    <definedName name="UAcct186Mse" localSheetId="4">[9]FuncStudy!$Y$1788</definedName>
    <definedName name="UAcct186Mse">'[10]Func Study'!$AB$2153</definedName>
    <definedName name="UAcct186Msg">'[12]Functional Study'!#REF!</definedName>
    <definedName name="UAcct190" localSheetId="6">[8]FuncStudy!$Y$1902</definedName>
    <definedName name="UAcct190" localSheetId="4">[9]FuncStudy!$Y$1902</definedName>
    <definedName name="UAcct190">'[10]Func Study'!$AB$2271</definedName>
    <definedName name="UAcct190Baddebt">'[11]Functional Study'!$AG$2187</definedName>
    <definedName name="UAcct190CN" localSheetId="6">[8]FuncStudy!$Y$1891</definedName>
    <definedName name="UAcct190CN" localSheetId="4">[9]FuncStudy!$Y$1891</definedName>
    <definedName name="UAcct190CN">'[10]Func Study'!$AB$2260</definedName>
    <definedName name="UAcct190Dop" localSheetId="6">[8]FuncStudy!$Y$1892</definedName>
    <definedName name="UAcct190Dop" localSheetId="4">[9]FuncStudy!$Y$1892</definedName>
    <definedName name="UAcct190Dop">'[10]Func Study'!$AB$2261</definedName>
    <definedName name="UACCT190IBT" localSheetId="6">[8]FuncStudy!$Y$1894</definedName>
    <definedName name="UACCT190IBT" localSheetId="4">[9]FuncStudy!$Y$1894</definedName>
    <definedName name="UACCT190IBT">'[10]Func Study'!$AB$2263</definedName>
    <definedName name="UACCT190SSGCT" localSheetId="6">[8]FuncStudy!$Y$1901</definedName>
    <definedName name="UACCT190SSGCT" localSheetId="4">[9]FuncStudy!$Y$1901</definedName>
    <definedName name="UACCT190SSGCT">'[10]Func Study'!$AB$2270</definedName>
    <definedName name="UACCT2281" localSheetId="6">[8]FuncStudy!$Y$1847</definedName>
    <definedName name="UACCT2281" localSheetId="4">[9]FuncStudy!$Y$1847</definedName>
    <definedName name="UACCT2281">'[10]Func Study'!$AB$2216</definedName>
    <definedName name="UAcct2282" localSheetId="6">[8]FuncStudy!$Y$1851</definedName>
    <definedName name="UAcct2282" localSheetId="4">[9]FuncStudy!$Y$1851</definedName>
    <definedName name="UAcct2282">'[10]Func Study'!$AB$2220</definedName>
    <definedName name="UAcct2283" localSheetId="6">[8]FuncStudy!$Y$1855</definedName>
    <definedName name="UAcct2283" localSheetId="4">[9]FuncStudy!$Y$1855</definedName>
    <definedName name="UAcct2283">'[10]Func Study'!$AB$2224</definedName>
    <definedName name="UAcct2283S" localSheetId="6">[8]FuncStudy!$Y$1859</definedName>
    <definedName name="UAcct2283S" localSheetId="4">[9]FuncStudy!$Y$1859</definedName>
    <definedName name="UAcct2283S">'[10]Func Study'!$AB$2228</definedName>
    <definedName name="UAcct22841">'[11]Functional Study'!$AG$2156</definedName>
    <definedName name="UAcct22842" localSheetId="6">[8]FuncStudy!$Y$1868</definedName>
    <definedName name="UAcct22842" localSheetId="4">[9]FuncStudy!$Y$1868</definedName>
    <definedName name="UAcct22842">'[10]Func Study'!$AB$2237</definedName>
    <definedName name="UAcct22842Trojd" localSheetId="0">'[13]Func Study'!#REF!</definedName>
    <definedName name="UAcct22842Trojd" localSheetId="8">'[13]Func Study'!#REF!</definedName>
    <definedName name="UAcct22842Trojd">'[13]Func Study'!#REF!</definedName>
    <definedName name="UAcct235" localSheetId="6">[8]FuncStudy!$Y$1843</definedName>
    <definedName name="UAcct235" localSheetId="4">[9]FuncStudy!$Y$1843</definedName>
    <definedName name="UAcct235">'[10]Func Study'!$AB$2212</definedName>
    <definedName name="UAcct252" localSheetId="6">[8]FuncStudy!$Y$1876</definedName>
    <definedName name="UAcct252" localSheetId="4">[9]FuncStudy!$Y$1876</definedName>
    <definedName name="UAcct252">'[10]Func Study'!$AB$2245</definedName>
    <definedName name="UAcct25316" localSheetId="6">[8]FuncStudy!$Y$1724</definedName>
    <definedName name="UAcct25316" localSheetId="4">[9]FuncStudy!$Y$1724</definedName>
    <definedName name="UAcct25316">'[10]Func Study'!$AB$2084</definedName>
    <definedName name="UAcct25317" localSheetId="6">[8]FuncStudy!$Y$1728</definedName>
    <definedName name="UAcct25317" localSheetId="4">[9]FuncStudy!$Y$1728</definedName>
    <definedName name="UAcct25317">'[10]Func Study'!$AB$2088</definedName>
    <definedName name="UAcct25318" localSheetId="6">[8]FuncStudy!$Y$1760</definedName>
    <definedName name="UAcct25318" localSheetId="4">[9]FuncStudy!$Y$1760</definedName>
    <definedName name="UAcct25318">'[10]Func Study'!$AB$2125</definedName>
    <definedName name="UAcct25319" localSheetId="6">[8]FuncStudy!$Y$1732</definedName>
    <definedName name="UAcct25319" localSheetId="4">[9]FuncStudy!$Y$1732</definedName>
    <definedName name="UAcct25319">'[10]Func Study'!$AB$2092</definedName>
    <definedName name="UACCT25398" localSheetId="6">[8]FuncStudy!$Y$1880</definedName>
    <definedName name="UACCT25398" localSheetId="4">[9]FuncStudy!$Y$1880</definedName>
    <definedName name="UACCT25398">'[10]Func Study'!$AB$2249</definedName>
    <definedName name="UACCT25398SE">'[11]Functional Study'!$AG$2171</definedName>
    <definedName name="UAcct25399" localSheetId="6">[8]FuncStudy!$Y$1887</definedName>
    <definedName name="UAcct25399" localSheetId="4">[9]FuncStudy!$Y$1887</definedName>
    <definedName name="UAcct25399">'[10]Func Study'!$AB$2256</definedName>
    <definedName name="UAcct254" localSheetId="6">[8]FuncStudy!$Y$1864</definedName>
    <definedName name="UAcct254" localSheetId="4">[9]FuncStudy!$Y$1864</definedName>
    <definedName name="UAcct254">'[10]Func Study'!$AB$2233</definedName>
    <definedName name="UACCT254SO" localSheetId="6">[8]FuncStudy!$Y$1863</definedName>
    <definedName name="UACCT254SO" localSheetId="4">[9]FuncStudy!$Y$1863</definedName>
    <definedName name="UACCT254SO">'[10]Func Study'!$AB$2232</definedName>
    <definedName name="UAcct255" localSheetId="6">[8]FuncStudy!$Y$1952</definedName>
    <definedName name="UAcct255" localSheetId="4">[9]FuncStudy!$Y$1952</definedName>
    <definedName name="UAcct255">'[10]Func Study'!$AB$2321</definedName>
    <definedName name="UAcct281" localSheetId="6">[8]FuncStudy!$Y$1908</definedName>
    <definedName name="UAcct281" localSheetId="4">[9]FuncStudy!$Y$1908</definedName>
    <definedName name="UAcct281">'[10]Func Study'!$AB$2277</definedName>
    <definedName name="UAcct282" localSheetId="6">[8]FuncStudy!$Y$1926</definedName>
    <definedName name="UAcct282" localSheetId="4">[9]FuncStudy!$Y$1926</definedName>
    <definedName name="UAcct282">'[10]Func Study'!$AB$2295</definedName>
    <definedName name="UAcct282Cn">'[11]Functional Study'!$AG$2207</definedName>
    <definedName name="UAcct282Sgp">'[11]Functional Study'!#REF!</definedName>
    <definedName name="UAcct282So" localSheetId="6">[8]FuncStudy!$Y$1914</definedName>
    <definedName name="UAcct282So" localSheetId="4">[9]FuncStudy!$Y$1914</definedName>
    <definedName name="UAcct282So">'[10]Func Study'!$AB$2283</definedName>
    <definedName name="UAcct283" localSheetId="6">[8]FuncStudy!$Y$1939</definedName>
    <definedName name="UAcct283" localSheetId="4">[9]FuncStudy!$Y$1939</definedName>
    <definedName name="UAcct283">'[10]Func Study'!$AB$2308</definedName>
    <definedName name="UAcct283S">'[11]Functional Study'!$AG$2219</definedName>
    <definedName name="UAcct283So" localSheetId="6">[8]FuncStudy!$Y$1932</definedName>
    <definedName name="UAcct283So" localSheetId="4">[9]FuncStudy!$Y$1932</definedName>
    <definedName name="UAcct283So">'[10]Func Study'!$AB$2301</definedName>
    <definedName name="UACCT283SSGCH">'[10]Func Study'!$AB$2307</definedName>
    <definedName name="UAcct301S" localSheetId="6">[8]FuncStudy!$Y$1636</definedName>
    <definedName name="UAcct301S" localSheetId="4">[9]FuncStudy!$Y$1636</definedName>
    <definedName name="UAcct301S">'[10]Func Study'!$AB$1993</definedName>
    <definedName name="UAcct301Sg" localSheetId="6">[8]FuncStudy!$Y$1638</definedName>
    <definedName name="UAcct301Sg" localSheetId="4">[9]FuncStudy!$Y$1638</definedName>
    <definedName name="UAcct301Sg">'[10]Func Study'!$AB$1995</definedName>
    <definedName name="UAcct301So" localSheetId="6">[8]FuncStudy!$Y$1637</definedName>
    <definedName name="UAcct301So" localSheetId="4">[9]FuncStudy!$Y$1637</definedName>
    <definedName name="UAcct301So">'[10]Func Study'!$AB$1994</definedName>
    <definedName name="UAcct302S" localSheetId="6">[8]FuncStudy!$Y$1641</definedName>
    <definedName name="UAcct302S" localSheetId="4">[9]FuncStudy!$Y$1641</definedName>
    <definedName name="UAcct302S">'[10]Func Study'!$AB$1998</definedName>
    <definedName name="UAcct302Sg" localSheetId="6">[8]FuncStudy!$Y$1642</definedName>
    <definedName name="UAcct302Sg" localSheetId="4">[9]FuncStudy!$Y$1642</definedName>
    <definedName name="UAcct302Sg">'[10]Func Study'!$AB$1999</definedName>
    <definedName name="UAcct302Sgp" localSheetId="6">[8]FuncStudy!$Y$1643</definedName>
    <definedName name="UAcct302Sgp" localSheetId="4">[9]FuncStudy!$Y$1643</definedName>
    <definedName name="UAcct302Sgp">'[10]Func Study'!$AB$2000</definedName>
    <definedName name="UAcct302Sgu" localSheetId="6">[8]FuncStudy!$Y$1644</definedName>
    <definedName name="UAcct302Sgu" localSheetId="4">[9]FuncStudy!$Y$1644</definedName>
    <definedName name="UAcct302Sgu">'[10]Func Study'!$AB$2001</definedName>
    <definedName name="UAcct303Cn" localSheetId="6">[8]FuncStudy!$Y$1652</definedName>
    <definedName name="UAcct303Cn" localSheetId="4">[9]FuncStudy!$Y$1652</definedName>
    <definedName name="UAcct303Cn">'[10]Func Study'!$AB$2009</definedName>
    <definedName name="UAcct303S" localSheetId="6">[8]FuncStudy!$Y$1648</definedName>
    <definedName name="UAcct303S" localSheetId="4">[9]FuncStudy!$Y$1648</definedName>
    <definedName name="UAcct303S">'[10]Func Study'!$AB$2005</definedName>
    <definedName name="UAcct303Se" localSheetId="6">[8]FuncStudy!$Y$1651</definedName>
    <definedName name="UAcct303Se" localSheetId="4">[9]FuncStudy!$Y$1651</definedName>
    <definedName name="UAcct303Se">'[10]Func Study'!$AB$2008</definedName>
    <definedName name="UAcct303Sg" localSheetId="6">[8]FuncStudy!$Y$1649</definedName>
    <definedName name="UAcct303Sg" localSheetId="4">[9]FuncStudy!$Y$1649</definedName>
    <definedName name="UAcct303Sg">'[10]Func Study'!$AB$2006</definedName>
    <definedName name="UAcct303Sgp">'[11]Functional Study'!$AG$1937</definedName>
    <definedName name="UAcct303Sgu">'[11]Functional Study'!$AG$1936</definedName>
    <definedName name="UAcct303So" localSheetId="6">[8]FuncStudy!$Y$1650</definedName>
    <definedName name="UAcct303So" localSheetId="4">[9]FuncStudy!$Y$1650</definedName>
    <definedName name="UAcct303So">'[10]Func Study'!$AB$2007</definedName>
    <definedName name="UACCT303SSGCT" localSheetId="6">[8]FuncStudy!$Y$1654</definedName>
    <definedName name="UACCT303SSGCT" localSheetId="4">[9]FuncStudy!$Y$1654</definedName>
    <definedName name="UACCT303SSGCT">'[10]Func Study'!$AB$2011</definedName>
    <definedName name="UAcct310" localSheetId="6">[8]FuncStudy!$Y$1151</definedName>
    <definedName name="UAcct310" localSheetId="4">[9]FuncStudy!$Y$1151</definedName>
    <definedName name="UAcct310">'[10]Func Study'!$AB$1441</definedName>
    <definedName name="UAcct310Dgu">'[12]Functional Study'!#REF!</definedName>
    <definedName name="UAcct310sg">'[12]Functional Study'!$AG$1208</definedName>
    <definedName name="UAcct310Sgp">'[12]Functional Study'!#REF!</definedName>
    <definedName name="UACCT310SSCH">'[11]Functional Study'!$AG$1367</definedName>
    <definedName name="uacct310ssgch" localSheetId="6">[8]FuncStudy!$Y$1150</definedName>
    <definedName name="uacct310ssgch" localSheetId="4">[9]FuncStudy!$Y$1150</definedName>
    <definedName name="uacct310ssgch">'[10]Func Study'!$AB$1440</definedName>
    <definedName name="UAcct311" localSheetId="6">[8]FuncStudy!$Y$1156</definedName>
    <definedName name="UAcct311" localSheetId="4">[9]FuncStudy!$Y$1156</definedName>
    <definedName name="UAcct311">'[10]Func Study'!$AB$1448</definedName>
    <definedName name="UAcct311Dgu">'[12]Functional Study'!#REF!</definedName>
    <definedName name="UAcct311sg">'[12]Functional Study'!$AG$1213</definedName>
    <definedName name="UACCT311SGCH">'[11]Functional Study'!$AG$1374</definedName>
    <definedName name="UAcct311Sgu">'[12]Functional Study'!#REF!</definedName>
    <definedName name="uacct311ssgch" localSheetId="6">[8]FuncStudy!$Y$1155</definedName>
    <definedName name="uacct311ssgch" localSheetId="4">[9]FuncStudy!$Y$1155</definedName>
    <definedName name="uacct311ssgch">'[10]Func Study'!$AB$1447</definedName>
    <definedName name="UAcct312" localSheetId="6">[8]FuncStudy!$Y$1161</definedName>
    <definedName name="UAcct312" localSheetId="4">[9]FuncStudy!$Y$1161</definedName>
    <definedName name="UAcct312">'[10]Func Study'!$AB$1455</definedName>
    <definedName name="UAcct312S">'[12]Functional Study'!#REF!</definedName>
    <definedName name="UAcct312Sg">'[12]Functional Study'!$AG$1217</definedName>
    <definedName name="UACCT312SGCH">'[11]Functional Study'!$AG$1381</definedName>
    <definedName name="UAcct312Sgu">'[12]Functional Study'!#REF!</definedName>
    <definedName name="uacct312ssgch" localSheetId="6">[8]FuncStudy!$Y$1160</definedName>
    <definedName name="uacct312ssgch" localSheetId="4">[9]FuncStudy!$Y$1160</definedName>
    <definedName name="uacct312ssgch">'[10]Func Study'!$AB$1454</definedName>
    <definedName name="UAcct314" localSheetId="6">[8]FuncStudy!$Y$1166</definedName>
    <definedName name="UAcct314" localSheetId="4">[9]FuncStudy!$Y$1166</definedName>
    <definedName name="UAcct314">'[10]Func Study'!$AB$1462</definedName>
    <definedName name="UAcct314Sgp">'[12]Functional Study'!$AG$1221</definedName>
    <definedName name="UAcct314Sgu">'[12]Functional Study'!#REF!</definedName>
    <definedName name="uacct314ssgch" localSheetId="6">[8]FuncStudy!$Y$1165</definedName>
    <definedName name="uacct314ssgch" localSheetId="4">[9]FuncStudy!$Y$1165</definedName>
    <definedName name="uacct314ssgch">'[10]Func Study'!$AB$1461</definedName>
    <definedName name="UAcct315" localSheetId="6">[8]FuncStudy!$Y$1171</definedName>
    <definedName name="UAcct315" localSheetId="4">[9]FuncStudy!$Y$1171</definedName>
    <definedName name="UAcct315">'[10]Func Study'!$AB$1469</definedName>
    <definedName name="UAcct315Sgp">'[12]Functional Study'!$AG$1225</definedName>
    <definedName name="UAcct315Sgu">'[12]Functional Study'!#REF!</definedName>
    <definedName name="uacct315ssgch" localSheetId="6">[8]FuncStudy!$Y$1170</definedName>
    <definedName name="uacct315ssgch" localSheetId="4">[9]FuncStudy!$Y$1170</definedName>
    <definedName name="uacct315ssgch">'[10]Func Study'!$AB$1468</definedName>
    <definedName name="UAcct316" localSheetId="6">[8]FuncStudy!$Y$1176</definedName>
    <definedName name="UAcct316" localSheetId="4">[9]FuncStudy!$Y$1176</definedName>
    <definedName name="UAcct316">'[10]Func Study'!$AB$1476</definedName>
    <definedName name="UAcct316Sgp">'[12]Functional Study'!$AG$1229</definedName>
    <definedName name="UAcct316Sgu">'[12]Functional Study'!#REF!</definedName>
    <definedName name="uacct316ssgch" localSheetId="6">[8]FuncStudy!$Y$1175</definedName>
    <definedName name="uacct316ssgch" localSheetId="4">[9]FuncStudy!$Y$1175</definedName>
    <definedName name="uacct316ssgch">'[10]Func Study'!$AB$1475</definedName>
    <definedName name="UAcct320" localSheetId="6">[8]FuncStudy!$Y$1188</definedName>
    <definedName name="UAcct320" localSheetId="4">[9]FuncStudy!$Y$1188</definedName>
    <definedName name="UAcct320">'[10]Func Study'!$AB$1492</definedName>
    <definedName name="UAcct320Sgp">'[12]Functional Study'!#REF!</definedName>
    <definedName name="UAcct321" localSheetId="6">[8]FuncStudy!$Y$1192</definedName>
    <definedName name="UAcct321" localSheetId="4">[9]FuncStudy!$Y$1192</definedName>
    <definedName name="UAcct321">'[10]Func Study'!$AB$1497</definedName>
    <definedName name="UAcct321Sgp">'[12]Functional Study'!#REF!</definedName>
    <definedName name="UAcct322" localSheetId="6">[8]FuncStudy!$Y$1196</definedName>
    <definedName name="UAcct322" localSheetId="4">[9]FuncStudy!$Y$1196</definedName>
    <definedName name="UAcct322">'[10]Func Study'!$AB$1502</definedName>
    <definedName name="UAcct322Sgp">'[12]Functional Study'!#REF!</definedName>
    <definedName name="UAcct323" localSheetId="6">[8]FuncStudy!$Y$1200</definedName>
    <definedName name="UAcct323" localSheetId="4">[9]FuncStudy!$Y$1200</definedName>
    <definedName name="UAcct323">'[10]Func Study'!$AB$1507</definedName>
    <definedName name="UAcct323Sgp">'[12]Functional Study'!#REF!</definedName>
    <definedName name="UAcct324" localSheetId="6">[8]FuncStudy!$Y$1204</definedName>
    <definedName name="UAcct324" localSheetId="4">[9]FuncStudy!$Y$1204</definedName>
    <definedName name="UAcct324">'[10]Func Study'!$AB$1512</definedName>
    <definedName name="UAcct324Sgp">'[12]Functional Study'!#REF!</definedName>
    <definedName name="UAcct325" localSheetId="6">[8]FuncStudy!$Y$1208</definedName>
    <definedName name="UAcct325" localSheetId="4">[9]FuncStudy!$Y$1208</definedName>
    <definedName name="UAcct325">'[10]Func Study'!$AB$1517</definedName>
    <definedName name="UAcct325Sgp">'[12]Functional Study'!#REF!</definedName>
    <definedName name="UAcct33" localSheetId="6">[8]FuncStudy!$Y$131</definedName>
    <definedName name="UAcct33" localSheetId="4">[9]FuncStudy!$Y$131</definedName>
    <definedName name="UAcct33">'[10]Func Study'!$AB$290</definedName>
    <definedName name="UAcct330" localSheetId="6">[8]FuncStudy!$Y$1221</definedName>
    <definedName name="UAcct330" localSheetId="4">[9]FuncStudy!$Y$1221</definedName>
    <definedName name="UAcct330">'[10]Func Study'!$AB$1535</definedName>
    <definedName name="UAcct331" localSheetId="6">[8]FuncStudy!$Y$1226</definedName>
    <definedName name="UAcct331" localSheetId="4">[9]FuncStudy!$Y$1226</definedName>
    <definedName name="UAcct331">'[10]Func Study'!$AB$1541</definedName>
    <definedName name="UAcct332" localSheetId="6">[8]FuncStudy!$Y$1231</definedName>
    <definedName name="UAcct332" localSheetId="4">[9]FuncStudy!$Y$1231</definedName>
    <definedName name="UAcct332">'[10]Func Study'!$AB$1547</definedName>
    <definedName name="UAcct333" localSheetId="6">[8]FuncStudy!$Y$1236</definedName>
    <definedName name="UAcct333" localSheetId="4">[9]FuncStudy!$Y$1236</definedName>
    <definedName name="UAcct333">'[10]Func Study'!$AB$1553</definedName>
    <definedName name="UAcct334" localSheetId="6">[8]FuncStudy!$Y$1241</definedName>
    <definedName name="UAcct334" localSheetId="4">[9]FuncStudy!$Y$1241</definedName>
    <definedName name="UAcct334">'[10]Func Study'!$AB$1559</definedName>
    <definedName name="UAcct335" localSheetId="6">[8]FuncStudy!$Y$1246</definedName>
    <definedName name="UAcct335" localSheetId="4">[9]FuncStudy!$Y$1246</definedName>
    <definedName name="UAcct335">'[10]Func Study'!$AB$1565</definedName>
    <definedName name="UAcct336" localSheetId="6">[8]FuncStudy!$Y$1251</definedName>
    <definedName name="UAcct336" localSheetId="4">[9]FuncStudy!$Y$1251</definedName>
    <definedName name="UAcct336">'[10]Func Study'!$AB$1571</definedName>
    <definedName name="UAcct340" localSheetId="6">[8]FuncStudy!$Y$1266</definedName>
    <definedName name="UAcct340" localSheetId="4">[9]FuncStudy!$Y$1266</definedName>
    <definedName name="UAcct340">'[10]Func Study'!$AB$1600</definedName>
    <definedName name="UAcct340Dgu">'[11]Functional Study'!$AG$1516</definedName>
    <definedName name="UAcct340Sgu">'[11]Functional Study'!$AG$1517</definedName>
    <definedName name="UAcct340Sgw" localSheetId="6">[8]FuncStudy!$Y$1264</definedName>
    <definedName name="UAcct340Sgw" localSheetId="4">[9]FuncStudy!$Y$1264</definedName>
    <definedName name="UAcct340Sgw">[14]FuncStudy!$Y$1264</definedName>
    <definedName name="UACCT340SSGCT">'[11]Functional Study'!$AG$1518</definedName>
    <definedName name="UAcct341" localSheetId="6">[8]FuncStudy!$Y$1272</definedName>
    <definedName name="UAcct341" localSheetId="4">[9]FuncStudy!$Y$1272</definedName>
    <definedName name="UAcct341">'[10]Func Study'!$AB$1605</definedName>
    <definedName name="UAcct341Dgu">'[11]Functional Study'!$AG$1522</definedName>
    <definedName name="UAcct341Sgu">'[11]Functional Study'!$AG$1523</definedName>
    <definedName name="UACCT341SGW" localSheetId="6">[8]FuncStudy!$Y$1270</definedName>
    <definedName name="UACCT341SGW" localSheetId="4">[9]FuncStudy!$Y$1270</definedName>
    <definedName name="UACCT341SGW">[14]FuncStudy!$Y$1270</definedName>
    <definedName name="uacct341ssgct" localSheetId="6">[8]FuncStudy!$Y$1271</definedName>
    <definedName name="uacct341ssgct" localSheetId="4">[9]FuncStudy!$Y$1271</definedName>
    <definedName name="uacct341ssgct">'[10]Func Study'!$AB$1604</definedName>
    <definedName name="UAcct342" localSheetId="6">[8]FuncStudy!$Y$1277</definedName>
    <definedName name="UAcct342" localSheetId="4">[9]FuncStudy!$Y$1277</definedName>
    <definedName name="UAcct342">'[10]Func Study'!$AB$1610</definedName>
    <definedName name="UAcct342Dgu">'[11]Functional Study'!$AG$1528</definedName>
    <definedName name="UAcct342Sgu">'[11]Functional Study'!$AG$1529</definedName>
    <definedName name="uacct342ssgct" localSheetId="6">[8]FuncStudy!$Y$1276</definedName>
    <definedName name="uacct342ssgct" localSheetId="4">[9]FuncStudy!$Y$1276</definedName>
    <definedName name="uacct342ssgct">'[10]Func Study'!$AB$1609</definedName>
    <definedName name="UAcct343" localSheetId="6">[8]FuncStudy!$Y$1284</definedName>
    <definedName name="UAcct343" localSheetId="4">[9]FuncStudy!$Y$1284</definedName>
    <definedName name="UAcct343">'[10]Func Study'!$AB$1617</definedName>
    <definedName name="UAcct343Sgw" localSheetId="6">[8]FuncStudy!$Y$1282</definedName>
    <definedName name="UAcct343Sgw" localSheetId="4">[9]FuncStudy!$Y$1282</definedName>
    <definedName name="UAcct343Sgw">[14]FuncStudy!$Y$1282</definedName>
    <definedName name="uacct343sscct" localSheetId="6">[8]FuncStudy!$Y$1283</definedName>
    <definedName name="uacct343sscct" localSheetId="4">[9]FuncStudy!$Y$1283</definedName>
    <definedName name="uacct343sscct">'[10]Func Study'!$AB$1616</definedName>
    <definedName name="UAcct344" localSheetId="6">[8]FuncStudy!$Y$1291</definedName>
    <definedName name="UAcct344" localSheetId="4">[9]FuncStudy!$Y$1291</definedName>
    <definedName name="UAcct344">'[10]Func Study'!$AB$1623</definedName>
    <definedName name="UAcct344S">'[11]Functional Study'!$AG$1541</definedName>
    <definedName name="UAcct344Sgp">'[11]Functional Study'!$AG$1542</definedName>
    <definedName name="UAcct344Sgu">'[11]Functional Study'!$AG$1543</definedName>
    <definedName name="UACCT344SGW" localSheetId="6">[8]FuncStudy!$Y$1289</definedName>
    <definedName name="UACCT344SGW" localSheetId="4">[9]FuncStudy!$Y$1289</definedName>
    <definedName name="UACCT344SGW">[14]FuncStudy!$Y$1289</definedName>
    <definedName name="uacct344ssgct" localSheetId="6">[8]FuncStudy!$Y$1290</definedName>
    <definedName name="uacct344ssgct" localSheetId="4">[9]FuncStudy!$Y$1290</definedName>
    <definedName name="uacct344ssgct">'[10]Func Study'!$AB$1622</definedName>
    <definedName name="UAcct345" localSheetId="6">[8]FuncStudy!$Y$1297</definedName>
    <definedName name="UAcct345" localSheetId="4">[9]FuncStudy!$Y$1297</definedName>
    <definedName name="UAcct345">'[10]Func Study'!$AB$1628</definedName>
    <definedName name="UAcct345Dgu">'[11]Functional Study'!$AG$1548</definedName>
    <definedName name="UAcct345SG">'[12]Functional Study'!$AG$1357</definedName>
    <definedName name="UAcct345Sgu">'[11]Functional Study'!$AG$1549</definedName>
    <definedName name="UACCT345SGW" localSheetId="6">[8]FuncStudy!$Y$1295</definedName>
    <definedName name="UACCT345SGW" localSheetId="4">[9]FuncStudy!$Y$1295</definedName>
    <definedName name="UACCT345SGW">[14]FuncStudy!$Y$1295</definedName>
    <definedName name="uacct345ssgct" localSheetId="6">[8]FuncStudy!$Y$1296</definedName>
    <definedName name="uacct345ssgct" localSheetId="4">[9]FuncStudy!$Y$1296</definedName>
    <definedName name="uacct345ssgct">'[10]Func Study'!$AB$1627</definedName>
    <definedName name="UAcct346" localSheetId="6">[8]FuncStudy!$Y$1303</definedName>
    <definedName name="UAcct346" localSheetId="4">[9]FuncStudy!$Y$1303</definedName>
    <definedName name="UAcct346">'[10]Func Study'!$AB$1633</definedName>
    <definedName name="UAcct346SGW" localSheetId="6">[8]FuncStudy!$Y$1301</definedName>
    <definedName name="UAcct346SGW" localSheetId="4">[9]FuncStudy!$Y$1301</definedName>
    <definedName name="UAcct346SGW">[14]FuncStudy!$Y$1301</definedName>
    <definedName name="UAcct350" localSheetId="6">[8]FuncStudy!$Y$1323</definedName>
    <definedName name="UAcct350" localSheetId="4">[9]FuncStudy!$Y$1323</definedName>
    <definedName name="UAcct350">'[10]Func Study'!$AB$1660</definedName>
    <definedName name="UAcct352" localSheetId="6">[8]FuncStudy!$Y$1330</definedName>
    <definedName name="UAcct352" localSheetId="4">[9]FuncStudy!$Y$1330</definedName>
    <definedName name="UAcct352">'[10]Func Study'!$AB$1667</definedName>
    <definedName name="UAcct353" localSheetId="6">[8]FuncStudy!$Y$1336</definedName>
    <definedName name="UAcct353" localSheetId="4">[9]FuncStudy!$Y$1336</definedName>
    <definedName name="UAcct353">'[10]Func Study'!$AB$1673</definedName>
    <definedName name="UAcct354" localSheetId="6">[8]FuncStudy!$Y$1342</definedName>
    <definedName name="UAcct354" localSheetId="4">[9]FuncStudy!$Y$1342</definedName>
    <definedName name="UAcct354">'[10]Func Study'!$AB$1679</definedName>
    <definedName name="UAcct355" localSheetId="6">[8]FuncStudy!$Y$1348</definedName>
    <definedName name="UAcct355" localSheetId="4">[9]FuncStudy!$Y$1348</definedName>
    <definedName name="UAcct355">'[10]Func Study'!$AB$1685</definedName>
    <definedName name="UAcct356" localSheetId="6">[8]FuncStudy!$Y$1354</definedName>
    <definedName name="UAcct356" localSheetId="4">[9]FuncStudy!$Y$1354</definedName>
    <definedName name="UAcct356">'[10]Func Study'!$AB$1691</definedName>
    <definedName name="UAcct357" localSheetId="6">[8]FuncStudy!$Y$1360</definedName>
    <definedName name="UAcct357" localSheetId="4">[9]FuncStudy!$Y$1360</definedName>
    <definedName name="UAcct357">'[10]Func Study'!$AB$1697</definedName>
    <definedName name="UAcct358" localSheetId="6">[8]FuncStudy!$Y$1366</definedName>
    <definedName name="UAcct358" localSheetId="4">[9]FuncStudy!$Y$1366</definedName>
    <definedName name="UAcct358">'[10]Func Study'!$AB$1703</definedName>
    <definedName name="UAcct359" localSheetId="6">[8]FuncStudy!$Y$1372</definedName>
    <definedName name="UAcct359" localSheetId="4">[9]FuncStudy!$Y$1372</definedName>
    <definedName name="UAcct359">'[10]Func Study'!$AB$1709</definedName>
    <definedName name="UAcct360" localSheetId="6">[8]FuncStudy!$Y$1388</definedName>
    <definedName name="UAcct360" localSheetId="4">[9]FuncStudy!$Y$1388</definedName>
    <definedName name="UAcct360">'[10]Func Study'!$AB$1729</definedName>
    <definedName name="UAcct361" localSheetId="6">[8]FuncStudy!$Y$1394</definedName>
    <definedName name="UAcct361" localSheetId="4">[9]FuncStudy!$Y$1394</definedName>
    <definedName name="UAcct361">'[10]Func Study'!$AB$1735</definedName>
    <definedName name="UAcct362" localSheetId="6">[8]FuncStudy!$Y$1400</definedName>
    <definedName name="UAcct362" localSheetId="4">[9]FuncStudy!$Y$1400</definedName>
    <definedName name="UAcct362">'[10]Func Study'!$AB$1741</definedName>
    <definedName name="UAcct368" localSheetId="6">[8]FuncStudy!$Y$1434</definedName>
    <definedName name="UAcct368" localSheetId="4">[9]FuncStudy!$Y$1434</definedName>
    <definedName name="UAcct368">'[10]Func Study'!$AB$1775</definedName>
    <definedName name="UAcct369" localSheetId="6">[8]FuncStudy!$Y$1441</definedName>
    <definedName name="UAcct369" localSheetId="4">[9]FuncStudy!$Y$1441</definedName>
    <definedName name="UAcct369">'[10]Func Study'!$AB$1782</definedName>
    <definedName name="UAcct369Cug">'[61]Functional Study'!#REF!</definedName>
    <definedName name="UAcct370" localSheetId="6">[8]FuncStudy!$Y$1447</definedName>
    <definedName name="UAcct370" localSheetId="4">[9]FuncStudy!$Y$1447</definedName>
    <definedName name="UAcct370">'[10]Func Study'!$AB$1793</definedName>
    <definedName name="UAcct372A" localSheetId="6">[8]FuncStudy!$Y$1460</definedName>
    <definedName name="UAcct372A" localSheetId="4">[9]FuncStudy!$Y$1460</definedName>
    <definedName name="UAcct372A">'[10]Func Study'!$AB$1806</definedName>
    <definedName name="UAcct372Dp" localSheetId="6">[8]FuncStudy!$Y$1458</definedName>
    <definedName name="UAcct372Dp" localSheetId="4">[9]FuncStudy!$Y$1458</definedName>
    <definedName name="UAcct372Dp">'[10]Func Study'!$AB$1804</definedName>
    <definedName name="UAcct372Ds" localSheetId="6">[8]FuncStudy!$Y$1459</definedName>
    <definedName name="UAcct372Ds" localSheetId="4">[9]FuncStudy!$Y$1459</definedName>
    <definedName name="UAcct372Ds">'[10]Func Study'!$AB$1805</definedName>
    <definedName name="UAcct373" localSheetId="6">[8]FuncStudy!$Y$1467</definedName>
    <definedName name="UAcct373" localSheetId="4">[9]FuncStudy!$Y$1467</definedName>
    <definedName name="UAcct373">'[10]Func Study'!$AB$1813</definedName>
    <definedName name="UAcct389Cn" localSheetId="6">[8]FuncStudy!$Y$1482</definedName>
    <definedName name="UAcct389Cn" localSheetId="4">[9]FuncStudy!$Y$1482</definedName>
    <definedName name="UAcct389Cn">'[10]Func Study'!$AB$1831</definedName>
    <definedName name="UAcct389S" localSheetId="6">[8]FuncStudy!$Y$1481</definedName>
    <definedName name="UAcct389S" localSheetId="4">[9]FuncStudy!$Y$1481</definedName>
    <definedName name="UAcct389S">'[10]Func Study'!$AB$1830</definedName>
    <definedName name="UAcct389Sg" localSheetId="6">[8]FuncStudy!$Y$1484</definedName>
    <definedName name="UAcct389Sg" localSheetId="4">[9]FuncStudy!$Y$1484</definedName>
    <definedName name="UAcct389Sg">'[10]Func Study'!$AB$1833</definedName>
    <definedName name="UAcct389Sgu" localSheetId="6">[8]FuncStudy!$Y$1483</definedName>
    <definedName name="UAcct389Sgu" localSheetId="4">[9]FuncStudy!$Y$1483</definedName>
    <definedName name="UAcct389Sgu">'[10]Func Study'!$AB$1832</definedName>
    <definedName name="UAcct389So" localSheetId="6">[8]FuncStudy!$Y$1485</definedName>
    <definedName name="UAcct389So" localSheetId="4">[9]FuncStudy!$Y$1485</definedName>
    <definedName name="UAcct389So">'[10]Func Study'!$AB$1834</definedName>
    <definedName name="UAcct390Cn" localSheetId="6">[8]FuncStudy!$Y$1492</definedName>
    <definedName name="UAcct390Cn" localSheetId="4">[9]FuncStudy!$Y$1492</definedName>
    <definedName name="UAcct390Cn">'[10]Func Study'!$AB$1841</definedName>
    <definedName name="UAcct390L">'[11]Functional Study'!$AG$1883</definedName>
    <definedName name="UAcct390Lrcl">'[11]Functional Study'!$AG$1885</definedName>
    <definedName name="UACCT390LS" localSheetId="6">[8]FuncStudy!$Y$1601</definedName>
    <definedName name="UACCT390LS" localSheetId="4">[9]FuncStudy!$Y$1601</definedName>
    <definedName name="UACCT390LS">'[10]Func Study'!$AB$1954</definedName>
    <definedName name="UAcct390LSG" localSheetId="6">[8]FuncStudy!$Y$1602</definedName>
    <definedName name="UAcct390LSG" localSheetId="4">[9]FuncStudy!$Y$1602</definedName>
    <definedName name="UAcct390LSG">'[10]Func Study'!$AB$1955</definedName>
    <definedName name="UAcct390LSO" localSheetId="6">[8]FuncStudy!$Y$1603</definedName>
    <definedName name="UAcct390LSO" localSheetId="4">[9]FuncStudy!$Y$1603</definedName>
    <definedName name="UAcct390LSO">'[10]Func Study'!$AB$1956</definedName>
    <definedName name="UAcct390S" localSheetId="6">[8]FuncStudy!$Y$1489</definedName>
    <definedName name="UAcct390S" localSheetId="4">[9]FuncStudy!$Y$1489</definedName>
    <definedName name="UAcct390S">'[10]Func Study'!$AB$1838</definedName>
    <definedName name="UAcct390Sgp" localSheetId="6">[8]FuncStudy!$Y$1490</definedName>
    <definedName name="UAcct390Sgp" localSheetId="4">[9]FuncStudy!$Y$1490</definedName>
    <definedName name="UAcct390Sgp">'[10]Func Study'!$AB$1839</definedName>
    <definedName name="UAcct390Sgu" localSheetId="6">[8]FuncStudy!$Y$1491</definedName>
    <definedName name="UAcct390Sgu" localSheetId="4">[9]FuncStudy!$Y$1491</definedName>
    <definedName name="UAcct390Sgu">'[10]Func Study'!$AB$1840</definedName>
    <definedName name="UAcct390Sop" localSheetId="6">[8]FuncStudy!$Y$1493</definedName>
    <definedName name="UAcct390Sop" localSheetId="4">[9]FuncStudy!$Y$1493</definedName>
    <definedName name="UAcct390Sop">'[10]Func Study'!$AB$1842</definedName>
    <definedName name="UAcct390Sou" localSheetId="6">[8]FuncStudy!$Y$1494</definedName>
    <definedName name="UAcct390Sou" localSheetId="4">[9]FuncStudy!$Y$1494</definedName>
    <definedName name="UAcct390Sou">'[10]Func Study'!$AB$1843</definedName>
    <definedName name="UAcct391Cn" localSheetId="6">[8]FuncStudy!$Y$1501</definedName>
    <definedName name="UAcct391Cn" localSheetId="4">[9]FuncStudy!$Y$1501</definedName>
    <definedName name="UAcct391Cn">'[10]Func Study'!$AB$1851</definedName>
    <definedName name="UAcct391S" localSheetId="6">[8]FuncStudy!$Y$1498</definedName>
    <definedName name="UAcct391S" localSheetId="4">[9]FuncStudy!$Y$1498</definedName>
    <definedName name="UAcct391S">'[10]Func Study'!$AB$1848</definedName>
    <definedName name="UAcct391Se" localSheetId="6">[8]FuncStudy!$Y$1503</definedName>
    <definedName name="UAcct391Se" localSheetId="4">[9]FuncStudy!$Y$1503</definedName>
    <definedName name="UAcct391Se">'[10]Func Study'!$AB$1853</definedName>
    <definedName name="UAcct391Sg" localSheetId="6">[8]FuncStudy!$Y$1502</definedName>
    <definedName name="UAcct391Sg" localSheetId="4">[9]FuncStudy!$Y$1502</definedName>
    <definedName name="UAcct391Sg">'[10]Func Study'!$AB$1852</definedName>
    <definedName name="UAcct391Sgp" localSheetId="6">[8]FuncStudy!$Y$1499</definedName>
    <definedName name="UAcct391Sgp" localSheetId="4">[9]FuncStudy!$Y$1499</definedName>
    <definedName name="UAcct391Sgp">'[10]Func Study'!$AB$1849</definedName>
    <definedName name="UAcct391Sgu" localSheetId="6">[8]FuncStudy!$Y$1500</definedName>
    <definedName name="UAcct391Sgu" localSheetId="4">[9]FuncStudy!$Y$1500</definedName>
    <definedName name="UAcct391Sgu">'[10]Func Study'!$AB$1850</definedName>
    <definedName name="UAcct391So" localSheetId="6">[8]FuncStudy!$Y$1504</definedName>
    <definedName name="UAcct391So" localSheetId="4">[9]FuncStudy!$Y$1504</definedName>
    <definedName name="UAcct391So">'[10]Func Study'!$AB$1854</definedName>
    <definedName name="uacct391ssgch" localSheetId="6">[8]FuncStudy!$Y$1505</definedName>
    <definedName name="uacct391ssgch" localSheetId="4">[9]FuncStudy!$Y$1505</definedName>
    <definedName name="uacct391ssgch">'[10]Func Study'!$AB$1855</definedName>
    <definedName name="UACCT391SSGCT" localSheetId="6">[8]FuncStudy!$Y$1506</definedName>
    <definedName name="UACCT391SSGCT" localSheetId="4">[9]FuncStudy!$Y$1506</definedName>
    <definedName name="UACCT391SSGCT">'[10]Func Study'!$AB$1856</definedName>
    <definedName name="UAcct392Cn" localSheetId="6">[8]FuncStudy!$Y$1513</definedName>
    <definedName name="UAcct392Cn" localSheetId="4">[9]FuncStudy!$Y$1513</definedName>
    <definedName name="UAcct392Cn">'[10]Func Study'!$AB$1863</definedName>
    <definedName name="UAcct392L" localSheetId="6">[8]FuncStudy!$Y$1611</definedName>
    <definedName name="UAcct392L" localSheetId="4">[9]FuncStudy!$Y$1611</definedName>
    <definedName name="UAcct392L">'[10]Func Study'!$AB$1964</definedName>
    <definedName name="UACCT392LRCL" localSheetId="6">[8]FuncStudy!$F$1614</definedName>
    <definedName name="UACCT392LRCL" localSheetId="4">[9]FuncStudy!$F$1614</definedName>
    <definedName name="UACCT392LRCL">'[10]Func Study'!$H$1967</definedName>
    <definedName name="UAcct392S" localSheetId="6">[8]FuncStudy!$Y$1510</definedName>
    <definedName name="UAcct392S" localSheetId="4">[9]FuncStudy!$Y$1510</definedName>
    <definedName name="UAcct392S">'[10]Func Study'!$AB$1860</definedName>
    <definedName name="UAcct392Se" localSheetId="6">[8]FuncStudy!$Y$1515</definedName>
    <definedName name="UAcct392Se" localSheetId="4">[9]FuncStudy!$Y$1515</definedName>
    <definedName name="UAcct392Se">'[10]Func Study'!$AB$1865</definedName>
    <definedName name="UAcct392Sg" localSheetId="6">[8]FuncStudy!$Y$1512</definedName>
    <definedName name="UAcct392Sg" localSheetId="4">[9]FuncStudy!$Y$1512</definedName>
    <definedName name="UAcct392Sg">'[10]Func Study'!$AB$1862</definedName>
    <definedName name="UAcct392Sgp" localSheetId="6">[8]FuncStudy!$Y$1516</definedName>
    <definedName name="UAcct392Sgp" localSheetId="4">[9]FuncStudy!$Y$1516</definedName>
    <definedName name="UAcct392Sgp">'[10]Func Study'!$AB$1866</definedName>
    <definedName name="UAcct392Sgu" localSheetId="6">[8]FuncStudy!$Y$1514</definedName>
    <definedName name="UAcct392Sgu" localSheetId="4">[9]FuncStudy!$Y$1514</definedName>
    <definedName name="UAcct392Sgu">'[10]Func Study'!$AB$1864</definedName>
    <definedName name="UAcct392So" localSheetId="6">[8]FuncStudy!$Y$1511</definedName>
    <definedName name="UAcct392So" localSheetId="4">[9]FuncStudy!$Y$1511</definedName>
    <definedName name="UAcct392So">'[10]Func Study'!$AB$1861</definedName>
    <definedName name="uacct392ssgch" localSheetId="6">[8]FuncStudy!$Y$1517</definedName>
    <definedName name="uacct392ssgch" localSheetId="4">[9]FuncStudy!$Y$1517</definedName>
    <definedName name="uacct392ssgch">'[10]Func Study'!$AB$1867</definedName>
    <definedName name="uacct392ssgct" localSheetId="6">[8]FuncStudy!$Y$1518</definedName>
    <definedName name="uacct392ssgct" localSheetId="4">[9]FuncStudy!$Y$1518</definedName>
    <definedName name="uacct392ssgct">'[10]Func Study'!$AB$1868</definedName>
    <definedName name="UAcct393S" localSheetId="6">[8]FuncStudy!$Y$1522</definedName>
    <definedName name="UAcct393S" localSheetId="4">[9]FuncStudy!$Y$1522</definedName>
    <definedName name="UAcct393S">'[10]Func Study'!$AB$1872</definedName>
    <definedName name="UAcct393Sg" localSheetId="6">[8]FuncStudy!$Y$1526</definedName>
    <definedName name="UAcct393Sg" localSheetId="4">[9]FuncStudy!$Y$1526</definedName>
    <definedName name="UAcct393Sg">'[10]Func Study'!$AB$1876</definedName>
    <definedName name="UAcct393Sgp" localSheetId="6">[8]FuncStudy!$Y$1523</definedName>
    <definedName name="UAcct393Sgp" localSheetId="4">[9]FuncStudy!$Y$1523</definedName>
    <definedName name="UAcct393Sgp">'[10]Func Study'!$AB$1873</definedName>
    <definedName name="UAcct393Sgu" localSheetId="6">[8]FuncStudy!$Y$1524</definedName>
    <definedName name="UAcct393Sgu" localSheetId="4">[9]FuncStudy!$Y$1524</definedName>
    <definedName name="UAcct393Sgu">'[10]Func Study'!$AB$1874</definedName>
    <definedName name="UAcct393So" localSheetId="6">[8]FuncStudy!$Y$1525</definedName>
    <definedName name="UAcct393So" localSheetId="4">[9]FuncStudy!$Y$1525</definedName>
    <definedName name="UAcct393So">'[10]Func Study'!$AB$1875</definedName>
    <definedName name="uacct393ssgct" localSheetId="6">[8]FuncStudy!$Y$1527</definedName>
    <definedName name="uacct393ssgct" localSheetId="4">[9]FuncStudy!$Y$1527</definedName>
    <definedName name="uacct393ssgct">'[10]Func Study'!$AB$1877</definedName>
    <definedName name="UAcct394S" localSheetId="6">[8]FuncStudy!$Y$1531</definedName>
    <definedName name="UAcct394S" localSheetId="4">[9]FuncStudy!$Y$1531</definedName>
    <definedName name="UAcct394S">'[10]Func Study'!$AB$1881</definedName>
    <definedName name="UAcct394Se" localSheetId="6">[8]FuncStudy!$Y$1535</definedName>
    <definedName name="UAcct394Se" localSheetId="4">[9]FuncStudy!$Y$1535</definedName>
    <definedName name="UAcct394Se">'[10]Func Study'!$AB$1885</definedName>
    <definedName name="UAcct394Sg" localSheetId="6">[8]FuncStudy!$Y$1536</definedName>
    <definedName name="UAcct394Sg" localSheetId="4">[9]FuncStudy!$Y$1536</definedName>
    <definedName name="UAcct394Sg">'[10]Func Study'!$AB$1886</definedName>
    <definedName name="UAcct394Sgp" localSheetId="6">[8]FuncStudy!$Y$1532</definedName>
    <definedName name="UAcct394Sgp" localSheetId="4">[9]FuncStudy!$Y$1532</definedName>
    <definedName name="UAcct394Sgp">'[10]Func Study'!$AB$1882</definedName>
    <definedName name="UAcct394Sgu" localSheetId="6">[8]FuncStudy!$Y$1533</definedName>
    <definedName name="UAcct394Sgu" localSheetId="4">[9]FuncStudy!$Y$1533</definedName>
    <definedName name="UAcct394Sgu">'[10]Func Study'!$AB$1883</definedName>
    <definedName name="UAcct394So" localSheetId="6">[8]FuncStudy!$Y$1534</definedName>
    <definedName name="UAcct394So" localSheetId="4">[9]FuncStudy!$Y$1534</definedName>
    <definedName name="UAcct394So">'[10]Func Study'!$AB$1884</definedName>
    <definedName name="UACCT394SSGCH" localSheetId="6">[8]FuncStudy!$Y$1537</definedName>
    <definedName name="UACCT394SSGCH" localSheetId="4">[9]FuncStudy!$Y$1537</definedName>
    <definedName name="UACCT394SSGCH">'[10]Func Study'!$AB$1887</definedName>
    <definedName name="UACCT394SSGCT" localSheetId="6">[8]FuncStudy!$Y$1538</definedName>
    <definedName name="UACCT394SSGCT" localSheetId="4">[9]FuncStudy!$Y$1538</definedName>
    <definedName name="UACCT394SSGCT">'[10]Func Study'!$AB$1888</definedName>
    <definedName name="UAcct395S" localSheetId="6">[8]FuncStudy!$Y$1542</definedName>
    <definedName name="UAcct395S" localSheetId="4">[9]FuncStudy!$Y$1542</definedName>
    <definedName name="UAcct395S">'[10]Func Study'!$AB$1892</definedName>
    <definedName name="UAcct395Se" localSheetId="6">[8]FuncStudy!$Y$1546</definedName>
    <definedName name="UAcct395Se" localSheetId="4">[9]FuncStudy!$Y$1546</definedName>
    <definedName name="UAcct395Se">'[10]Func Study'!$AB$1896</definedName>
    <definedName name="UAcct395Sg" localSheetId="6">[8]FuncStudy!$Y$1547</definedName>
    <definedName name="UAcct395Sg" localSheetId="4">[9]FuncStudy!$Y$1547</definedName>
    <definedName name="UAcct395Sg">'[10]Func Study'!$AB$1897</definedName>
    <definedName name="UAcct395Sgp" localSheetId="6">[8]FuncStudy!$Y$1543</definedName>
    <definedName name="UAcct395Sgp" localSheetId="4">[9]FuncStudy!$Y$1543</definedName>
    <definedName name="UAcct395Sgp">'[10]Func Study'!$AB$1893</definedName>
    <definedName name="UAcct395Sgu" localSheetId="6">[8]FuncStudy!$Y$1544</definedName>
    <definedName name="UAcct395Sgu" localSheetId="4">[9]FuncStudy!$Y$1544</definedName>
    <definedName name="UAcct395Sgu">'[10]Func Study'!$AB$1894</definedName>
    <definedName name="UAcct395So" localSheetId="6">[8]FuncStudy!$Y$1545</definedName>
    <definedName name="UAcct395So" localSheetId="4">[9]FuncStudy!$Y$1545</definedName>
    <definedName name="UAcct395So">'[10]Func Study'!$AB$1895</definedName>
    <definedName name="UACCT395SSGCH" localSheetId="6">[8]FuncStudy!$Y$1548</definedName>
    <definedName name="UACCT395SSGCH" localSheetId="4">[9]FuncStudy!$Y$1548</definedName>
    <definedName name="UACCT395SSGCH">'[10]Func Study'!$AB$1898</definedName>
    <definedName name="UACCT395SSGCT" localSheetId="6">[8]FuncStudy!$Y$1549</definedName>
    <definedName name="UACCT395SSGCT" localSheetId="4">[9]FuncStudy!$Y$1549</definedName>
    <definedName name="UACCT395SSGCT">'[10]Func Study'!$AB$1899</definedName>
    <definedName name="UAcct396S" localSheetId="6">[8]FuncStudy!$Y$1553</definedName>
    <definedName name="UAcct396S" localSheetId="4">[9]FuncStudy!$Y$1553</definedName>
    <definedName name="UAcct396S">'[10]Func Study'!$AB$1903</definedName>
    <definedName name="UAcct396Se" localSheetId="6">[8]FuncStudy!$Y$1558</definedName>
    <definedName name="UAcct396Se" localSheetId="4">[9]FuncStudy!$Y$1558</definedName>
    <definedName name="UAcct396Se">'[10]Func Study'!$AB$1908</definedName>
    <definedName name="UAcct396Sg" localSheetId="6">[8]FuncStudy!$Y$1555</definedName>
    <definedName name="UAcct396Sg" localSheetId="4">[9]FuncStudy!$Y$1555</definedName>
    <definedName name="UAcct396Sg">'[10]Func Study'!$AB$1905</definedName>
    <definedName name="UAcct396Sgp" localSheetId="6">[8]FuncStudy!$Y$1554</definedName>
    <definedName name="UAcct396Sgp" localSheetId="4">[9]FuncStudy!$Y$1554</definedName>
    <definedName name="UAcct396Sgp">'[10]Func Study'!$AB$1904</definedName>
    <definedName name="UAcct396Sgu" localSheetId="6">[8]FuncStudy!$Y$1557</definedName>
    <definedName name="UAcct396Sgu" localSheetId="4">[9]FuncStudy!$Y$1557</definedName>
    <definedName name="UAcct396Sgu">'[10]Func Study'!$AB$1907</definedName>
    <definedName name="UAcct396So" localSheetId="6">[8]FuncStudy!$Y$1556</definedName>
    <definedName name="UAcct396So" localSheetId="4">[9]FuncStudy!$Y$1556</definedName>
    <definedName name="UAcct396So">'[10]Func Study'!$AB$1906</definedName>
    <definedName name="UACCT396SSGCH" localSheetId="6">[8]FuncStudy!$Y$1560</definedName>
    <definedName name="UACCT396SSGCH" localSheetId="4">[9]FuncStudy!$Y$1560</definedName>
    <definedName name="UACCT396SSGCH">'[10]Func Study'!$AB$1910</definedName>
    <definedName name="UACCT396SSGCT" localSheetId="6">[8]FuncStudy!$Y$1559</definedName>
    <definedName name="UACCT396SSGCT" localSheetId="4">[9]FuncStudy!$Y$1559</definedName>
    <definedName name="UACCT396SSGCT">'[10]Func Study'!$AB$1909</definedName>
    <definedName name="UAcct397Cn" localSheetId="6">[8]FuncStudy!$Y$1568</definedName>
    <definedName name="UAcct397Cn" localSheetId="4">[9]FuncStudy!$Y$1568</definedName>
    <definedName name="UAcct397Cn">'[10]Func Study'!$AB$1921</definedName>
    <definedName name="UAcct397S" localSheetId="6">[8]FuncStudy!$Y$1564</definedName>
    <definedName name="UAcct397S" localSheetId="4">[9]FuncStudy!$Y$1564</definedName>
    <definedName name="UAcct397S">'[10]Func Study'!$AB$1917</definedName>
    <definedName name="UAcct397Se" localSheetId="6">[8]FuncStudy!$Y$1570</definedName>
    <definedName name="UAcct397Se" localSheetId="4">[9]FuncStudy!$Y$1570</definedName>
    <definedName name="UAcct397Se">'[10]Func Study'!$AB$1923</definedName>
    <definedName name="UAcct397Sg" localSheetId="6">[8]FuncStudy!$Y$1569</definedName>
    <definedName name="UAcct397Sg" localSheetId="4">[9]FuncStudy!$Y$1569</definedName>
    <definedName name="UAcct397Sg">'[10]Func Study'!$AB$1922</definedName>
    <definedName name="UAcct397Sgp" localSheetId="6">[8]FuncStudy!$Y$1565</definedName>
    <definedName name="UAcct397Sgp" localSheetId="4">[9]FuncStudy!$Y$1565</definedName>
    <definedName name="UAcct397Sgp">'[10]Func Study'!$AB$1918</definedName>
    <definedName name="UAcct397Sgu" localSheetId="6">[8]FuncStudy!$Y$1566</definedName>
    <definedName name="UAcct397Sgu" localSheetId="4">[9]FuncStudy!$Y$1566</definedName>
    <definedName name="UAcct397Sgu">'[10]Func Study'!$AB$1919</definedName>
    <definedName name="UAcct397So" localSheetId="6">[8]FuncStudy!$Y$1567</definedName>
    <definedName name="UAcct397So" localSheetId="4">[9]FuncStudy!$Y$1567</definedName>
    <definedName name="UAcct397So">'[10]Func Study'!$AB$1920</definedName>
    <definedName name="UACCT397SSGCH" localSheetId="6">[8]FuncStudy!$Y$1571</definedName>
    <definedName name="UACCT397SSGCH" localSheetId="4">[9]FuncStudy!$Y$1571</definedName>
    <definedName name="UACCT397SSGCH">'[10]Func Study'!$AB$1924</definedName>
    <definedName name="UACCT397SSGCT" localSheetId="6">[8]FuncStudy!$Y$1572</definedName>
    <definedName name="UACCT397SSGCT" localSheetId="4">[9]FuncStudy!$Y$1572</definedName>
    <definedName name="UACCT397SSGCT">'[10]Func Study'!$AB$1925</definedName>
    <definedName name="UAcct398Cn" localSheetId="6">[8]FuncStudy!$Y$1579</definedName>
    <definedName name="UAcct398Cn" localSheetId="4">[9]FuncStudy!$Y$1579</definedName>
    <definedName name="UAcct398Cn">'[10]Func Study'!$AB$1932</definedName>
    <definedName name="UAcct398S" localSheetId="6">[8]FuncStudy!$Y$1576</definedName>
    <definedName name="UAcct398S" localSheetId="4">[9]FuncStudy!$Y$1576</definedName>
    <definedName name="UAcct398S">'[10]Func Study'!$AB$1929</definedName>
    <definedName name="UAcct398Se" localSheetId="6">[8]FuncStudy!$Y$1581</definedName>
    <definedName name="UAcct398Se" localSheetId="4">[9]FuncStudy!$Y$1581</definedName>
    <definedName name="UAcct398Se">'[10]Func Study'!$AB$1934</definedName>
    <definedName name="UAcct398Sg" localSheetId="6">[8]FuncStudy!$Y$1582</definedName>
    <definedName name="UAcct398Sg" localSheetId="4">[9]FuncStudy!$Y$1582</definedName>
    <definedName name="UAcct398Sg">'[10]Func Study'!$AB$1935</definedName>
    <definedName name="UAcct398Sgp" localSheetId="6">[8]FuncStudy!$Y$1577</definedName>
    <definedName name="UAcct398Sgp" localSheetId="4">[9]FuncStudy!$Y$1577</definedName>
    <definedName name="UAcct398Sgp">'[10]Func Study'!$AB$1930</definedName>
    <definedName name="UAcct398Sgu" localSheetId="6">[8]FuncStudy!$Y$1578</definedName>
    <definedName name="UAcct398Sgu" localSheetId="4">[9]FuncStudy!$Y$1578</definedName>
    <definedName name="UAcct398Sgu">'[10]Func Study'!$AB$1931</definedName>
    <definedName name="UAcct398So" localSheetId="6">[8]FuncStudy!$Y$1580</definedName>
    <definedName name="UAcct398So" localSheetId="4">[9]FuncStudy!$Y$1580</definedName>
    <definedName name="UAcct398So">'[10]Func Study'!$AB$1933</definedName>
    <definedName name="UACCT398SSGCT" localSheetId="6">[8]FuncStudy!$Y$1583</definedName>
    <definedName name="UACCT398SSGCT" localSheetId="4">[9]FuncStudy!$Y$1583</definedName>
    <definedName name="UACCT398SSGCT">'[10]Func Study'!$AB$1936</definedName>
    <definedName name="UAcct399" localSheetId="6">[8]FuncStudy!$Y$1590</definedName>
    <definedName name="UAcct399" localSheetId="4">[9]FuncStudy!$Y$1590</definedName>
    <definedName name="UAcct399">'[10]Func Study'!$AB$1943</definedName>
    <definedName name="UAcct399G" localSheetId="6">[8]FuncStudy!$Y$1631</definedName>
    <definedName name="UAcct399G" localSheetId="4">[9]FuncStudy!$Y$1631</definedName>
    <definedName name="UAcct399G">'[10]Func Study'!$AB$1984</definedName>
    <definedName name="UAcct399L" localSheetId="6">[8]FuncStudy!$Y$1594</definedName>
    <definedName name="UAcct399L" localSheetId="4">[9]FuncStudy!$Y$1594</definedName>
    <definedName name="UAcct399L">'[10]Func Study'!$AB$1947</definedName>
    <definedName name="UAcct399Lrcl" localSheetId="6">[8]FuncStudy!$Y$1596</definedName>
    <definedName name="UAcct399Lrcl" localSheetId="4">[9]FuncStudy!$Y$1596</definedName>
    <definedName name="UAcct399Lrcl">'[10]Func Study'!$AB$1949</definedName>
    <definedName name="UAcct403360" localSheetId="6">[8]FuncStudy!$Y$808</definedName>
    <definedName name="UAcct403360" localSheetId="4">[9]FuncStudy!$Y$808</definedName>
    <definedName name="UAcct403360">'[10]Func Study'!$AB$1045</definedName>
    <definedName name="UAcct403361" localSheetId="6">[8]FuncStudy!$Y$809</definedName>
    <definedName name="UAcct403361" localSheetId="4">[9]FuncStudy!$Y$809</definedName>
    <definedName name="UAcct403361">'[10]Func Study'!$AB$1046</definedName>
    <definedName name="UAcct403362" localSheetId="6">[8]FuncStudy!$Y$810</definedName>
    <definedName name="UAcct403362" localSheetId="4">[9]FuncStudy!$Y$810</definedName>
    <definedName name="UAcct403362">'[10]Func Study'!$AB$1047</definedName>
    <definedName name="UAcct403363">'[11]Functional Study'!$AG$1076</definedName>
    <definedName name="UAcct403364" localSheetId="6">[8]FuncStudy!$Y$811</definedName>
    <definedName name="UAcct403364" localSheetId="4">[9]FuncStudy!$Y$811</definedName>
    <definedName name="UAcct403364">'[10]Func Study'!$AB$1048</definedName>
    <definedName name="UAcct403365" localSheetId="6">[8]FuncStudy!$Y$812</definedName>
    <definedName name="UAcct403365" localSheetId="4">[9]FuncStudy!$Y$812</definedName>
    <definedName name="UAcct403365">'[10]Func Study'!$AB$1049</definedName>
    <definedName name="UAcct403366" localSheetId="6">[8]FuncStudy!$Y$813</definedName>
    <definedName name="UAcct403366" localSheetId="4">[9]FuncStudy!$Y$813</definedName>
    <definedName name="UAcct403366">'[10]Func Study'!$AB$1050</definedName>
    <definedName name="UAcct403367" localSheetId="6">[8]FuncStudy!$Y$814</definedName>
    <definedName name="UAcct403367" localSheetId="4">[9]FuncStudy!$Y$814</definedName>
    <definedName name="UAcct403367">'[10]Func Study'!$AB$1051</definedName>
    <definedName name="UAcct403368" localSheetId="6">[8]FuncStudy!$Y$815</definedName>
    <definedName name="UAcct403368" localSheetId="4">[9]FuncStudy!$Y$815</definedName>
    <definedName name="UAcct403368">'[10]Func Study'!$AB$1052</definedName>
    <definedName name="UAcct403369" localSheetId="6">[8]FuncStudy!$Y$816</definedName>
    <definedName name="UAcct403369" localSheetId="4">[9]FuncStudy!$Y$816</definedName>
    <definedName name="UAcct403369">'[10]Func Study'!$AB$1053</definedName>
    <definedName name="UAcct403370" localSheetId="6">[8]FuncStudy!$Y$817</definedName>
    <definedName name="UAcct403370" localSheetId="4">[9]FuncStudy!$Y$817</definedName>
    <definedName name="UAcct403370">'[10]Func Study'!$AB$1054</definedName>
    <definedName name="UAcct403371" localSheetId="6">[8]FuncStudy!$Y$818</definedName>
    <definedName name="UAcct403371" localSheetId="4">[9]FuncStudy!$Y$818</definedName>
    <definedName name="UAcct403371">'[10]Func Study'!$AB$1055</definedName>
    <definedName name="UAcct403372" localSheetId="6">[8]FuncStudy!$Y$819</definedName>
    <definedName name="UAcct403372" localSheetId="4">[9]FuncStudy!$Y$819</definedName>
    <definedName name="UAcct403372">'[10]Func Study'!$AB$1056</definedName>
    <definedName name="UAcct403373" localSheetId="6">[8]FuncStudy!$Y$820</definedName>
    <definedName name="UAcct403373" localSheetId="4">[9]FuncStudy!$Y$820</definedName>
    <definedName name="UAcct403373">'[10]Func Study'!$AB$1057</definedName>
    <definedName name="uacct403dgu">'[10]Func Study'!$AB$1068</definedName>
    <definedName name="UAcct403Ep" localSheetId="6">[8]FuncStudy!$Y$846</definedName>
    <definedName name="UAcct403Ep" localSheetId="4">[9]FuncStudy!$Y$846</definedName>
    <definedName name="UAcct403Ep">'[10]Func Study'!$AB$1084</definedName>
    <definedName name="UAcct403Epsg">'[12]Functional Study'!#REF!</definedName>
    <definedName name="UAcct403Gpcn" localSheetId="6">[8]FuncStudy!$Y$828</definedName>
    <definedName name="UAcct403Gpcn" localSheetId="4">[9]FuncStudy!$Y$828</definedName>
    <definedName name="UAcct403Gpcn">'[10]Func Study'!$AB$1065</definedName>
    <definedName name="UAcct403Gps" localSheetId="6">[8]FuncStudy!$Y$824</definedName>
    <definedName name="UAcct403Gps" localSheetId="4">[9]FuncStudy!$Y$824</definedName>
    <definedName name="UAcct403Gps">'[10]Func Study'!$AB$1061</definedName>
    <definedName name="UAcct403Gpse">'[11]Functional Study'!$AG$1093</definedName>
    <definedName name="UAcct403Gpseu" localSheetId="6">[8]FuncStudy!$Y$827</definedName>
    <definedName name="UAcct403Gpseu" localSheetId="4">[9]FuncStudy!$Y$827</definedName>
    <definedName name="UAcct403Gpseu">'[10]Func Study'!$AB$1064</definedName>
    <definedName name="UAcct403Gpsg" localSheetId="6">[8]FuncStudy!$Y$829</definedName>
    <definedName name="UAcct403Gpsg" localSheetId="4">[9]FuncStudy!$Y$829</definedName>
    <definedName name="UAcct403Gpsg">'[10]Func Study'!$AB$1066</definedName>
    <definedName name="UACCT403gpsg1">'[12]Functional Study'!$AG$991</definedName>
    <definedName name="UAcct403Gpsgp" localSheetId="6">[8]FuncStudy!$Y$825</definedName>
    <definedName name="UAcct403Gpsgp" localSheetId="4">[9]FuncStudy!$Y$825</definedName>
    <definedName name="UAcct403Gpsgp">'[10]Func Study'!$AB$1062</definedName>
    <definedName name="UAcct403Gpsgu" localSheetId="6">[8]FuncStudy!$Y$826</definedName>
    <definedName name="UAcct403Gpsgu" localSheetId="4">[9]FuncStudy!$Y$826</definedName>
    <definedName name="UAcct403Gpsgu">'[10]Func Study'!$AB$1063</definedName>
    <definedName name="UAcct403Gpso" localSheetId="6">[8]FuncStudy!$Y$830</definedName>
    <definedName name="UAcct403Gpso" localSheetId="4">[9]FuncStudy!$Y$830</definedName>
    <definedName name="UAcct403Gpso">'[10]Func Study'!$AB$1067</definedName>
    <definedName name="uacct403gpssgch" localSheetId="6">[8]FuncStudy!$Y$832</definedName>
    <definedName name="uacct403gpssgch" localSheetId="4">[9]FuncStudy!$Y$832</definedName>
    <definedName name="uacct403gpssgch">'[10]Func Study'!$AB$1070</definedName>
    <definedName name="UACCT403GPSSGCT" localSheetId="6">[8]FuncStudy!$Y$831</definedName>
    <definedName name="UACCT403GPSSGCT" localSheetId="4">[9]FuncStudy!$Y$831</definedName>
    <definedName name="UACCT403GPSSGCT">'[10]Func Study'!$AB$1069</definedName>
    <definedName name="UAcct403Gv0" localSheetId="6">[8]FuncStudy!$Y$837</definedName>
    <definedName name="UAcct403Gv0" localSheetId="4">[9]FuncStudy!$Y$837</definedName>
    <definedName name="UAcct403Gv0">'[10]Func Study'!$AB$1075</definedName>
    <definedName name="UAcct403Hp" localSheetId="6">[8]FuncStudy!$Y$792</definedName>
    <definedName name="UAcct403Hp" localSheetId="4">[9]FuncStudy!$Y$792</definedName>
    <definedName name="UAcct403Hp">'[10]Func Study'!$AB$1029</definedName>
    <definedName name="UAcct403Hpdgu">'[12]Functional Study'!#REF!</definedName>
    <definedName name="UAcct403Mp" localSheetId="6">[8]FuncStudy!$Y$841</definedName>
    <definedName name="UAcct403Mp" localSheetId="4">[9]FuncStudy!$Y$841</definedName>
    <definedName name="UAcct403Mp">'[10]Func Study'!$AB$1079</definedName>
    <definedName name="UAcct403Np" localSheetId="6">[8]FuncStudy!$Y$787</definedName>
    <definedName name="UAcct403Np" localSheetId="4">[9]FuncStudy!$Y$787</definedName>
    <definedName name="UAcct403Np">'[10]Func Study'!$AB$1024</definedName>
    <definedName name="UAcct403Op" localSheetId="6">[8]FuncStudy!$Y$799</definedName>
    <definedName name="UAcct403Op" localSheetId="4">[9]FuncStudy!$Y$799</definedName>
    <definedName name="UAcct403Op">'[10]Func Study'!$AB$1036</definedName>
    <definedName name="UAcct403Opsgp">'[11]Functional Study'!$AG$1060</definedName>
    <definedName name="UAcct403Opsgu" localSheetId="6">[8]FuncStudy!$Y$796</definedName>
    <definedName name="UAcct403Opsgu" localSheetId="4">[9]FuncStudy!$Y$796</definedName>
    <definedName name="UAcct403Opsgu">[14]FuncStudy!$Y$796</definedName>
    <definedName name="uacct403opsgw">'[61]Functional Study'!$AG$1063</definedName>
    <definedName name="uacct403opssg">'[10]Func Study'!$AB$1035</definedName>
    <definedName name="uacct403opssgch">'[11]Functional Study'!$AG$1063</definedName>
    <definedName name="uacct403opssgct" localSheetId="6">[8]FuncStudy!$Y$797</definedName>
    <definedName name="uacct403opssgct" localSheetId="4">[9]FuncStudy!$Y$797</definedName>
    <definedName name="uacct403opssgct">'[10]Func Study'!$AB$1034</definedName>
    <definedName name="uacct403sgw" localSheetId="6">[8]FuncStudy!$Y$798</definedName>
    <definedName name="uacct403sgw" localSheetId="4">[9]FuncStudy!$Y$798</definedName>
    <definedName name="uacct403sgw">[14]FuncStudy!$Y$798</definedName>
    <definedName name="UAcct403Sp">'[12]Functional Study'!$AG$951</definedName>
    <definedName name="uacct403spdg">'[11]Functional Study'!$AG$1046</definedName>
    <definedName name="uacct403spdgp" localSheetId="6">[8]FuncStudy!$Y$779</definedName>
    <definedName name="uacct403spdgp" localSheetId="4">[9]FuncStudy!$Y$779</definedName>
    <definedName name="uacct403spdgp">'[10]Func Study'!$AB$1016</definedName>
    <definedName name="uacct403spdgu" localSheetId="6">[8]FuncStudy!$Y$780</definedName>
    <definedName name="uacct403spdgu" localSheetId="4">[9]FuncStudy!$Y$780</definedName>
    <definedName name="uacct403spdgu">'[10]Func Study'!$AB$1017</definedName>
    <definedName name="uacct403spsg" localSheetId="6">[8]FuncStudy!$Y$781</definedName>
    <definedName name="uacct403spsg" localSheetId="4">[9]FuncStudy!$Y$781</definedName>
    <definedName name="uacct403spsg">'[10]Func Study'!$AB$1018</definedName>
    <definedName name="UAcct403Spsgp">'[11]Functional Study'!$AG$1043</definedName>
    <definedName name="UAcct403Spsgu">'[11]Functional Study'!$AG$1044</definedName>
    <definedName name="UACCT403SPSSGCH">'[11]Functional Study'!$AG$1045</definedName>
    <definedName name="uacct403ssgch" localSheetId="6">[8]FuncStudy!$Y$782</definedName>
    <definedName name="uacct403ssgch" localSheetId="4">[9]FuncStudy!$Y$782</definedName>
    <definedName name="uacct403ssgch">'[10]Func Study'!$AB$1019</definedName>
    <definedName name="UAcct403Tp" localSheetId="6">[8]FuncStudy!$Y$805</definedName>
    <definedName name="UAcct403Tp" localSheetId="4">[9]FuncStudy!$Y$805</definedName>
    <definedName name="UAcct403Tp">'[10]Func Study'!$AB$1042</definedName>
    <definedName name="UAcct403Tpsgu">'[12]Functional Study'!#REF!</definedName>
    <definedName name="UAcct404330" localSheetId="6">[8]FuncStudy!$Y$880</definedName>
    <definedName name="UAcct404330" localSheetId="4">[9]FuncStudy!$Y$880</definedName>
    <definedName name="UAcct404330">'[10]Func Study'!$AB$1126</definedName>
    <definedName name="UAcct404330Dgu">'[12]Functional Study'!#REF!</definedName>
    <definedName name="UAcct404Clg" localSheetId="6">[8]FuncStudy!$Y$857</definedName>
    <definedName name="UAcct404Clg" localSheetId="4">[9]FuncStudy!$Y$857</definedName>
    <definedName name="UAcct404Clg">'[10]Func Study'!$AB$1099</definedName>
    <definedName name="UAcct404Clgsop" localSheetId="6">[8]FuncStudy!$Y$855</definedName>
    <definedName name="UAcct404Clgsop" localSheetId="4">[9]FuncStudy!$Y$855</definedName>
    <definedName name="UAcct404Clgsop">'[10]Func Study'!$AB$1097</definedName>
    <definedName name="UAcct404Clgsou" localSheetId="6">[8]FuncStudy!$Y$853</definedName>
    <definedName name="UAcct404Clgsou" localSheetId="4">[9]FuncStudy!$Y$853</definedName>
    <definedName name="UAcct404Clgsou">'[10]Func Study'!$AB$1095</definedName>
    <definedName name="UAcct404Cls" localSheetId="6">[8]FuncStudy!$Y$861</definedName>
    <definedName name="UAcct404Cls" localSheetId="4">[9]FuncStudy!$Y$861</definedName>
    <definedName name="UAcct404Cls">'[10]Func Study'!$AB$1104</definedName>
    <definedName name="UAcct404Ipcn" localSheetId="6">[8]FuncStudy!$Y$867</definedName>
    <definedName name="UAcct404Ipcn" localSheetId="4">[9]FuncStudy!$Y$867</definedName>
    <definedName name="UAcct404Ipcn">'[10]Func Study'!$AB$1111</definedName>
    <definedName name="UACCT404IPDGU" localSheetId="6">[8]FuncStudy!$Y$869</definedName>
    <definedName name="UACCT404IPDGU" localSheetId="4">[9]FuncStudy!$Y$869</definedName>
    <definedName name="UACCT404IPDGU">'[10]Func Study'!$AB$1114</definedName>
    <definedName name="UACCT404IPIDGU">'[11]Functional Study'!$AG$1143</definedName>
    <definedName name="UAcct404Ips" localSheetId="6">[8]FuncStudy!$Y$864</definedName>
    <definedName name="UAcct404Ips" localSheetId="4">[9]FuncStudy!$Y$864</definedName>
    <definedName name="UAcct404Ips">'[10]Func Study'!$AB$1107</definedName>
    <definedName name="UAcct404Ipse" localSheetId="6">[8]FuncStudy!$Y$865</definedName>
    <definedName name="UAcct404Ipse" localSheetId="4">[9]FuncStudy!$Y$865</definedName>
    <definedName name="UAcct404Ipse">'[10]Func Study'!$AB$1108</definedName>
    <definedName name="UACCT404IPSG">'[10]Func Study'!$AB$1109</definedName>
    <definedName name="UAcct404Ipsg1">'[11]Functional Study'!$AG$1140</definedName>
    <definedName name="UACCT404IPSGCT">'[10]Func Study'!$AB$1113</definedName>
    <definedName name="UACCT404IPSGP" localSheetId="6">[8]FuncStudy!$Y$868</definedName>
    <definedName name="UACCT404IPSGP" localSheetId="4">[9]FuncStudy!$Y$868</definedName>
    <definedName name="UACCT404IPSGP">'[10]Func Study'!$AB$1112</definedName>
    <definedName name="UAcct404Ipso" localSheetId="6">[8]FuncStudy!$Y$866</definedName>
    <definedName name="UAcct404Ipso" localSheetId="4">[9]FuncStudy!$Y$866</definedName>
    <definedName name="UAcct404Ipso">'[10]Func Study'!$AB$1110</definedName>
    <definedName name="UACCT404IPSSGCH" localSheetId="6">[8]FuncStudy!$Y$870</definedName>
    <definedName name="UACCT404IPSSGCH" localSheetId="4">[9]FuncStudy!$Y$870</definedName>
    <definedName name="UACCT404IPSSGCH">'[10]Func Study'!$AB$1115</definedName>
    <definedName name="UACCT404IPSSGCT">'[11]Functional Study'!$AG$1141</definedName>
    <definedName name="UAcct404M">'[11]Functional Study'!$AG$1148</definedName>
    <definedName name="UAcct404O" localSheetId="6">[8]FuncStudy!$Y$875</definedName>
    <definedName name="UAcct404O" localSheetId="4">[9]FuncStudy!$Y$875</definedName>
    <definedName name="UAcct404O">'[10]Func Study'!$AB$1120</definedName>
    <definedName name="UAcct405" localSheetId="6">[8]FuncStudy!$Y$888</definedName>
    <definedName name="UAcct405" localSheetId="4">[9]FuncStudy!$Y$888</definedName>
    <definedName name="UAcct405">'[10]Func Study'!$AB$1134</definedName>
    <definedName name="UAcct406" localSheetId="6">[8]FuncStudy!$Y$894</definedName>
    <definedName name="UAcct406" localSheetId="4">[9]FuncStudy!$Y$894</definedName>
    <definedName name="UAcct406">'[10]Func Study'!$AB$1142</definedName>
    <definedName name="UAcct406Dgp">'[12]Functional Study'!#REF!</definedName>
    <definedName name="UAcct406Dgu">'[12]Functional Study'!#REF!</definedName>
    <definedName name="UAcct407" localSheetId="6">[8]FuncStudy!$Y$903</definedName>
    <definedName name="UAcct407" localSheetId="4">[9]FuncStudy!$Y$903</definedName>
    <definedName name="UAcct407">'[10]Func Study'!$AB$1151</definedName>
    <definedName name="UAcct407Sgp">'[12]Functional Study'!#REF!</definedName>
    <definedName name="UAcct408" localSheetId="6">[8]FuncStudy!$Y$916</definedName>
    <definedName name="UAcct408" localSheetId="4">[9]FuncStudy!$Y$916</definedName>
    <definedName name="UAcct408">'[10]Func Study'!$AB$1170</definedName>
    <definedName name="UAcct408S" localSheetId="6">[8]FuncStudy!$Y$908</definedName>
    <definedName name="UAcct408S" localSheetId="4">[9]FuncStudy!$Y$908</definedName>
    <definedName name="UAcct408S">'[10]Func Study'!$AB$1162</definedName>
    <definedName name="UAcct40910FITOther" localSheetId="6">[8]FuncStudy!$Y$1135</definedName>
    <definedName name="UAcct40910FITOther" localSheetId="4">[9]FuncStudy!$Y$1135</definedName>
    <definedName name="UAcct40910FITOther">[14]FuncStudy!$Y$1135</definedName>
    <definedName name="UAcct40910FitPMI" localSheetId="6">[8]FuncStudy!$Y$1133</definedName>
    <definedName name="UAcct40910FitPMI" localSheetId="4">[9]FuncStudy!$Y$1133</definedName>
    <definedName name="UAcct40910Fitpmi">'[10]Func Study'!$AB$1415</definedName>
    <definedName name="UAcct40910FITPTC" localSheetId="6">[8]FuncStudy!$Y$1134</definedName>
    <definedName name="UAcct40910FITPTC" localSheetId="4">[9]FuncStudy!$Y$1134</definedName>
    <definedName name="UAcct40910FITPTC">[14]FuncStudy!$Y$1134</definedName>
    <definedName name="UAcct40910FITSitus" localSheetId="6">[8]FuncStudy!$Y$1136</definedName>
    <definedName name="UAcct40910FITSitus" localSheetId="4">[9]FuncStudy!$Y$1136</definedName>
    <definedName name="UAcct40910FITSitus">[14]FuncStudy!$Y$1136</definedName>
    <definedName name="UAcct40911Dgu" localSheetId="6">[8]FuncStudy!$Y$1103</definedName>
    <definedName name="UAcct40911Dgu" localSheetId="4">[9]FuncStudy!$Y$1103</definedName>
    <definedName name="UAcct40911Dgu">'[10]Func Study'!$AB$1378</definedName>
    <definedName name="UAcct40911S" localSheetId="6">[8]FuncStudy!$Y$1101</definedName>
    <definedName name="UAcct40911S" localSheetId="4">[9]FuncStudy!$Y$1101</definedName>
    <definedName name="UAcct40911S">'[10]Func Study'!$AB$1376</definedName>
    <definedName name="UAcct41010" localSheetId="6">[8]FuncStudy!$Y$977</definedName>
    <definedName name="UAcct41010" localSheetId="4">[9]FuncStudy!$Y$977</definedName>
    <definedName name="UAcct41010">'[10]Func Study'!$AB$1248</definedName>
    <definedName name="UAcct41020" localSheetId="6">[8]FuncStudy!$Y$992</definedName>
    <definedName name="UAcct41020" localSheetId="4">[9]FuncStudy!$Y$992</definedName>
    <definedName name="UAcct41020">'[10]Func Study'!$AB$1263</definedName>
    <definedName name="UACCT41020BADDEBT">'[15]Functional Study'!#REF!</definedName>
    <definedName name="UACCT41020DITEXP">'[15]Functional Study'!#REF!</definedName>
    <definedName name="UACCT41020DNPU">'[15]Functional Study'!#REF!</definedName>
    <definedName name="UACCT41020S">'[15]Functional Study'!#REF!</definedName>
    <definedName name="UACCT41020SE">'[15]Functional Study'!#REF!</definedName>
    <definedName name="UACCT41020SG">'[15]Functional Study'!#REF!</definedName>
    <definedName name="UACCT41020SGCT">'[15]Functional Study'!#REF!</definedName>
    <definedName name="UACCT41020SGPP">'[15]Functional Study'!#REF!</definedName>
    <definedName name="UACCT41020SO">'[15]Functional Study'!#REF!</definedName>
    <definedName name="UACCT41020TROJP">'[15]Functional Study'!#REF!</definedName>
    <definedName name="UACCT4102SNPD">'[15]Functional Study'!#REF!</definedName>
    <definedName name="uacct41110">'[11]Functional Study'!$AG$1294</definedName>
    <definedName name="uacct41110sgct">'[12]Functional Study'!#REF!</definedName>
    <definedName name="UAcct41111" localSheetId="6">[8]FuncStudy!$Y$1026</definedName>
    <definedName name="UAcct41111" localSheetId="4">[9]FuncStudy!$Y$1026</definedName>
    <definedName name="UAcct41111">'[10]Func Study'!$AB$1297</definedName>
    <definedName name="UAcct41111Baddebt">'[15]Functional Study'!#REF!</definedName>
    <definedName name="UAcct41111Dgp">'[15]Functional Study'!#REF!</definedName>
    <definedName name="UAcct41111Dgu">'[15]Functional Study'!#REF!</definedName>
    <definedName name="UAcct41111Ditexp">'[15]Functional Study'!#REF!</definedName>
    <definedName name="UAcct41111Dnpp">'[15]Functional Study'!#REF!</definedName>
    <definedName name="UAcct41111Dnptp">'[15]Functional Study'!#REF!</definedName>
    <definedName name="UAcct41111S">'[15]Functional Study'!#REF!</definedName>
    <definedName name="UAcct41111Se">'[15]Functional Study'!#REF!</definedName>
    <definedName name="UAcct41111Sg">'[15]Functional Study'!#REF!</definedName>
    <definedName name="UAcct41111Sgpp">'[15]Functional Study'!#REF!</definedName>
    <definedName name="UAcct41111So">'[15]Functional Study'!#REF!</definedName>
    <definedName name="UAcct41111Trojp">'[15]Functional Study'!#REF!</definedName>
    <definedName name="UAcct41120" localSheetId="6">[8]FuncStudy!$Y$1011</definedName>
    <definedName name="UAcct41120" localSheetId="4">[9]FuncStudy!$Y$1011</definedName>
    <definedName name="UAcct41120">'[10]Func Study'!$AB$1282</definedName>
    <definedName name="UAcct41140" localSheetId="6">[8]FuncStudy!$Y$921</definedName>
    <definedName name="UAcct41140" localSheetId="4">[9]FuncStudy!$Y$921</definedName>
    <definedName name="UAcct41140">'[10]Func Study'!$AB$1181</definedName>
    <definedName name="UAcct41141" localSheetId="6">[8]FuncStudy!$Y$926</definedName>
    <definedName name="UAcct41141" localSheetId="4">[9]FuncStudy!$Y$926</definedName>
    <definedName name="UAcct41141">'[10]Func Study'!$AB$1186</definedName>
    <definedName name="UAcct41160" localSheetId="6">[8]FuncStudy!$Y$177</definedName>
    <definedName name="UAcct41160" localSheetId="4">[9]FuncStudy!$Y$177</definedName>
    <definedName name="UAcct41160">'[10]Func Study'!$AB$355</definedName>
    <definedName name="UAcct41170" localSheetId="6">[8]FuncStudy!$Y$182</definedName>
    <definedName name="UAcct41170" localSheetId="4">[9]FuncStudy!$Y$182</definedName>
    <definedName name="UAcct41170">'[10]Func Study'!$AB$360</definedName>
    <definedName name="UAcct4118" localSheetId="6">[8]FuncStudy!$Y$186</definedName>
    <definedName name="UAcct4118" localSheetId="4">[9]FuncStudy!$Y$186</definedName>
    <definedName name="UAcct4118">'[10]Func Study'!$AB$364</definedName>
    <definedName name="UAcct41181" localSheetId="6">[8]FuncStudy!$Y$189</definedName>
    <definedName name="UAcct41181" localSheetId="4">[9]FuncStudy!$Y$189</definedName>
    <definedName name="UAcct41181">'[10]Func Study'!$AB$367</definedName>
    <definedName name="UAcct4194" localSheetId="6">[8]FuncStudy!$Y$193</definedName>
    <definedName name="UAcct4194" localSheetId="4">[9]FuncStudy!$Y$193</definedName>
    <definedName name="UAcct4194">'[10]Func Study'!$AB$371</definedName>
    <definedName name="UAcct419Doth" localSheetId="6">[8]FuncStudy!$Y$957</definedName>
    <definedName name="UAcct419Doth" localSheetId="4">[9]FuncStudy!$Y$957</definedName>
    <definedName name="UAcct419Doth">'[10]Func Study'!$AB$1223</definedName>
    <definedName name="UAcct421" localSheetId="6">[8]FuncStudy!$Y$202</definedName>
    <definedName name="UAcct421" localSheetId="4">[9]FuncStudy!$Y$202</definedName>
    <definedName name="UAcct421">'[10]Func Study'!$AB$380</definedName>
    <definedName name="UAcct4311" localSheetId="6">[8]FuncStudy!$Y$209</definedName>
    <definedName name="UAcct4311" localSheetId="4">[9]FuncStudy!$Y$209</definedName>
    <definedName name="UAcct4311">'[10]Func Study'!$AB$387</definedName>
    <definedName name="UAcct442Se" localSheetId="6">[8]FuncStudy!$Y$100</definedName>
    <definedName name="UAcct442Se" localSheetId="4">[9]FuncStudy!$Y$100</definedName>
    <definedName name="UAcct442Se">'[10]Func Study'!$AB$259</definedName>
    <definedName name="UAcct442Sg" localSheetId="6">[8]FuncStudy!$Y$101</definedName>
    <definedName name="UAcct442Sg" localSheetId="4">[9]FuncStudy!$Y$101</definedName>
    <definedName name="UAcct442Sg">'[10]Func Study'!$AB$260</definedName>
    <definedName name="UAcct447" localSheetId="6">[8]FuncStudy!$Y$125</definedName>
    <definedName name="UAcct447" localSheetId="4">[9]FuncStudy!$Y$125</definedName>
    <definedName name="UAcct447">'[10]Func Study'!$AB$284</definedName>
    <definedName name="UAcct447CAEE">'[7]Func Study'!#REF!</definedName>
    <definedName name="UAcct447CAGE">'[7]Func Study'!#REF!</definedName>
    <definedName name="UAcct447Dgu" localSheetId="0">'[13]Func Study'!#REF!</definedName>
    <definedName name="UAcct447Dgu" localSheetId="8">'[13]Func Study'!#REF!</definedName>
    <definedName name="UAcct447Dgu">'[13]Func Study'!#REF!</definedName>
    <definedName name="UAcct447S" localSheetId="6">[8]FuncStudy!$Y$121</definedName>
    <definedName name="UAcct447S" localSheetId="4">[9]FuncStudy!$Y$121</definedName>
    <definedName name="UAcct447S">'[10]Func Study'!$AB$280</definedName>
    <definedName name="UAcct447Se" localSheetId="6">[8]FuncStudy!$Y$124</definedName>
    <definedName name="UAcct447Se" localSheetId="4">[9]FuncStudy!$Y$124</definedName>
    <definedName name="UAcct447Se">'[10]Func Study'!$AB$283</definedName>
    <definedName name="UAcct448">'[11]Functional Study'!$AG$276</definedName>
    <definedName name="UAcct448S" localSheetId="6">[8]FuncStudy!$Y$114</definedName>
    <definedName name="UAcct448S" localSheetId="4">[9]FuncStudy!$Y$114</definedName>
    <definedName name="UAcct448S">'[10]Func Study'!$AB$273</definedName>
    <definedName name="UAcct448So" localSheetId="6">[8]FuncStudy!$Y$115</definedName>
    <definedName name="UAcct448So" localSheetId="4">[9]FuncStudy!$Y$115</definedName>
    <definedName name="UAcct448So">'[10]Func Study'!$AB$274</definedName>
    <definedName name="UAcct449" localSheetId="6">[8]FuncStudy!$Y$130</definedName>
    <definedName name="UAcct449" localSheetId="4">[9]FuncStudy!$Y$130</definedName>
    <definedName name="UAcct449">'[10]Func Study'!$AB$289</definedName>
    <definedName name="UAcct450" localSheetId="6">[8]FuncStudy!$Y$140</definedName>
    <definedName name="UAcct450" localSheetId="4">[9]FuncStudy!$Y$140</definedName>
    <definedName name="UAcct450">'[10]Func Study'!$AB$299</definedName>
    <definedName name="UAcct450S" localSheetId="6">[8]FuncStudy!$Y$138</definedName>
    <definedName name="UAcct450S" localSheetId="4">[9]FuncStudy!$Y$138</definedName>
    <definedName name="UAcct450S">'[10]Func Study'!$AB$297</definedName>
    <definedName name="UAcct450So" localSheetId="6">[8]FuncStudy!$Y$139</definedName>
    <definedName name="UAcct450So" localSheetId="4">[9]FuncStudy!$Y$139</definedName>
    <definedName name="UAcct450So">'[10]Func Study'!$AB$298</definedName>
    <definedName name="UAcct451S" localSheetId="6">[8]FuncStudy!$Y$143</definedName>
    <definedName name="UAcct451S" localSheetId="4">[9]FuncStudy!$Y$143</definedName>
    <definedName name="UAcct451S">'[10]Func Study'!$AB$302</definedName>
    <definedName name="UAcct451Sg" localSheetId="6">[8]FuncStudy!$Y$144</definedName>
    <definedName name="UAcct451Sg" localSheetId="4">[9]FuncStudy!$Y$144</definedName>
    <definedName name="UAcct451Sg">'[10]Func Study'!$AB$303</definedName>
    <definedName name="UAcct451So" localSheetId="6">[8]FuncStudy!$Y$145</definedName>
    <definedName name="UAcct451So" localSheetId="4">[9]FuncStudy!$Y$145</definedName>
    <definedName name="UAcct451So">'[10]Func Study'!$AB$304</definedName>
    <definedName name="UAcct453" localSheetId="6">[8]FuncStudy!$Y$150</definedName>
    <definedName name="UAcct453" localSheetId="4">[9]FuncStudy!$Y$150</definedName>
    <definedName name="UAcct453">'[10]Func Study'!$AB$309</definedName>
    <definedName name="UAcct453CAGE">'[7]Func Study'!#REF!</definedName>
    <definedName name="UAcct453CAGW">'[7]Func Study'!#REF!</definedName>
    <definedName name="UAcct454" localSheetId="6">[8]FuncStudy!$Y$156</definedName>
    <definedName name="UAcct454" localSheetId="4">[9]FuncStudy!$Y$156</definedName>
    <definedName name="UAcct454">'[10]Func Study'!$AB$315</definedName>
    <definedName name="UAcct454S" localSheetId="6">[8]FuncStudy!$Y$153</definedName>
    <definedName name="UAcct454S" localSheetId="4">[9]FuncStudy!$Y$153</definedName>
    <definedName name="UAcct454S">'[10]Func Study'!$AB$312</definedName>
    <definedName name="UAcct454Sg" localSheetId="6">[8]FuncStudy!$Y$154</definedName>
    <definedName name="UAcct454Sg" localSheetId="4">[9]FuncStudy!$Y$154</definedName>
    <definedName name="UAcct454Sg">'[10]Func Study'!$AB$313</definedName>
    <definedName name="UAcct454So" localSheetId="6">[8]FuncStudy!$Y$155</definedName>
    <definedName name="UAcct454So" localSheetId="4">[9]FuncStudy!$Y$155</definedName>
    <definedName name="UAcct454So">'[10]Func Study'!$AB$314</definedName>
    <definedName name="UAcct456" localSheetId="6">[8]FuncStudy!$Y$164</definedName>
    <definedName name="UAcct456" localSheetId="4">[9]FuncStudy!$Y$164</definedName>
    <definedName name="UAcct456">'[10]Func Study'!$AB$323</definedName>
    <definedName name="UAcct456Cn" localSheetId="6">[8]FuncStudy!$Y$160</definedName>
    <definedName name="UAcct456Cn" localSheetId="4">[9]FuncStudy!$Y$160</definedName>
    <definedName name="UAcct456Cn">'[10]Func Study'!$AB$319</definedName>
    <definedName name="UAcct456S" localSheetId="6">[8]FuncStudy!$Y$159</definedName>
    <definedName name="UAcct456S" localSheetId="4">[9]FuncStudy!$Y$159</definedName>
    <definedName name="UAcct456S">'[10]Func Study'!$AB$318</definedName>
    <definedName name="UAcct456Se" localSheetId="6">[8]FuncStudy!$Y$161</definedName>
    <definedName name="UAcct456Se" localSheetId="4">[9]FuncStudy!$Y$161</definedName>
    <definedName name="UAcct456Se">'[10]Func Study'!$AB$320</definedName>
    <definedName name="UAcct456Sg">'[12]Functional Study'!$AG$328</definedName>
    <definedName name="UAcct456So">'[11]Functional Study'!$AG$327</definedName>
    <definedName name="UAcct500" localSheetId="6">[8]FuncStudy!$Y$225</definedName>
    <definedName name="UAcct500" localSheetId="4">[9]FuncStudy!$Y$225</definedName>
    <definedName name="UAcct500">'[10]Func Study'!$AB$406</definedName>
    <definedName name="UAcct500Dnppsu">'[11]Functional Study'!$AG$410</definedName>
    <definedName name="UAcct500DSG">'[12]Functional Study'!$AG$400</definedName>
    <definedName name="UACCT500SSGCH" localSheetId="6">[8]FuncStudy!$Y$224</definedName>
    <definedName name="UACCT500SSGCH" localSheetId="4">[9]FuncStudy!$Y$224</definedName>
    <definedName name="UACCT500SSGCH">'[10]Func Study'!$AB$405</definedName>
    <definedName name="UAcct501" localSheetId="6">[8]FuncStudy!$Y$233</definedName>
    <definedName name="UAcct501" localSheetId="4">[9]FuncStudy!$Y$233</definedName>
    <definedName name="UAcct501">'[10]Func Study'!$AB$414</definedName>
    <definedName name="UACCT501NPC">'[12]Functional Study'!$AG$409</definedName>
    <definedName name="UACCT501nPCSE">'[12]Functional Study'!$AG$408</definedName>
    <definedName name="UACCT501NPCSE1">'[12]Functional Study'!#REF!</definedName>
    <definedName name="UAcct501Se" localSheetId="6">[8]FuncStudy!$Y$228</definedName>
    <definedName name="UAcct501Se" localSheetId="4">[9]FuncStudy!$Y$228</definedName>
    <definedName name="UAcct501Se">'[10]Func Study'!$AB$409</definedName>
    <definedName name="UACCT501SE1">'[12]Functional Study'!#REF!</definedName>
    <definedName name="UACCT501SE2">'[12]Functional Study'!#REF!</definedName>
    <definedName name="UACCT501SE3">'[12]Functional Study'!#REF!</definedName>
    <definedName name="UACCT501SENNPC" localSheetId="6">[8]FuncStudy!$Y$229</definedName>
    <definedName name="UACCT501SENNPC" localSheetId="4">[9]FuncStudy!$Y$229</definedName>
    <definedName name="UACCT501SENNPC">'[10]Func Study'!$AB$410</definedName>
    <definedName name="uacct501ssech" localSheetId="6">[8]FuncStudy!$Y$232</definedName>
    <definedName name="uacct501ssech" localSheetId="4">[9]FuncStudy!$Y$232</definedName>
    <definedName name="uacct501ssech">'[10]Func Study'!$AB$413</definedName>
    <definedName name="UACCT501SSECHNNPC" localSheetId="6">[8]FuncStudy!$Y$231</definedName>
    <definedName name="UACCT501SSECHNNPC" localSheetId="4">[9]FuncStudy!$Y$231</definedName>
    <definedName name="UACCT501SSECHNNPC">'[10]Func Study'!$AB$412</definedName>
    <definedName name="uacct501ssect" localSheetId="6">[8]FuncStudy!$Y$230</definedName>
    <definedName name="uacct501ssect" localSheetId="4">[9]FuncStudy!$Y$230</definedName>
    <definedName name="uacct501ssect">'[10]Func Study'!$AB$411</definedName>
    <definedName name="UAcct502" localSheetId="6">[8]FuncStudy!$Y$238</definedName>
    <definedName name="UAcct502" localSheetId="4">[9]FuncStudy!$Y$238</definedName>
    <definedName name="UAcct502">'[10]Func Study'!$AB$419</definedName>
    <definedName name="UAcct502Dnppsu">'[10]Func Study'!#REF!</definedName>
    <definedName name="UAcct502JBG">'[7]Func Study'!#REF!</definedName>
    <definedName name="UAcct502SG">'[12]Functional Study'!$AG$412</definedName>
    <definedName name="uacct502snpps" localSheetId="6">[8]FuncStudy!$Y$236</definedName>
    <definedName name="uacct502snpps" localSheetId="4">[9]FuncStudy!$Y$236</definedName>
    <definedName name="uacct502snpps">'[10]Func Study'!$AB$417</definedName>
    <definedName name="uacct502ssgch" localSheetId="6">[8]FuncStudy!$Y$237</definedName>
    <definedName name="uacct502ssgch" localSheetId="4">[9]FuncStudy!$Y$237</definedName>
    <definedName name="uacct502ssgch">'[10]Func Study'!$AB$418</definedName>
    <definedName name="UAcct503" localSheetId="6">[8]FuncStudy!$Y$243</definedName>
    <definedName name="UAcct503" localSheetId="4">[9]FuncStudy!$Y$243</definedName>
    <definedName name="UAcct503">'[10]Func Study'!$AB$424</definedName>
    <definedName name="UAcct503npc">'[12]Functional Study'!$AG$420</definedName>
    <definedName name="UAcct503Se" localSheetId="6">[8]FuncStudy!$Y$241</definedName>
    <definedName name="UAcct503Se" localSheetId="4">[9]FuncStudy!$Y$241</definedName>
    <definedName name="UAcct503Se">'[10]Func Study'!$AB$422</definedName>
    <definedName name="UACCT503SENNPC" localSheetId="6">[8]FuncStudy!$Y$242</definedName>
    <definedName name="UACCT503SENNPC" localSheetId="4">[9]FuncStudy!$Y$242</definedName>
    <definedName name="UACCT503SENNPC">'[10]Func Study'!$AB$423</definedName>
    <definedName name="UAcct505" localSheetId="6">[8]FuncStudy!$Y$248</definedName>
    <definedName name="UAcct505" localSheetId="4">[9]FuncStudy!$Y$248</definedName>
    <definedName name="UAcct505">'[10]Func Study'!$AB$429</definedName>
    <definedName name="UAcct505Dnppsu">'[11]Functional Study'!$AG$441</definedName>
    <definedName name="UAcct505JBG">'[7]Func Study'!#REF!</definedName>
    <definedName name="UAcct505sg">'[12]Functional Study'!$AG$423</definedName>
    <definedName name="uacct505snpps" localSheetId="6">[8]FuncStudy!$Y$246</definedName>
    <definedName name="uacct505snpps" localSheetId="4">[9]FuncStudy!$Y$246</definedName>
    <definedName name="uacct505snpps">'[10]Func Study'!$AB$427</definedName>
    <definedName name="uacct505ssgch" localSheetId="6">[8]FuncStudy!$Y$247</definedName>
    <definedName name="uacct505ssgch" localSheetId="4">[9]FuncStudy!$Y$247</definedName>
    <definedName name="uacct505ssgch">'[10]Func Study'!$AB$428</definedName>
    <definedName name="UAcct506" localSheetId="6">[8]FuncStudy!$Y$254</definedName>
    <definedName name="UAcct506" localSheetId="4">[9]FuncStudy!$Y$254</definedName>
    <definedName name="UAcct506">'[10]Func Study'!$AB$435</definedName>
    <definedName name="UAcct506JBG">'[7]Func Study'!#REF!</definedName>
    <definedName name="UAcct506Se" localSheetId="6">[8]FuncStudy!$Y$252</definedName>
    <definedName name="UAcct506Se" localSheetId="4">[9]FuncStudy!$Y$252</definedName>
    <definedName name="UAcct506Se">'[10]Func Study'!$AB$433</definedName>
    <definedName name="uacct506snpps" localSheetId="6">[8]FuncStudy!$Y$251</definedName>
    <definedName name="uacct506snpps" localSheetId="4">[9]FuncStudy!$Y$251</definedName>
    <definedName name="uacct506snpps">'[10]Func Study'!$AB$432</definedName>
    <definedName name="uacct506ssgch" localSheetId="6">[8]FuncStudy!$Y$253</definedName>
    <definedName name="uacct506ssgch" localSheetId="4">[9]FuncStudy!$Y$253</definedName>
    <definedName name="uacct506ssgch">'[10]Func Study'!$AB$434</definedName>
    <definedName name="UAcct507" localSheetId="6">[8]FuncStudy!$Y$259</definedName>
    <definedName name="UAcct507" localSheetId="4">[9]FuncStudy!$Y$259</definedName>
    <definedName name="UAcct507">'[10]Func Study'!$AB$444</definedName>
    <definedName name="UAcct507JBG">'[7]Func Study'!#REF!</definedName>
    <definedName name="UAcct507SG">'[12]Functional Study'!$AG$432</definedName>
    <definedName name="uacct507ssgch" localSheetId="6">[8]FuncStudy!$Y$258</definedName>
    <definedName name="uacct507ssgch" localSheetId="4">[9]FuncStudy!$Y$258</definedName>
    <definedName name="uacct507ssgch">'[10]Func Study'!$AB$443</definedName>
    <definedName name="UAcct510" localSheetId="6">[8]FuncStudy!$Y$264</definedName>
    <definedName name="UAcct510" localSheetId="4">[9]FuncStudy!$Y$264</definedName>
    <definedName name="UAcct510">'[10]Func Study'!$AB$449</definedName>
    <definedName name="UAcct510JBG">'[7]Func Study'!#REF!</definedName>
    <definedName name="UAcct510sg">'[12]Functional Study'!$AG$436</definedName>
    <definedName name="uacct510ssgch" localSheetId="6">[8]FuncStudy!$Y$263</definedName>
    <definedName name="uacct510ssgch" localSheetId="4">[9]FuncStudy!$Y$263</definedName>
    <definedName name="uacct510ssgch">'[10]Func Study'!$AB$448</definedName>
    <definedName name="UAcct511" localSheetId="6">[8]FuncStudy!$Y$269</definedName>
    <definedName name="UAcct511" localSheetId="4">[9]FuncStudy!$Y$269</definedName>
    <definedName name="UAcct511">'[10]Func Study'!$AB$454</definedName>
    <definedName name="UAcct511JBG">'[7]Func Study'!#REF!</definedName>
    <definedName name="UAcct511sg">'[12]Functional Study'!$AG$440</definedName>
    <definedName name="uacct511ssgch" localSheetId="6">[8]FuncStudy!$Y$268</definedName>
    <definedName name="uacct511ssgch" localSheetId="4">[9]FuncStudy!$Y$268</definedName>
    <definedName name="uacct511ssgch">'[10]Func Study'!$AB$453</definedName>
    <definedName name="UAcct512" localSheetId="6">[8]FuncStudy!$Y$274</definedName>
    <definedName name="UAcct512" localSheetId="4">[9]FuncStudy!$Y$274</definedName>
    <definedName name="UAcct512">'[10]Func Study'!$AB$459</definedName>
    <definedName name="UAcct512JBG">'[7]Func Study'!#REF!</definedName>
    <definedName name="UAcct512sg">'[12]Functional Study'!$AG$444</definedName>
    <definedName name="uacct512ssgch" localSheetId="6">[8]FuncStudy!$Y$273</definedName>
    <definedName name="uacct512ssgch" localSheetId="4">[9]FuncStudy!$Y$273</definedName>
    <definedName name="uacct512ssgch">'[10]Func Study'!$AB$458</definedName>
    <definedName name="UAcct513" localSheetId="6">[8]FuncStudy!$Y$279</definedName>
    <definedName name="UAcct513" localSheetId="4">[9]FuncStudy!$Y$279</definedName>
    <definedName name="UAcct513">'[10]Func Study'!$AB$464</definedName>
    <definedName name="UAcct513JBG">'[7]Func Study'!#REF!</definedName>
    <definedName name="UAcct513sg">'[12]Functional Study'!$AG$448</definedName>
    <definedName name="uacct513ssgch" localSheetId="6">[8]FuncStudy!$Y$278</definedName>
    <definedName name="uacct513ssgch" localSheetId="4">[9]FuncStudy!$Y$278</definedName>
    <definedName name="uacct513ssgch">'[10]Func Study'!$AB$463</definedName>
    <definedName name="UAcct514" localSheetId="6">[8]FuncStudy!$Y$284</definedName>
    <definedName name="UAcct514" localSheetId="4">[9]FuncStudy!$Y$284</definedName>
    <definedName name="UAcct514">'[10]Func Study'!$AB$469</definedName>
    <definedName name="UAcct514JBG">'[7]Func Study'!#REF!</definedName>
    <definedName name="UAcct514sg">'[12]Functional Study'!$AG$452</definedName>
    <definedName name="uacct514ssgch" localSheetId="6">[8]FuncStudy!$Y$283</definedName>
    <definedName name="uacct514ssgch" localSheetId="4">[9]FuncStudy!$Y$283</definedName>
    <definedName name="uacct514ssgch">'[10]Func Study'!$AB$468</definedName>
    <definedName name="UAcct517" localSheetId="6">[8]FuncStudy!$Y$290</definedName>
    <definedName name="UAcct517" localSheetId="4">[9]FuncStudy!$Y$290</definedName>
    <definedName name="UAcct517">'[10]Func Study'!$AB$478</definedName>
    <definedName name="UAcct518" localSheetId="6">[8]FuncStudy!$Y$294</definedName>
    <definedName name="UAcct518" localSheetId="4">[9]FuncStudy!$Y$294</definedName>
    <definedName name="UAcct518">'[10]Func Study'!$AB$482</definedName>
    <definedName name="UAcct519" localSheetId="6">[8]FuncStudy!$Y$299</definedName>
    <definedName name="UAcct519" localSheetId="4">[9]FuncStudy!$Y$299</definedName>
    <definedName name="UAcct519">'[10]Func Study'!$AB$487</definedName>
    <definedName name="UAcct520" localSheetId="6">[8]FuncStudy!$Y$303</definedName>
    <definedName name="UAcct520" localSheetId="4">[9]FuncStudy!$Y$303</definedName>
    <definedName name="UAcct520">'[10]Func Study'!$AB$491</definedName>
    <definedName name="UAcct523" localSheetId="6">[8]FuncStudy!$Y$307</definedName>
    <definedName name="UAcct523" localSheetId="4">[9]FuncStudy!$Y$307</definedName>
    <definedName name="UAcct523">'[10]Func Study'!$AB$495</definedName>
    <definedName name="UAcct524" localSheetId="6">[8]FuncStudy!$Y$311</definedName>
    <definedName name="UAcct524" localSheetId="4">[9]FuncStudy!$Y$311</definedName>
    <definedName name="UAcct524">'[10]Func Study'!$AB$499</definedName>
    <definedName name="UAcct528" localSheetId="6">[8]FuncStudy!$Y$315</definedName>
    <definedName name="UAcct528" localSheetId="4">[9]FuncStudy!$Y$315</definedName>
    <definedName name="UAcct528">'[10]Func Study'!$AB$503</definedName>
    <definedName name="UAcct529" localSheetId="6">[8]FuncStudy!$Y$319</definedName>
    <definedName name="UAcct529" localSheetId="4">[9]FuncStudy!$Y$319</definedName>
    <definedName name="UAcct529">'[10]Func Study'!$AB$507</definedName>
    <definedName name="UAcct530" localSheetId="6">[8]FuncStudy!$Y$323</definedName>
    <definedName name="UAcct530" localSheetId="4">[9]FuncStudy!$Y$323</definedName>
    <definedName name="UAcct530">'[10]Func Study'!$AB$511</definedName>
    <definedName name="UAcct531" localSheetId="6">[8]FuncStudy!$Y$327</definedName>
    <definedName name="UAcct531" localSheetId="4">[9]FuncStudy!$Y$327</definedName>
    <definedName name="UAcct531">'[10]Func Study'!$AB$515</definedName>
    <definedName name="UAcct532" localSheetId="6">[8]FuncStudy!$Y$331</definedName>
    <definedName name="UAcct532" localSheetId="4">[9]FuncStudy!$Y$331</definedName>
    <definedName name="UAcct532">'[10]Func Study'!$AB$519</definedName>
    <definedName name="UAcct535" localSheetId="6">[8]FuncStudy!$Y$338</definedName>
    <definedName name="UAcct535" localSheetId="4">[9]FuncStudy!$Y$338</definedName>
    <definedName name="UAcct535">'[10]Func Study'!$AB$531</definedName>
    <definedName name="UAcct536" localSheetId="6">[8]FuncStudy!$Y$342</definedName>
    <definedName name="UAcct536" localSheetId="4">[9]FuncStudy!$Y$342</definedName>
    <definedName name="UAcct536">'[10]Func Study'!$AB$535</definedName>
    <definedName name="UAcct537" localSheetId="6">[8]FuncStudy!$Y$346</definedName>
    <definedName name="UAcct537" localSheetId="4">[9]FuncStudy!$Y$346</definedName>
    <definedName name="UAcct537">'[10]Func Study'!$AB$539</definedName>
    <definedName name="UAcct538" localSheetId="6">[8]FuncStudy!$Y$350</definedName>
    <definedName name="UAcct538" localSheetId="4">[9]FuncStudy!$Y$350</definedName>
    <definedName name="UAcct538">'[10]Func Study'!$AB$543</definedName>
    <definedName name="UAcct539" localSheetId="6">[8]FuncStudy!$Y$354</definedName>
    <definedName name="UAcct539" localSheetId="4">[9]FuncStudy!$Y$354</definedName>
    <definedName name="UAcct539">'[10]Func Study'!$AB$547</definedName>
    <definedName name="UAcct540" localSheetId="6">[8]FuncStudy!$Y$358</definedName>
    <definedName name="UAcct540" localSheetId="4">[9]FuncStudy!$Y$358</definedName>
    <definedName name="UAcct540">'[10]Func Study'!$AB$551</definedName>
    <definedName name="UAcct541" localSheetId="6">[8]FuncStudy!$Y$362</definedName>
    <definedName name="UAcct541" localSheetId="4">[9]FuncStudy!$Y$362</definedName>
    <definedName name="UAcct541">'[10]Func Study'!$AB$555</definedName>
    <definedName name="UAcct542" localSheetId="6">[8]FuncStudy!$Y$366</definedName>
    <definedName name="UAcct542" localSheetId="4">[9]FuncStudy!$Y$366</definedName>
    <definedName name="UAcct542">'[10]Func Study'!$AB$559</definedName>
    <definedName name="UAcct543" localSheetId="6">[8]FuncStudy!$Y$370</definedName>
    <definedName name="UAcct543" localSheetId="4">[9]FuncStudy!$Y$370</definedName>
    <definedName name="UAcct543">'[10]Func Study'!$AB$563</definedName>
    <definedName name="UAcct544" localSheetId="6">[8]FuncStudy!$Y$374</definedName>
    <definedName name="UAcct544" localSheetId="4">[9]FuncStudy!$Y$374</definedName>
    <definedName name="UAcct544">'[10]Func Study'!$AB$567</definedName>
    <definedName name="UAcct545" localSheetId="6">[8]FuncStudy!$Y$378</definedName>
    <definedName name="UAcct545" localSheetId="4">[9]FuncStudy!$Y$378</definedName>
    <definedName name="UAcct545">'[10]Func Study'!$AB$571</definedName>
    <definedName name="UAcct546" localSheetId="6">[8]FuncStudy!$Y$385</definedName>
    <definedName name="UAcct546" localSheetId="4">[9]FuncStudy!$Y$385</definedName>
    <definedName name="UAcct546">'[10]Func Study'!$AB$584</definedName>
    <definedName name="UACCT546sg">'[12]Functional Study'!$AG$554</definedName>
    <definedName name="UAcct547">'[11]Functional Study'!$AG$608</definedName>
    <definedName name="UACCT547n">'[12]Functional Study'!$AG$559</definedName>
    <definedName name="UACCT547nse">'[12]Functional Study'!$AG$558</definedName>
    <definedName name="UAcct547Se" localSheetId="6">[8]FuncStudy!$Y$388</definedName>
    <definedName name="UAcct547Se" localSheetId="4">[9]FuncStudy!$Y$388</definedName>
    <definedName name="UAcct547Se">'[10]Func Study'!$AB$587</definedName>
    <definedName name="UACCT547SSECT" localSheetId="6">[8]FuncStudy!$Y$389</definedName>
    <definedName name="UACCT547SSECT" localSheetId="4">[9]FuncStudy!$Y$389</definedName>
    <definedName name="UACCT547SSECT">'[10]Func Study'!$AB$588</definedName>
    <definedName name="UAcct548" localSheetId="6">[8]FuncStudy!$Y$395</definedName>
    <definedName name="UAcct548" localSheetId="4">[9]FuncStudy!$Y$395</definedName>
    <definedName name="UAcct548">'[10]Func Study'!$AB$594</definedName>
    <definedName name="UACCT548sg">'[12]Functional Study'!$AG$565</definedName>
    <definedName name="UACCT548SSCCT">'[11]Functional Study'!$AG$612</definedName>
    <definedName name="uacct548ssgct" localSheetId="6">[8]FuncStudy!$Y$394</definedName>
    <definedName name="uacct548ssgct" localSheetId="4">[9]FuncStudy!$Y$394</definedName>
    <definedName name="uacct548ssgct">'[10]Func Study'!$AB$593</definedName>
    <definedName name="UAcct549" localSheetId="6">[8]FuncStudy!$Y$400</definedName>
    <definedName name="UAcct549" localSheetId="4">[9]FuncStudy!$Y$400</definedName>
    <definedName name="UAcct549">'[10]Func Study'!$AB$599</definedName>
    <definedName name="UAcct549Dnppou">'[11]Functional Study'!$AG$616</definedName>
    <definedName name="UAcct549sg" localSheetId="6">[8]FuncStudy!$Y$398</definedName>
    <definedName name="UAcct549sg" localSheetId="4">[9]FuncStudy!$Y$398</definedName>
    <definedName name="UAcct549sg">[14]FuncStudy!$Y$398</definedName>
    <definedName name="UACCT549SGW">'[61]Functional Study'!$AG$617</definedName>
    <definedName name="UACCT549SSGCT">'[11]Functional Study'!$AG$617</definedName>
    <definedName name="uacct550" localSheetId="6">[8]FuncStudy!$Y$406</definedName>
    <definedName name="uacct550" localSheetId="4">[9]FuncStudy!$Y$406</definedName>
    <definedName name="uacct550">'[10]Func Study'!$AB$610</definedName>
    <definedName name="UAcct5506SE">'[7]Func Study'!#REF!</definedName>
    <definedName name="UACCT550sg" localSheetId="6">[8]FuncStudy!$Y$404</definedName>
    <definedName name="UACCT550sg" localSheetId="4">[9]FuncStudy!$Y$404</definedName>
    <definedName name="UACCT550sg">[14]FuncStudy!$Y$404</definedName>
    <definedName name="uacct550sgw">'[61]Functional Study'!$AG$627</definedName>
    <definedName name="uacct550snppo">'[11]Functional Study'!$AG$626</definedName>
    <definedName name="uacct550ssgct">'[10]Func Study'!$AB$609</definedName>
    <definedName name="UAcct551" localSheetId="6">[8]FuncStudy!$Y$410</definedName>
    <definedName name="UAcct551" localSheetId="4">[9]FuncStudy!$Y$410</definedName>
    <definedName name="UAcct551">'[10]Func Study'!$AB$614</definedName>
    <definedName name="UAcct552" localSheetId="6">[8]FuncStudy!$Y$415</definedName>
    <definedName name="UAcct552" localSheetId="4">[9]FuncStudy!$Y$415</definedName>
    <definedName name="UAcct552">'[10]Func Study'!$AB$619</definedName>
    <definedName name="UAcct552Dnppou">'[11]Functional Study'!$AG$634</definedName>
    <definedName name="UAcct552sg">'[12]Functional Study'!$AG$582</definedName>
    <definedName name="UACCT552SSGCT">'[11]Functional Study'!$AG$635</definedName>
    <definedName name="UAcct553" localSheetId="6">[8]FuncStudy!$Y$422</definedName>
    <definedName name="UAcct553" localSheetId="4">[9]FuncStudy!$Y$422</definedName>
    <definedName name="UAcct553">'[10]Func Study'!$AB$625</definedName>
    <definedName name="UAcct553Dnppou">'[11]Functional Study'!$AG$640</definedName>
    <definedName name="UACCT553SGW">'[61]Functional Study'!$AG$641</definedName>
    <definedName name="UACCT553SSGCT" localSheetId="6">[8]FuncStudy!$Y$420</definedName>
    <definedName name="UACCT553SSGCT" localSheetId="4">[9]FuncStudy!$Y$420</definedName>
    <definedName name="UACCT553SSGCT">'[10]Func Study'!$AB$624</definedName>
    <definedName name="UAcct554" localSheetId="6">[8]FuncStudy!$Y$428</definedName>
    <definedName name="UAcct554" localSheetId="4">[9]FuncStudy!$Y$428</definedName>
    <definedName name="UAcct554">'[10]Func Study'!$AB$630</definedName>
    <definedName name="UAcct554Dnppou">'[11]Functional Study'!$AG$645</definedName>
    <definedName name="UACCT554SGW">'[61]Functional Study'!$AG$646</definedName>
    <definedName name="UAcct554SSCT" localSheetId="6">[8]FuncStudy!$Y$426</definedName>
    <definedName name="UAcct554SSCT" localSheetId="4">[9]FuncStudy!$Y$426</definedName>
    <definedName name="UAcct554SSCT">[14]FuncStudy!$Y$426</definedName>
    <definedName name="UACCT554SSGCT">'[10]Func Study'!$AB$629</definedName>
    <definedName name="UAcct555CAEE">'[7]Func Study'!#REF!</definedName>
    <definedName name="UAcct555CAGE">'[7]Func Study'!#REF!</definedName>
    <definedName name="uacct555dgp" localSheetId="6">[8]FuncStudy!$Y$437</definedName>
    <definedName name="uacct555dgp" localSheetId="4">[9]FuncStudy!$Y$437</definedName>
    <definedName name="uacct555dgp">'[10]Func Study'!$AB$645</definedName>
    <definedName name="UAcct555Dgu" localSheetId="6">[8]FuncStudy!$Y$434</definedName>
    <definedName name="UAcct555Dgu" localSheetId="4">[9]FuncStudy!$Y$434</definedName>
    <definedName name="UAcct555Dgu">'[10]Func Study'!$AB$642</definedName>
    <definedName name="UAcct555S" localSheetId="6">[8]FuncStudy!$Y$433</definedName>
    <definedName name="UAcct555S" localSheetId="4">[9]FuncStudy!$Y$433</definedName>
    <definedName name="UAcct555S">'[10]Func Study'!$AB$641</definedName>
    <definedName name="UAcct555Se" localSheetId="6">[8]FuncStudy!$Y$435</definedName>
    <definedName name="UAcct555Se" localSheetId="4">[9]FuncStudy!$Y$435</definedName>
    <definedName name="UAcct555Se">'[10]Func Study'!$AB$643</definedName>
    <definedName name="UAcct555SG">'[11]Functional Study'!$AG$662</definedName>
    <definedName name="uacct555ssgc">'[11]Functional Study'!$AG$664</definedName>
    <definedName name="uacct555ssgp" localSheetId="6">[8]FuncStudy!$Y$436</definedName>
    <definedName name="uacct555ssgp" localSheetId="4">[9]FuncStudy!$Y$436</definedName>
    <definedName name="uacct555ssgp">'[10]Func Study'!$AB$644</definedName>
    <definedName name="UAcct556" localSheetId="6">[8]FuncStudy!$Y$442</definedName>
    <definedName name="UAcct556" localSheetId="4">[9]FuncStudy!$Y$442</definedName>
    <definedName name="UAcct556">'[10]Func Study'!$AB$650</definedName>
    <definedName name="UAcct557" localSheetId="6">[8]FuncStudy!$Y$451</definedName>
    <definedName name="UAcct557" localSheetId="4">[9]FuncStudy!$Y$451</definedName>
    <definedName name="UAcct557">'[10]Func Study'!$AB$659</definedName>
    <definedName name="UAcct557S">'[11]Functional Study'!$AG$676</definedName>
    <definedName name="uacct557se">'[11]Functional Study'!$AG$679</definedName>
    <definedName name="UAcct557Sg">'[11]Functional Study'!$AG$677</definedName>
    <definedName name="UACCT557SSGCT" localSheetId="6">[8]FuncStudy!$Y$449</definedName>
    <definedName name="UACCT557SSGCT" localSheetId="4">[9]FuncStudy!$Y$449</definedName>
    <definedName name="UACCT557SSGCT">'[10]Func Study'!$AB$657</definedName>
    <definedName name="uacct557trojp">'[11]Functional Study'!$AG$680</definedName>
    <definedName name="UAcct560" localSheetId="6">[8]FuncStudy!$Y$476</definedName>
    <definedName name="UAcct560" localSheetId="4">[9]FuncStudy!$Y$476</definedName>
    <definedName name="UAcct560">'[10]Func Study'!$AB$682</definedName>
    <definedName name="UAcct561" localSheetId="6">[8]FuncStudy!$Y$480</definedName>
    <definedName name="UAcct561" localSheetId="4">[9]FuncStudy!$Y$480</definedName>
    <definedName name="UAcct561">'[10]Func Study'!$AB$686</definedName>
    <definedName name="UAcct562" localSheetId="6">[8]FuncStudy!$Y$484</definedName>
    <definedName name="UAcct562" localSheetId="4">[9]FuncStudy!$Y$484</definedName>
    <definedName name="UAcct562">'[10]Func Study'!$AB$690</definedName>
    <definedName name="UAcct563" localSheetId="6">[8]FuncStudy!$Y$488</definedName>
    <definedName name="UAcct563" localSheetId="4">[9]FuncStudy!$Y$488</definedName>
    <definedName name="UAcct563">'[10]Func Study'!$AB$694</definedName>
    <definedName name="UAcct564" localSheetId="6">[8]FuncStudy!$Y$492</definedName>
    <definedName name="UAcct564" localSheetId="4">[9]FuncStudy!$Y$492</definedName>
    <definedName name="UAcct564">'[10]Func Study'!$AB$698</definedName>
    <definedName name="UAcct565" localSheetId="6">[8]FuncStudy!$Y$497</definedName>
    <definedName name="UAcct565" localSheetId="4">[9]FuncStudy!$Y$497</definedName>
    <definedName name="UAcct565">'[10]Func Study'!$AB$703</definedName>
    <definedName name="UAcct565Se" localSheetId="6">[8]FuncStudy!$Y$496</definedName>
    <definedName name="UAcct565Se" localSheetId="4">[9]FuncStudy!$Y$496</definedName>
    <definedName name="UAcct565Se">'[10]Func Study'!$AB$702</definedName>
    <definedName name="UAcct566" localSheetId="6">[8]FuncStudy!$Y$501</definedName>
    <definedName name="UAcct566" localSheetId="4">[9]FuncStudy!$Y$501</definedName>
    <definedName name="UAcct566">'[10]Func Study'!$AB$707</definedName>
    <definedName name="UAcct567" localSheetId="6">[8]FuncStudy!$Y$505</definedName>
    <definedName name="UAcct567" localSheetId="4">[9]FuncStudy!$Y$505</definedName>
    <definedName name="UAcct567">'[10]Func Study'!$AB$711</definedName>
    <definedName name="UAcct568" localSheetId="6">[8]FuncStudy!$Y$509</definedName>
    <definedName name="UAcct568" localSheetId="4">[9]FuncStudy!$Y$509</definedName>
    <definedName name="UAcct568">'[10]Func Study'!$AB$715</definedName>
    <definedName name="UAcct569" localSheetId="6">[8]FuncStudy!$Y$513</definedName>
    <definedName name="UAcct569" localSheetId="4">[9]FuncStudy!$Y$513</definedName>
    <definedName name="UAcct569">'[10]Func Study'!$AB$719</definedName>
    <definedName name="UAcct570" localSheetId="6">[8]FuncStudy!$Y$517</definedName>
    <definedName name="UAcct570" localSheetId="4">[9]FuncStudy!$Y$517</definedName>
    <definedName name="UAcct570">'[10]Func Study'!$AB$723</definedName>
    <definedName name="UAcct571" localSheetId="6">[8]FuncStudy!$Y$521</definedName>
    <definedName name="UAcct571" localSheetId="4">[9]FuncStudy!$Y$521</definedName>
    <definedName name="UAcct571">'[10]Func Study'!$AB$727</definedName>
    <definedName name="UAcct572" localSheetId="6">[8]FuncStudy!$Y$525</definedName>
    <definedName name="UAcct572" localSheetId="4">[9]FuncStudy!$Y$525</definedName>
    <definedName name="UAcct572">'[10]Func Study'!$AB$731</definedName>
    <definedName name="UAcct573" localSheetId="6">[8]FuncStudy!$Y$529</definedName>
    <definedName name="UAcct573" localSheetId="4">[9]FuncStudy!$Y$529</definedName>
    <definedName name="UAcct573">'[10]Func Study'!$AB$735</definedName>
    <definedName name="UAcct580" localSheetId="6">[8]FuncStudy!$Y$536</definedName>
    <definedName name="UAcct580" localSheetId="4">[9]FuncStudy!$Y$536</definedName>
    <definedName name="UAcct580">'[10]Func Study'!$AB$748</definedName>
    <definedName name="UAcct581" localSheetId="6">[8]FuncStudy!$Y$541</definedName>
    <definedName name="UAcct581" localSheetId="4">[9]FuncStudy!$Y$541</definedName>
    <definedName name="UAcct581">'[10]Func Study'!$AB$753</definedName>
    <definedName name="UAcct582" localSheetId="6">[8]FuncStudy!$Y$546</definedName>
    <definedName name="UAcct582" localSheetId="4">[9]FuncStudy!$Y$546</definedName>
    <definedName name="UAcct582">'[10]Func Study'!$AB$758</definedName>
    <definedName name="UAcct583" localSheetId="6">[8]FuncStudy!$Y$551</definedName>
    <definedName name="UAcct583" localSheetId="4">[9]FuncStudy!$Y$551</definedName>
    <definedName name="UAcct583">'[10]Func Study'!$AB$763</definedName>
    <definedName name="UAcct584" localSheetId="6">[8]FuncStudy!$Y$556</definedName>
    <definedName name="UAcct584" localSheetId="4">[9]FuncStudy!$Y$556</definedName>
    <definedName name="UAcct584">'[10]Func Study'!$AB$768</definedName>
    <definedName name="UAcct585" localSheetId="6">[8]FuncStudy!$Y$561</definedName>
    <definedName name="UAcct585" localSheetId="4">[9]FuncStudy!$Y$561</definedName>
    <definedName name="UAcct585">'[10]Func Study'!$AB$773</definedName>
    <definedName name="UAcct586" localSheetId="6">[8]FuncStudy!$Y$566</definedName>
    <definedName name="UAcct586" localSheetId="4">[9]FuncStudy!$Y$566</definedName>
    <definedName name="UAcct586">'[10]Func Study'!$AB$778</definedName>
    <definedName name="UAcct587" localSheetId="6">[8]FuncStudy!$Y$571</definedName>
    <definedName name="UAcct587" localSheetId="4">[9]FuncStudy!$Y$571</definedName>
    <definedName name="UAcct587">'[10]Func Study'!$AB$783</definedName>
    <definedName name="UAcct588" localSheetId="6">[8]FuncStudy!$Y$576</definedName>
    <definedName name="UAcct588" localSheetId="4">[9]FuncStudy!$Y$576</definedName>
    <definedName name="UAcct588">'[10]Func Study'!$AB$788</definedName>
    <definedName name="UAcct589" localSheetId="6">[8]FuncStudy!$Y$581</definedName>
    <definedName name="UAcct589" localSheetId="4">[9]FuncStudy!$Y$581</definedName>
    <definedName name="UAcct589">'[10]Func Study'!$AB$793</definedName>
    <definedName name="UAcct590" localSheetId="6">[8]FuncStudy!$Y$586</definedName>
    <definedName name="UAcct590" localSheetId="4">[9]FuncStudy!$Y$586</definedName>
    <definedName name="UAcct590">'[10]Func Study'!$AB$798</definedName>
    <definedName name="UAcct591" localSheetId="6">[8]FuncStudy!$Y$591</definedName>
    <definedName name="UAcct591" localSheetId="4">[9]FuncStudy!$Y$591</definedName>
    <definedName name="UAcct591">'[10]Func Study'!$AB$803</definedName>
    <definedName name="UAcct592" localSheetId="6">[8]FuncStudy!$Y$596</definedName>
    <definedName name="UAcct592" localSheetId="4">[9]FuncStudy!$Y$596</definedName>
    <definedName name="UAcct592">'[10]Func Study'!$AB$808</definedName>
    <definedName name="UAcct593" localSheetId="6">[8]FuncStudy!$Y$601</definedName>
    <definedName name="UAcct593" localSheetId="4">[9]FuncStudy!$Y$601</definedName>
    <definedName name="UAcct593">'[10]Func Study'!$AB$813</definedName>
    <definedName name="UAcct594" localSheetId="6">[8]FuncStudy!$Y$606</definedName>
    <definedName name="UAcct594" localSheetId="4">[9]FuncStudy!$Y$606</definedName>
    <definedName name="UAcct594">'[10]Func Study'!$AB$818</definedName>
    <definedName name="UAcct595" localSheetId="6">[8]FuncStudy!$Y$611</definedName>
    <definedName name="UAcct595" localSheetId="4">[9]FuncStudy!$Y$611</definedName>
    <definedName name="UAcct595">'[10]Func Study'!$AB$823</definedName>
    <definedName name="UAcct596" localSheetId="6">[8]FuncStudy!$Y$616</definedName>
    <definedName name="UAcct596" localSheetId="4">[9]FuncStudy!$Y$616</definedName>
    <definedName name="UAcct596">'[10]Func Study'!$AB$833</definedName>
    <definedName name="UAcct597" localSheetId="6">[8]FuncStudy!$Y$621</definedName>
    <definedName name="UAcct597" localSheetId="4">[9]FuncStudy!$Y$621</definedName>
    <definedName name="UAcct597">'[10]Func Study'!$AB$838</definedName>
    <definedName name="UAcct598" localSheetId="6">[8]FuncStudy!$Y$626</definedName>
    <definedName name="UAcct598" localSheetId="4">[9]FuncStudy!$Y$626</definedName>
    <definedName name="UAcct598">'[10]Func Study'!$AB$843</definedName>
    <definedName name="UAcct901" localSheetId="6">[8]FuncStudy!$Y$633</definedName>
    <definedName name="UAcct901" localSheetId="4">[9]FuncStudy!$Y$633</definedName>
    <definedName name="UAcct901">'[10]Func Study'!$AB$855</definedName>
    <definedName name="UAcct902" localSheetId="6">[8]FuncStudy!$Y$638</definedName>
    <definedName name="UAcct902" localSheetId="4">[9]FuncStudy!$Y$638</definedName>
    <definedName name="UAcct902">'[10]Func Study'!$AB$860</definedName>
    <definedName name="UAcct903" localSheetId="6">[8]FuncStudy!$Y$643</definedName>
    <definedName name="UAcct903" localSheetId="4">[9]FuncStudy!$Y$643</definedName>
    <definedName name="UAcct903">'[10]Func Study'!$AB$865</definedName>
    <definedName name="UAcct904" localSheetId="6">[8]FuncStudy!$Y$649</definedName>
    <definedName name="UAcct904" localSheetId="4">[9]FuncStudy!$Y$649</definedName>
    <definedName name="UAcct904">'[10]Func Study'!$AB$871</definedName>
    <definedName name="Uacct904SG">'[16]Functional Study'!#REF!</definedName>
    <definedName name="UAcct905" localSheetId="6">[8]FuncStudy!$Y$654</definedName>
    <definedName name="UAcct905" localSheetId="4">[9]FuncStudy!$Y$654</definedName>
    <definedName name="UAcct905">'[10]Func Study'!$AB$876</definedName>
    <definedName name="UAcct907" localSheetId="6">[8]FuncStudy!$Y$661</definedName>
    <definedName name="UAcct907" localSheetId="4">[9]FuncStudy!$Y$661</definedName>
    <definedName name="UAcct907">'[10]Func Study'!$AB$890</definedName>
    <definedName name="UAcct908" localSheetId="6">[8]FuncStudy!$Y$666</definedName>
    <definedName name="UAcct908" localSheetId="4">[9]FuncStudy!$Y$666</definedName>
    <definedName name="UAcct908">'[10]Func Study'!$AB$895</definedName>
    <definedName name="UAcct909" localSheetId="6">[8]FuncStudy!$Y$671</definedName>
    <definedName name="UAcct909" localSheetId="4">[9]FuncStudy!$Y$671</definedName>
    <definedName name="UAcct909">'[10]Func Study'!$AB$900</definedName>
    <definedName name="UAcct910" localSheetId="6">[8]FuncStudy!$Y$676</definedName>
    <definedName name="UAcct910" localSheetId="4">[9]FuncStudy!$Y$676</definedName>
    <definedName name="UAcct910">'[10]Func Study'!$AB$905</definedName>
    <definedName name="UAcct911" localSheetId="6">[8]FuncStudy!$Y$683</definedName>
    <definedName name="UAcct911" localSheetId="4">[9]FuncStudy!$Y$683</definedName>
    <definedName name="UAcct911">'[10]Func Study'!$AB$916</definedName>
    <definedName name="UAcct912" localSheetId="6">[8]FuncStudy!$Y$688</definedName>
    <definedName name="UAcct912" localSheetId="4">[9]FuncStudy!$Y$688</definedName>
    <definedName name="UAcct912">'[10]Func Study'!$AB$921</definedName>
    <definedName name="UAcct913" localSheetId="6">[8]FuncStudy!$Y$693</definedName>
    <definedName name="UAcct913" localSheetId="4">[9]FuncStudy!$Y$693</definedName>
    <definedName name="UAcct913">'[10]Func Study'!$AB$926</definedName>
    <definedName name="UAcct916" localSheetId="6">[8]FuncStudy!$Y$698</definedName>
    <definedName name="UAcct916" localSheetId="4">[9]FuncStudy!$Y$698</definedName>
    <definedName name="UAcct916">'[10]Func Study'!$AB$931</definedName>
    <definedName name="UAcct920" localSheetId="6">[8]FuncStudy!$Y$707</definedName>
    <definedName name="UAcct920" localSheetId="4">[9]FuncStudy!$Y$707</definedName>
    <definedName name="UAcct920">'[10]Func Study'!$AB$942</definedName>
    <definedName name="UAcct920Cn" localSheetId="6">[8]FuncStudy!$Y$705</definedName>
    <definedName name="UAcct920Cn" localSheetId="4">[9]FuncStudy!$Y$705</definedName>
    <definedName name="UAcct920Cn">'[10]Func Study'!$AB$940</definedName>
    <definedName name="UAcct921" localSheetId="6">[8]FuncStudy!$Y$713</definedName>
    <definedName name="UAcct921" localSheetId="4">[9]FuncStudy!$Y$713</definedName>
    <definedName name="UAcct921">'[10]Func Study'!$AB$948</definedName>
    <definedName name="UAcct921Cn" localSheetId="6">[8]FuncStudy!$Y$711</definedName>
    <definedName name="UAcct921Cn" localSheetId="4">[9]FuncStudy!$Y$711</definedName>
    <definedName name="UAcct921Cn">'[10]Func Study'!$AB$946</definedName>
    <definedName name="UAcct923" localSheetId="6">[8]FuncStudy!$Y$719</definedName>
    <definedName name="UAcct923" localSheetId="4">[9]FuncStudy!$Y$719</definedName>
    <definedName name="UAcct923">'[10]Func Study'!$AB$954</definedName>
    <definedName name="UAcct923Cn" localSheetId="6">[8]FuncStudy!$Y$717</definedName>
    <definedName name="UAcct923Cn" localSheetId="4">[9]FuncStudy!$Y$717</definedName>
    <definedName name="UAcct923Cn">'[10]Func Study'!$AB$952</definedName>
    <definedName name="UAcct924">'[10]Func Study'!$AB$959</definedName>
    <definedName name="UAcct924S" localSheetId="6">[8]FuncStudy!$Y$722</definedName>
    <definedName name="UAcct924S" localSheetId="4">[9]FuncStudy!$Y$722</definedName>
    <definedName name="UAcct924S">[14]FuncStudy!$Y$722</definedName>
    <definedName name="UACCT924SG" localSheetId="6">[8]FuncStudy!$Y$723</definedName>
    <definedName name="UACCT924SG" localSheetId="4">[9]FuncStudy!$Y$723</definedName>
    <definedName name="UACCT924SG">'[10]Func Study'!$AB$958</definedName>
    <definedName name="UAcct924SO" localSheetId="6">[8]FuncStudy!$Y$724</definedName>
    <definedName name="UAcct924SO" localSheetId="4">[9]FuncStudy!$Y$724</definedName>
    <definedName name="UAcct924SO">[14]FuncStudy!$Y$724</definedName>
    <definedName name="UAcct925" localSheetId="6">[8]FuncStudy!$Y$729</definedName>
    <definedName name="UAcct925" localSheetId="4">[9]FuncStudy!$Y$729</definedName>
    <definedName name="UAcct925">'[10]Func Study'!$AB$963</definedName>
    <definedName name="UAcct926" localSheetId="6">[8]FuncStudy!$Y$735</definedName>
    <definedName name="UAcct926" localSheetId="4">[9]FuncStudy!$Y$735</definedName>
    <definedName name="UAcct926">'[10]Func Study'!$AB$969</definedName>
    <definedName name="UAcct927" localSheetId="6">[8]FuncStudy!$Y$740</definedName>
    <definedName name="UAcct927" localSheetId="4">[9]FuncStudy!$Y$740</definedName>
    <definedName name="UAcct927">'[10]Func Study'!$AB$974</definedName>
    <definedName name="UAcct928" localSheetId="6">[8]FuncStudy!$Y$747</definedName>
    <definedName name="UAcct928" localSheetId="4">[9]FuncStudy!$Y$747</definedName>
    <definedName name="UAcct928">'[10]Func Study'!$AB$981</definedName>
    <definedName name="UAcct928RE" localSheetId="6">[8]FuncStudy!$Y$749</definedName>
    <definedName name="UAcct928RE" localSheetId="4">[9]FuncStudy!$Y$749</definedName>
    <definedName name="UAcct928RE">'[10]Func Study'!$AB$983</definedName>
    <definedName name="UAcct929" localSheetId="6">[8]FuncStudy!$Y$754</definedName>
    <definedName name="UAcct929" localSheetId="4">[9]FuncStudy!$Y$754</definedName>
    <definedName name="UAcct929">'[10]Func Study'!$AB$988</definedName>
    <definedName name="UAcct930">'[11]Functional Study'!$AG$1021</definedName>
    <definedName name="UACCT930cn" localSheetId="6">[8]FuncStudy!$Y$758</definedName>
    <definedName name="UACCT930cn" localSheetId="4">[9]FuncStudy!$Y$758</definedName>
    <definedName name="UACCT930cn">'[10]Func Study'!$AB$992</definedName>
    <definedName name="UAcct930S" localSheetId="6">[8]FuncStudy!$Y$757</definedName>
    <definedName name="UAcct930S" localSheetId="4">[9]FuncStudy!$Y$757</definedName>
    <definedName name="UAcct930S">'[10]Func Study'!$AB$991</definedName>
    <definedName name="UAcct930So" localSheetId="6">[8]FuncStudy!$Y$759</definedName>
    <definedName name="UAcct930So" localSheetId="4">[9]FuncStudy!$Y$759</definedName>
    <definedName name="UAcct930So">'[10]Func Study'!$AB$993</definedName>
    <definedName name="UAcct931" localSheetId="6">[8]FuncStudy!$Y$765</definedName>
    <definedName name="UAcct931" localSheetId="4">[9]FuncStudy!$Y$765</definedName>
    <definedName name="UAcct931">'[10]Func Study'!$AB$999</definedName>
    <definedName name="UAcct935" localSheetId="6">[8]FuncStudy!$Y$771</definedName>
    <definedName name="UAcct935" localSheetId="4">[9]FuncStudy!$Y$771</definedName>
    <definedName name="UAcct935">'[10]Func Study'!$AB$1005</definedName>
    <definedName name="UAcctAGA" localSheetId="6">[8]FuncStudy!$Y$132</definedName>
    <definedName name="UAcctAGA" localSheetId="4">[9]FuncStudy!$Y$132</definedName>
    <definedName name="UAcctAGA">'[10]Func Study'!$AB$291</definedName>
    <definedName name="UACCTCOHDGP">'[11]Functional Study'!$AG$683</definedName>
    <definedName name="UACCTCOWSG">'[11]Functional Study'!$AG$684</definedName>
    <definedName name="UAcctcwc" localSheetId="6">[8]FuncStudy!$Y$1798</definedName>
    <definedName name="UAcctcwc" localSheetId="4">[9]FuncStudy!$Y$1798</definedName>
    <definedName name="UAcctcwc">'[10]Func Study'!$AB$2163</definedName>
    <definedName name="UAcctd00" localSheetId="6">[8]FuncStudy!$Y$1471</definedName>
    <definedName name="UAcctd00" localSheetId="4">[9]FuncStudy!$Y$1471</definedName>
    <definedName name="UAcctd00">'[10]Func Study'!$AB$1817</definedName>
    <definedName name="UAcctdfad" localSheetId="6">[8]FuncStudy!$Y$214</definedName>
    <definedName name="UAcctdfad" localSheetId="4">[9]FuncStudy!$Y$214</definedName>
    <definedName name="UAcctdfad">'[10]Func Study'!$AB$392</definedName>
    <definedName name="UAcctdfap" localSheetId="6">[8]FuncStudy!$Y$212</definedName>
    <definedName name="UAcctdfap" localSheetId="4">[9]FuncStudy!$Y$212</definedName>
    <definedName name="UAcctdfap">'[10]Func Study'!$AB$390</definedName>
    <definedName name="UAcctdfat" localSheetId="6">[8]FuncStudy!$Y$213</definedName>
    <definedName name="UAcctdfat" localSheetId="4">[9]FuncStudy!$Y$213</definedName>
    <definedName name="UAcctdfat">'[10]Func Study'!$AB$391</definedName>
    <definedName name="UAcctds0" localSheetId="6">[8]FuncStudy!$Y$1475</definedName>
    <definedName name="UAcctds0" localSheetId="4">[9]FuncStudy!$Y$1475</definedName>
    <definedName name="UAcctds0">'[10]Func Study'!$AB$1821</definedName>
    <definedName name="UACCTECD">'[61]Functional Study'!$AG$689</definedName>
    <definedName name="uacctecdcoh">'[10]Func Study'!$AB$663</definedName>
    <definedName name="uacctecddgp">'[10]Func Study'!$AB$662</definedName>
    <definedName name="uacctecdmc">'[10]Func Study'!$AB$664</definedName>
    <definedName name="uacctecdqfsg">'[10]Func Study'!$AB$667</definedName>
    <definedName name="uacctecds">'[10]Func Study'!$AB$666</definedName>
    <definedName name="uacctecdsg">'[10]Func Study'!$AB$665</definedName>
    <definedName name="UACCTEQFCS">'[11]Functional Study'!$AG$687</definedName>
    <definedName name="UACCTEQFCSG">'[11]Functional Study'!$AG$688</definedName>
    <definedName name="UAcctfit" localSheetId="6">[8]FuncStudy!$Y$1142</definedName>
    <definedName name="UAcctfit" localSheetId="4">[9]FuncStudy!$Y$1142</definedName>
    <definedName name="UAcctfit">'[10]Func Study'!$AB$1422</definedName>
    <definedName name="UAcctg00" localSheetId="6">[8]FuncStudy!$Y$1623</definedName>
    <definedName name="UAcctg00" localSheetId="4">[9]FuncStudy!$Y$1623</definedName>
    <definedName name="UAcctg00">'[10]Func Study'!$AB$1976</definedName>
    <definedName name="UAccth00" localSheetId="6">[8]FuncStudy!$Y$1257</definedName>
    <definedName name="UAccth00" localSheetId="4">[9]FuncStudy!$Y$1257</definedName>
    <definedName name="UAccth00">'[10]Func Study'!$AB$1578</definedName>
    <definedName name="UAccti00" localSheetId="6">[8]FuncStudy!$Y$1665</definedName>
    <definedName name="UAccti00" localSheetId="4">[9]FuncStudy!$Y$1665</definedName>
    <definedName name="UAccti00">'[10]Func Study'!$AB$2021</definedName>
    <definedName name="UACCTMCCMC">'[11]Functional Study'!$AG$685</definedName>
    <definedName name="UACCTMCSG">'[11]Functional Study'!$AG$686</definedName>
    <definedName name="UAcctn00" localSheetId="6">[8]FuncStudy!$Y$1213</definedName>
    <definedName name="UAcctn00" localSheetId="4">[9]FuncStudy!$Y$1213</definedName>
    <definedName name="UAcctn00">'[10]Func Study'!$AB$1522</definedName>
    <definedName name="UAccto00" localSheetId="6">[8]FuncStudy!$Y$1308</definedName>
    <definedName name="UAccto00" localSheetId="4">[9]FuncStudy!$Y$1308</definedName>
    <definedName name="UAccto00">'[10]Func Study'!$AB$1638</definedName>
    <definedName name="UAcctowc" localSheetId="6">[8]FuncStudy!$Y$1810</definedName>
    <definedName name="UAcctowc" localSheetId="4">[9]FuncStudy!$Y$1810</definedName>
    <definedName name="UAcctowc">'[10]Func Study'!$AB$2175</definedName>
    <definedName name="UAcctowcdgp">'[12]Functional Study'!#REF!</definedName>
    <definedName name="UAcctowcse">'[12]Functional Study'!$AG$1855</definedName>
    <definedName name="uacctowcssech" localSheetId="6">[8]FuncStudy!$Y$1809</definedName>
    <definedName name="uacctowcssech" localSheetId="4">[9]FuncStudy!$Y$1809</definedName>
    <definedName name="uacctowcssech">'[10]Func Study'!$AB$2174</definedName>
    <definedName name="UAccts00" localSheetId="6">[8]FuncStudy!$Y$1181</definedName>
    <definedName name="UAccts00" localSheetId="4">[9]FuncStudy!$Y$1181</definedName>
    <definedName name="UAccts00">'[10]Func Study'!$AB$1481</definedName>
    <definedName name="UAcctSchM" localSheetId="6">[8]FuncStudy!$Y$1120</definedName>
    <definedName name="UAcctSchM" localSheetId="4">[9]FuncStudy!$Y$1120</definedName>
    <definedName name="UAcctSchM">'[10]Func Study'!$AB$1401</definedName>
    <definedName name="UAcctsttax" localSheetId="6">[8]FuncStudy!$Y$1124</definedName>
    <definedName name="UAcctsttax" localSheetId="4">[9]FuncStudy!$Y$1124</definedName>
    <definedName name="UAcctsttax">'[10]Func Study'!$AB$1405</definedName>
    <definedName name="UAcctt00" localSheetId="6">[8]FuncStudy!$Y$1376</definedName>
    <definedName name="UAcctt00" localSheetId="4">[9]FuncStudy!$Y$1376</definedName>
    <definedName name="UAcctt00">'[10]Func Study'!$AB$1713</definedName>
    <definedName name="UACT553SGW" localSheetId="6">[8]FuncStudy!$Y$421</definedName>
    <definedName name="UACT553SGW" localSheetId="4">[9]FuncStudy!$Y$421</definedName>
    <definedName name="UACT553SGW">[14]FuncStudy!$Y$421</definedName>
    <definedName name="UnadjBegEnd">#REF!</definedName>
    <definedName name="UnadjYE">#REF!</definedName>
    <definedName name="UNBILREV" localSheetId="0">#REF!</definedName>
    <definedName name="UNBILREV" localSheetId="8">#REF!</definedName>
    <definedName name="UNBILREV">#REF!</definedName>
    <definedName name="UncollectibleAccounts">[21]Variables!$D$25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 localSheetId="8">#REF!</definedName>
    <definedName name="USBR">#REF!</definedName>
    <definedName name="USCHMAFS" localSheetId="6">[8]FuncStudy!$Y$1031</definedName>
    <definedName name="USCHMAFS" localSheetId="4">[9]FuncStudy!$Y$1031</definedName>
    <definedName name="USCHMAFS">'[10]Func Study'!$AB$1302</definedName>
    <definedName name="USCHMAFSE" localSheetId="6">[8]FuncStudy!$Y$1034</definedName>
    <definedName name="USCHMAFSE" localSheetId="4">[9]FuncStudy!$Y$1034</definedName>
    <definedName name="USCHMAFSE">'[10]Func Study'!$AB$1305</definedName>
    <definedName name="USCHMAFSG" localSheetId="6">[8]FuncStudy!$Y$1036</definedName>
    <definedName name="USCHMAFSG" localSheetId="4">[9]FuncStudy!$Y$1036</definedName>
    <definedName name="USCHMAFSG">'[10]Func Study'!$AB$1307</definedName>
    <definedName name="USCHMAFSNP" localSheetId="6">[8]FuncStudy!$Y$1032</definedName>
    <definedName name="USCHMAFSNP" localSheetId="4">[9]FuncStudy!$Y$1032</definedName>
    <definedName name="USCHMAFSNP">'[10]Func Study'!$AB$1303</definedName>
    <definedName name="USCHMAFSO" localSheetId="6">[8]FuncStudy!$Y$1033</definedName>
    <definedName name="USCHMAFSO" localSheetId="4">[9]FuncStudy!$Y$1033</definedName>
    <definedName name="USCHMAFSO">'[10]Func Study'!$AB$1304</definedName>
    <definedName name="USCHMAFTROJP" localSheetId="6">[8]FuncStudy!$Y$1035</definedName>
    <definedName name="USCHMAFTROJP" localSheetId="4">[9]FuncStudy!$Y$1035</definedName>
    <definedName name="USCHMAFTROJP">'[10]Func Study'!$AB$1306</definedName>
    <definedName name="USCHMAPBADDEBT" localSheetId="6">[8]FuncStudy!$Y$1045</definedName>
    <definedName name="USCHMAPBADDEBT" localSheetId="4">[9]FuncStudy!$Y$1045</definedName>
    <definedName name="USCHMAPBADDEBT">'[10]Func Study'!$AB$1316</definedName>
    <definedName name="USCHMAPS" localSheetId="6">[8]FuncStudy!$Y$1040</definedName>
    <definedName name="USCHMAPS" localSheetId="4">[9]FuncStudy!$Y$1040</definedName>
    <definedName name="USCHMAPS">'[10]Func Study'!$AB$1311</definedName>
    <definedName name="USCHMAPSE" localSheetId="6">[8]FuncStudy!$Y$1041</definedName>
    <definedName name="USCHMAPSE" localSheetId="4">[9]FuncStudy!$Y$1041</definedName>
    <definedName name="USCHMAPSE">'[10]Func Study'!$AB$1312</definedName>
    <definedName name="USCHMAPSG" localSheetId="6">[8]FuncStudy!$Y$1044</definedName>
    <definedName name="USCHMAPSG" localSheetId="4">[9]FuncStudy!$Y$1044</definedName>
    <definedName name="USCHMAPSG">'[10]Func Study'!$AB$1315</definedName>
    <definedName name="USCHMAPSNP" localSheetId="6">[8]FuncStudy!$Y$1042</definedName>
    <definedName name="USCHMAPSNP" localSheetId="4">[9]FuncStudy!$Y$1042</definedName>
    <definedName name="USCHMAPSNP">'[10]Func Study'!$AB$1313</definedName>
    <definedName name="USCHMAPSO" localSheetId="6">[8]FuncStudy!$Y$1043</definedName>
    <definedName name="USCHMAPSO" localSheetId="4">[9]FuncStudy!$Y$1043</definedName>
    <definedName name="USCHMAPSO">'[10]Func Study'!$AB$1314</definedName>
    <definedName name="USCHMATBADDEBT" localSheetId="6">[8]FuncStudy!$Y$1060</definedName>
    <definedName name="USCHMATBADDEBT" localSheetId="4">[9]FuncStudy!$Y$1060</definedName>
    <definedName name="USCHMATBADDEBT">'[10]Func Study'!$AB$1331</definedName>
    <definedName name="USCHMATCIAC" localSheetId="6">[8]FuncStudy!$Y$1051</definedName>
    <definedName name="USCHMATCIAC" localSheetId="4">[9]FuncStudy!$Y$1051</definedName>
    <definedName name="USCHMATCIAC">'[10]Func Study'!$AB$1322</definedName>
    <definedName name="USCHMATGPS" localSheetId="6">[8]FuncStudy!$Y$1057</definedName>
    <definedName name="USCHMATGPS" localSheetId="4">[9]FuncStudy!$Y$1057</definedName>
    <definedName name="USCHMATGPS">'[10]Func Study'!$AB$1328</definedName>
    <definedName name="USCHMATS" localSheetId="6">[8]FuncStudy!$Y$1049</definedName>
    <definedName name="USCHMATS" localSheetId="4">[9]FuncStudy!$Y$1049</definedName>
    <definedName name="USCHMATS">'[10]Func Study'!$AB$1320</definedName>
    <definedName name="USCHMATSCHMDEXP" localSheetId="6">[8]FuncStudy!$Y$1062</definedName>
    <definedName name="USCHMATSCHMDEXP" localSheetId="4">[9]FuncStudy!$Y$1062</definedName>
    <definedName name="USCHMATSCHMDEXP">'[10]Func Study'!$AB$1333</definedName>
    <definedName name="USCHMATSE" localSheetId="6">[8]FuncStudy!$Y$1055</definedName>
    <definedName name="USCHMATSE" localSheetId="4">[9]FuncStudy!$Y$1055</definedName>
    <definedName name="USCHMATSE">'[10]Func Study'!$AB$1326</definedName>
    <definedName name="USCHMATSG" localSheetId="6">[8]FuncStudy!$Y$1054</definedName>
    <definedName name="USCHMATSG" localSheetId="4">[9]FuncStudy!$Y$1054</definedName>
    <definedName name="USCHMATSG">'[10]Func Study'!$AB$1325</definedName>
    <definedName name="USCHMATSG2" localSheetId="6">[8]FuncStudy!$Y$1056</definedName>
    <definedName name="USCHMATSG2" localSheetId="4">[9]FuncStudy!$Y$1056</definedName>
    <definedName name="USCHMATSG2">'[10]Func Study'!$AB$1327</definedName>
    <definedName name="USCHMATSGCT" localSheetId="6">[8]FuncStudy!$Y$1050</definedName>
    <definedName name="USCHMATSGCT" localSheetId="4">[9]FuncStudy!$Y$1050</definedName>
    <definedName name="USCHMATSGCT">'[10]Func Study'!$AB$1321</definedName>
    <definedName name="USCHMATSNP" localSheetId="6">[8]FuncStudy!$Y$1052</definedName>
    <definedName name="USCHMATSNP" localSheetId="4">[9]FuncStudy!$Y$1052</definedName>
    <definedName name="USCHMATSNP">'[10]Func Study'!$AB$1323</definedName>
    <definedName name="USCHMATSNPD" localSheetId="6">[8]FuncStudy!$Y$1059</definedName>
    <definedName name="USCHMATSNPD" localSheetId="4">[9]FuncStudy!$Y$1059</definedName>
    <definedName name="USCHMATSNPD">'[10]Func Study'!$AB$1330</definedName>
    <definedName name="USCHMATSO" localSheetId="6">[8]FuncStudy!$Y$1058</definedName>
    <definedName name="USCHMATSO" localSheetId="4">[9]FuncStudy!$Y$1058</definedName>
    <definedName name="USCHMATSO">'[10]Func Study'!$AB$1329</definedName>
    <definedName name="USCHMATTAXDEPR" localSheetId="6">[8]FuncStudy!$Y$1061</definedName>
    <definedName name="USCHMATTAXDEPR" localSheetId="4">[9]FuncStudy!$Y$1061</definedName>
    <definedName name="USCHMATTAXDEPR">'[10]Func Study'!$AB$1332</definedName>
    <definedName name="USCHMATTROJD" localSheetId="6">[8]FuncStudy!$Y$1053</definedName>
    <definedName name="USCHMATTROJD" localSheetId="4">[9]FuncStudy!$Y$1053</definedName>
    <definedName name="USCHMATTROJD">'[10]Func Study'!$AB$1324</definedName>
    <definedName name="USCHMDFDGP" localSheetId="6">[8]FuncStudy!$Y$1069</definedName>
    <definedName name="USCHMDFDGP" localSheetId="4">[9]FuncStudy!$Y$1069</definedName>
    <definedName name="USCHMDFDGP">'[10]Func Study'!$AB$1340</definedName>
    <definedName name="USCHMDFDGU" localSheetId="6">[8]FuncStudy!$Y$1070</definedName>
    <definedName name="USCHMDFDGU" localSheetId="4">[9]FuncStudy!$Y$1070</definedName>
    <definedName name="USCHMDFDGU">'[10]Func Study'!$AB$1341</definedName>
    <definedName name="USCHMDFS" localSheetId="6">[8]FuncStudy!$Y$1068</definedName>
    <definedName name="USCHMDFS" localSheetId="4">[9]FuncStudy!$Y$1068</definedName>
    <definedName name="USCHMDFS">'[10]Func Study'!$AB$1339</definedName>
    <definedName name="USCHMDPIBT" localSheetId="6">[8]FuncStudy!$Y$1076</definedName>
    <definedName name="USCHMDPIBT" localSheetId="4">[9]FuncStudy!$Y$1076</definedName>
    <definedName name="USCHMDPIBT">'[10]Func Study'!$AB$1347</definedName>
    <definedName name="USCHMDPS" localSheetId="6">[8]FuncStudy!$Y$1073</definedName>
    <definedName name="USCHMDPS" localSheetId="4">[9]FuncStudy!$Y$1073</definedName>
    <definedName name="USCHMDPS">'[10]Func Study'!$AB$1344</definedName>
    <definedName name="USCHMDPSE" localSheetId="6">[8]FuncStudy!$Y$1074</definedName>
    <definedName name="USCHMDPSE" localSheetId="4">[9]FuncStudy!$Y$1074</definedName>
    <definedName name="USCHMDPSE">'[10]Func Study'!$AB$1345</definedName>
    <definedName name="USCHMDPSG" localSheetId="6">[8]FuncStudy!$Y$1077</definedName>
    <definedName name="USCHMDPSG" localSheetId="4">[9]FuncStudy!$Y$1077</definedName>
    <definedName name="USCHMDPSG">'[10]Func Study'!$AB$1348</definedName>
    <definedName name="USCHMDPSNP" localSheetId="6">[8]FuncStudy!$Y$1075</definedName>
    <definedName name="USCHMDPSNP" localSheetId="4">[9]FuncStudy!$Y$1075</definedName>
    <definedName name="USCHMDPSNP">'[10]Func Study'!$AB$1346</definedName>
    <definedName name="USCHMDPSO" localSheetId="6">[8]FuncStudy!$Y$1078</definedName>
    <definedName name="USCHMDPSO" localSheetId="4">[9]FuncStudy!$Y$1078</definedName>
    <definedName name="USCHMDPSO">'[10]Func Study'!$AB$1349</definedName>
    <definedName name="USCHMDTBADDEBT" localSheetId="6">[8]FuncStudy!$Y$1083</definedName>
    <definedName name="USCHMDTBADDEBT" localSheetId="4">[9]FuncStudy!$Y$1083</definedName>
    <definedName name="USCHMDTBADDEBT">'[10]Func Study'!$AB$1354</definedName>
    <definedName name="USCHMDTCN" localSheetId="6">[8]FuncStudy!$Y$1085</definedName>
    <definedName name="USCHMDTCN" localSheetId="4">[9]FuncStudy!$Y$1085</definedName>
    <definedName name="USCHMDTCN">'[10]Func Study'!$AB$1356</definedName>
    <definedName name="USCHMDTDGP" localSheetId="6">[8]FuncStudy!$Y$1087</definedName>
    <definedName name="USCHMDTDGP" localSheetId="4">[9]FuncStudy!$Y$1087</definedName>
    <definedName name="USCHMDTDGP">'[10]Func Study'!$AB$1358</definedName>
    <definedName name="USCHMDTGPS" localSheetId="6">[8]FuncStudy!$Y$1090</definedName>
    <definedName name="USCHMDTGPS" localSheetId="4">[9]FuncStudy!$Y$1090</definedName>
    <definedName name="USCHMDTGPS">'[10]Func Study'!$AB$1361</definedName>
    <definedName name="USCHMDTS" localSheetId="6">[8]FuncStudy!$Y$1082</definedName>
    <definedName name="USCHMDTS" localSheetId="4">[9]FuncStudy!$Y$1082</definedName>
    <definedName name="USCHMDTS">'[10]Func Study'!$AB$1353</definedName>
    <definedName name="USCHMDTSE" localSheetId="6">[8]FuncStudy!$Y$1088</definedName>
    <definedName name="USCHMDTSE" localSheetId="4">[9]FuncStudy!$Y$1088</definedName>
    <definedName name="USCHMDTSE">'[10]Func Study'!$AB$1359</definedName>
    <definedName name="USCHMDTSG" localSheetId="6">[8]FuncStudy!$Y$1089</definedName>
    <definedName name="USCHMDTSG" localSheetId="4">[9]FuncStudy!$Y$1089</definedName>
    <definedName name="USCHMDTSG">'[10]Func Study'!$AB$1360</definedName>
    <definedName name="USCHMDTSNP" localSheetId="6">[8]FuncStudy!$Y$1084</definedName>
    <definedName name="USCHMDTSNP" localSheetId="4">[9]FuncStudy!$Y$1084</definedName>
    <definedName name="USCHMDTSNP">'[10]Func Study'!$AB$1355</definedName>
    <definedName name="USCHMDTSNPD" localSheetId="6">[8]FuncStudy!$Y$1093</definedName>
    <definedName name="USCHMDTSNPD" localSheetId="4">[9]FuncStudy!$Y$1093</definedName>
    <definedName name="USCHMDTSNPD">'[10]Func Study'!$AB$1364</definedName>
    <definedName name="USCHMDTSO" localSheetId="6">[8]FuncStudy!$Y$1091</definedName>
    <definedName name="USCHMDTSO" localSheetId="4">[9]FuncStudy!$Y$1091</definedName>
    <definedName name="USCHMDTSO">'[10]Func Study'!$AB$1362</definedName>
    <definedName name="USCHMDTTAXDEPR" localSheetId="6">[8]FuncStudy!$Y$1092</definedName>
    <definedName name="USCHMDTTAXDEPR" localSheetId="4">[9]FuncStudy!$Y$1092</definedName>
    <definedName name="USCHMDTTAXDEPR">'[10]Func Study'!$AB$1363</definedName>
    <definedName name="USCHMDTTROJD" localSheetId="6">[8]FuncStudy!$Y$1086</definedName>
    <definedName name="USCHMDTTROJD" localSheetId="4">[9]FuncStudy!$Y$1086</definedName>
    <definedName name="USCHMDTTROJD">'[10]Func Study'!$AB$1357</definedName>
    <definedName name="USYieldCurves">'[30]Calcoutput (futures)'!$B$4:$C$124</definedName>
    <definedName name="UT_305A_FY_2002" localSheetId="0">#REF!</definedName>
    <definedName name="UT_305A_FY_2002" localSheetId="8">#REF!</definedName>
    <definedName name="UT_305A_FY_2002">#REF!</definedName>
    <definedName name="UT_RVN_0302" localSheetId="0">#REF!</definedName>
    <definedName name="UT_RVN_0302">#REF!</definedName>
    <definedName name="UTAllocMethod">#REF!</definedName>
    <definedName name="UtGrossReceipts">[21]Variables!$D$29</definedName>
    <definedName name="UTRateBase">#REF!</definedName>
    <definedName name="ValidAccount">[17]Variables!$AK$43:$AK$369</definedName>
    <definedName name="ValidFactor">#REF!</definedName>
    <definedName name="VAR" localSheetId="0">[51]Backup!#REF!</definedName>
    <definedName name="VAR" localSheetId="8">[51]Backup!#REF!</definedName>
    <definedName name="VAR">[51]Backup!#REF!</definedName>
    <definedName name="VARIABLE" localSheetId="0">[47]Summary!#REF!</definedName>
    <definedName name="VARIABLE" localSheetId="8">[47]Summary!#REF!</definedName>
    <definedName name="VARIABLE">[47]Summary!#REF!</definedName>
    <definedName name="Version">#REF!</definedName>
    <definedName name="VOUCHER" localSheetId="0">#REF!</definedName>
    <definedName name="VOUCHER" localSheetId="8">#REF!</definedName>
    <definedName name="VOUCHER">#REF!</definedName>
    <definedName name="w" hidden="1">[71]Inputs!#REF!</definedName>
    <definedName name="WAAllocMethod">#REF!</definedName>
    <definedName name="WARateBase">#REF!</definedName>
    <definedName name="WaRevenueTax">[21]Variables!$D$27</definedName>
    <definedName name="WEATHER" localSheetId="0">#REF!</definedName>
    <definedName name="WEATHER" localSheetId="8">#REF!</definedName>
    <definedName name="WEATHER">#REF!</definedName>
    <definedName name="WEATHRNORM" localSheetId="0">#REF!</definedName>
    <definedName name="WEATHRNORM">#REF!</definedName>
    <definedName name="wheeling.bucks">#REF!</definedName>
    <definedName name="wheeling.bucks.name">#REF!</definedName>
    <definedName name="WIDTH" localSheetId="0">#REF!</definedName>
    <definedName name="WIDTH">#REF!</definedName>
    <definedName name="WinterPeak">'[72]Load Data'!$D$9:$H$12,'[72]Load Data'!$D$20:$H$22</definedName>
    <definedName name="WN" localSheetId="0">#REF!</definedName>
    <definedName name="WN" localSheetId="1">#REF!</definedName>
    <definedName name="WN" localSheetId="2">#REF!</definedName>
    <definedName name="WN" localSheetId="8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8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8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8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8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">'[73]Weather Present'!$K$7</definedName>
    <definedName name="Xfmr_Year1">[19]Variables!$C$20</definedName>
    <definedName name="Xfmr_Year2">[19]Variables!$D$20</definedName>
    <definedName name="XFMR_YR1">[25]Variables!$C$20</definedName>
    <definedName name="XFMR_YR2">[25]Variables!$D$20</definedName>
    <definedName name="xxx">[74]Variables!$AK$2:$AL$12</definedName>
    <definedName name="y" hidden="1">'[4]DSM Output'!$B$21:$B$23</definedName>
    <definedName name="Y_2">#REF!</definedName>
    <definedName name="Year" localSheetId="0">#REF!</definedName>
    <definedName name="Year" localSheetId="8">#REF!</definedName>
    <definedName name="Year">#REF!</definedName>
    <definedName name="YearEndInput">[24]Inputs!$A$3:$D$1671</definedName>
    <definedName name="YEFactorCopy">#REF!</definedName>
    <definedName name="YEFactors">[17]Factors!$S$3:$AG$99</definedName>
    <definedName name="yestcobhlhask">#REF!</definedName>
    <definedName name="yestcobhlhbid">#REF!</definedName>
    <definedName name="yesterdayscurves">'[30]Calcoutput (futures)'!$L$7:$T$128</definedName>
    <definedName name="yestmchlhask">#REF!</definedName>
    <definedName name="yestmchlhbid">#REF!</definedName>
    <definedName name="yestpvhlhask">#REF!</definedName>
    <definedName name="yestpvhlhbid">#REF!</definedName>
    <definedName name="YTD">'[75]Actuals - Data Input'!#REF!</definedName>
    <definedName name="z" hidden="1">'[4]DSM Output'!$G$21:$G$23</definedName>
    <definedName name="Z_01844156_6462_4A28_9785_1A86F4D0C834_.wvu.PrintTitles" hidden="1">#REF!</definedName>
    <definedName name="ZA" localSheetId="0">'[76] annual balance '!#REF!</definedName>
    <definedName name="ZA" localSheetId="8">'[76] annual balance '!#REF!</definedName>
    <definedName name="ZA">'[76] annual balance '!#REF!</definedName>
  </definedNames>
  <calcPr calcId="152511"/>
</workbook>
</file>

<file path=xl/calcChain.xml><?xml version="1.0" encoding="utf-8"?>
<calcChain xmlns="http://schemas.openxmlformats.org/spreadsheetml/2006/main">
  <c r="G464" i="5" l="1"/>
  <c r="G463" i="5"/>
  <c r="G462" i="5"/>
  <c r="G461" i="5"/>
  <c r="G460" i="5"/>
  <c r="F8" i="11" l="1"/>
  <c r="L8" i="19" l="1"/>
  <c r="E13" i="19" s="1"/>
  <c r="L7" i="19"/>
  <c r="M7" i="19" s="1"/>
  <c r="E18" i="19"/>
  <c r="E16" i="19" l="1"/>
  <c r="E10" i="19"/>
  <c r="E14" i="19"/>
  <c r="E17" i="19"/>
  <c r="E11" i="19"/>
  <c r="E15" i="19"/>
  <c r="M8" i="19"/>
  <c r="E12" i="19"/>
  <c r="M10" i="19" l="1"/>
  <c r="M11" i="19"/>
  <c r="M12" i="19"/>
  <c r="M13" i="19"/>
  <c r="M14" i="19"/>
  <c r="M15" i="19"/>
  <c r="M16" i="19"/>
  <c r="M17" i="19"/>
  <c r="M18" i="19"/>
  <c r="M9" i="19"/>
  <c r="G10" i="19" l="1"/>
  <c r="G11" i="19"/>
  <c r="G12" i="19"/>
  <c r="G13" i="19"/>
  <c r="G14" i="19"/>
  <c r="G15" i="19"/>
  <c r="G16" i="19"/>
  <c r="G17" i="19"/>
  <c r="G18" i="19"/>
  <c r="F18" i="19"/>
  <c r="F17" i="19"/>
  <c r="F16" i="19"/>
  <c r="F15" i="19"/>
  <c r="F14" i="19"/>
  <c r="F13" i="19"/>
  <c r="F12" i="19"/>
  <c r="F11" i="19"/>
  <c r="F10" i="19"/>
  <c r="G9" i="19"/>
  <c r="F9" i="19"/>
  <c r="G8" i="19"/>
  <c r="F8" i="19"/>
  <c r="G7" i="19"/>
  <c r="J7" i="19" s="1"/>
  <c r="D8" i="19" s="1"/>
  <c r="F7" i="19"/>
  <c r="H7" i="19" s="1"/>
  <c r="I7" i="19" s="1"/>
  <c r="J8" i="19" l="1"/>
  <c r="D9" i="19" s="1"/>
  <c r="J9" i="19" s="1"/>
  <c r="D10" i="19" s="1"/>
  <c r="J10" i="19"/>
  <c r="D11" i="19" s="1"/>
  <c r="J11" i="19" s="1"/>
  <c r="D12" i="19" s="1"/>
  <c r="J12" i="19" s="1"/>
  <c r="D13" i="19" s="1"/>
  <c r="J13" i="19" s="1"/>
  <c r="D14" i="19" s="1"/>
  <c r="J14" i="19" s="1"/>
  <c r="D15" i="19" s="1"/>
  <c r="J15" i="19" s="1"/>
  <c r="D16" i="19" s="1"/>
  <c r="J16" i="19" s="1"/>
  <c r="D17" i="19" s="1"/>
  <c r="J17" i="19" s="1"/>
  <c r="D18" i="19" s="1"/>
  <c r="J18" i="19" s="1"/>
  <c r="C8" i="19"/>
  <c r="H8" i="19" l="1"/>
  <c r="I8" i="19" s="1"/>
  <c r="C9" i="19" s="1"/>
  <c r="H9" i="19" l="1"/>
  <c r="I9" i="19" s="1"/>
  <c r="C10" i="19" s="1"/>
  <c r="H10" i="19" l="1"/>
  <c r="I10" i="19" s="1"/>
  <c r="C11" i="19" s="1"/>
  <c r="H11" i="19" l="1"/>
  <c r="I11" i="19" s="1"/>
  <c r="C12" i="19" s="1"/>
  <c r="H12" i="19" s="1"/>
  <c r="I12" i="19" s="1"/>
  <c r="C13" i="19" s="1"/>
  <c r="H13" i="19" l="1"/>
  <c r="I13" i="19" s="1"/>
  <c r="C14" i="19" s="1"/>
  <c r="H14" i="19" l="1"/>
  <c r="I14" i="19" s="1"/>
  <c r="C15" i="19" s="1"/>
  <c r="K60" i="6"/>
  <c r="H15" i="19" l="1"/>
  <c r="I15" i="19" s="1"/>
  <c r="C16" i="19" s="1"/>
  <c r="H16" i="19" l="1"/>
  <c r="I16" i="19" s="1"/>
  <c r="C17" i="19" s="1"/>
  <c r="K44" i="6"/>
  <c r="K43" i="6"/>
  <c r="K35" i="6"/>
  <c r="K34" i="6"/>
  <c r="K32" i="6"/>
  <c r="K30" i="6"/>
  <c r="K27" i="6"/>
  <c r="K24" i="6"/>
  <c r="K23" i="6"/>
  <c r="K18" i="6"/>
  <c r="K38" i="6" l="1"/>
  <c r="H17" i="19"/>
  <c r="I17" i="19" s="1"/>
  <c r="C18" i="19" s="1"/>
  <c r="H18" i="19" l="1"/>
  <c r="I18" i="19" s="1"/>
  <c r="U54" i="13" s="1"/>
  <c r="U53" i="13"/>
  <c r="I58" i="6" l="1"/>
  <c r="W54" i="13"/>
  <c r="I57" i="6"/>
  <c r="U55" i="13"/>
  <c r="V53" i="13"/>
  <c r="K57" i="6" s="1"/>
  <c r="K59" i="6" s="1"/>
  <c r="W53" i="13"/>
  <c r="V55" i="13"/>
  <c r="W55" i="13" s="1"/>
  <c r="M57" i="6" l="1"/>
  <c r="I59" i="6"/>
  <c r="M59" i="6" s="1"/>
  <c r="T37" i="9"/>
  <c r="T36" i="9"/>
  <c r="T35" i="9"/>
  <c r="K46" i="10" l="1"/>
  <c r="G47" i="6"/>
  <c r="G46" i="6"/>
  <c r="G37" i="6" l="1"/>
  <c r="G36" i="6"/>
  <c r="G35" i="6"/>
  <c r="G34" i="6"/>
  <c r="G17" i="6"/>
  <c r="G434" i="5" l="1"/>
  <c r="G431" i="5"/>
  <c r="G427" i="5"/>
  <c r="G424" i="5"/>
  <c r="G420" i="5"/>
  <c r="G413" i="5"/>
  <c r="G293" i="5"/>
  <c r="K293" i="5" s="1"/>
  <c r="G299" i="5"/>
  <c r="K299" i="5" s="1"/>
  <c r="G93" i="5"/>
  <c r="G94" i="5"/>
  <c r="G95" i="5"/>
  <c r="G78" i="5"/>
  <c r="G79" i="5"/>
  <c r="G80" i="5"/>
  <c r="G433" i="5"/>
  <c r="G430" i="5"/>
  <c r="G426" i="5"/>
  <c r="G423" i="5"/>
  <c r="G421" i="5"/>
  <c r="G418" i="5"/>
  <c r="K80" i="5" l="1"/>
  <c r="S80" i="5" s="1"/>
  <c r="K79" i="5"/>
  <c r="S79" i="5" s="1"/>
  <c r="S95" i="5"/>
  <c r="K95" i="5"/>
  <c r="K94" i="5"/>
  <c r="S94" i="5" s="1"/>
  <c r="G13" i="5"/>
  <c r="G14" i="5"/>
  <c r="G16" i="5"/>
  <c r="G17" i="5"/>
  <c r="G18" i="5"/>
  <c r="G20" i="5"/>
  <c r="G21" i="5"/>
  <c r="G22" i="5"/>
  <c r="G23" i="5"/>
  <c r="G24" i="5"/>
  <c r="G33" i="5"/>
  <c r="G49" i="5" s="1"/>
  <c r="G34" i="5"/>
  <c r="G36" i="5"/>
  <c r="G37" i="5"/>
  <c r="G38" i="5"/>
  <c r="G40" i="5"/>
  <c r="G41" i="5"/>
  <c r="G42" i="5"/>
  <c r="G43" i="5"/>
  <c r="G44" i="5"/>
  <c r="G53" i="5"/>
  <c r="G54" i="5"/>
  <c r="G56" i="5"/>
  <c r="G57" i="5"/>
  <c r="G58" i="5"/>
  <c r="G59" i="5"/>
  <c r="G60" i="5"/>
  <c r="G62" i="5"/>
  <c r="G63" i="5"/>
  <c r="G64" i="5"/>
  <c r="G65" i="5"/>
  <c r="G66" i="5"/>
  <c r="G29" i="5" l="1"/>
  <c r="G15" i="6" s="1"/>
  <c r="G71" i="5"/>
  <c r="G16" i="6" s="1"/>
  <c r="G18" i="6" l="1"/>
  <c r="F7" i="11"/>
  <c r="K464" i="5" l="1"/>
  <c r="K463" i="5"/>
  <c r="S463" i="5" s="1"/>
  <c r="K462" i="5"/>
  <c r="S464" i="5" l="1"/>
  <c r="K465" i="5"/>
  <c r="S462" i="5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V28" i="9" l="1"/>
  <c r="V26" i="9"/>
  <c r="V25" i="9"/>
  <c r="V23" i="9"/>
  <c r="V21" i="9"/>
  <c r="V18" i="9"/>
  <c r="V17" i="9"/>
  <c r="V16" i="9"/>
  <c r="V15" i="9"/>
  <c r="V14" i="9"/>
  <c r="C13" i="9" l="1"/>
  <c r="C12" i="9"/>
  <c r="C29" i="9"/>
  <c r="V13" i="9"/>
  <c r="C15" i="9"/>
  <c r="C18" i="9"/>
  <c r="C21" i="9"/>
  <c r="C23" i="9"/>
  <c r="V24" i="9"/>
  <c r="C25" i="9"/>
  <c r="C27" i="9"/>
  <c r="C28" i="9"/>
  <c r="C30" i="9"/>
  <c r="C31" i="9"/>
  <c r="C10" i="9"/>
  <c r="C11" i="9"/>
  <c r="V12" i="9"/>
  <c r="C14" i="9"/>
  <c r="C16" i="9"/>
  <c r="C19" i="9"/>
  <c r="U35" i="9" s="1"/>
  <c r="C20" i="9"/>
  <c r="C22" i="9"/>
  <c r="V22" i="9"/>
  <c r="C24" i="9"/>
  <c r="C26" i="9"/>
  <c r="V30" i="9"/>
  <c r="K29" i="9" l="1"/>
  <c r="K26" i="9"/>
  <c r="K24" i="9"/>
  <c r="K22" i="9"/>
  <c r="K20" i="9"/>
  <c r="K17" i="9"/>
  <c r="K16" i="9"/>
  <c r="U38" i="9" s="1"/>
  <c r="Y38" i="9" s="1"/>
  <c r="K14" i="9"/>
  <c r="K12" i="9"/>
  <c r="K11" i="9"/>
  <c r="K10" i="9"/>
  <c r="K13" i="9"/>
  <c r="K31" i="9"/>
  <c r="K30" i="9"/>
  <c r="K28" i="9"/>
  <c r="K27" i="9"/>
  <c r="K25" i="9"/>
  <c r="K23" i="9"/>
  <c r="K21" i="9"/>
  <c r="K18" i="9"/>
  <c r="U37" i="9" s="1"/>
  <c r="Y37" i="9" s="1"/>
  <c r="K15" i="9"/>
  <c r="Y35" i="9"/>
  <c r="V20" i="9"/>
  <c r="U36" i="9" l="1"/>
  <c r="Y36" i="9" s="1"/>
  <c r="Q49" i="8"/>
  <c r="Q47" i="8"/>
  <c r="E38" i="8"/>
  <c r="E35" i="8"/>
  <c r="P33" i="8"/>
  <c r="O33" i="8"/>
  <c r="N33" i="8"/>
  <c r="M33" i="8"/>
  <c r="L33" i="8"/>
  <c r="K33" i="8"/>
  <c r="J33" i="8"/>
  <c r="I33" i="8"/>
  <c r="H33" i="8"/>
  <c r="G33" i="8"/>
  <c r="F33" i="8"/>
  <c r="P32" i="8"/>
  <c r="O32" i="8"/>
  <c r="N32" i="8"/>
  <c r="M32" i="8"/>
  <c r="L32" i="8"/>
  <c r="K32" i="8"/>
  <c r="J32" i="8"/>
  <c r="I32" i="8"/>
  <c r="H32" i="8"/>
  <c r="G32" i="8"/>
  <c r="F32" i="8"/>
  <c r="P30" i="8"/>
  <c r="O30" i="8"/>
  <c r="N30" i="8"/>
  <c r="M30" i="8"/>
  <c r="L30" i="8"/>
  <c r="K30" i="8"/>
  <c r="J30" i="8"/>
  <c r="I30" i="8"/>
  <c r="H30" i="8"/>
  <c r="G30" i="8"/>
  <c r="F30" i="8"/>
  <c r="P29" i="8"/>
  <c r="O29" i="8"/>
  <c r="N29" i="8"/>
  <c r="M29" i="8"/>
  <c r="L29" i="8"/>
  <c r="K29" i="8"/>
  <c r="J29" i="8"/>
  <c r="I29" i="8"/>
  <c r="H29" i="8"/>
  <c r="G29" i="8"/>
  <c r="F29" i="8"/>
  <c r="P26" i="8"/>
  <c r="O26" i="8"/>
  <c r="N26" i="8"/>
  <c r="M26" i="8"/>
  <c r="L26" i="8"/>
  <c r="K26" i="8"/>
  <c r="J26" i="8"/>
  <c r="I26" i="8"/>
  <c r="H26" i="8"/>
  <c r="G26" i="8"/>
  <c r="F26" i="8"/>
  <c r="P25" i="8"/>
  <c r="O25" i="8"/>
  <c r="N25" i="8"/>
  <c r="M25" i="8"/>
  <c r="L25" i="8"/>
  <c r="K25" i="8"/>
  <c r="J25" i="8"/>
  <c r="I25" i="8"/>
  <c r="H25" i="8"/>
  <c r="G25" i="8"/>
  <c r="F25" i="8"/>
  <c r="P23" i="8"/>
  <c r="O23" i="8"/>
  <c r="N23" i="8"/>
  <c r="M23" i="8"/>
  <c r="L23" i="8"/>
  <c r="K23" i="8"/>
  <c r="J23" i="8"/>
  <c r="I23" i="8"/>
  <c r="H23" i="8"/>
  <c r="G23" i="8"/>
  <c r="F23" i="8"/>
  <c r="P21" i="8"/>
  <c r="O21" i="8"/>
  <c r="N21" i="8"/>
  <c r="M21" i="8"/>
  <c r="L21" i="8"/>
  <c r="K21" i="8"/>
  <c r="J21" i="8"/>
  <c r="I21" i="8"/>
  <c r="H21" i="8"/>
  <c r="G21" i="8"/>
  <c r="F21" i="8"/>
  <c r="P20" i="8"/>
  <c r="O20" i="8"/>
  <c r="N20" i="8"/>
  <c r="M20" i="8"/>
  <c r="L20" i="8"/>
  <c r="K20" i="8"/>
  <c r="J20" i="8"/>
  <c r="I20" i="8"/>
  <c r="H20" i="8"/>
  <c r="G20" i="8"/>
  <c r="F20" i="8"/>
  <c r="P18" i="8"/>
  <c r="O18" i="8"/>
  <c r="N18" i="8"/>
  <c r="M18" i="8"/>
  <c r="L18" i="8"/>
  <c r="K18" i="8"/>
  <c r="J18" i="8"/>
  <c r="I18" i="8"/>
  <c r="H18" i="8"/>
  <c r="G18" i="8"/>
  <c r="F18" i="8"/>
  <c r="P17" i="8"/>
  <c r="O17" i="8"/>
  <c r="N17" i="8"/>
  <c r="M17" i="8"/>
  <c r="L17" i="8"/>
  <c r="K17" i="8"/>
  <c r="J17" i="8"/>
  <c r="I17" i="8"/>
  <c r="H17" i="8"/>
  <c r="G17" i="8"/>
  <c r="F17" i="8"/>
  <c r="P14" i="8"/>
  <c r="O14" i="8"/>
  <c r="N14" i="8"/>
  <c r="M14" i="8"/>
  <c r="L14" i="8"/>
  <c r="K14" i="8"/>
  <c r="J14" i="8"/>
  <c r="I14" i="8"/>
  <c r="H14" i="8"/>
  <c r="G14" i="8"/>
  <c r="F14" i="8"/>
  <c r="I35" i="8" l="1"/>
  <c r="M35" i="8"/>
  <c r="I43" i="6" s="1"/>
  <c r="E41" i="8"/>
  <c r="K35" i="8"/>
  <c r="I30" i="6" s="1"/>
  <c r="E36" i="8"/>
  <c r="G35" i="8"/>
  <c r="I23" i="6" s="1"/>
  <c r="F38" i="8"/>
  <c r="H38" i="8"/>
  <c r="J38" i="8"/>
  <c r="L38" i="8"/>
  <c r="N38" i="8"/>
  <c r="P38" i="8"/>
  <c r="Q17" i="8"/>
  <c r="Q20" i="8"/>
  <c r="Q23" i="8"/>
  <c r="Q26" i="8"/>
  <c r="Q30" i="8"/>
  <c r="Q33" i="8"/>
  <c r="O35" i="8"/>
  <c r="I34" i="6" s="1"/>
  <c r="Q18" i="8"/>
  <c r="Q21" i="8"/>
  <c r="Q25" i="8"/>
  <c r="Q29" i="8"/>
  <c r="Q32" i="8"/>
  <c r="I36" i="8"/>
  <c r="M36" i="8"/>
  <c r="F35" i="8"/>
  <c r="H35" i="8"/>
  <c r="I24" i="6" s="1"/>
  <c r="J35" i="8"/>
  <c r="I27" i="6" s="1"/>
  <c r="L35" i="8"/>
  <c r="I44" i="6" s="1"/>
  <c r="N35" i="8"/>
  <c r="I32" i="6" s="1"/>
  <c r="P35" i="8"/>
  <c r="I35" i="6" s="1"/>
  <c r="G38" i="8"/>
  <c r="G41" i="8" s="1"/>
  <c r="I38" i="8"/>
  <c r="K38" i="8"/>
  <c r="M38" i="8"/>
  <c r="O38" i="8"/>
  <c r="E43" i="8"/>
  <c r="E39" i="8" s="1"/>
  <c r="Q14" i="8"/>
  <c r="G36" i="8" l="1"/>
  <c r="I38" i="6"/>
  <c r="O36" i="8"/>
  <c r="K36" i="8"/>
  <c r="Q35" i="8"/>
  <c r="I18" i="6"/>
  <c r="P36" i="8"/>
  <c r="P41" i="8"/>
  <c r="L36" i="8"/>
  <c r="L41" i="8"/>
  <c r="H36" i="8"/>
  <c r="H41" i="8"/>
  <c r="Q38" i="8"/>
  <c r="G43" i="8"/>
  <c r="G42" i="8" s="1"/>
  <c r="N36" i="8"/>
  <c r="N41" i="8"/>
  <c r="J36" i="8"/>
  <c r="J41" i="8"/>
  <c r="F36" i="8"/>
  <c r="F41" i="8"/>
  <c r="O41" i="8"/>
  <c r="M41" i="8"/>
  <c r="K41" i="8"/>
  <c r="I41" i="8"/>
  <c r="E42" i="8"/>
  <c r="H43" i="8" l="1"/>
  <c r="H39" i="8" s="1"/>
  <c r="L43" i="8"/>
  <c r="L39" i="8" s="1"/>
  <c r="P43" i="8"/>
  <c r="P39" i="8" s="1"/>
  <c r="G39" i="8"/>
  <c r="I43" i="8"/>
  <c r="I39" i="8" s="1"/>
  <c r="M43" i="8"/>
  <c r="M39" i="8" s="1"/>
  <c r="F43" i="8"/>
  <c r="F42" i="8" s="1"/>
  <c r="Q41" i="8"/>
  <c r="J43" i="8"/>
  <c r="J39" i="8" s="1"/>
  <c r="N43" i="8"/>
  <c r="N39" i="8" s="1"/>
  <c r="K43" i="8"/>
  <c r="K39" i="8" s="1"/>
  <c r="O43" i="8"/>
  <c r="O39" i="8" s="1"/>
  <c r="M42" i="8" l="1"/>
  <c r="F39" i="8"/>
  <c r="Q43" i="8"/>
  <c r="K42" i="8"/>
  <c r="N42" i="8"/>
  <c r="J42" i="8"/>
  <c r="I42" i="8"/>
  <c r="P42" i="8"/>
  <c r="L42" i="8"/>
  <c r="H42" i="8"/>
  <c r="O42" i="8"/>
  <c r="T262" i="5" l="1"/>
  <c r="S262" i="5"/>
  <c r="T260" i="5"/>
  <c r="S260" i="5"/>
  <c r="O510" i="5" l="1"/>
  <c r="O501" i="5"/>
  <c r="S46" i="10" s="1"/>
  <c r="O438" i="5"/>
  <c r="K501" i="5"/>
  <c r="M46" i="10" s="1"/>
  <c r="K510" i="5"/>
  <c r="K469" i="5"/>
  <c r="K438" i="5"/>
  <c r="K470" i="5" l="1"/>
  <c r="S469" i="5"/>
  <c r="A16" i="6"/>
  <c r="E12" i="6"/>
  <c r="G386" i="5"/>
  <c r="M35" i="10" l="1"/>
  <c r="O35" i="10" s="1"/>
  <c r="A17" i="6"/>
  <c r="G394" i="5"/>
  <c r="A18" i="6" l="1"/>
  <c r="A20" i="6" s="1"/>
  <c r="Q46" i="10" l="1"/>
  <c r="O46" i="10"/>
  <c r="A21" i="6"/>
  <c r="A22" i="6" s="1"/>
  <c r="A23" i="6" s="1"/>
  <c r="G363" i="5"/>
  <c r="U46" i="10" l="1"/>
  <c r="AA46" i="10" s="1"/>
  <c r="AC46" i="10" s="1"/>
  <c r="W46" i="10"/>
  <c r="Y46" i="10" s="1"/>
  <c r="A24" i="6"/>
  <c r="G74" i="5"/>
  <c r="A25" i="6" l="1"/>
  <c r="A26" i="6" s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K390" i="5" l="1"/>
  <c r="S390" i="5" s="1"/>
  <c r="K138" i="5"/>
  <c r="S138" i="5" s="1"/>
  <c r="K120" i="5"/>
  <c r="S120" i="5" s="1"/>
  <c r="K387" i="5"/>
  <c r="S387" i="5" s="1"/>
  <c r="K148" i="5"/>
  <c r="S148" i="5" s="1"/>
  <c r="K143" i="5"/>
  <c r="S143" i="5" s="1"/>
  <c r="K134" i="5"/>
  <c r="S134" i="5" s="1"/>
  <c r="K125" i="5"/>
  <c r="S125" i="5" s="1"/>
  <c r="K117" i="5"/>
  <c r="S117" i="5" s="1"/>
  <c r="K126" i="5"/>
  <c r="S126" i="5" s="1"/>
  <c r="K135" i="5"/>
  <c r="S135" i="5" s="1"/>
  <c r="K144" i="5"/>
  <c r="S144" i="5" s="1"/>
  <c r="K256" i="5"/>
  <c r="S256" i="5" s="1"/>
  <c r="K244" i="5"/>
  <c r="S244" i="5" s="1"/>
  <c r="K236" i="5"/>
  <c r="S236" i="5" s="1"/>
  <c r="K229" i="5"/>
  <c r="S229" i="5" s="1"/>
  <c r="K223" i="5"/>
  <c r="S223" i="5" s="1"/>
  <c r="K226" i="5"/>
  <c r="S226" i="5" s="1"/>
  <c r="K245" i="5"/>
  <c r="S245" i="5" s="1"/>
  <c r="K248" i="5"/>
  <c r="S248" i="5" s="1"/>
  <c r="K239" i="5"/>
  <c r="S239" i="5" s="1"/>
  <c r="K392" i="5"/>
  <c r="S392" i="5" s="1"/>
  <c r="K145" i="5"/>
  <c r="S145" i="5" s="1"/>
  <c r="K136" i="5"/>
  <c r="S136" i="5" s="1"/>
  <c r="K127" i="5"/>
  <c r="S127" i="5" s="1"/>
  <c r="K118" i="5"/>
  <c r="K124" i="5"/>
  <c r="S124" i="5" s="1"/>
  <c r="K132" i="5"/>
  <c r="S132" i="5" s="1"/>
  <c r="K142" i="5"/>
  <c r="S142" i="5" s="1"/>
  <c r="K252" i="5"/>
  <c r="S252" i="5" s="1"/>
  <c r="K242" i="5"/>
  <c r="S242" i="5" s="1"/>
  <c r="K234" i="5"/>
  <c r="S234" i="5" s="1"/>
  <c r="K227" i="5"/>
  <c r="S227" i="5" s="1"/>
  <c r="K222" i="5"/>
  <c r="S222" i="5" s="1"/>
  <c r="K230" i="5"/>
  <c r="S230" i="5" s="1"/>
  <c r="K254" i="5"/>
  <c r="S254" i="5" s="1"/>
  <c r="K251" i="5"/>
  <c r="S251" i="5" s="1"/>
  <c r="K243" i="5"/>
  <c r="S243" i="5" s="1"/>
  <c r="K255" i="5"/>
  <c r="S255" i="5" s="1"/>
  <c r="K391" i="5"/>
  <c r="S391" i="5" s="1"/>
  <c r="K146" i="5"/>
  <c r="S146" i="5" s="1"/>
  <c r="K129" i="5"/>
  <c r="S129" i="5" s="1"/>
  <c r="K122" i="5"/>
  <c r="S122" i="5" s="1"/>
  <c r="K130" i="5"/>
  <c r="S130" i="5" s="1"/>
  <c r="K139" i="5"/>
  <c r="S139" i="5" s="1"/>
  <c r="K261" i="5"/>
  <c r="S261" i="5" s="1"/>
  <c r="K249" i="5"/>
  <c r="S249" i="5" s="1"/>
  <c r="K240" i="5"/>
  <c r="S240" i="5" s="1"/>
  <c r="K233" i="5"/>
  <c r="S233" i="5" s="1"/>
  <c r="K225" i="5"/>
  <c r="S225" i="5" s="1"/>
  <c r="K221" i="5"/>
  <c r="S221" i="5" s="1"/>
  <c r="K237" i="5"/>
  <c r="S237" i="5" s="1"/>
  <c r="K257" i="5"/>
  <c r="S257" i="5" s="1"/>
  <c r="K228" i="5"/>
  <c r="S228" i="5" s="1"/>
  <c r="K250" i="5"/>
  <c r="S250" i="5" s="1"/>
  <c r="K388" i="5"/>
  <c r="S388" i="5" s="1"/>
  <c r="K147" i="5"/>
  <c r="S147" i="5" s="1"/>
  <c r="K141" i="5"/>
  <c r="S141" i="5" s="1"/>
  <c r="K131" i="5"/>
  <c r="S131" i="5" s="1"/>
  <c r="K123" i="5"/>
  <c r="S123" i="5" s="1"/>
  <c r="K119" i="5"/>
  <c r="S119" i="5" s="1"/>
  <c r="K128" i="5"/>
  <c r="S128" i="5" s="1"/>
  <c r="K137" i="5"/>
  <c r="S137" i="5" s="1"/>
  <c r="K258" i="5"/>
  <c r="S258" i="5" s="1"/>
  <c r="K246" i="5"/>
  <c r="S246" i="5" s="1"/>
  <c r="K238" i="5"/>
  <c r="S238" i="5" s="1"/>
  <c r="K231" i="5"/>
  <c r="S231" i="5" s="1"/>
  <c r="K224" i="5"/>
  <c r="S224" i="5" s="1"/>
  <c r="K220" i="5"/>
  <c r="S220" i="5" s="1"/>
  <c r="K241" i="5"/>
  <c r="S241" i="5" s="1"/>
  <c r="K263" i="5"/>
  <c r="S263" i="5" s="1"/>
  <c r="K232" i="5"/>
  <c r="S232" i="5" s="1"/>
  <c r="K259" i="5"/>
  <c r="S259" i="5" s="1"/>
  <c r="G366" i="5"/>
  <c r="K364" i="5"/>
  <c r="K366" i="5" s="1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G264" i="5"/>
  <c r="G268" i="5" s="1"/>
  <c r="G356" i="5"/>
  <c r="G89" i="5"/>
  <c r="G370" i="5"/>
  <c r="K44" i="10" l="1"/>
  <c r="G44" i="6"/>
  <c r="K41" i="10"/>
  <c r="G41" i="6"/>
  <c r="Q41" i="10"/>
  <c r="Q44" i="10"/>
  <c r="O44" i="10"/>
  <c r="K149" i="5"/>
  <c r="K153" i="5" s="1"/>
  <c r="M40" i="10" s="1"/>
  <c r="S118" i="5"/>
  <c r="G153" i="5"/>
  <c r="K264" i="5"/>
  <c r="K268" i="5" s="1"/>
  <c r="M41" i="10" s="1"/>
  <c r="O41" i="10" s="1"/>
  <c r="S364" i="5"/>
  <c r="K17" i="5"/>
  <c r="S17" i="5" s="1"/>
  <c r="K16" i="5"/>
  <c r="S16" i="5" s="1"/>
  <c r="K18" i="5"/>
  <c r="S18" i="5" s="1"/>
  <c r="G358" i="5"/>
  <c r="G360" i="5" s="1"/>
  <c r="G340" i="5"/>
  <c r="G328" i="5"/>
  <c r="G294" i="5"/>
  <c r="G273" i="5"/>
  <c r="G311" i="5"/>
  <c r="G305" i="5"/>
  <c r="G291" i="5"/>
  <c r="G275" i="5"/>
  <c r="G325" i="5"/>
  <c r="G336" i="5"/>
  <c r="G309" i="5"/>
  <c r="G304" i="5"/>
  <c r="G282" i="5"/>
  <c r="G274" i="5"/>
  <c r="G341" i="5"/>
  <c r="G281" i="5"/>
  <c r="G290" i="5"/>
  <c r="G295" i="5"/>
  <c r="G303" i="5"/>
  <c r="G310" i="5"/>
  <c r="G315" i="5"/>
  <c r="G326" i="5"/>
  <c r="G330" i="5"/>
  <c r="G334" i="5"/>
  <c r="G377" i="5"/>
  <c r="G99" i="5"/>
  <c r="G393" i="5"/>
  <c r="G337" i="5"/>
  <c r="G314" i="5"/>
  <c r="G276" i="5"/>
  <c r="G335" i="5"/>
  <c r="G300" i="5"/>
  <c r="G280" i="5"/>
  <c r="G342" i="5"/>
  <c r="G332" i="5"/>
  <c r="G302" i="5"/>
  <c r="G317" i="5"/>
  <c r="G312" i="5"/>
  <c r="G307" i="5"/>
  <c r="G298" i="5"/>
  <c r="G277" i="5"/>
  <c r="G339" i="5"/>
  <c r="G279" i="5"/>
  <c r="G283" i="5"/>
  <c r="G296" i="5"/>
  <c r="G301" i="5"/>
  <c r="G306" i="5"/>
  <c r="G313" i="5"/>
  <c r="G318" i="5"/>
  <c r="G329" i="5"/>
  <c r="G333" i="5"/>
  <c r="K43" i="10" l="1"/>
  <c r="G43" i="6"/>
  <c r="K40" i="10"/>
  <c r="O40" i="10" s="1"/>
  <c r="G40" i="6"/>
  <c r="Q40" i="10"/>
  <c r="W44" i="10"/>
  <c r="Y44" i="10" s="1"/>
  <c r="W41" i="10"/>
  <c r="Y41" i="10" s="1"/>
  <c r="Q43" i="10"/>
  <c r="K318" i="5"/>
  <c r="S318" i="5" s="1"/>
  <c r="K306" i="5"/>
  <c r="S306" i="5" s="1"/>
  <c r="K283" i="5"/>
  <c r="S283" i="5" s="1"/>
  <c r="K339" i="5"/>
  <c r="S339" i="5" s="1"/>
  <c r="K307" i="5"/>
  <c r="S307" i="5" s="1"/>
  <c r="K332" i="5"/>
  <c r="S332" i="5" s="1"/>
  <c r="K280" i="5"/>
  <c r="S280" i="5" s="1"/>
  <c r="K329" i="5"/>
  <c r="S329" i="5" s="1"/>
  <c r="K313" i="5"/>
  <c r="S313" i="5" s="1"/>
  <c r="K301" i="5"/>
  <c r="S301" i="5" s="1"/>
  <c r="S292" i="5"/>
  <c r="K279" i="5"/>
  <c r="S279" i="5" s="1"/>
  <c r="K298" i="5"/>
  <c r="S298" i="5" s="1"/>
  <c r="K312" i="5"/>
  <c r="S312" i="5" s="1"/>
  <c r="K302" i="5"/>
  <c r="S302" i="5" s="1"/>
  <c r="K342" i="5"/>
  <c r="S342" i="5" s="1"/>
  <c r="K300" i="5"/>
  <c r="S300" i="5" s="1"/>
  <c r="K276" i="5"/>
  <c r="S276" i="5" s="1"/>
  <c r="K337" i="5"/>
  <c r="S337" i="5" s="1"/>
  <c r="K36" i="5"/>
  <c r="S36" i="5" s="1"/>
  <c r="K334" i="5"/>
  <c r="S334" i="5" s="1"/>
  <c r="K326" i="5"/>
  <c r="S326" i="5" s="1"/>
  <c r="K310" i="5"/>
  <c r="S310" i="5" s="1"/>
  <c r="S297" i="5"/>
  <c r="K290" i="5"/>
  <c r="S290" i="5" s="1"/>
  <c r="K341" i="5"/>
  <c r="S341" i="5" s="1"/>
  <c r="K274" i="5"/>
  <c r="S274" i="5" s="1"/>
  <c r="K304" i="5"/>
  <c r="S304" i="5" s="1"/>
  <c r="K325" i="5"/>
  <c r="S325" i="5" s="1"/>
  <c r="K275" i="5"/>
  <c r="S275" i="5" s="1"/>
  <c r="K305" i="5"/>
  <c r="S305" i="5" s="1"/>
  <c r="K294" i="5"/>
  <c r="S294" i="5" s="1"/>
  <c r="K340" i="5"/>
  <c r="S340" i="5" s="1"/>
  <c r="K20" i="5"/>
  <c r="S20" i="5" s="1"/>
  <c r="K358" i="5"/>
  <c r="K360" i="5" s="1"/>
  <c r="M43" i="10" s="1"/>
  <c r="O43" i="10" s="1"/>
  <c r="K333" i="5"/>
  <c r="S333" i="5" s="1"/>
  <c r="K296" i="5"/>
  <c r="S296" i="5" s="1"/>
  <c r="K277" i="5"/>
  <c r="S277" i="5" s="1"/>
  <c r="K317" i="5"/>
  <c r="S317" i="5" s="1"/>
  <c r="S308" i="5"/>
  <c r="K335" i="5"/>
  <c r="S335" i="5" s="1"/>
  <c r="K314" i="5"/>
  <c r="S314" i="5" s="1"/>
  <c r="K59" i="5"/>
  <c r="S59" i="5" s="1"/>
  <c r="K60" i="5"/>
  <c r="S60" i="5" s="1"/>
  <c r="K330" i="5"/>
  <c r="S330" i="5" s="1"/>
  <c r="K315" i="5"/>
  <c r="S315" i="5" s="1"/>
  <c r="K303" i="5"/>
  <c r="S303" i="5" s="1"/>
  <c r="K295" i="5"/>
  <c r="S295" i="5" s="1"/>
  <c r="K281" i="5"/>
  <c r="S281" i="5" s="1"/>
  <c r="K282" i="5"/>
  <c r="S282" i="5" s="1"/>
  <c r="K309" i="5"/>
  <c r="S309" i="5" s="1"/>
  <c r="K336" i="5"/>
  <c r="S336" i="5" s="1"/>
  <c r="K291" i="5"/>
  <c r="S291" i="5" s="1"/>
  <c r="K311" i="5"/>
  <c r="S311" i="5" s="1"/>
  <c r="K273" i="5"/>
  <c r="S273" i="5" s="1"/>
  <c r="K328" i="5"/>
  <c r="S328" i="5" s="1"/>
  <c r="K58" i="5"/>
  <c r="S58" i="5" s="1"/>
  <c r="K37" i="5"/>
  <c r="S37" i="5" s="1"/>
  <c r="K38" i="5"/>
  <c r="S38" i="5" s="1"/>
  <c r="G396" i="5"/>
  <c r="K393" i="5"/>
  <c r="K396" i="5" s="1"/>
  <c r="M32" i="10" s="1"/>
  <c r="G170" i="5"/>
  <c r="G173" i="5"/>
  <c r="G169" i="5"/>
  <c r="G172" i="5"/>
  <c r="G159" i="5"/>
  <c r="G158" i="5"/>
  <c r="G162" i="5"/>
  <c r="G105" i="5"/>
  <c r="G106" i="5"/>
  <c r="G110" i="5"/>
  <c r="G171" i="5"/>
  <c r="G161" i="5"/>
  <c r="G157" i="5"/>
  <c r="G160" i="5"/>
  <c r="G109" i="5"/>
  <c r="G107" i="5"/>
  <c r="G108" i="5"/>
  <c r="G319" i="5"/>
  <c r="G321" i="5" s="1"/>
  <c r="G343" i="5"/>
  <c r="G345" i="5" s="1"/>
  <c r="G284" i="5"/>
  <c r="K32" i="10" l="1"/>
  <c r="G32" i="6"/>
  <c r="K284" i="5"/>
  <c r="S393" i="5"/>
  <c r="O32" i="10"/>
  <c r="Q32" i="10"/>
  <c r="K319" i="5"/>
  <c r="K321" i="5" s="1"/>
  <c r="W43" i="10"/>
  <c r="Y43" i="10" s="1"/>
  <c r="W40" i="10"/>
  <c r="S358" i="5"/>
  <c r="K343" i="5"/>
  <c r="K345" i="5" s="1"/>
  <c r="K40" i="5"/>
  <c r="S40" i="5" s="1"/>
  <c r="K171" i="5"/>
  <c r="S171" i="5" s="1"/>
  <c r="K110" i="5"/>
  <c r="S110" i="5" s="1"/>
  <c r="K158" i="5"/>
  <c r="S158" i="5" s="1"/>
  <c r="K172" i="5"/>
  <c r="S172" i="5" s="1"/>
  <c r="K108" i="5"/>
  <c r="S108" i="5" s="1"/>
  <c r="K109" i="5"/>
  <c r="S109" i="5" s="1"/>
  <c r="K161" i="5"/>
  <c r="S161" i="5" s="1"/>
  <c r="K62" i="5"/>
  <c r="S62" i="5" s="1"/>
  <c r="K162" i="5"/>
  <c r="S162" i="5" s="1"/>
  <c r="K159" i="5"/>
  <c r="S159" i="5" s="1"/>
  <c r="K170" i="5"/>
  <c r="S170" i="5" s="1"/>
  <c r="K173" i="5"/>
  <c r="S173" i="5" s="1"/>
  <c r="G348" i="5"/>
  <c r="G286" i="5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K348" i="5" l="1"/>
  <c r="K351" i="5" s="1"/>
  <c r="M42" i="10" s="1"/>
  <c r="M45" i="10" s="1"/>
  <c r="M48" i="10" s="1"/>
  <c r="K286" i="5"/>
  <c r="Y40" i="10"/>
  <c r="W32" i="10"/>
  <c r="Y32" i="10" s="1"/>
  <c r="G351" i="5"/>
  <c r="K486" i="5"/>
  <c r="S486" i="5" s="1"/>
  <c r="K451" i="5"/>
  <c r="S451" i="5" s="1"/>
  <c r="K373" i="5"/>
  <c r="S373" i="5" s="1"/>
  <c r="K490" i="5"/>
  <c r="S490" i="5" s="1"/>
  <c r="K452" i="5"/>
  <c r="S452" i="5" s="1"/>
  <c r="K442" i="5"/>
  <c r="S442" i="5" s="1"/>
  <c r="K372" i="5"/>
  <c r="K379" i="5"/>
  <c r="S379" i="5" s="1"/>
  <c r="K450" i="5"/>
  <c r="S450" i="5" s="1"/>
  <c r="K82" i="5"/>
  <c r="S82" i="5" s="1"/>
  <c r="K487" i="5"/>
  <c r="S487" i="5" s="1"/>
  <c r="K445" i="5"/>
  <c r="S445" i="5" s="1"/>
  <c r="K453" i="5"/>
  <c r="S453" i="5" s="1"/>
  <c r="K489" i="5"/>
  <c r="S489" i="5" s="1"/>
  <c r="K443" i="5"/>
  <c r="S443" i="5" s="1"/>
  <c r="K446" i="5"/>
  <c r="S446" i="5" s="1"/>
  <c r="K21" i="5"/>
  <c r="K29" i="5" s="1"/>
  <c r="G174" i="5"/>
  <c r="G189" i="5"/>
  <c r="G187" i="5"/>
  <c r="G111" i="5"/>
  <c r="G163" i="5"/>
  <c r="G378" i="5"/>
  <c r="G188" i="5"/>
  <c r="G375" i="5"/>
  <c r="K42" i="10" l="1"/>
  <c r="K45" i="10" s="1"/>
  <c r="K48" i="10" s="1"/>
  <c r="G42" i="6"/>
  <c r="K375" i="5"/>
  <c r="Q42" i="10"/>
  <c r="O42" i="10"/>
  <c r="O45" i="10" s="1"/>
  <c r="O48" i="10" s="1"/>
  <c r="T292" i="5"/>
  <c r="T308" i="5"/>
  <c r="T297" i="5"/>
  <c r="S372" i="5"/>
  <c r="K15" i="10"/>
  <c r="K41" i="5"/>
  <c r="K49" i="5" s="1"/>
  <c r="M15" i="10" s="1"/>
  <c r="G165" i="5"/>
  <c r="K163" i="5"/>
  <c r="K165" i="5" s="1"/>
  <c r="M24" i="10" s="1"/>
  <c r="G113" i="5"/>
  <c r="K111" i="5"/>
  <c r="K113" i="5" s="1"/>
  <c r="M21" i="10" s="1"/>
  <c r="K16" i="10"/>
  <c r="K63" i="5"/>
  <c r="K71" i="5" s="1"/>
  <c r="M16" i="10" s="1"/>
  <c r="G176" i="5"/>
  <c r="K174" i="5"/>
  <c r="K176" i="5" s="1"/>
  <c r="M25" i="10" s="1"/>
  <c r="G204" i="5"/>
  <c r="G181" i="5"/>
  <c r="G196" i="5"/>
  <c r="G380" i="5"/>
  <c r="G447" i="5"/>
  <c r="G92" i="5"/>
  <c r="G203" i="5"/>
  <c r="G205" i="5"/>
  <c r="G97" i="5"/>
  <c r="G454" i="5"/>
  <c r="K25" i="10" l="1"/>
  <c r="G25" i="6"/>
  <c r="K21" i="10"/>
  <c r="G21" i="6"/>
  <c r="S97" i="5"/>
  <c r="K24" i="10"/>
  <c r="G24" i="6"/>
  <c r="K42" i="6"/>
  <c r="I42" i="6"/>
  <c r="K40" i="6"/>
  <c r="I40" i="6"/>
  <c r="G45" i="6"/>
  <c r="G48" i="6" s="1"/>
  <c r="I41" i="6"/>
  <c r="K41" i="6"/>
  <c r="M18" i="10"/>
  <c r="O15" i="10"/>
  <c r="Q15" i="10"/>
  <c r="K18" i="10"/>
  <c r="Q16" i="10"/>
  <c r="W16" i="10" s="1"/>
  <c r="Y16" i="10" s="1"/>
  <c r="O16" i="10"/>
  <c r="Q24" i="10"/>
  <c r="O24" i="10"/>
  <c r="W42" i="10"/>
  <c r="Q45" i="10"/>
  <c r="Q48" i="10" s="1"/>
  <c r="Q25" i="10"/>
  <c r="O25" i="10"/>
  <c r="O21" i="10"/>
  <c r="Q21" i="10"/>
  <c r="S111" i="5"/>
  <c r="S63" i="5"/>
  <c r="S163" i="5"/>
  <c r="S174" i="5"/>
  <c r="S41" i="5"/>
  <c r="K97" i="5"/>
  <c r="K454" i="5"/>
  <c r="S454" i="5" s="1"/>
  <c r="K491" i="5"/>
  <c r="K492" i="5" s="1"/>
  <c r="M36" i="10" s="1"/>
  <c r="K447" i="5"/>
  <c r="S447" i="5" s="1"/>
  <c r="K181" i="5"/>
  <c r="S181" i="5" s="1"/>
  <c r="G382" i="5"/>
  <c r="G383" i="5" s="1"/>
  <c r="K380" i="5"/>
  <c r="K382" i="5" s="1"/>
  <c r="K383" i="5" s="1"/>
  <c r="M31" i="10" s="1"/>
  <c r="G455" i="5"/>
  <c r="G83" i="5"/>
  <c r="G212" i="5"/>
  <c r="K31" i="10" l="1"/>
  <c r="G31" i="6"/>
  <c r="I45" i="6"/>
  <c r="K45" i="6"/>
  <c r="K455" i="5"/>
  <c r="K457" i="5" s="1"/>
  <c r="M33" i="10" s="1"/>
  <c r="Q31" i="10"/>
  <c r="O31" i="10"/>
  <c r="W21" i="10"/>
  <c r="Y21" i="10" s="1"/>
  <c r="W25" i="10"/>
  <c r="W24" i="10"/>
  <c r="Y24" i="10" s="1"/>
  <c r="W15" i="10"/>
  <c r="Q18" i="10"/>
  <c r="Y42" i="10"/>
  <c r="W45" i="10"/>
  <c r="W48" i="10" s="1"/>
  <c r="O18" i="10"/>
  <c r="S380" i="5"/>
  <c r="S491" i="5"/>
  <c r="G86" i="5"/>
  <c r="G20" i="6" s="1"/>
  <c r="K83" i="5"/>
  <c r="K86" i="5" s="1"/>
  <c r="G182" i="5"/>
  <c r="I48" i="6" l="1"/>
  <c r="K48" i="6"/>
  <c r="K20" i="10"/>
  <c r="Q20" i="10" s="1"/>
  <c r="M20" i="10"/>
  <c r="O20" i="10" s="1"/>
  <c r="Y45" i="10"/>
  <c r="W18" i="10"/>
  <c r="Y18" i="10" s="1"/>
  <c r="Y15" i="10"/>
  <c r="Y25" i="10"/>
  <c r="W31" i="10"/>
  <c r="Y31" i="10" s="1"/>
  <c r="S83" i="5"/>
  <c r="G184" i="5"/>
  <c r="K182" i="5"/>
  <c r="K184" i="5" s="1"/>
  <c r="M26" i="10" s="1"/>
  <c r="M27" i="10" s="1"/>
  <c r="G98" i="5"/>
  <c r="K49" i="6" l="1"/>
  <c r="R48" i="6"/>
  <c r="K26" i="10"/>
  <c r="Q26" i="10" s="1"/>
  <c r="G26" i="6"/>
  <c r="G27" i="6" s="1"/>
  <c r="I49" i="6"/>
  <c r="Q48" i="6"/>
  <c r="Y48" i="10"/>
  <c r="W20" i="10"/>
  <c r="S182" i="5"/>
  <c r="G101" i="5"/>
  <c r="G22" i="6" s="1"/>
  <c r="K98" i="5"/>
  <c r="K101" i="5" s="1"/>
  <c r="G437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Q43" i="6" l="1"/>
  <c r="Q23" i="6"/>
  <c r="Q39" i="6"/>
  <c r="Q34" i="6"/>
  <c r="Q30" i="6"/>
  <c r="Q44" i="6"/>
  <c r="Q18" i="6"/>
  <c r="Q27" i="6"/>
  <c r="Q49" i="6"/>
  <c r="Q38" i="6"/>
  <c r="Q32" i="6"/>
  <c r="Q35" i="6"/>
  <c r="Q24" i="6"/>
  <c r="Q40" i="6"/>
  <c r="Q41" i="6"/>
  <c r="Q42" i="6"/>
  <c r="Q45" i="6"/>
  <c r="K27" i="10"/>
  <c r="O26" i="10"/>
  <c r="O27" i="10" s="1"/>
  <c r="R39" i="6"/>
  <c r="R35" i="6"/>
  <c r="R27" i="6"/>
  <c r="R18" i="6"/>
  <c r="R23" i="6"/>
  <c r="R24" i="6"/>
  <c r="R43" i="6"/>
  <c r="R49" i="6"/>
  <c r="R32" i="6"/>
  <c r="R44" i="6"/>
  <c r="R38" i="6"/>
  <c r="R34" i="6"/>
  <c r="R30" i="6"/>
  <c r="R40" i="6"/>
  <c r="R41" i="6"/>
  <c r="R42" i="6"/>
  <c r="R45" i="6"/>
  <c r="G23" i="6"/>
  <c r="S98" i="5"/>
  <c r="K22" i="10"/>
  <c r="M22" i="10"/>
  <c r="K23" i="10"/>
  <c r="Y20" i="10"/>
  <c r="W26" i="10"/>
  <c r="Q27" i="10"/>
  <c r="T191" i="5"/>
  <c r="S191" i="5"/>
  <c r="K193" i="5"/>
  <c r="K192" i="5"/>
  <c r="K190" i="5"/>
  <c r="S190" i="5" s="1"/>
  <c r="K208" i="5"/>
  <c r="S208" i="5" s="1"/>
  <c r="G198" i="5"/>
  <c r="K197" i="5"/>
  <c r="K198" i="5" s="1"/>
  <c r="G207" i="5"/>
  <c r="G436" i="5"/>
  <c r="G206" i="5"/>
  <c r="G404" i="5"/>
  <c r="G213" i="5"/>
  <c r="G194" i="5"/>
  <c r="O22" i="10" l="1"/>
  <c r="Q22" i="10"/>
  <c r="M23" i="10"/>
  <c r="K194" i="5"/>
  <c r="K200" i="5" s="1"/>
  <c r="Y26" i="10"/>
  <c r="W27" i="10"/>
  <c r="Y27" i="10" s="1"/>
  <c r="O23" i="10"/>
  <c r="S197" i="5"/>
  <c r="W22" i="10"/>
  <c r="Q23" i="10"/>
  <c r="K206" i="5"/>
  <c r="S206" i="5" s="1"/>
  <c r="G200" i="5"/>
  <c r="G214" i="5"/>
  <c r="K213" i="5"/>
  <c r="K214" i="5" s="1"/>
  <c r="K28" i="10" l="1"/>
  <c r="G28" i="6"/>
  <c r="M28" i="10"/>
  <c r="O28" i="10" s="1"/>
  <c r="Q28" i="10"/>
  <c r="Y22" i="10"/>
  <c r="W23" i="10"/>
  <c r="Y23" i="10" s="1"/>
  <c r="S213" i="5"/>
  <c r="G410" i="5"/>
  <c r="G209" i="5"/>
  <c r="K36" i="10"/>
  <c r="W28" i="10" l="1"/>
  <c r="O36" i="10"/>
  <c r="Q36" i="10"/>
  <c r="G210" i="5"/>
  <c r="G216" i="5" s="1"/>
  <c r="K209" i="5"/>
  <c r="K210" i="5" s="1"/>
  <c r="K216" i="5" s="1"/>
  <c r="K512" i="5" s="1"/>
  <c r="G411" i="5"/>
  <c r="G438" i="5" s="1"/>
  <c r="K29" i="10" l="1"/>
  <c r="G29" i="6"/>
  <c r="Q29" i="10"/>
  <c r="K30" i="10"/>
  <c r="W36" i="10"/>
  <c r="Y36" i="10" s="1"/>
  <c r="M29" i="10"/>
  <c r="Y28" i="10"/>
  <c r="S209" i="5"/>
  <c r="G457" i="5"/>
  <c r="G30" i="6" l="1"/>
  <c r="G38" i="6"/>
  <c r="G49" i="6" s="1"/>
  <c r="G512" i="5"/>
  <c r="G33" i="6"/>
  <c r="M30" i="10"/>
  <c r="M38" i="10"/>
  <c r="O29" i="10"/>
  <c r="K33" i="10"/>
  <c r="K38" i="10" s="1"/>
  <c r="W29" i="10"/>
  <c r="Q30" i="10"/>
  <c r="K61" i="6" l="1"/>
  <c r="M61" i="6"/>
  <c r="M34" i="6" s="1"/>
  <c r="I61" i="6"/>
  <c r="O30" i="10"/>
  <c r="M49" i="10"/>
  <c r="Y29" i="10"/>
  <c r="W30" i="10"/>
  <c r="Y30" i="10" s="1"/>
  <c r="Q33" i="10"/>
  <c r="O33" i="10"/>
  <c r="O38" i="10" s="1"/>
  <c r="M44" i="6" l="1"/>
  <c r="M41" i="6"/>
  <c r="O41" i="6" s="1"/>
  <c r="M27" i="6"/>
  <c r="M35" i="6"/>
  <c r="M32" i="6"/>
  <c r="M18" i="6"/>
  <c r="M40" i="6"/>
  <c r="M23" i="6"/>
  <c r="M42" i="6"/>
  <c r="O42" i="6" s="1"/>
  <c r="M43" i="6"/>
  <c r="M30" i="6"/>
  <c r="M24" i="6"/>
  <c r="O24" i="6" s="1"/>
  <c r="R462" i="5"/>
  <c r="R464" i="5" s="1"/>
  <c r="O34" i="6"/>
  <c r="W33" i="10"/>
  <c r="Q38" i="10"/>
  <c r="K49" i="10"/>
  <c r="O49" i="10"/>
  <c r="M20" i="6" l="1"/>
  <c r="M21" i="6"/>
  <c r="O23" i="6"/>
  <c r="M22" i="6"/>
  <c r="R17" i="5"/>
  <c r="R20" i="5" s="1"/>
  <c r="M15" i="6"/>
  <c r="O15" i="6" s="1"/>
  <c r="O18" i="6"/>
  <c r="M16" i="6"/>
  <c r="O16" i="6" s="1"/>
  <c r="R387" i="5"/>
  <c r="O32" i="6"/>
  <c r="R188" i="5"/>
  <c r="M28" i="6"/>
  <c r="O28" i="6" s="1"/>
  <c r="O30" i="6"/>
  <c r="M29" i="6"/>
  <c r="O29" i="6" s="1"/>
  <c r="M25" i="6"/>
  <c r="O27" i="6"/>
  <c r="O40" i="6"/>
  <c r="R119" i="5"/>
  <c r="R121" i="5" s="1"/>
  <c r="M45" i="6"/>
  <c r="R355" i="5"/>
  <c r="R357" i="5" s="1"/>
  <c r="M358" i="5" s="1"/>
  <c r="O43" i="6"/>
  <c r="M464" i="5"/>
  <c r="O464" i="5" s="1"/>
  <c r="T464" i="5" s="1"/>
  <c r="M462" i="5"/>
  <c r="O462" i="5" s="1"/>
  <c r="M463" i="5"/>
  <c r="R468" i="5"/>
  <c r="R470" i="5" s="1"/>
  <c r="M469" i="5" s="1"/>
  <c r="O35" i="6"/>
  <c r="R363" i="5"/>
  <c r="O44" i="6"/>
  <c r="Q49" i="10"/>
  <c r="Y33" i="10"/>
  <c r="W38" i="10"/>
  <c r="R389" i="5"/>
  <c r="R365" i="5"/>
  <c r="M364" i="5" s="1"/>
  <c r="E18" i="17" l="1"/>
  <c r="O358" i="5"/>
  <c r="O469" i="5"/>
  <c r="O470" i="5" s="1"/>
  <c r="T469" i="5"/>
  <c r="O25" i="6"/>
  <c r="M293" i="5"/>
  <c r="O293" i="5" s="1"/>
  <c r="M313" i="5"/>
  <c r="O313" i="5" s="1"/>
  <c r="T313" i="5" s="1"/>
  <c r="M233" i="5"/>
  <c r="O233" i="5" s="1"/>
  <c r="T233" i="5" s="1"/>
  <c r="M305" i="5"/>
  <c r="O305" i="5" s="1"/>
  <c r="T305" i="5" s="1"/>
  <c r="M147" i="5"/>
  <c r="O147" i="5" s="1"/>
  <c r="T147" i="5" s="1"/>
  <c r="M130" i="5"/>
  <c r="O130" i="5" s="1"/>
  <c r="T130" i="5" s="1"/>
  <c r="M326" i="5"/>
  <c r="O326" i="5" s="1"/>
  <c r="T326" i="5" s="1"/>
  <c r="M231" i="5"/>
  <c r="O231" i="5" s="1"/>
  <c r="T231" i="5" s="1"/>
  <c r="M303" i="5"/>
  <c r="O303" i="5" s="1"/>
  <c r="T303" i="5" s="1"/>
  <c r="M145" i="5"/>
  <c r="O145" i="5" s="1"/>
  <c r="T145" i="5" s="1"/>
  <c r="M228" i="5"/>
  <c r="O228" i="5" s="1"/>
  <c r="T228" i="5" s="1"/>
  <c r="M275" i="5"/>
  <c r="O275" i="5" s="1"/>
  <c r="T275" i="5" s="1"/>
  <c r="M124" i="5"/>
  <c r="O124" i="5" s="1"/>
  <c r="T124" i="5" s="1"/>
  <c r="M257" i="5"/>
  <c r="O257" i="5" s="1"/>
  <c r="T257" i="5" s="1"/>
  <c r="M337" i="5"/>
  <c r="O337" i="5" s="1"/>
  <c r="T337" i="5" s="1"/>
  <c r="M317" i="5"/>
  <c r="O317" i="5" s="1"/>
  <c r="T317" i="5" s="1"/>
  <c r="M312" i="5"/>
  <c r="O312" i="5" s="1"/>
  <c r="T312" i="5" s="1"/>
  <c r="M225" i="5"/>
  <c r="O225" i="5" s="1"/>
  <c r="T225" i="5" s="1"/>
  <c r="M296" i="5"/>
  <c r="O296" i="5" s="1"/>
  <c r="T296" i="5" s="1"/>
  <c r="M138" i="5"/>
  <c r="O138" i="5" s="1"/>
  <c r="T138" i="5" s="1"/>
  <c r="M333" i="5"/>
  <c r="O333" i="5" s="1"/>
  <c r="T333" i="5" s="1"/>
  <c r="M310" i="5"/>
  <c r="O310" i="5" s="1"/>
  <c r="T310" i="5" s="1"/>
  <c r="M223" i="5"/>
  <c r="O223" i="5" s="1"/>
  <c r="T223" i="5" s="1"/>
  <c r="M294" i="5"/>
  <c r="O294" i="5" s="1"/>
  <c r="T294" i="5" s="1"/>
  <c r="M136" i="5"/>
  <c r="O136" i="5" s="1"/>
  <c r="T136" i="5" s="1"/>
  <c r="M123" i="5"/>
  <c r="O123" i="5" s="1"/>
  <c r="T123" i="5" s="1"/>
  <c r="M256" i="5"/>
  <c r="O256" i="5" s="1"/>
  <c r="T256" i="5" s="1"/>
  <c r="M341" i="5"/>
  <c r="O341" i="5" s="1"/>
  <c r="T341" i="5" s="1"/>
  <c r="M248" i="5"/>
  <c r="O248" i="5" s="1"/>
  <c r="T248" i="5" s="1"/>
  <c r="M332" i="5"/>
  <c r="O332" i="5" s="1"/>
  <c r="T332" i="5" s="1"/>
  <c r="M307" i="5"/>
  <c r="O307" i="5" s="1"/>
  <c r="T307" i="5" s="1"/>
  <c r="M128" i="5"/>
  <c r="O128" i="5" s="1"/>
  <c r="T128" i="5" s="1"/>
  <c r="M315" i="5"/>
  <c r="O315" i="5" s="1"/>
  <c r="T315" i="5" s="1"/>
  <c r="M277" i="5"/>
  <c r="O277" i="5" s="1"/>
  <c r="T277" i="5" s="1"/>
  <c r="M273" i="5"/>
  <c r="M229" i="5"/>
  <c r="O229" i="5" s="1"/>
  <c r="T229" i="5" s="1"/>
  <c r="M222" i="5"/>
  <c r="O222" i="5" s="1"/>
  <c r="T222" i="5" s="1"/>
  <c r="M339" i="5"/>
  <c r="O339" i="5" s="1"/>
  <c r="T339" i="5" s="1"/>
  <c r="M139" i="5"/>
  <c r="O139" i="5" s="1"/>
  <c r="T139" i="5" s="1"/>
  <c r="M314" i="5"/>
  <c r="O314" i="5" s="1"/>
  <c r="T314" i="5" s="1"/>
  <c r="M148" i="5"/>
  <c r="O148" i="5" s="1"/>
  <c r="T148" i="5" s="1"/>
  <c r="M311" i="5"/>
  <c r="O311" i="5" s="1"/>
  <c r="T311" i="5" s="1"/>
  <c r="M274" i="5"/>
  <c r="O274" i="5" s="1"/>
  <c r="T274" i="5" s="1"/>
  <c r="M276" i="5"/>
  <c r="O276" i="5" s="1"/>
  <c r="T276" i="5" s="1"/>
  <c r="M299" i="5"/>
  <c r="O299" i="5" s="1"/>
  <c r="M304" i="5"/>
  <c r="O304" i="5" s="1"/>
  <c r="T304" i="5" s="1"/>
  <c r="M146" i="5"/>
  <c r="O146" i="5" s="1"/>
  <c r="T146" i="5" s="1"/>
  <c r="M281" i="5"/>
  <c r="O281" i="5" s="1"/>
  <c r="T281" i="5" s="1"/>
  <c r="M129" i="5"/>
  <c r="O129" i="5" s="1"/>
  <c r="T129" i="5" s="1"/>
  <c r="M298" i="5"/>
  <c r="O298" i="5" s="1"/>
  <c r="T298" i="5" s="1"/>
  <c r="M302" i="5"/>
  <c r="O302" i="5" s="1"/>
  <c r="T302" i="5" s="1"/>
  <c r="M144" i="5"/>
  <c r="O144" i="5" s="1"/>
  <c r="T144" i="5" s="1"/>
  <c r="M279" i="5"/>
  <c r="O279" i="5" s="1"/>
  <c r="T279" i="5" s="1"/>
  <c r="M127" i="5"/>
  <c r="O127" i="5" s="1"/>
  <c r="T127" i="5" s="1"/>
  <c r="M340" i="5"/>
  <c r="O340" i="5" s="1"/>
  <c r="T340" i="5" s="1"/>
  <c r="M246" i="5"/>
  <c r="O246" i="5" s="1"/>
  <c r="T246" i="5" s="1"/>
  <c r="M335" i="5"/>
  <c r="O335" i="5" s="1"/>
  <c r="T335" i="5" s="1"/>
  <c r="M239" i="5"/>
  <c r="O239" i="5" s="1"/>
  <c r="T239" i="5" s="1"/>
  <c r="M306" i="5"/>
  <c r="O306" i="5" s="1"/>
  <c r="T306" i="5" s="1"/>
  <c r="M283" i="5"/>
  <c r="O283" i="5" s="1"/>
  <c r="T283" i="5" s="1"/>
  <c r="M280" i="5"/>
  <c r="O280" i="5" s="1"/>
  <c r="T280" i="5" s="1"/>
  <c r="M252" i="5"/>
  <c r="O252" i="5" s="1"/>
  <c r="T252" i="5" s="1"/>
  <c r="M237" i="5"/>
  <c r="O237" i="5" s="1"/>
  <c r="T237" i="5" s="1"/>
  <c r="M250" i="5"/>
  <c r="O250" i="5" s="1"/>
  <c r="T250" i="5" s="1"/>
  <c r="M309" i="5"/>
  <c r="O309" i="5" s="1"/>
  <c r="T309" i="5" s="1"/>
  <c r="M220" i="5"/>
  <c r="M261" i="5"/>
  <c r="O261" i="5" s="1"/>
  <c r="T261" i="5" s="1"/>
  <c r="M243" i="5"/>
  <c r="O243" i="5" s="1"/>
  <c r="T243" i="5" s="1"/>
  <c r="M282" i="5"/>
  <c r="O282" i="5" s="1"/>
  <c r="T282" i="5" s="1"/>
  <c r="M141" i="5"/>
  <c r="O141" i="5" s="1"/>
  <c r="T141" i="5" s="1"/>
  <c r="M117" i="5"/>
  <c r="M241" i="5"/>
  <c r="O241" i="5" s="1"/>
  <c r="T241" i="5" s="1"/>
  <c r="M301" i="5"/>
  <c r="O301" i="5" s="1"/>
  <c r="T301" i="5" s="1"/>
  <c r="M236" i="5"/>
  <c r="O236" i="5" s="1"/>
  <c r="T236" i="5" s="1"/>
  <c r="M251" i="5"/>
  <c r="O251" i="5" s="1"/>
  <c r="T251" i="5" s="1"/>
  <c r="M234" i="5"/>
  <c r="O234" i="5" s="1"/>
  <c r="T234" i="5" s="1"/>
  <c r="M244" i="5"/>
  <c r="O244" i="5" s="1"/>
  <c r="T244" i="5" s="1"/>
  <c r="M249" i="5"/>
  <c r="O249" i="5" s="1"/>
  <c r="T249" i="5" s="1"/>
  <c r="M232" i="5"/>
  <c r="O232" i="5" s="1"/>
  <c r="T232" i="5" s="1"/>
  <c r="M142" i="5"/>
  <c r="O142" i="5" s="1"/>
  <c r="T142" i="5" s="1"/>
  <c r="M134" i="5"/>
  <c r="O134" i="5" s="1"/>
  <c r="T134" i="5" s="1"/>
  <c r="M290" i="5"/>
  <c r="M122" i="5"/>
  <c r="O122" i="5" s="1"/>
  <c r="T122" i="5" s="1"/>
  <c r="M295" i="5"/>
  <c r="O295" i="5" s="1"/>
  <c r="T295" i="5" s="1"/>
  <c r="M137" i="5"/>
  <c r="O137" i="5" s="1"/>
  <c r="T137" i="5" s="1"/>
  <c r="M263" i="5"/>
  <c r="O263" i="5" s="1"/>
  <c r="T263" i="5" s="1"/>
  <c r="M120" i="5"/>
  <c r="O120" i="5" s="1"/>
  <c r="T120" i="5" s="1"/>
  <c r="M255" i="5"/>
  <c r="O255" i="5" s="1"/>
  <c r="T255" i="5" s="1"/>
  <c r="M135" i="5"/>
  <c r="O135" i="5" s="1"/>
  <c r="T135" i="5" s="1"/>
  <c r="M259" i="5"/>
  <c r="O259" i="5" s="1"/>
  <c r="T259" i="5" s="1"/>
  <c r="M118" i="5"/>
  <c r="O118" i="5" s="1"/>
  <c r="T118" i="5" s="1"/>
  <c r="M334" i="5"/>
  <c r="O334" i="5" s="1"/>
  <c r="T334" i="5" s="1"/>
  <c r="M238" i="5"/>
  <c r="O238" i="5" s="1"/>
  <c r="T238" i="5" s="1"/>
  <c r="M325" i="5"/>
  <c r="M230" i="5"/>
  <c r="O230" i="5" s="1"/>
  <c r="T230" i="5" s="1"/>
  <c r="M245" i="5"/>
  <c r="O245" i="5" s="1"/>
  <c r="T245" i="5" s="1"/>
  <c r="M126" i="5"/>
  <c r="O126" i="5" s="1"/>
  <c r="T126" i="5" s="1"/>
  <c r="M318" i="5"/>
  <c r="O318" i="5" s="1"/>
  <c r="T318" i="5" s="1"/>
  <c r="M254" i="5"/>
  <c r="O254" i="5" s="1"/>
  <c r="T254" i="5" s="1"/>
  <c r="M119" i="5"/>
  <c r="O119" i="5" s="1"/>
  <c r="T119" i="5" s="1"/>
  <c r="M258" i="5"/>
  <c r="O258" i="5" s="1"/>
  <c r="T258" i="5" s="1"/>
  <c r="M227" i="5"/>
  <c r="O227" i="5" s="1"/>
  <c r="T227" i="5" s="1"/>
  <c r="M221" i="5"/>
  <c r="O221" i="5" s="1"/>
  <c r="T221" i="5" s="1"/>
  <c r="M143" i="5"/>
  <c r="O143" i="5" s="1"/>
  <c r="T143" i="5" s="1"/>
  <c r="M131" i="5"/>
  <c r="O131" i="5" s="1"/>
  <c r="T131" i="5" s="1"/>
  <c r="M330" i="5"/>
  <c r="O330" i="5" s="1"/>
  <c r="T330" i="5" s="1"/>
  <c r="M342" i="5"/>
  <c r="O342" i="5" s="1"/>
  <c r="T342" i="5" s="1"/>
  <c r="M328" i="5"/>
  <c r="O328" i="5" s="1"/>
  <c r="T328" i="5" s="1"/>
  <c r="M300" i="5"/>
  <c r="O300" i="5" s="1"/>
  <c r="T300" i="5" s="1"/>
  <c r="M291" i="5"/>
  <c r="O291" i="5" s="1"/>
  <c r="T291" i="5" s="1"/>
  <c r="M329" i="5"/>
  <c r="O329" i="5" s="1"/>
  <c r="T329" i="5" s="1"/>
  <c r="M242" i="5"/>
  <c r="O242" i="5" s="1"/>
  <c r="T242" i="5" s="1"/>
  <c r="M226" i="5"/>
  <c r="O226" i="5" s="1"/>
  <c r="T226" i="5" s="1"/>
  <c r="M336" i="5"/>
  <c r="O336" i="5" s="1"/>
  <c r="T336" i="5" s="1"/>
  <c r="M240" i="5"/>
  <c r="O240" i="5" s="1"/>
  <c r="T240" i="5" s="1"/>
  <c r="M224" i="5"/>
  <c r="O224" i="5" s="1"/>
  <c r="T224" i="5" s="1"/>
  <c r="M132" i="5"/>
  <c r="O132" i="5" s="1"/>
  <c r="T132" i="5" s="1"/>
  <c r="M125" i="5"/>
  <c r="O125" i="5" s="1"/>
  <c r="T125" i="5" s="1"/>
  <c r="R76" i="5"/>
  <c r="R78" i="5" s="1"/>
  <c r="O22" i="6"/>
  <c r="O463" i="5"/>
  <c r="T463" i="5"/>
  <c r="M26" i="6"/>
  <c r="R105" i="5"/>
  <c r="O21" i="6"/>
  <c r="O45" i="6"/>
  <c r="M48" i="6"/>
  <c r="O48" i="6" s="1"/>
  <c r="T462" i="5"/>
  <c r="O465" i="5"/>
  <c r="O20" i="6"/>
  <c r="O364" i="5"/>
  <c r="O366" i="5" s="1"/>
  <c r="E19" i="17"/>
  <c r="Y38" i="10"/>
  <c r="W49" i="10"/>
  <c r="Y49" i="10" s="1"/>
  <c r="R190" i="5"/>
  <c r="R107" i="5"/>
  <c r="M387" i="5"/>
  <c r="M391" i="5"/>
  <c r="O391" i="5" s="1"/>
  <c r="T391" i="5" s="1"/>
  <c r="M392" i="5"/>
  <c r="O392" i="5" s="1"/>
  <c r="T392" i="5" s="1"/>
  <c r="M388" i="5"/>
  <c r="O388" i="5" s="1"/>
  <c r="T388" i="5" s="1"/>
  <c r="M390" i="5"/>
  <c r="O390" i="5" s="1"/>
  <c r="T390" i="5" s="1"/>
  <c r="M393" i="5"/>
  <c r="O393" i="5" s="1"/>
  <c r="T393" i="5" s="1"/>
  <c r="O220" i="5" l="1"/>
  <c r="O264" i="5" s="1"/>
  <c r="O268" i="5" s="1"/>
  <c r="S41" i="10" s="1"/>
  <c r="U41" i="10" s="1"/>
  <c r="AA41" i="10" s="1"/>
  <c r="AC41" i="10" s="1"/>
  <c r="T220" i="5"/>
  <c r="R461" i="5"/>
  <c r="R463" i="5" s="1"/>
  <c r="S34" i="10"/>
  <c r="U34" i="10" s="1"/>
  <c r="AA34" i="10" s="1"/>
  <c r="AC34" i="10" s="1"/>
  <c r="O117" i="5"/>
  <c r="E11" i="17"/>
  <c r="O325" i="5"/>
  <c r="O343" i="5" s="1"/>
  <c r="O345" i="5" s="1"/>
  <c r="T325" i="5"/>
  <c r="R467" i="5"/>
  <c r="R469" i="5" s="1"/>
  <c r="S35" i="10"/>
  <c r="U35" i="10" s="1"/>
  <c r="AA35" i="10" s="1"/>
  <c r="AC35" i="10" s="1"/>
  <c r="O290" i="5"/>
  <c r="O319" i="5" s="1"/>
  <c r="O321" i="5" s="1"/>
  <c r="T290" i="5"/>
  <c r="T358" i="5"/>
  <c r="O360" i="5"/>
  <c r="M31" i="6"/>
  <c r="M36" i="6"/>
  <c r="M33" i="6"/>
  <c r="R180" i="5"/>
  <c r="R182" i="5" s="1"/>
  <c r="O26" i="6"/>
  <c r="O273" i="5"/>
  <c r="O284" i="5" s="1"/>
  <c r="M80" i="5"/>
  <c r="M79" i="5"/>
  <c r="M95" i="5"/>
  <c r="M94" i="5"/>
  <c r="T364" i="5"/>
  <c r="O387" i="5"/>
  <c r="T387" i="5" s="1"/>
  <c r="E21" i="17"/>
  <c r="R362" i="5"/>
  <c r="R364" i="5" s="1"/>
  <c r="S44" i="10"/>
  <c r="M98" i="5"/>
  <c r="M83" i="5"/>
  <c r="O83" i="5" s="1"/>
  <c r="T83" i="5" s="1"/>
  <c r="M82" i="5"/>
  <c r="O82" i="5" s="1"/>
  <c r="T82" i="5" s="1"/>
  <c r="M97" i="5"/>
  <c r="M206" i="5"/>
  <c r="O206" i="5" s="1"/>
  <c r="M197" i="5"/>
  <c r="M193" i="5"/>
  <c r="O193" i="5" s="1"/>
  <c r="M208" i="5"/>
  <c r="O208" i="5" s="1"/>
  <c r="T208" i="5" s="1"/>
  <c r="M213" i="5"/>
  <c r="M190" i="5"/>
  <c r="M192" i="5"/>
  <c r="O192" i="5" s="1"/>
  <c r="M209" i="5"/>
  <c r="M110" i="5"/>
  <c r="O110" i="5" s="1"/>
  <c r="T110" i="5" s="1"/>
  <c r="M109" i="5"/>
  <c r="O109" i="5" s="1"/>
  <c r="T109" i="5" s="1"/>
  <c r="M108" i="5"/>
  <c r="M111" i="5"/>
  <c r="R373" i="5" l="1"/>
  <c r="R375" i="5" s="1"/>
  <c r="O31" i="6"/>
  <c r="M38" i="6"/>
  <c r="T273" i="5"/>
  <c r="T117" i="5"/>
  <c r="O149" i="5"/>
  <c r="O153" i="5" s="1"/>
  <c r="O36" i="6"/>
  <c r="R170" i="5"/>
  <c r="R172" i="5" s="1"/>
  <c r="E17" i="17"/>
  <c r="E16" i="17"/>
  <c r="M181" i="5"/>
  <c r="M182" i="5"/>
  <c r="O182" i="5" s="1"/>
  <c r="T182" i="5" s="1"/>
  <c r="S43" i="10"/>
  <c r="U43" i="10" s="1"/>
  <c r="AA43" i="10" s="1"/>
  <c r="AC43" i="10" s="1"/>
  <c r="R354" i="5"/>
  <c r="R356" i="5" s="1"/>
  <c r="O286" i="5"/>
  <c r="O348" i="5"/>
  <c r="O351" i="5" s="1"/>
  <c r="S42" i="10" s="1"/>
  <c r="U42" i="10" s="1"/>
  <c r="AA42" i="10" s="1"/>
  <c r="AC42" i="10" s="1"/>
  <c r="R158" i="5"/>
  <c r="R160" i="5" s="1"/>
  <c r="O33" i="6"/>
  <c r="O97" i="5"/>
  <c r="T97" i="5" s="1"/>
  <c r="O95" i="5"/>
  <c r="T95" i="5" s="1"/>
  <c r="O80" i="5"/>
  <c r="T80" i="5" s="1"/>
  <c r="O98" i="5"/>
  <c r="T98" i="5" s="1"/>
  <c r="O94" i="5"/>
  <c r="T94" i="5" s="1"/>
  <c r="O79" i="5"/>
  <c r="E8" i="17"/>
  <c r="O190" i="5"/>
  <c r="T190" i="5" s="1"/>
  <c r="E15" i="17"/>
  <c r="O396" i="5"/>
  <c r="R386" i="5" s="1"/>
  <c r="R388" i="5" s="1"/>
  <c r="O108" i="5"/>
  <c r="T108" i="5" s="1"/>
  <c r="E9" i="17"/>
  <c r="U44" i="10"/>
  <c r="O111" i="5"/>
  <c r="T111" i="5" s="1"/>
  <c r="O197" i="5"/>
  <c r="O198" i="5" s="1"/>
  <c r="O209" i="5"/>
  <c r="T209" i="5" s="1"/>
  <c r="O213" i="5"/>
  <c r="O214" i="5" s="1"/>
  <c r="T206" i="5"/>
  <c r="M454" i="5" l="1"/>
  <c r="O454" i="5" s="1"/>
  <c r="T454" i="5" s="1"/>
  <c r="M490" i="5"/>
  <c r="O490" i="5" s="1"/>
  <c r="T490" i="5" s="1"/>
  <c r="M172" i="5"/>
  <c r="O172" i="5" s="1"/>
  <c r="T172" i="5" s="1"/>
  <c r="M174" i="5"/>
  <c r="O174" i="5" s="1"/>
  <c r="T174" i="5" s="1"/>
  <c r="M489" i="5"/>
  <c r="O489" i="5" s="1"/>
  <c r="T489" i="5" s="1"/>
  <c r="M453" i="5"/>
  <c r="O453" i="5" s="1"/>
  <c r="T453" i="5" s="1"/>
  <c r="M452" i="5"/>
  <c r="O452" i="5" s="1"/>
  <c r="T452" i="5" s="1"/>
  <c r="M171" i="5"/>
  <c r="O171" i="5" s="1"/>
  <c r="T171" i="5" s="1"/>
  <c r="M487" i="5"/>
  <c r="O487" i="5" s="1"/>
  <c r="T487" i="5" s="1"/>
  <c r="M173" i="5"/>
  <c r="O173" i="5" s="1"/>
  <c r="T173" i="5" s="1"/>
  <c r="M491" i="5"/>
  <c r="O491" i="5" s="1"/>
  <c r="T491" i="5" s="1"/>
  <c r="M451" i="5"/>
  <c r="O451" i="5" s="1"/>
  <c r="T451" i="5" s="1"/>
  <c r="M486" i="5"/>
  <c r="M450" i="5"/>
  <c r="O450" i="5" s="1"/>
  <c r="T450" i="5" s="1"/>
  <c r="M170" i="5"/>
  <c r="S40" i="10"/>
  <c r="R118" i="5"/>
  <c r="R120" i="5" s="1"/>
  <c r="O181" i="5"/>
  <c r="E14" i="17"/>
  <c r="O38" i="6"/>
  <c r="M49" i="6"/>
  <c r="M159" i="5"/>
  <c r="O159" i="5" s="1"/>
  <c r="T159" i="5" s="1"/>
  <c r="M161" i="5"/>
  <c r="O161" i="5" s="1"/>
  <c r="T161" i="5" s="1"/>
  <c r="M442" i="5"/>
  <c r="M446" i="5"/>
  <c r="O446" i="5" s="1"/>
  <c r="T446" i="5" s="1"/>
  <c r="M443" i="5"/>
  <c r="O443" i="5" s="1"/>
  <c r="T443" i="5" s="1"/>
  <c r="M162" i="5"/>
  <c r="O162" i="5" s="1"/>
  <c r="T162" i="5" s="1"/>
  <c r="M163" i="5"/>
  <c r="O163" i="5" s="1"/>
  <c r="T163" i="5" s="1"/>
  <c r="M447" i="5"/>
  <c r="O447" i="5" s="1"/>
  <c r="T447" i="5" s="1"/>
  <c r="M445" i="5"/>
  <c r="O445" i="5" s="1"/>
  <c r="T445" i="5" s="1"/>
  <c r="M158" i="5"/>
  <c r="M379" i="5"/>
  <c r="M373" i="5"/>
  <c r="O373" i="5" s="1"/>
  <c r="T373" i="5" s="1"/>
  <c r="M372" i="5"/>
  <c r="M380" i="5"/>
  <c r="O380" i="5" s="1"/>
  <c r="T380" i="5" s="1"/>
  <c r="O86" i="5"/>
  <c r="O101" i="5"/>
  <c r="S22" i="10" s="1"/>
  <c r="U22" i="10" s="1"/>
  <c r="AA22" i="10" s="1"/>
  <c r="AC22" i="10" s="1"/>
  <c r="T79" i="5"/>
  <c r="S32" i="10"/>
  <c r="O194" i="5"/>
  <c r="O200" i="5" s="1"/>
  <c r="S28" i="10" s="1"/>
  <c r="O113" i="5"/>
  <c r="S21" i="10" s="1"/>
  <c r="U21" i="10" s="1"/>
  <c r="AA21" i="10" s="1"/>
  <c r="AC21" i="10" s="1"/>
  <c r="E10" i="17"/>
  <c r="T213" i="5"/>
  <c r="M16" i="5"/>
  <c r="S20" i="10"/>
  <c r="AA44" i="10"/>
  <c r="O210" i="5"/>
  <c r="O216" i="5" s="1"/>
  <c r="T197" i="5"/>
  <c r="O379" i="5" l="1"/>
  <c r="O382" i="5" s="1"/>
  <c r="T379" i="5"/>
  <c r="O442" i="5"/>
  <c r="O455" i="5" s="1"/>
  <c r="O457" i="5" s="1"/>
  <c r="S33" i="10" s="1"/>
  <c r="U33" i="10" s="1"/>
  <c r="AA33" i="10" s="1"/>
  <c r="AC33" i="10" s="1"/>
  <c r="T442" i="5"/>
  <c r="E12" i="17"/>
  <c r="O158" i="5"/>
  <c r="O170" i="5"/>
  <c r="E13" i="17"/>
  <c r="U40" i="10"/>
  <c r="S45" i="10"/>
  <c r="S48" i="10" s="1"/>
  <c r="O486" i="5"/>
  <c r="O492" i="5" s="1"/>
  <c r="S36" i="10" s="1"/>
  <c r="U36" i="10" s="1"/>
  <c r="AA36" i="10" s="1"/>
  <c r="AC36" i="10" s="1"/>
  <c r="T486" i="5"/>
  <c r="O372" i="5"/>
  <c r="E20" i="17"/>
  <c r="O184" i="5"/>
  <c r="T181" i="5"/>
  <c r="R391" i="5"/>
  <c r="R80" i="5"/>
  <c r="R174" i="5"/>
  <c r="O49" i="6"/>
  <c r="M60" i="6"/>
  <c r="R75" i="5"/>
  <c r="R77" i="5" s="1"/>
  <c r="U32" i="10"/>
  <c r="AA32" i="10" s="1"/>
  <c r="AC32" i="10" s="1"/>
  <c r="E5" i="17"/>
  <c r="E7" i="17" s="1"/>
  <c r="U29" i="9"/>
  <c r="U31" i="9" s="1"/>
  <c r="R104" i="5"/>
  <c r="R106" i="5" s="1"/>
  <c r="M38" i="5"/>
  <c r="O38" i="5" s="1"/>
  <c r="T38" i="5" s="1"/>
  <c r="M58" i="5"/>
  <c r="O58" i="5" s="1"/>
  <c r="M21" i="5"/>
  <c r="O21" i="5" s="1"/>
  <c r="M62" i="5"/>
  <c r="O62" i="5" s="1"/>
  <c r="T62" i="5" s="1"/>
  <c r="M40" i="5"/>
  <c r="O40" i="5" s="1"/>
  <c r="T40" i="5" s="1"/>
  <c r="M36" i="5"/>
  <c r="O36" i="5" s="1"/>
  <c r="M59" i="5"/>
  <c r="O59" i="5" s="1"/>
  <c r="T59" i="5" s="1"/>
  <c r="M63" i="5"/>
  <c r="O63" i="5" s="1"/>
  <c r="S23" i="10"/>
  <c r="U20" i="10"/>
  <c r="M37" i="5"/>
  <c r="O37" i="5" s="1"/>
  <c r="T37" i="5" s="1"/>
  <c r="U28" i="10"/>
  <c r="M20" i="5"/>
  <c r="O20" i="5" s="1"/>
  <c r="T20" i="5" s="1"/>
  <c r="M17" i="5"/>
  <c r="O17" i="5" s="1"/>
  <c r="T17" i="5" s="1"/>
  <c r="R187" i="5"/>
  <c r="R189" i="5" s="1"/>
  <c r="S29" i="10"/>
  <c r="U29" i="10" s="1"/>
  <c r="AA29" i="10" s="1"/>
  <c r="AC29" i="10" s="1"/>
  <c r="M41" i="5"/>
  <c r="O41" i="5" s="1"/>
  <c r="T41" i="5" s="1"/>
  <c r="M60" i="5"/>
  <c r="O60" i="5" s="1"/>
  <c r="T60" i="5" s="1"/>
  <c r="M18" i="5"/>
  <c r="O18" i="5" s="1"/>
  <c r="T18" i="5" s="1"/>
  <c r="AC44" i="10"/>
  <c r="O16" i="5"/>
  <c r="T16" i="5" s="1"/>
  <c r="T170" i="5" l="1"/>
  <c r="O176" i="5"/>
  <c r="T372" i="5"/>
  <c r="O375" i="5"/>
  <c r="O383" i="5" s="1"/>
  <c r="R179" i="5"/>
  <c r="R181" i="5" s="1"/>
  <c r="S26" i="10"/>
  <c r="U26" i="10" s="1"/>
  <c r="AA26" i="10" s="1"/>
  <c r="AC26" i="10" s="1"/>
  <c r="T158" i="5"/>
  <c r="O165" i="5"/>
  <c r="AA40" i="10"/>
  <c r="U45" i="10"/>
  <c r="U48" i="10" s="1"/>
  <c r="E6" i="17"/>
  <c r="T36" i="5"/>
  <c r="T58" i="5"/>
  <c r="O71" i="5"/>
  <c r="S16" i="10" s="1"/>
  <c r="U16" i="10" s="1"/>
  <c r="AA16" i="10" s="1"/>
  <c r="AC16" i="10" s="1"/>
  <c r="S30" i="10"/>
  <c r="U23" i="10"/>
  <c r="AA20" i="10"/>
  <c r="AA28" i="10"/>
  <c r="U30" i="10"/>
  <c r="T63" i="5"/>
  <c r="V29" i="9"/>
  <c r="O49" i="5"/>
  <c r="O29" i="5"/>
  <c r="S24" i="10" l="1"/>
  <c r="R157" i="5"/>
  <c r="R159" i="5" s="1"/>
  <c r="S25" i="10"/>
  <c r="R169" i="5"/>
  <c r="R171" i="5" s="1"/>
  <c r="S31" i="10"/>
  <c r="U31" i="10" s="1"/>
  <c r="AA31" i="10" s="1"/>
  <c r="AC31" i="10" s="1"/>
  <c r="R372" i="5"/>
  <c r="R374" i="5" s="1"/>
  <c r="AC40" i="10"/>
  <c r="AA45" i="10"/>
  <c r="O512" i="5"/>
  <c r="Q512" i="5" s="1"/>
  <c r="S15" i="10"/>
  <c r="S18" i="10" s="1"/>
  <c r="R16" i="5"/>
  <c r="R18" i="5" s="1"/>
  <c r="AA23" i="10"/>
  <c r="AC23" i="10" s="1"/>
  <c r="AC20" i="10"/>
  <c r="AC28" i="10"/>
  <c r="AA30" i="10"/>
  <c r="AC30" i="10" s="1"/>
  <c r="E31" i="9"/>
  <c r="E12" i="9"/>
  <c r="E22" i="9"/>
  <c r="E29" i="9"/>
  <c r="E15" i="9"/>
  <c r="E23" i="9"/>
  <c r="E30" i="9"/>
  <c r="E11" i="9"/>
  <c r="E14" i="9"/>
  <c r="E19" i="9"/>
  <c r="E26" i="9"/>
  <c r="E27" i="9"/>
  <c r="E25" i="9"/>
  <c r="E10" i="9"/>
  <c r="E20" i="9"/>
  <c r="E24" i="9"/>
  <c r="E13" i="9"/>
  <c r="E18" i="9"/>
  <c r="E21" i="9"/>
  <c r="E28" i="9"/>
  <c r="V31" i="9"/>
  <c r="E16" i="9"/>
  <c r="M27" i="9"/>
  <c r="M12" i="9"/>
  <c r="M26" i="9"/>
  <c r="M17" i="9"/>
  <c r="M18" i="9"/>
  <c r="M24" i="9"/>
  <c r="M16" i="9"/>
  <c r="M15" i="9"/>
  <c r="M10" i="9"/>
  <c r="M28" i="9"/>
  <c r="M13" i="9"/>
  <c r="M20" i="9"/>
  <c r="M31" i="9"/>
  <c r="M25" i="9"/>
  <c r="M11" i="9"/>
  <c r="M30" i="9"/>
  <c r="M22" i="9"/>
  <c r="M21" i="9"/>
  <c r="M29" i="9"/>
  <c r="M23" i="9"/>
  <c r="M14" i="9"/>
  <c r="AA48" i="10" l="1"/>
  <c r="AC48" i="10" s="1"/>
  <c r="AC45" i="10"/>
  <c r="S27" i="10"/>
  <c r="U25" i="10"/>
  <c r="U24" i="10"/>
  <c r="S38" i="10"/>
  <c r="S49" i="10" s="1"/>
  <c r="V38" i="9"/>
  <c r="U15" i="10"/>
  <c r="AA15" i="10" s="1"/>
  <c r="O30" i="9"/>
  <c r="Q30" i="9"/>
  <c r="O15" i="9"/>
  <c r="Q15" i="9"/>
  <c r="V36" i="9"/>
  <c r="O17" i="9"/>
  <c r="Q17" i="9"/>
  <c r="G18" i="9"/>
  <c r="I18" i="9"/>
  <c r="I19" i="9"/>
  <c r="V35" i="9"/>
  <c r="G19" i="9"/>
  <c r="G23" i="9"/>
  <c r="I23" i="9"/>
  <c r="O29" i="9"/>
  <c r="Q29" i="9"/>
  <c r="O13" i="9"/>
  <c r="Q13" i="9"/>
  <c r="Q26" i="9"/>
  <c r="O26" i="9"/>
  <c r="I13" i="9"/>
  <c r="G13" i="9"/>
  <c r="I25" i="9"/>
  <c r="G25" i="9"/>
  <c r="G14" i="9"/>
  <c r="I14" i="9"/>
  <c r="G15" i="9"/>
  <c r="I15" i="9"/>
  <c r="G31" i="9"/>
  <c r="I31" i="9"/>
  <c r="Q21" i="9"/>
  <c r="O21" i="9"/>
  <c r="O25" i="9"/>
  <c r="Q25" i="9"/>
  <c r="O28" i="9"/>
  <c r="Q28" i="9"/>
  <c r="Q24" i="9"/>
  <c r="O24" i="9"/>
  <c r="O12" i="9"/>
  <c r="Q12" i="9"/>
  <c r="G28" i="9"/>
  <c r="I28" i="9"/>
  <c r="I24" i="9"/>
  <c r="G24" i="9"/>
  <c r="I27" i="9"/>
  <c r="G27" i="9"/>
  <c r="I11" i="9"/>
  <c r="G11" i="9"/>
  <c r="G29" i="9"/>
  <c r="I29" i="9"/>
  <c r="O23" i="9"/>
  <c r="Q23" i="9"/>
  <c r="Q20" i="9"/>
  <c r="O20" i="9"/>
  <c r="I16" i="9"/>
  <c r="G16" i="9"/>
  <c r="G10" i="9"/>
  <c r="I10" i="9"/>
  <c r="I12" i="9"/>
  <c r="G12" i="9"/>
  <c r="O11" i="9"/>
  <c r="Q11" i="9"/>
  <c r="O16" i="9"/>
  <c r="Q16" i="9"/>
  <c r="Q14" i="9"/>
  <c r="O14" i="9"/>
  <c r="O22" i="9"/>
  <c r="Q22" i="9"/>
  <c r="Q31" i="9"/>
  <c r="O31" i="9"/>
  <c r="O10" i="9"/>
  <c r="Q10" i="9"/>
  <c r="V37" i="9"/>
  <c r="Q18" i="9"/>
  <c r="O18" i="9"/>
  <c r="O27" i="9"/>
  <c r="Q27" i="9"/>
  <c r="I21" i="9"/>
  <c r="G21" i="9"/>
  <c r="G20" i="9"/>
  <c r="I20" i="9"/>
  <c r="I26" i="9"/>
  <c r="G26" i="9"/>
  <c r="I30" i="9"/>
  <c r="G30" i="9"/>
  <c r="G22" i="9"/>
  <c r="I22" i="9"/>
  <c r="AA24" i="10" l="1"/>
  <c r="U38" i="10"/>
  <c r="U27" i="10"/>
  <c r="AA25" i="10"/>
  <c r="R390" i="5"/>
  <c r="R79" i="5"/>
  <c r="R173" i="5"/>
  <c r="X38" i="9"/>
  <c r="W38" i="9"/>
  <c r="Z38" i="9"/>
  <c r="U18" i="10"/>
  <c r="AA18" i="10"/>
  <c r="AC15" i="10"/>
  <c r="W35" i="9"/>
  <c r="Z35" i="9"/>
  <c r="X35" i="9"/>
  <c r="W37" i="9"/>
  <c r="Z37" i="9"/>
  <c r="X37" i="9"/>
  <c r="X36" i="9"/>
  <c r="W36" i="9"/>
  <c r="Z36" i="9"/>
  <c r="AA27" i="10" l="1"/>
  <c r="AC27" i="10" s="1"/>
  <c r="AC25" i="10"/>
  <c r="AC24" i="10"/>
  <c r="AA38" i="10"/>
  <c r="AC38" i="10" s="1"/>
  <c r="U49" i="10"/>
  <c r="AD18" i="10"/>
  <c r="AC18" i="10"/>
  <c r="AA49" i="10" l="1"/>
  <c r="AC49" i="10" s="1"/>
</calcChain>
</file>

<file path=xl/sharedStrings.xml><?xml version="1.0" encoding="utf-8"?>
<sst xmlns="http://schemas.openxmlformats.org/spreadsheetml/2006/main" count="1178" uniqueCount="555">
  <si>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</si>
  <si>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</si>
  <si>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</si>
  <si>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</si>
  <si>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</si>
  <si>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</si>
  <si>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</si>
  <si>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</si>
  <si>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</si>
  <si>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</si>
  <si>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</si>
  <si>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</si>
  <si>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</si>
  <si>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</si>
  <si>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</si>
  <si>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</si>
  <si>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</si>
  <si>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</si>
  <si>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</si>
  <si>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</si>
  <si>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</si>
  <si>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</si>
  <si>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</si>
  <si>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</si>
  <si>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</si>
  <si>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</si>
  <si>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</si>
  <si>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</si>
  <si>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</si>
  <si>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</si>
  <si>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</si>
  <si>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</si>
  <si>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</si>
  <si>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</si>
  <si>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</si>
  <si>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</si>
  <si>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</si>
  <si>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</si>
  <si>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</si>
  <si>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</si>
  <si>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</si>
  <si>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</si>
  <si>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</si>
  <si>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</si>
  <si>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</si>
  <si>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</si>
  <si>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</si>
  <si>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</si>
  <si>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</si>
  <si>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</si>
  <si>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</si>
  <si>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</si>
  <si>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</si>
  <si>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</si>
  <si>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</si>
  <si>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</si>
  <si>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</si>
  <si>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</si>
  <si>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</si>
  <si>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</si>
  <si>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</si>
  <si>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</si>
  <si>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</si>
  <si>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</si>
  <si>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</si>
  <si>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</si>
  <si>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</si>
  <si>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</si>
  <si>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</si>
  <si>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</si>
  <si>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</si>
  <si>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</si>
  <si>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</si>
  <si>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</si>
  <si>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</si>
  <si>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</si>
  <si>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</si>
  <si>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</si>
  <si>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</si>
  <si>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</si>
  <si>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</si>
  <si>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</si>
  <si>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</si>
  <si>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</si>
  <si>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</si>
  <si>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</si>
  <si>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</si>
  <si>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</si>
  <si>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</si>
  <si>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</si>
  <si>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</si>
  <si>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</si>
  <si>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</si>
  <si>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</si>
  <si>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</si>
  <si>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</si>
  <si>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</si>
  <si>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</si>
  <si>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</si>
  <si>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</si>
  <si>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</si>
  <si>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</si>
  <si>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</si>
  <si>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</si>
  <si>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</si>
  <si>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</si>
  <si>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</si>
  <si>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</si>
  <si>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</si>
  <si>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</si>
  <si>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</si>
  <si>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</si>
  <si>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</si>
  <si>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</si>
  <si>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</si>
  <si>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</si>
  <si>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</si>
  <si>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</si>
  <si>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</si>
  <si>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</si>
  <si>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</si>
  <si>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</si>
  <si>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</si>
  <si>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</si>
  <si>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</si>
  <si>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</si>
  <si>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</si>
  <si>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</si>
  <si>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</si>
  <si>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</si>
  <si>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</si>
  <si>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</si>
  <si>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</si>
  <si>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</si>
  <si>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</si>
  <si>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</si>
  <si>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</si>
  <si>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</si>
  <si>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</si>
  <si>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</si>
  <si>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</si>
  <si>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</si>
  <si>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</si>
  <si>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</si>
  <si>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</si>
  <si>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</si>
  <si>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</si>
  <si>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</si>
  <si>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</si>
  <si>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</si>
  <si>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</si>
  <si>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</si>
  <si>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</si>
  <si>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</si>
  <si>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</si>
  <si>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</si>
  <si>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</si>
  <si>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</si>
  <si>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</si>
  <si>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</si>
  <si>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</si>
  <si>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</si>
  <si>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</si>
  <si>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</si>
  <si>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</si>
  <si>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</si>
  <si>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</si>
  <si>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</si>
  <si>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</si>
  <si>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</si>
  <si>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</si>
  <si>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</si>
  <si>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</si>
  <si>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</si>
  <si>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</si>
  <si>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</si>
  <si>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</si>
  <si>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</si>
  <si>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</si>
  <si>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</si>
  <si>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</si>
  <si>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</si>
  <si>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</si>
  <si>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</si>
  <si>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</si>
  <si>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</si>
  <si>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</si>
  <si>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</si>
  <si>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</si>
  <si>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</si>
  <si>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</si>
  <si>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</si>
  <si>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</si>
  <si>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</si>
  <si>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</si>
  <si>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</si>
  <si>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</si>
  <si>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</si>
  <si>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</si>
  <si>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</si>
  <si>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</si>
  <si>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</si>
  <si>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</si>
  <si>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</si>
  <si>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</si>
  <si>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</si>
  <si>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</si>
  <si>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</si>
  <si>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</si>
  <si>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</si>
  <si>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</si>
  <si>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</si>
  <si>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</si>
  <si>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</si>
  <si>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</si>
  <si>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</si>
  <si>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</si>
  <si>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</si>
  <si>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</si>
  <si>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</si>
  <si>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</si>
  <si>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</si>
  <si>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</si>
  <si>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</si>
  <si>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</si>
  <si>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</si>
  <si>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</si>
  <si>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</si>
  <si>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</si>
  <si>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</si>
  <si>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</si>
  <si>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</si>
  <si>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</si>
  <si>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</si>
  <si>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</si>
  <si>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</si>
  <si>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</si>
  <si>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</si>
  <si>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</si>
  <si>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</si>
  <si>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</si>
  <si>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</si>
  <si>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</si>
  <si>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</si>
  <si>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</si>
  <si>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</si>
  <si>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</si>
  <si>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</si>
  <si>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</si>
  <si>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</si>
  <si>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</si>
  <si>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</si>
  <si>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</si>
  <si>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</si>
  <si>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</si>
  <si>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</si>
  <si>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</si>
  <si>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</si>
  <si>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</si>
  <si>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</si>
  <si>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</si>
  <si>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</si>
  <si>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</si>
  <si>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</si>
  <si>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</si>
  <si>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</si>
  <si>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</si>
  <si>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</si>
  <si>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</si>
  <si>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</si>
  <si>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</si>
  <si>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</si>
  <si>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</si>
  <si>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</si>
  <si>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</si>
  <si>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</si>
  <si>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</si>
  <si>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</si>
  <si>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</si>
  <si>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</si>
  <si>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</si>
  <si>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</si>
  <si>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</si>
  <si>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</si>
  <si>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</si>
  <si>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</si>
  <si>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</si>
  <si>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</si>
  <si>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</si>
  <si>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</si>
  <si>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</si>
  <si>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</si>
  <si>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</si>
  <si>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</si>
  <si>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</si>
  <si>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</si>
  <si>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</si>
  <si>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</si>
  <si>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</si>
  <si>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</si>
  <si>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</si>
  <si>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</si>
  <si>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</si>
  <si>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</si>
  <si>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</si>
  <si>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</si>
  <si>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</si>
  <si>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</si>
  <si>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</si>
  <si>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</si>
  <si>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</si>
  <si>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</si>
  <si>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</si>
  <si>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</si>
  <si>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</si>
  <si>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Cost Of Service By Rate Schedule</t>
  </si>
  <si>
    <t>State of Utah</t>
  </si>
  <si>
    <t>2010 Protocol (Non Wgt)</t>
  </si>
  <si>
    <t>12 Months Ended May 2013</t>
  </si>
  <si>
    <t>Exhibit A1</t>
  </si>
  <si>
    <t>Page 3 of 3</t>
  </si>
  <si>
    <t>Utah Allocation Based on Scalar Method from Docket 10-035-124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</si>
  <si>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</si>
  <si>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</si>
  <si>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</si>
  <si>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</si>
  <si>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</si>
  <si>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</si>
  <si>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</si>
  <si>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</si>
  <si>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</si>
  <si>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</si>
  <si>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</si>
  <si>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</si>
  <si>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</si>
  <si>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</si>
  <si>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</si>
  <si>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</si>
  <si>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</si>
  <si>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</si>
  <si>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</si>
  <si>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</si>
  <si>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</si>
  <si>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</si>
  <si>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</si>
  <si>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</si>
  <si>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</si>
  <si>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</si>
  <si>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</si>
  <si>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</si>
  <si>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</si>
  <si>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</si>
  <si>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</si>
  <si>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</si>
  <si>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</si>
  <si>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</si>
  <si>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</si>
  <si>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</si>
  <si>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</si>
  <si>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</si>
  <si>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</si>
  <si>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</si>
  <si>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</si>
  <si>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</si>
  <si>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</si>
  <si>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</si>
  <si>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</si>
  <si>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</si>
  <si>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</si>
  <si>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</si>
  <si>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</si>
  <si>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>TOTAL EBA COSTS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</si>
  <si>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</si>
  <si>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</si>
  <si>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</si>
  <si>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</si>
  <si>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</si>
  <si>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</si>
  <si>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</si>
  <si>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</si>
  <si>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</si>
  <si>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</si>
  <si>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</si>
  <si>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</si>
  <si>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</si>
  <si>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</si>
  <si>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</si>
  <si>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</si>
  <si>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</si>
  <si>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</si>
  <si>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</si>
  <si>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</si>
  <si>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</si>
  <si>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</si>
  <si>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</si>
  <si>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DSM</t>
  </si>
  <si>
    <t>s</t>
  </si>
  <si>
    <t>Sch 195 Solar</t>
  </si>
  <si>
    <t>Sch 94 EBA</t>
  </si>
  <si>
    <t>Sch 98 REC</t>
  </si>
  <si>
    <t>Net (EBA+REC)</t>
  </si>
  <si>
    <r>
      <t>1</t>
    </r>
    <r>
      <rPr>
        <sz val="10"/>
        <rFont val="Times New Roman"/>
        <family val="1"/>
      </rPr>
      <t xml:space="preserve">  Including HELP, DSM, EBA, REC and SOLAR adjustments.</t>
    </r>
  </si>
  <si>
    <t>w: Winter average usage; a:  Annual average usage; s: Summer average usage.</t>
  </si>
  <si>
    <t>Monthly Average</t>
  </si>
  <si>
    <t xml:space="preserve">Proposed </t>
  </si>
  <si>
    <t>¢/kWh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</si>
  <si>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</si>
  <si>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</si>
  <si>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</si>
  <si>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</si>
  <si>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</si>
  <si>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</si>
  <si>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</si>
  <si>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</si>
  <si>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</si>
  <si>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</si>
  <si>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</si>
  <si>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</si>
  <si>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</si>
  <si>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</si>
  <si>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</si>
  <si>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</si>
  <si>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</si>
  <si>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</si>
  <si>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</si>
  <si>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</si>
  <si>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</si>
  <si>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</si>
  <si>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</si>
  <si>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</si>
  <si>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</si>
  <si>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Additional FERC ER11-3643 Revenues</t>
  </si>
  <si>
    <t>Requested EBA Recovery</t>
  </si>
  <si>
    <t>Utah Allocated Base NPC</t>
  </si>
  <si>
    <t>January 2013 through December 2013</t>
  </si>
  <si>
    <t>Month</t>
  </si>
  <si>
    <t>EBA Price</t>
  </si>
  <si>
    <t>EBA Price Comparison</t>
  </si>
  <si>
    <t>Schedule</t>
  </si>
  <si>
    <t>15M</t>
  </si>
  <si>
    <t>15T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</si>
  <si>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</si>
  <si>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</si>
  <si>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</si>
  <si>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</si>
  <si>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</si>
  <si>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</si>
  <si>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</si>
  <si>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</si>
  <si>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</si>
  <si>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</si>
  <si>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</si>
  <si>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</si>
  <si>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</si>
  <si>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</si>
  <si>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</si>
  <si>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</si>
  <si>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</si>
  <si>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Line No.</t>
  </si>
  <si>
    <t>Reference</t>
  </si>
  <si>
    <t>Actual:</t>
  </si>
  <si>
    <t>Total Company NPC</t>
  </si>
  <si>
    <t>Exhibit 3</t>
  </si>
  <si>
    <t>Net System Load</t>
  </si>
  <si>
    <t>Total Company NPC $/MWH</t>
  </si>
  <si>
    <t>Dynamic Scalar</t>
  </si>
  <si>
    <t>Scaled Utah NPC $/MWH</t>
  </si>
  <si>
    <t>Utah Load</t>
  </si>
  <si>
    <t>Utah Allocated NPC</t>
  </si>
  <si>
    <t>Utah Allocated Wheeling Revenues</t>
  </si>
  <si>
    <t>Total Energy Balancing Account Costs</t>
  </si>
  <si>
    <t>Utah Jurisdictional Sales</t>
  </si>
  <si>
    <t xml:space="preserve">Utah EBA $/MWh </t>
  </si>
  <si>
    <t>Base:</t>
  </si>
  <si>
    <t>Exhibit 2, 3</t>
  </si>
  <si>
    <t>Utah Allocated Base Wheeling Revenues</t>
  </si>
  <si>
    <t>Total Utah Base Energy Balancing Account Costs</t>
  </si>
  <si>
    <t>Jurisdictional Base Sales</t>
  </si>
  <si>
    <t>Base Utah EBA $/MWh</t>
  </si>
  <si>
    <t>Deferral:</t>
  </si>
  <si>
    <t>$/ MWH Differential</t>
  </si>
  <si>
    <t>Total Deferrable</t>
  </si>
  <si>
    <t>Incremental EBA Deferral at 70% Sharing</t>
  </si>
  <si>
    <t>Note 2</t>
  </si>
  <si>
    <t xml:space="preserve">Incremental Deferral </t>
  </si>
  <si>
    <t>Energy Balancing Account:</t>
  </si>
  <si>
    <t>Monthly Interest Rate</t>
  </si>
  <si>
    <t>Note 3</t>
  </si>
  <si>
    <t>Beginning Balance</t>
  </si>
  <si>
    <t>Incremental Deferral</t>
  </si>
  <si>
    <t>Interest</t>
  </si>
  <si>
    <t>Ending Balance</t>
  </si>
  <si>
    <t>Interest through October 31, 2014</t>
  </si>
  <si>
    <t xml:space="preserve">Notes: </t>
  </si>
  <si>
    <t>Actual NPC calculated using the scalar method approved in Docket No. 11-035-200 through August 31, 2014.  Beginning September 1, 2014, dynamic annual allocation factors are used, consistent with the Base NPC included in the settlement of Docket No. 13-035-184.</t>
  </si>
  <si>
    <t>FERC issued an order approving a settlement in ER11-3643 May 23, 2013.  The impact of the order will be included in the Company's annual EBA filing until reflected in rates, i.e. September 1, 2014.</t>
  </si>
  <si>
    <t>Docket No. 09-035-15, March 2, 2011 Report and Order, Page 79</t>
  </si>
  <si>
    <t>Utah Energy Balancing Account Mechanism</t>
  </si>
  <si>
    <t>January 1, 2014 - December 31, 2014</t>
  </si>
  <si>
    <t xml:space="preserve">Exhibit 1 - EBA Calculation Summary </t>
  </si>
  <si>
    <t>(9.2)</t>
  </si>
  <si>
    <t>(9.1)</t>
  </si>
  <si>
    <t>Line 5 * Line 6 OR Exhibit 2</t>
  </si>
  <si>
    <t>(8.1)</t>
  </si>
  <si>
    <t>(9.3)</t>
  </si>
  <si>
    <t>Jan - Aug 2014</t>
  </si>
  <si>
    <t>Sept - Dec 2014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</si>
  <si>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</si>
  <si>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</si>
  <si>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</si>
  <si>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</si>
  <si>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</si>
  <si>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</si>
  <si>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</si>
  <si>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</si>
  <si>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Jan-Aug</t>
  </si>
  <si>
    <t>Sept-Dec</t>
  </si>
  <si>
    <t>Target EBA Rev</t>
  </si>
  <si>
    <t>Amortization</t>
  </si>
  <si>
    <t>End Balance</t>
  </si>
  <si>
    <t>Begin Balance</t>
  </si>
  <si>
    <t>Budget Rev</t>
  </si>
  <si>
    <t>('$000)</t>
  </si>
  <si>
    <t>Adjusted</t>
  </si>
  <si>
    <t>*</t>
  </si>
  <si>
    <t>* Forecast</t>
  </si>
  <si>
    <r>
      <t>2012</t>
    </r>
    <r>
      <rPr>
        <b/>
        <vertAlign val="superscript"/>
        <sz val="12"/>
        <rFont val="Times New Roman"/>
        <family val="1"/>
      </rPr>
      <t>1</t>
    </r>
  </si>
  <si>
    <r>
      <t>2014</t>
    </r>
    <r>
      <rPr>
        <b/>
        <vertAlign val="superscript"/>
        <sz val="12"/>
        <rFont val="Times New Roman"/>
        <family val="1"/>
      </rPr>
      <t>2</t>
    </r>
  </si>
  <si>
    <r>
      <t>2014</t>
    </r>
    <r>
      <rPr>
        <b/>
        <vertAlign val="superscript"/>
        <sz val="12"/>
        <rFont val="Times New Roman"/>
        <family val="1"/>
      </rPr>
      <t>3</t>
    </r>
  </si>
  <si>
    <t>Note:</t>
  </si>
  <si>
    <t>January 2014 through December 2014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</si>
  <si>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2012 GRC, Docket No. 11-035-120.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</si>
  <si>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Net Power Cost allocator from 2014 GRC, Docket No. 13-035-184.</t>
    </r>
  </si>
  <si>
    <t xml:space="preserve">  Fixed Customer Charge</t>
  </si>
  <si>
    <t>2014 Deferral</t>
  </si>
  <si>
    <t>Line 1 / Line 2</t>
  </si>
  <si>
    <t>Line 3 * Line 4</t>
  </si>
  <si>
    <t>Line 7 + Line 8</t>
  </si>
  <si>
    <t>Line 9 / Line 10</t>
  </si>
  <si>
    <t>Line 12 / Line 13</t>
  </si>
  <si>
    <t>Line 14 / Line 15</t>
  </si>
  <si>
    <t>Line 11 - Line 16</t>
  </si>
  <si>
    <t>Line 10 * Line 17</t>
  </si>
  <si>
    <t>Line 19 * 70%</t>
  </si>
  <si>
    <t>∑ Lines 19:20</t>
  </si>
  <si>
    <t>Prior Month Line 26</t>
  </si>
  <si>
    <t>Line 21</t>
  </si>
  <si>
    <t>Line 22 * ( Line 23 + 50% x Line 24)</t>
  </si>
  <si>
    <t>∑ Lines 17:20</t>
  </si>
  <si>
    <t>Line 26 * (1 + 1.06% / 12) ^ 10 - Line 26</t>
  </si>
  <si>
    <t>∑ Lines 26:27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</si>
  <si>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Including 2014 deferral and true up of estimated balance of 2014 and pre-2014 EBAs.</t>
    </r>
  </si>
  <si>
    <t>Balance of 2014 and pre-2014 EBAs</t>
  </si>
  <si>
    <t>Utah 2014 and Pre-2014 EBA Balance</t>
  </si>
  <si>
    <t>Pre-2014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</si>
</sst>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_(&quot;$&quot;\ #,##0.00_);_(&quot;$&quot;* \(#,##0.00\);_(&quot;$&quot;* &quot;-&quot;??_);_(@_)"/>
    <numFmt numFmtId="190" formatCode="[$-409]mmm\-yy;@"/>
    <numFmt numFmtId="191" formatCode="#,##0;\-#,##0;&quot;-&quot;"/>
    <numFmt numFmtId="192" formatCode="mmmm\ d\,\ yyyy"/>
    <numFmt numFmtId="193" formatCode="########\-###\-###"/>
    <numFmt numFmtId="194" formatCode="#,##0.0_);\(#,##0.0\);\-\ ;"/>
    <numFmt numFmtId="195" formatCode="0.000000"/>
    <numFmt numFmtId="196" formatCode="mmm\ dd\,\ yyyy"/>
    <numFmt numFmtId="197" formatCode="_-* #,##0_-;\-* #,##0_-;_-* &quot;-&quot;_-;_-@_-"/>
    <numFmt numFmtId="198" formatCode="_-* #,##0.00_-;\-* #,##0.00_-;_-* &quot;-&quot;??_-;_-@_-"/>
    <numFmt numFmtId="199" formatCode="_-&quot;$&quot;* #,##0_-;\-&quot;$&quot;* #,##0_-;_-&quot;$&quot;* &quot;-&quot;_-;_-@_-"/>
    <numFmt numFmtId="200" formatCode="_-&quot;$&quot;* #,##0.00_-;\-&quot;$&quot;* #,##0.00_-;_-&quot;$&quot;* &quot;-&quot;??_-;_-@_-"/>
    <numFmt numFmtId="201" formatCode="#,##0.000_);\(#,##0.000\)"/>
    <numFmt numFmtId="202" formatCode="#,##0.0_);\(#,##0.0\)"/>
  </numFmts>
  <fonts count="106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9"/>
      <name val="Arial"/>
      <family val="2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b/>
      <sz val="12"/>
      <color rgb="FF0000FF"/>
      <name val="Times New Roman"/>
      <family val="1"/>
    </font>
  </fonts>
  <fills count="6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081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6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7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8" applyNumberFormat="0" applyProtection="0">
      <alignment vertical="center"/>
    </xf>
    <xf numFmtId="4" fontId="29" fillId="4" borderId="18" applyNumberFormat="0" applyProtection="0">
      <alignment vertical="center"/>
    </xf>
    <xf numFmtId="4" fontId="28" fillId="4" borderId="18" applyNumberFormat="0" applyProtection="0">
      <alignment vertical="center"/>
    </xf>
    <xf numFmtId="0" fontId="28" fillId="4" borderId="18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8" applyNumberFormat="0" applyProtection="0">
      <alignment horizontal="right" vertical="center"/>
    </xf>
    <xf numFmtId="4" fontId="30" fillId="7" borderId="18" applyNumberFormat="0" applyProtection="0">
      <alignment horizontal="right" vertical="center"/>
    </xf>
    <xf numFmtId="4" fontId="30" fillId="8" borderId="18" applyNumberFormat="0" applyProtection="0">
      <alignment horizontal="right" vertical="center"/>
    </xf>
    <xf numFmtId="4" fontId="30" fillId="9" borderId="18" applyNumberFormat="0" applyProtection="0">
      <alignment horizontal="right" vertical="center"/>
    </xf>
    <xf numFmtId="4" fontId="30" fillId="10" borderId="18" applyNumberFormat="0" applyProtection="0">
      <alignment horizontal="right" vertical="center"/>
    </xf>
    <xf numFmtId="4" fontId="30" fillId="11" borderId="18" applyNumberFormat="0" applyProtection="0">
      <alignment horizontal="right" vertical="center"/>
    </xf>
    <xf numFmtId="4" fontId="30" fillId="12" borderId="18" applyNumberFormat="0" applyProtection="0">
      <alignment horizontal="right" vertical="center"/>
    </xf>
    <xf numFmtId="4" fontId="30" fillId="13" borderId="18" applyNumberFormat="0" applyProtection="0">
      <alignment horizontal="right" vertical="center"/>
    </xf>
    <xf numFmtId="4" fontId="30" fillId="14" borderId="18" applyNumberFormat="0" applyProtection="0">
      <alignment horizontal="right" vertical="center"/>
    </xf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8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4" fontId="30" fillId="21" borderId="18" applyNumberFormat="0" applyProtection="0">
      <alignment vertical="center"/>
    </xf>
    <xf numFmtId="4" fontId="34" fillId="21" borderId="18" applyNumberFormat="0" applyProtection="0">
      <alignment vertical="center"/>
    </xf>
    <xf numFmtId="4" fontId="30" fillId="21" borderId="18" applyNumberFormat="0" applyProtection="0">
      <alignment horizontal="left" vertical="center" indent="1"/>
    </xf>
    <xf numFmtId="0" fontId="30" fillId="21" borderId="18" applyNumberFormat="0" applyProtection="0">
      <alignment horizontal="left" vertical="top" indent="1"/>
    </xf>
    <xf numFmtId="4" fontId="30" fillId="22" borderId="20" applyNumberFormat="0" applyProtection="0">
      <alignment horizontal="right" vertical="center"/>
    </xf>
    <xf numFmtId="4" fontId="34" fillId="16" borderId="18" applyNumberFormat="0" applyProtection="0">
      <alignment horizontal="right" vertical="center"/>
    </xf>
    <xf numFmtId="4" fontId="30" fillId="18" borderId="18" applyNumberFormat="0" applyProtection="0">
      <alignment horizontal="left" vertical="center" indent="1"/>
    </xf>
    <xf numFmtId="0" fontId="30" fillId="5" borderId="18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8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1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5" applyNumberFormat="0" applyAlignment="0" applyProtection="0">
      <alignment horizontal="left" vertical="center"/>
    </xf>
    <xf numFmtId="0" fontId="27" fillId="0" borderId="24">
      <alignment horizontal="left" vertical="center"/>
    </xf>
    <xf numFmtId="10" fontId="24" fillId="21" borderId="22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2">
      <alignment horizontal="center" vertical="center" wrapText="1"/>
    </xf>
    <xf numFmtId="0" fontId="11" fillId="0" borderId="0"/>
    <xf numFmtId="164" fontId="57" fillId="0" borderId="0"/>
    <xf numFmtId="0" fontId="58" fillId="0" borderId="0"/>
    <xf numFmtId="9" fontId="57" fillId="0" borderId="0" applyFont="0" applyFill="0" applyBorder="0" applyAlignment="0" applyProtection="0"/>
    <xf numFmtId="164" fontId="5" fillId="0" borderId="0"/>
    <xf numFmtId="0" fontId="62" fillId="42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2" fillId="42" borderId="0" applyNumberFormat="0" applyBorder="0" applyAlignment="0" applyProtection="0"/>
    <xf numFmtId="0" fontId="62" fillId="42" borderId="0" applyNumberFormat="0" applyBorder="0" applyAlignment="0" applyProtection="0"/>
    <xf numFmtId="0" fontId="62" fillId="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1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2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42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3" fillId="51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4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62" fillId="45" borderId="0" applyNumberFormat="0" applyBorder="0" applyAlignment="0" applyProtection="0"/>
    <xf numFmtId="0" fontId="62" fillId="47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3" fillId="50" borderId="0" applyNumberFormat="0" applyBorder="0" applyAlignment="0" applyProtection="0"/>
    <xf numFmtId="0" fontId="62" fillId="46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4" fillId="52" borderId="22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0" fillId="53" borderId="0" applyNumberFormat="0" applyBorder="0" applyAlignment="0" applyProtection="0"/>
    <xf numFmtId="191" fontId="30" fillId="0" borderId="0" applyFill="0" applyBorder="0" applyAlignment="0"/>
    <xf numFmtId="0" fontId="66" fillId="54" borderId="30" applyNumberFormat="0" applyAlignment="0" applyProtection="0"/>
    <xf numFmtId="0" fontId="66" fillId="54" borderId="30" applyNumberFormat="0" applyAlignment="0" applyProtection="0"/>
    <xf numFmtId="0" fontId="66" fillId="54" borderId="30" applyNumberFormat="0" applyAlignment="0" applyProtection="0"/>
    <xf numFmtId="0" fontId="66" fillId="54" borderId="30" applyNumberFormat="0" applyAlignment="0" applyProtection="0"/>
    <xf numFmtId="0" fontId="66" fillId="54" borderId="30" applyNumberFormat="0" applyAlignment="0" applyProtection="0"/>
    <xf numFmtId="0" fontId="67" fillId="0" borderId="0"/>
    <xf numFmtId="0" fontId="68" fillId="55" borderId="31" applyNumberFormat="0" applyAlignment="0" applyProtection="0"/>
    <xf numFmtId="0" fontId="68" fillId="55" borderId="31" applyNumberFormat="0" applyAlignment="0" applyProtection="0"/>
    <xf numFmtId="0" fontId="68" fillId="55" borderId="31" applyNumberFormat="0" applyAlignment="0" applyProtection="0"/>
    <xf numFmtId="0" fontId="68" fillId="55" borderId="31" applyNumberFormat="0" applyAlignment="0" applyProtection="0"/>
    <xf numFmtId="0" fontId="68" fillId="55" borderId="31" applyNumberFormat="0" applyAlignment="0" applyProtection="0"/>
    <xf numFmtId="0" fontId="57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9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3" fillId="0" borderId="0"/>
    <xf numFmtId="0" fontId="73" fillId="0" borderId="0"/>
    <xf numFmtId="0" fontId="73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3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4" fillId="0" borderId="0"/>
    <xf numFmtId="0" fontId="74" fillId="0" borderId="32"/>
    <xf numFmtId="0" fontId="73" fillId="0" borderId="0"/>
    <xf numFmtId="0" fontId="73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2" fontId="11" fillId="0" borderId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3" fillId="0" borderId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0" fontId="76" fillId="43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3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10" fontId="24" fillId="21" borderId="22" applyNumberFormat="0" applyBorder="0" applyAlignment="0" applyProtection="0"/>
    <xf numFmtId="10" fontId="24" fillId="21" borderId="22" applyNumberFormat="0" applyBorder="0" applyAlignment="0" applyProtection="0"/>
    <xf numFmtId="0" fontId="80" fillId="0" borderId="0" applyNumberFormat="0" applyFill="0" applyBorder="0" applyAlignment="0">
      <protection locked="0"/>
    </xf>
    <xf numFmtId="0" fontId="80" fillId="0" borderId="0" applyNumberFormat="0" applyFill="0" applyBorder="0" applyAlignment="0">
      <protection locked="0"/>
    </xf>
    <xf numFmtId="38" fontId="81" fillId="0" borderId="0">
      <alignment horizontal="left" wrapText="1"/>
    </xf>
    <xf numFmtId="38" fontId="82" fillId="0" borderId="0">
      <alignment horizontal="left" wrapText="1"/>
    </xf>
    <xf numFmtId="0" fontId="83" fillId="56" borderId="32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4" fillId="0" borderId="34" applyNumberFormat="0" applyFill="0" applyAlignment="0" applyProtection="0"/>
    <xf numFmtId="0" fontId="85" fillId="57" borderId="0"/>
    <xf numFmtId="0" fontId="85" fillId="58" borderId="0"/>
    <xf numFmtId="0" fontId="40" fillId="59" borderId="7" applyBorder="0"/>
    <xf numFmtId="0" fontId="11" fillId="60" borderId="8" applyNumberFormat="0" applyFont="0" applyBorder="0" applyAlignment="0" applyProtection="0"/>
    <xf numFmtId="193" fontId="11" fillId="0" borderId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37" fontId="87" fillId="0" borderId="0" applyNumberFormat="0" applyFill="0" applyBorder="0"/>
    <xf numFmtId="0" fontId="24" fillId="0" borderId="16" applyNumberFormat="0" applyBorder="0" applyAlignment="0"/>
    <xf numFmtId="0" fontId="24" fillId="0" borderId="16" applyNumberFormat="0" applyBorder="0" applyAlignment="0"/>
    <xf numFmtId="0" fontId="24" fillId="0" borderId="16" applyNumberFormat="0" applyBorder="0" applyAlignment="0"/>
    <xf numFmtId="183" fontId="11" fillId="0" borderId="0"/>
    <xf numFmtId="183" fontId="1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1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3" fillId="0" borderId="0"/>
    <xf numFmtId="0" fontId="11" fillId="61" borderId="35" applyNumberFormat="0" applyFont="0" applyAlignment="0" applyProtection="0"/>
    <xf numFmtId="0" fontId="20" fillId="29" borderId="29" applyNumberFormat="0" applyFont="0" applyAlignment="0" applyProtection="0"/>
    <xf numFmtId="0" fontId="20" fillId="29" borderId="29" applyNumberFormat="0" applyFont="0" applyAlignment="0" applyProtection="0"/>
    <xf numFmtId="0" fontId="20" fillId="29" borderId="29" applyNumberFormat="0" applyFont="0" applyAlignment="0" applyProtection="0"/>
    <xf numFmtId="0" fontId="11" fillId="61" borderId="35" applyNumberFormat="0" applyFont="0" applyAlignment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194" fontId="5" fillId="0" borderId="0" applyFont="0" applyFill="0" applyBorder="0" applyProtection="0"/>
    <xf numFmtId="0" fontId="90" fillId="54" borderId="36" applyNumberFormat="0" applyAlignment="0" applyProtection="0"/>
    <xf numFmtId="0" fontId="90" fillId="54" borderId="36" applyNumberFormat="0" applyAlignment="0" applyProtection="0"/>
    <xf numFmtId="0" fontId="90" fillId="54" borderId="36" applyNumberFormat="0" applyAlignment="0" applyProtection="0"/>
    <xf numFmtId="0" fontId="90" fillId="54" borderId="36" applyNumberFormat="0" applyAlignment="0" applyProtection="0"/>
    <xf numFmtId="0" fontId="90" fillId="54" borderId="36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3" fillId="0" borderId="0"/>
    <xf numFmtId="0" fontId="73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/>
    <xf numFmtId="0" fontId="74" fillId="0" borderId="0"/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4" borderId="18" applyNumberFormat="0" applyProtection="0">
      <alignment horizontal="left" vertical="center" indent="1"/>
    </xf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5" borderId="18" applyNumberFormat="0" applyProtection="0"/>
    <xf numFmtId="4" fontId="28" fillId="15" borderId="19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93" fillId="62" borderId="0" applyNumberFormat="0" applyProtection="0">
      <alignment horizontal="left" indent="1"/>
    </xf>
    <xf numFmtId="4" fontId="33" fillId="63" borderId="0" applyNumberFormat="0" applyProtection="0"/>
    <xf numFmtId="4" fontId="33" fillId="63" borderId="0" applyNumberFormat="0" applyProtection="0"/>
    <xf numFmtId="4" fontId="33" fillId="63" borderId="0" applyNumberFormat="0" applyProtection="0"/>
    <xf numFmtId="4" fontId="33" fillId="63" borderId="0" applyNumberFormat="0" applyProtection="0"/>
    <xf numFmtId="4" fontId="33" fillId="63" borderId="0" applyNumberFormat="0" applyProtection="0"/>
    <xf numFmtId="4" fontId="33" fillId="63" borderId="0" applyNumberFormat="0" applyProtection="0"/>
    <xf numFmtId="4" fontId="33" fillId="63" borderId="0" applyNumberFormat="0" applyProtection="0"/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center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17" borderId="18" applyNumberFormat="0" applyProtection="0">
      <alignment horizontal="left" vertical="top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center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5" borderId="18" applyNumberFormat="0" applyProtection="0">
      <alignment horizontal="left" vertical="top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center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19" borderId="18" applyNumberFormat="0" applyProtection="0">
      <alignment horizontal="left" vertical="top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center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0" fontId="11" fillId="20" borderId="18" applyNumberFormat="0" applyProtection="0">
      <alignment horizontal="left" vertical="top" indent="1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right" vertical="center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4" fontId="30" fillId="0" borderId="18" applyNumberFormat="0" applyProtection="0">
      <alignment horizontal="left" vertical="center" indent="1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0" fontId="30" fillId="5" borderId="18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4" borderId="0" applyNumberFormat="0" applyFont="0" applyBorder="0" applyAlignment="0" applyProtection="0"/>
    <xf numFmtId="0" fontId="94" fillId="0" borderId="0" applyNumberFormat="0" applyFill="0" applyBorder="0" applyAlignment="0" applyProtection="0"/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169" fontId="11" fillId="0" borderId="26">
      <alignment horizontal="justify" vertical="top" wrapText="1"/>
    </xf>
    <xf numFmtId="0" fontId="95" fillId="65" borderId="37"/>
    <xf numFmtId="195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6" fillId="66" borderId="38" applyProtection="0">
      <alignment horizontal="right"/>
    </xf>
    <xf numFmtId="0" fontId="96" fillId="0" borderId="0" applyNumberFormat="0" applyFill="0" applyBorder="0" applyProtection="0">
      <alignment horizontal="left"/>
    </xf>
    <xf numFmtId="196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4" fillId="0" borderId="32"/>
    <xf numFmtId="38" fontId="11" fillId="0" borderId="0">
      <alignment horizontal="left" wrapText="1"/>
    </xf>
    <xf numFmtId="0" fontId="97" fillId="67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0" fillId="0" borderId="2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3" fillId="0" borderId="12"/>
    <xf numFmtId="0" fontId="83" fillId="0" borderId="39"/>
    <xf numFmtId="0" fontId="83" fillId="0" borderId="32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73" fillId="0" borderId="2"/>
    <xf numFmtId="38" fontId="30" fillId="0" borderId="28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9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67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37" fontId="10" fillId="0" borderId="0" xfId="5" quotePrefix="1" applyNumberFormat="1" applyFont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43" fontId="0" fillId="0" borderId="0" xfId="187" applyFont="1" applyAlignment="1">
      <alignment horizontal="right"/>
    </xf>
    <xf numFmtId="180" fontId="11" fillId="0" borderId="0" xfId="186" applyFont="1" applyFill="1" applyAlignment="1">
      <alignment horizontal="centerContinuous"/>
    </xf>
    <xf numFmtId="37" fontId="40" fillId="0" borderId="0" xfId="188" applyNumberFormat="1" applyFont="1" applyFill="1" applyAlignment="1" applyProtection="1">
      <alignment horizontal="centerContinuous"/>
    </xf>
    <xf numFmtId="41" fontId="11" fillId="0" borderId="0" xfId="188" applyNumberFormat="1" applyFont="1" applyFill="1" applyAlignment="1">
      <alignment horizontal="centerContinuous"/>
    </xf>
    <xf numFmtId="37" fontId="11" fillId="0" borderId="0" xfId="188" applyNumberFormat="1" applyFont="1" applyFill="1" applyAlignment="1" applyProtection="1">
      <alignment horizontal="centerContinuous"/>
    </xf>
    <xf numFmtId="173" fontId="11" fillId="0" borderId="0" xfId="186" applyNumberFormat="1" applyFont="1" applyFill="1"/>
    <xf numFmtId="41" fontId="40" fillId="0" borderId="0" xfId="188" applyNumberFormat="1" applyFont="1" applyFill="1"/>
    <xf numFmtId="41" fontId="40" fillId="0" borderId="0" xfId="188" applyNumberFormat="1" applyFont="1" applyFill="1" applyAlignment="1">
      <alignment horizontal="center"/>
    </xf>
    <xf numFmtId="41" fontId="11" fillId="0" borderId="0" xfId="188" applyNumberFormat="1" applyFont="1" applyFill="1"/>
    <xf numFmtId="37" fontId="40" fillId="0" borderId="0" xfId="188" applyNumberFormat="1" applyFont="1" applyFill="1" applyProtection="1"/>
    <xf numFmtId="173" fontId="11" fillId="0" borderId="0" xfId="188" applyNumberFormat="1" applyFont="1" applyFill="1" applyBorder="1" applyProtection="1"/>
    <xf numFmtId="41" fontId="40" fillId="0" borderId="0" xfId="188" applyNumberFormat="1" applyFont="1" applyFill="1" applyBorder="1" applyAlignment="1">
      <alignment horizontal="center"/>
    </xf>
    <xf numFmtId="41" fontId="41" fillId="0" borderId="0" xfId="188" applyNumberFormat="1" applyFont="1" applyFill="1" applyAlignment="1">
      <alignment horizontal="center"/>
    </xf>
    <xf numFmtId="41" fontId="41" fillId="0" borderId="0" xfId="188" applyNumberFormat="1" applyFont="1" applyFill="1"/>
    <xf numFmtId="41" fontId="41" fillId="0" borderId="0" xfId="188" applyNumberFormat="1" applyFont="1" applyFill="1" applyBorder="1" applyAlignment="1">
      <alignment horizontal="center"/>
    </xf>
    <xf numFmtId="41" fontId="11" fillId="0" borderId="0" xfId="188" applyNumberFormat="1" applyFont="1" applyFill="1" applyAlignment="1">
      <alignment horizontal="center"/>
    </xf>
    <xf numFmtId="41" fontId="11" fillId="0" borderId="0" xfId="188" applyNumberFormat="1" applyFont="1" applyFill="1" applyBorder="1" applyAlignment="1">
      <alignment horizontal="center"/>
    </xf>
    <xf numFmtId="41" fontId="40" fillId="0" borderId="0" xfId="188" applyNumberFormat="1" applyFont="1" applyFill="1" applyProtection="1"/>
    <xf numFmtId="37" fontId="11" fillId="0" borderId="0" xfId="188" applyNumberFormat="1" applyFont="1" applyFill="1" applyProtection="1"/>
    <xf numFmtId="2" fontId="40" fillId="0" borderId="0" xfId="188" applyNumberFormat="1" applyFont="1" applyFill="1" applyBorder="1" applyAlignment="1">
      <alignment horizontal="center"/>
    </xf>
    <xf numFmtId="173" fontId="40" fillId="0" borderId="0" xfId="188" applyNumberFormat="1" applyFont="1" applyFill="1" applyProtection="1"/>
    <xf numFmtId="173" fontId="42" fillId="0" borderId="0" xfId="188" applyNumberFormat="1" applyFont="1" applyFill="1" applyProtection="1"/>
    <xf numFmtId="41" fontId="42" fillId="0" borderId="0" xfId="188" applyNumberFormat="1" applyFont="1" applyFill="1"/>
    <xf numFmtId="3" fontId="40" fillId="0" borderId="0" xfId="188" applyNumberFormat="1" applyFont="1" applyFill="1"/>
    <xf numFmtId="37" fontId="42" fillId="0" borderId="0" xfId="188" applyNumberFormat="1" applyFont="1" applyFill="1" applyProtection="1"/>
    <xf numFmtId="173" fontId="42" fillId="0" borderId="1" xfId="188" applyNumberFormat="1" applyFont="1" applyFill="1" applyBorder="1" applyProtection="1"/>
    <xf numFmtId="173" fontId="40" fillId="0" borderId="1" xfId="188" applyNumberFormat="1" applyFont="1" applyFill="1" applyBorder="1" applyProtection="1"/>
    <xf numFmtId="41" fontId="40" fillId="0" borderId="0" xfId="188" applyNumberFormat="1" applyFont="1" applyFill="1" applyBorder="1"/>
    <xf numFmtId="37" fontId="40" fillId="0" borderId="0" xfId="188" applyNumberFormat="1" applyFont="1" applyFill="1" applyBorder="1" applyProtection="1"/>
    <xf numFmtId="180" fontId="40" fillId="0" borderId="0" xfId="186" applyFont="1" applyFill="1"/>
    <xf numFmtId="173" fontId="40" fillId="0" borderId="0" xfId="187" applyNumberFormat="1" applyFont="1" applyFill="1"/>
    <xf numFmtId="173" fontId="11" fillId="0" borderId="0" xfId="187" applyNumberFormat="1" applyFont="1" applyFill="1"/>
    <xf numFmtId="180" fontId="11" fillId="0" borderId="0" xfId="186" applyFont="1" applyFill="1" applyAlignment="1">
      <alignment horizontal="center"/>
    </xf>
    <xf numFmtId="10" fontId="40" fillId="0" borderId="0" xfId="189" applyNumberFormat="1" applyFont="1" applyFill="1"/>
    <xf numFmtId="9" fontId="43" fillId="0" borderId="0" xfId="189" applyFont="1" applyFill="1" applyAlignment="1">
      <alignment horizontal="center"/>
    </xf>
    <xf numFmtId="173" fontId="11" fillId="0" borderId="0" xfId="189" applyNumberFormat="1" applyFont="1" applyFill="1"/>
    <xf numFmtId="10" fontId="40" fillId="24" borderId="0" xfId="189" applyNumberFormat="1" applyFont="1" applyFill="1"/>
    <xf numFmtId="173" fontId="11" fillId="0" borderId="0" xfId="189" applyNumberFormat="1" applyFont="1" applyFill="1" applyBorder="1"/>
    <xf numFmtId="10" fontId="40" fillId="24" borderId="1" xfId="189" applyNumberFormat="1" applyFont="1" applyFill="1" applyBorder="1"/>
    <xf numFmtId="0" fontId="3" fillId="0" borderId="0" xfId="188"/>
    <xf numFmtId="0" fontId="3" fillId="0" borderId="0" xfId="188" applyBorder="1"/>
    <xf numFmtId="37" fontId="40" fillId="0" borderId="0" xfId="188" applyNumberFormat="1" applyFont="1" applyFill="1" applyBorder="1" applyAlignment="1" applyProtection="1">
      <alignment horizontal="center"/>
    </xf>
    <xf numFmtId="41" fontId="40" fillId="0" borderId="22" xfId="188" applyNumberFormat="1" applyFont="1" applyFill="1" applyBorder="1" applyAlignment="1">
      <alignment horizontal="center"/>
    </xf>
    <xf numFmtId="181" fontId="42" fillId="0" borderId="22" xfId="187" applyNumberFormat="1" applyFont="1" applyFill="1" applyBorder="1" applyProtection="1"/>
    <xf numFmtId="181" fontId="44" fillId="0" borderId="22" xfId="187" applyNumberFormat="1" applyFont="1" applyFill="1" applyBorder="1" applyAlignment="1" applyProtection="1">
      <alignment horizontal="right"/>
    </xf>
    <xf numFmtId="0" fontId="3" fillId="0" borderId="0" xfId="188" applyAlignment="1">
      <alignment horizontal="center"/>
    </xf>
    <xf numFmtId="181" fontId="0" fillId="0" borderId="0" xfId="187" applyNumberFormat="1" applyFont="1"/>
    <xf numFmtId="0" fontId="40" fillId="0" borderId="22" xfId="188" applyNumberFormat="1" applyFont="1" applyFill="1" applyBorder="1" applyAlignment="1">
      <alignment horizontal="center"/>
    </xf>
    <xf numFmtId="181" fontId="45" fillId="0" borderId="22" xfId="187" applyNumberFormat="1" applyFont="1" applyFill="1" applyBorder="1" applyProtection="1"/>
    <xf numFmtId="181" fontId="40" fillId="0" borderId="22" xfId="187" applyNumberFormat="1" applyFont="1" applyFill="1" applyBorder="1" applyAlignment="1" applyProtection="1">
      <alignment horizontal="right"/>
    </xf>
    <xf numFmtId="10" fontId="13" fillId="0" borderId="0" xfId="4" applyNumberFormat="1" applyFont="1" applyFill="1"/>
    <xf numFmtId="164" fontId="13" fillId="0" borderId="0" xfId="5" applyFont="1" applyFill="1" applyBorder="1"/>
    <xf numFmtId="164" fontId="13" fillId="0" borderId="23" xfId="5" applyFont="1" applyFill="1" applyBorder="1"/>
    <xf numFmtId="164" fontId="13" fillId="0" borderId="1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3" fontId="50" fillId="0" borderId="0" xfId="214" applyNumberFormat="1" applyFont="1" applyBorder="1" applyAlignment="1">
      <alignment horizontal="left"/>
    </xf>
    <xf numFmtId="178" fontId="49" fillId="0" borderId="0" xfId="214" applyNumberFormat="1" applyFont="1" applyBorder="1"/>
    <xf numFmtId="0" fontId="51" fillId="0" borderId="0" xfId="214" applyFont="1" applyBorder="1" applyAlignment="1">
      <alignment horizontal="centerContinuous"/>
    </xf>
    <xf numFmtId="178" fontId="51" fillId="0" borderId="0" xfId="214" applyNumberFormat="1" applyFont="1" applyBorder="1" applyAlignment="1">
      <alignment horizontal="centerContinuous"/>
    </xf>
    <xf numFmtId="0" fontId="51" fillId="0" borderId="0" xfId="214" applyFont="1" applyAlignment="1">
      <alignment horizontal="centerContinuous"/>
    </xf>
    <xf numFmtId="178" fontId="51" fillId="0" borderId="0" xfId="214" applyNumberFormat="1" applyFont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1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3" fillId="0" borderId="0" xfId="214" applyNumberFormat="1" applyFont="1" applyAlignment="1">
      <alignment horizontal="center"/>
    </xf>
    <xf numFmtId="178" fontId="49" fillId="0" borderId="24" xfId="214" applyNumberFormat="1" applyFont="1" applyBorder="1" applyAlignment="1">
      <alignment horizontal="centerContinuous"/>
    </xf>
    <xf numFmtId="178" fontId="49" fillId="0" borderId="24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1" fillId="0" borderId="3" xfId="214" applyFont="1" applyBorder="1"/>
    <xf numFmtId="0" fontId="51" fillId="0" borderId="24" xfId="214" applyFont="1" applyBorder="1" applyAlignment="1">
      <alignment horizontal="center"/>
    </xf>
    <xf numFmtId="0" fontId="51" fillId="0" borderId="4" xfId="214" applyFont="1" applyBorder="1" applyAlignment="1">
      <alignment horizontal="center"/>
    </xf>
    <xf numFmtId="39" fontId="49" fillId="0" borderId="0" xfId="214" applyNumberFormat="1" applyFont="1"/>
    <xf numFmtId="0" fontId="54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7" fontId="55" fillId="0" borderId="0" xfId="214" applyNumberFormat="1" applyFont="1" applyBorder="1"/>
    <xf numFmtId="7" fontId="55" fillId="0" borderId="7" xfId="214" applyNumberFormat="1" applyFont="1" applyBorder="1"/>
    <xf numFmtId="166" fontId="49" fillId="0" borderId="0" xfId="214" applyNumberFormat="1" applyFont="1"/>
    <xf numFmtId="169" fontId="55" fillId="0" borderId="0" xfId="214" applyNumberFormat="1" applyFont="1" applyBorder="1"/>
    <xf numFmtId="169" fontId="55" fillId="0" borderId="7" xfId="214" applyNumberFormat="1" applyFont="1" applyBorder="1"/>
    <xf numFmtId="10" fontId="55" fillId="0" borderId="0" xfId="3" applyNumberFormat="1" applyFont="1" applyBorder="1"/>
    <xf numFmtId="10" fontId="55" fillId="0" borderId="7" xfId="3" applyNumberFormat="1" applyFont="1" applyBorder="1"/>
    <xf numFmtId="7" fontId="49" fillId="0" borderId="0" xfId="214" applyNumberFormat="1" applyFont="1" applyBorder="1"/>
    <xf numFmtId="7" fontId="49" fillId="0" borderId="7" xfId="214" applyNumberFormat="1" applyFont="1" applyBorder="1"/>
    <xf numFmtId="185" fontId="56" fillId="0" borderId="0" xfId="214" applyNumberFormat="1" applyFont="1" applyBorder="1"/>
    <xf numFmtId="185" fontId="56" fillId="0" borderId="7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49" fillId="0" borderId="10" xfId="3" applyNumberFormat="1" applyFont="1" applyBorder="1"/>
    <xf numFmtId="10" fontId="56" fillId="0" borderId="0" xfId="214" applyNumberFormat="1" applyFont="1" applyBorder="1"/>
    <xf numFmtId="10" fontId="56" fillId="0" borderId="0" xfId="214" applyNumberFormat="1" applyFont="1"/>
    <xf numFmtId="10" fontId="49" fillId="0" borderId="0" xfId="214" applyNumberFormat="1" applyFont="1" applyBorder="1"/>
    <xf numFmtId="10" fontId="49" fillId="0" borderId="0" xfId="214" applyNumberFormat="1" applyFont="1"/>
    <xf numFmtId="9" fontId="49" fillId="0" borderId="0" xfId="214" applyNumberFormat="1" applyFont="1"/>
    <xf numFmtId="3" fontId="52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3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6" xfId="214" applyFont="1" applyBorder="1" applyAlignment="1">
      <alignment horizontal="center"/>
    </xf>
    <xf numFmtId="0" fontId="49" fillId="0" borderId="22" xfId="214" applyFont="1" applyBorder="1" applyAlignment="1">
      <alignment horizontal="center"/>
    </xf>
    <xf numFmtId="0" fontId="49" fillId="0" borderId="27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7" xfId="3" applyNumberFormat="1" applyFont="1" applyBorder="1"/>
    <xf numFmtId="0" fontId="49" fillId="0" borderId="28" xfId="214" applyFont="1" applyBorder="1"/>
    <xf numFmtId="166" fontId="49" fillId="0" borderId="28" xfId="3" applyNumberFormat="1" applyFont="1" applyBorder="1"/>
    <xf numFmtId="2" fontId="49" fillId="0" borderId="28" xfId="214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3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0" fontId="49" fillId="27" borderId="26" xfId="214" applyFont="1" applyFill="1" applyBorder="1"/>
    <xf numFmtId="3" fontId="49" fillId="27" borderId="1" xfId="214" applyNumberFormat="1" applyFont="1" applyFill="1" applyBorder="1"/>
    <xf numFmtId="178" fontId="49" fillId="27" borderId="9" xfId="214" applyNumberFormat="1" applyFont="1" applyFill="1" applyBorder="1"/>
    <xf numFmtId="166" fontId="49" fillId="27" borderId="26" xfId="3" applyNumberFormat="1" applyFont="1" applyFill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164" fontId="7" fillId="0" borderId="0" xfId="4" applyFont="1" applyAlignment="1">
      <alignment horizontal="center"/>
    </xf>
    <xf numFmtId="164" fontId="7" fillId="0" borderId="24" xfId="4" applyFont="1" applyBorder="1" applyAlignment="1">
      <alignment horizontal="center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5" fillId="0" borderId="0" xfId="4" applyFont="1" applyBorder="1"/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0" fontId="9" fillId="0" borderId="11" xfId="3" applyNumberFormat="1" applyFont="1" applyBorder="1"/>
    <xf numFmtId="164" fontId="7" fillId="0" borderId="24" xfId="4" applyFont="1" applyBorder="1" applyAlignment="1">
      <alignment horizontal="center" wrapText="1"/>
    </xf>
    <xf numFmtId="5" fontId="9" fillId="0" borderId="0" xfId="2" applyNumberFormat="1" applyFont="1" applyFill="1" applyBorder="1"/>
    <xf numFmtId="164" fontId="60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61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9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201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100" fillId="0" borderId="0" xfId="4" applyFont="1" applyFill="1" applyAlignment="1">
      <alignment horizontal="left"/>
    </xf>
    <xf numFmtId="49" fontId="61" fillId="0" borderId="0" xfId="4" applyNumberFormat="1" applyFont="1" applyFill="1"/>
    <xf numFmtId="202" fontId="9" fillId="0" borderId="0" xfId="4" applyNumberFormat="1" applyFont="1" applyFill="1" applyProtection="1"/>
    <xf numFmtId="164" fontId="101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61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6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6" xfId="3" applyNumberFormat="1" applyFont="1" applyBorder="1"/>
    <xf numFmtId="0" fontId="40" fillId="28" borderId="0" xfId="0" applyFont="1" applyFill="1" applyAlignment="1">
      <alignment vertic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40" fillId="28" borderId="1" xfId="0" applyFont="1" applyFill="1" applyBorder="1" applyAlignment="1">
      <alignment horizontal="center" vertical="center" wrapText="1"/>
    </xf>
    <xf numFmtId="0" fontId="40" fillId="28" borderId="1" xfId="0" applyFont="1" applyFill="1" applyBorder="1" applyAlignment="1">
      <alignment horizontal="left" vertical="center"/>
    </xf>
    <xf numFmtId="0" fontId="0" fillId="28" borderId="0" xfId="0" applyFont="1" applyFill="1" applyAlignment="1">
      <alignment vertical="center"/>
    </xf>
    <xf numFmtId="190" fontId="40" fillId="28" borderId="1" xfId="0" applyNumberFormat="1" applyFont="1" applyFill="1" applyBorder="1" applyAlignment="1">
      <alignment horizontal="center" vertical="center" wrapText="1"/>
    </xf>
    <xf numFmtId="190" fontId="40" fillId="28" borderId="1" xfId="0" applyNumberFormat="1" applyFont="1" applyFill="1" applyBorder="1" applyAlignment="1">
      <alignment horizontal="center" vertical="center"/>
    </xf>
    <xf numFmtId="0" fontId="0" fillId="28" borderId="0" xfId="0" applyFont="1" applyFill="1" applyAlignment="1">
      <alignment horizontal="left" vertical="center"/>
    </xf>
    <xf numFmtId="0" fontId="0" fillId="28" borderId="0" xfId="0" applyFont="1" applyFill="1" applyAlignment="1">
      <alignment horizontal="center" vertical="center"/>
    </xf>
    <xf numFmtId="42" fontId="0" fillId="28" borderId="0" xfId="1" applyNumberFormat="1" applyFont="1" applyFill="1" applyAlignment="1">
      <alignment horizontal="right"/>
    </xf>
    <xf numFmtId="0" fontId="0" fillId="28" borderId="0" xfId="0" applyFill="1" applyAlignment="1">
      <alignment horizontal="right"/>
    </xf>
    <xf numFmtId="42" fontId="0" fillId="28" borderId="0" xfId="0" applyNumberFormat="1" applyFill="1" applyAlignment="1">
      <alignment horizontal="right"/>
    </xf>
    <xf numFmtId="173" fontId="0" fillId="28" borderId="0" xfId="1" applyNumberFormat="1" applyFont="1" applyFill="1" applyAlignment="1">
      <alignment horizontal="right"/>
    </xf>
    <xf numFmtId="173" fontId="0" fillId="28" borderId="1" xfId="0" applyNumberFormat="1" applyFill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189" fontId="11" fillId="28" borderId="23" xfId="2" applyNumberFormat="1" applyFont="1" applyFill="1" applyBorder="1" applyAlignment="1">
      <alignment horizontal="right" vertical="center"/>
    </xf>
    <xf numFmtId="178" fontId="0" fillId="28" borderId="0" xfId="0" applyNumberFormat="1" applyFill="1" applyAlignment="1">
      <alignment horizontal="right"/>
    </xf>
    <xf numFmtId="189" fontId="11" fillId="28" borderId="0" xfId="2" applyNumberFormat="1" applyFont="1" applyFill="1" applyBorder="1" applyAlignment="1">
      <alignment horizontal="right" vertical="center"/>
    </xf>
    <xf numFmtId="181" fontId="0" fillId="28" borderId="0" xfId="1" applyNumberFormat="1" applyFont="1" applyFill="1" applyAlignment="1">
      <alignment horizontal="right"/>
    </xf>
    <xf numFmtId="181" fontId="0" fillId="28" borderId="0" xfId="0" applyNumberFormat="1" applyFill="1" applyAlignment="1">
      <alignment horizontal="right"/>
    </xf>
    <xf numFmtId="41" fontId="0" fillId="28" borderId="0" xfId="0" applyNumberFormat="1" applyFill="1" applyAlignment="1">
      <alignment horizontal="right"/>
    </xf>
    <xf numFmtId="177" fontId="0" fillId="28" borderId="0" xfId="2" applyNumberFormat="1" applyFont="1" applyFill="1" applyAlignment="1">
      <alignment horizontal="right"/>
    </xf>
    <xf numFmtId="177" fontId="0" fillId="28" borderId="0" xfId="0" applyNumberFormat="1" applyFill="1" applyAlignment="1">
      <alignment horizontal="right"/>
    </xf>
    <xf numFmtId="177" fontId="0" fillId="28" borderId="0" xfId="0" applyNumberFormat="1" applyFont="1" applyFill="1" applyAlignment="1">
      <alignment horizontal="right" vertical="center"/>
    </xf>
    <xf numFmtId="177" fontId="0" fillId="28" borderId="1" xfId="0" applyNumberFormat="1" applyFill="1" applyBorder="1" applyAlignment="1">
      <alignment horizontal="right"/>
    </xf>
    <xf numFmtId="177" fontId="0" fillId="28" borderId="23" xfId="1" applyNumberFormat="1" applyFont="1" applyFill="1" applyBorder="1" applyAlignment="1">
      <alignment horizontal="right"/>
    </xf>
    <xf numFmtId="177" fontId="0" fillId="28" borderId="23" xfId="0" applyNumberFormat="1" applyFill="1" applyBorder="1" applyAlignment="1">
      <alignment horizontal="right"/>
    </xf>
    <xf numFmtId="0" fontId="0" fillId="28" borderId="0" xfId="0" applyFont="1" applyFill="1" applyAlignment="1">
      <alignment horizontal="center" vertical="center" wrapText="1"/>
    </xf>
    <xf numFmtId="41" fontId="0" fillId="28" borderId="1" xfId="0" applyNumberFormat="1" applyFill="1" applyBorder="1" applyAlignment="1">
      <alignment horizontal="right"/>
    </xf>
    <xf numFmtId="0" fontId="40" fillId="28" borderId="0" xfId="0" applyFont="1" applyFill="1" applyAlignment="1">
      <alignment horizontal="left" vertical="center"/>
    </xf>
    <xf numFmtId="189" fontId="40" fillId="28" borderId="23" xfId="2" applyNumberFormat="1" applyFont="1" applyFill="1" applyBorder="1" applyAlignment="1">
      <alignment horizontal="right" vertical="center"/>
    </xf>
    <xf numFmtId="189" fontId="40" fillId="28" borderId="0" xfId="2" applyNumberFormat="1" applyFont="1" applyFill="1" applyBorder="1" applyAlignment="1">
      <alignment horizontal="right" vertical="center"/>
    </xf>
    <xf numFmtId="0" fontId="4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horizontal="left" vertical="center"/>
    </xf>
    <xf numFmtId="0" fontId="0" fillId="28" borderId="0" xfId="0" applyFont="1" applyFill="1" applyAlignment="1">
      <alignment horizontal="left" vertical="center" wrapText="1"/>
    </xf>
    <xf numFmtId="177" fontId="0" fillId="28" borderId="0" xfId="1" applyNumberFormat="1" applyFont="1" applyFill="1" applyAlignment="1">
      <alignment horizontal="right"/>
    </xf>
    <xf numFmtId="0" fontId="40" fillId="28" borderId="0" xfId="0" applyFont="1" applyFill="1" applyAlignment="1">
      <alignment horizontal="left" vertical="center" wrapText="1"/>
    </xf>
    <xf numFmtId="173" fontId="0" fillId="28" borderId="0" xfId="0" applyNumberFormat="1" applyFill="1" applyAlignment="1">
      <alignment horizontal="right"/>
    </xf>
    <xf numFmtId="177" fontId="40" fillId="28" borderId="23" xfId="0" applyNumberFormat="1" applyFont="1" applyFill="1" applyBorder="1" applyAlignment="1">
      <alignment horizontal="right"/>
    </xf>
    <xf numFmtId="177" fontId="40" fillId="28" borderId="0" xfId="0" applyNumberFormat="1" applyFont="1" applyFill="1" applyAlignment="1">
      <alignment horizontal="right"/>
    </xf>
    <xf numFmtId="0" fontId="0" fillId="28" borderId="0" xfId="0" applyFont="1" applyFill="1" applyAlignment="1">
      <alignment horizontal="right" vertical="center" wrapText="1"/>
    </xf>
    <xf numFmtId="10" fontId="0" fillId="28" borderId="0" xfId="3" applyNumberFormat="1" applyFont="1" applyFill="1" applyAlignment="1">
      <alignment horizontal="right"/>
    </xf>
    <xf numFmtId="10" fontId="0" fillId="28" borderId="0" xfId="0" applyNumberFormat="1" applyFill="1" applyAlignment="1">
      <alignment horizontal="right"/>
    </xf>
    <xf numFmtId="0" fontId="0" fillId="28" borderId="0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left" vertical="center" wrapText="1"/>
    </xf>
    <xf numFmtId="177" fontId="0" fillId="28" borderId="1" xfId="0" applyNumberFormat="1" applyFont="1" applyFill="1" applyBorder="1" applyAlignment="1">
      <alignment horizontal="right" vertical="center"/>
    </xf>
    <xf numFmtId="177" fontId="40" fillId="28" borderId="0" xfId="1" applyNumberFormat="1" applyFont="1" applyFill="1" applyAlignment="1">
      <alignment horizontal="right"/>
    </xf>
    <xf numFmtId="0" fontId="24" fillId="28" borderId="0" xfId="0" applyFont="1" applyFill="1"/>
    <xf numFmtId="38" fontId="24" fillId="28" borderId="0" xfId="0" applyNumberFormat="1" applyFont="1" applyFill="1" applyAlignment="1">
      <alignment horizontal="right" vertical="center"/>
    </xf>
    <xf numFmtId="177" fontId="40" fillId="28" borderId="15" xfId="0" applyNumberFormat="1" applyFont="1" applyFill="1" applyBorder="1" applyAlignment="1">
      <alignment horizontal="right" vertical="center"/>
    </xf>
    <xf numFmtId="0" fontId="24" fillId="28" borderId="0" xfId="0" applyFont="1" applyFill="1" applyAlignment="1">
      <alignment horizontal="left" vertical="center"/>
    </xf>
    <xf numFmtId="0" fontId="102" fillId="28" borderId="0" xfId="0" applyFont="1" applyFill="1" applyAlignment="1">
      <alignment vertical="center"/>
    </xf>
    <xf numFmtId="0" fontId="102" fillId="28" borderId="0" xfId="0" applyFont="1" applyFill="1" applyAlignment="1">
      <alignment horizontal="left" vertical="center"/>
    </xf>
    <xf numFmtId="0" fontId="102" fillId="28" borderId="0" xfId="0" applyFont="1" applyFill="1"/>
    <xf numFmtId="165" fontId="13" fillId="28" borderId="26" xfId="0" applyNumberFormat="1" applyFont="1" applyFill="1" applyBorder="1"/>
    <xf numFmtId="17" fontId="13" fillId="28" borderId="22" xfId="0" quotePrefix="1" applyNumberFormat="1" applyFont="1" applyFill="1" applyBorder="1"/>
    <xf numFmtId="190" fontId="40" fillId="28" borderId="0" xfId="0" applyNumberFormat="1" applyFont="1" applyFill="1" applyBorder="1" applyAlignment="1">
      <alignment horizontal="center" vertical="center"/>
    </xf>
    <xf numFmtId="173" fontId="0" fillId="28" borderId="0" xfId="0" applyNumberFormat="1" applyFill="1" applyBorder="1" applyAlignment="1">
      <alignment horizontal="right"/>
    </xf>
    <xf numFmtId="177" fontId="0" fillId="28" borderId="0" xfId="0" applyNumberFormat="1" applyFill="1" applyBorder="1" applyAlignment="1">
      <alignment horizontal="right"/>
    </xf>
    <xf numFmtId="41" fontId="0" fillId="28" borderId="0" xfId="0" applyNumberFormat="1" applyFill="1" applyBorder="1" applyAlignment="1">
      <alignment horizontal="right"/>
    </xf>
    <xf numFmtId="177" fontId="40" fillId="28" borderId="0" xfId="0" applyNumberFormat="1" applyFont="1" applyFill="1" applyBorder="1" applyAlignment="1">
      <alignment horizontal="right"/>
    </xf>
    <xf numFmtId="177" fontId="40" fillId="28" borderId="0" xfId="0" applyNumberFormat="1" applyFont="1" applyFill="1" applyBorder="1" applyAlignment="1">
      <alignment horizontal="right" vertical="center"/>
    </xf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2" xfId="0" applyNumberFormat="1" applyFont="1" applyFill="1" applyBorder="1" applyAlignment="1">
      <alignment horizontal="center"/>
    </xf>
    <xf numFmtId="181" fontId="42" fillId="0" borderId="22" xfId="1" applyNumberFormat="1" applyFont="1" applyFill="1" applyBorder="1" applyProtection="1"/>
    <xf numFmtId="181" fontId="44" fillId="0" borderId="22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2" xfId="0" applyNumberFormat="1" applyFont="1" applyFill="1" applyBorder="1" applyAlignment="1">
      <alignment horizontal="center"/>
    </xf>
    <xf numFmtId="181" fontId="45" fillId="0" borderId="22" xfId="1" applyNumberFormat="1" applyFont="1" applyFill="1" applyBorder="1" applyProtection="1"/>
    <xf numFmtId="181" fontId="40" fillId="0" borderId="22" xfId="1" applyNumberFormat="1" applyFont="1" applyFill="1" applyBorder="1" applyAlignment="1" applyProtection="1">
      <alignment horizontal="right"/>
    </xf>
    <xf numFmtId="180" fontId="103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5" fontId="13" fillId="0" borderId="7" xfId="2" applyNumberFormat="1" applyFont="1" applyFill="1" applyBorder="1"/>
    <xf numFmtId="166" fontId="13" fillId="0" borderId="1" xfId="2" applyNumberFormat="1" applyFont="1" applyFill="1" applyBorder="1"/>
    <xf numFmtId="164" fontId="13" fillId="0" borderId="24" xfId="5" applyFont="1" applyFill="1" applyBorder="1"/>
    <xf numFmtId="164" fontId="13" fillId="0" borderId="24" xfId="5" applyFont="1" applyFill="1" applyBorder="1" applyAlignment="1">
      <alignment horizontal="center"/>
    </xf>
    <xf numFmtId="164" fontId="13" fillId="0" borderId="4" xfId="5" applyFont="1" applyFill="1" applyBorder="1" applyAlignment="1">
      <alignment horizontal="center"/>
    </xf>
    <xf numFmtId="166" fontId="13" fillId="0" borderId="10" xfId="5" applyNumberFormat="1" applyFont="1" applyFill="1" applyBorder="1"/>
    <xf numFmtId="165" fontId="13" fillId="0" borderId="7" xfId="5" applyNumberFormat="1" applyFont="1" applyFill="1" applyBorder="1"/>
    <xf numFmtId="3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Continuous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0" fontId="0" fillId="0" borderId="0" xfId="0" applyNumberForma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0" fontId="40" fillId="0" borderId="3" xfId="0" quotePrefix="1" applyFont="1" applyFill="1" applyBorder="1" applyAlignment="1">
      <alignment horizontal="centerContinuous"/>
    </xf>
    <xf numFmtId="0" fontId="40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7" fontId="0" fillId="0" borderId="8" xfId="0" applyNumberFormat="1" applyFill="1" applyBorder="1"/>
    <xf numFmtId="7" fontId="0" fillId="0" borderId="7" xfId="0" applyNumberFormat="1" applyFill="1" applyBorder="1"/>
    <xf numFmtId="7" fontId="0" fillId="0" borderId="0" xfId="0" applyNumberFormat="1" applyFill="1" applyBorder="1"/>
    <xf numFmtId="7" fontId="0" fillId="0" borderId="9" xfId="0" applyNumberFormat="1" applyFill="1" applyBorder="1"/>
    <xf numFmtId="7" fontId="0" fillId="0" borderId="10" xfId="0" applyNumberFormat="1" applyFill="1" applyBorder="1"/>
    <xf numFmtId="7" fontId="0" fillId="0" borderId="1" xfId="0" applyNumberFormat="1" applyFill="1" applyBorder="1"/>
    <xf numFmtId="7" fontId="7" fillId="0" borderId="9" xfId="0" applyNumberFormat="1" applyFont="1" applyFill="1" applyBorder="1"/>
    <xf numFmtId="7" fontId="7" fillId="0" borderId="10" xfId="0" applyNumberFormat="1" applyFont="1" applyFill="1" applyBorder="1"/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9" fontId="40" fillId="0" borderId="9" xfId="0" applyNumberFormat="1" applyFont="1" applyFill="1" applyBorder="1" applyAlignment="1">
      <alignment horizontal="center"/>
    </xf>
    <xf numFmtId="9" fontId="40" fillId="0" borderId="1" xfId="0" applyNumberFormat="1" applyFont="1" applyFill="1" applyBorder="1" applyAlignment="1">
      <alignment horizontal="center"/>
    </xf>
    <xf numFmtId="9" fontId="40" fillId="0" borderId="10" xfId="0" applyNumberFormat="1" applyFont="1" applyFill="1" applyBorder="1" applyAlignment="1">
      <alignment horizontal="center"/>
    </xf>
    <xf numFmtId="9" fontId="40" fillId="0" borderId="0" xfId="0" applyNumberFormat="1" applyFont="1" applyFill="1" applyBorder="1" applyAlignment="1">
      <alignment horizontal="center"/>
    </xf>
    <xf numFmtId="7" fontId="13" fillId="0" borderId="8" xfId="0" applyNumberFormat="1" applyFont="1" applyFill="1" applyBorder="1"/>
    <xf numFmtId="7" fontId="13" fillId="0" borderId="9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10" fontId="0" fillId="0" borderId="0" xfId="0" applyNumberFormat="1" applyFill="1" applyBorder="1"/>
    <xf numFmtId="5" fontId="13" fillId="0" borderId="0" xfId="0" applyNumberFormat="1" applyFont="1" applyFill="1" applyBorder="1"/>
    <xf numFmtId="0" fontId="13" fillId="0" borderId="0" xfId="0" applyFont="1" applyFill="1" applyBorder="1"/>
    <xf numFmtId="10" fontId="13" fillId="0" borderId="0" xfId="0" applyNumberFormat="1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5" fontId="0" fillId="0" borderId="28" xfId="0" applyNumberFormat="1" applyFill="1" applyBorder="1"/>
    <xf numFmtId="5" fontId="0" fillId="0" borderId="26" xfId="0" applyNumberFormat="1" applyFill="1" applyBorder="1"/>
    <xf numFmtId="0" fontId="5" fillId="0" borderId="26" xfId="0" quotePrefix="1" applyFont="1" applyFill="1" applyBorder="1" applyAlignment="1">
      <alignment horizontal="center"/>
    </xf>
    <xf numFmtId="190" fontId="5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Continuous"/>
    </xf>
    <xf numFmtId="190" fontId="0" fillId="0" borderId="1" xfId="0" applyNumberForma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164" fontId="7" fillId="0" borderId="24" xfId="5" applyFont="1" applyFill="1" applyBorder="1" applyAlignment="1">
      <alignment horizontal="center"/>
    </xf>
    <xf numFmtId="0" fontId="10" fillId="0" borderId="24" xfId="6" applyFont="1" applyBorder="1" applyAlignment="1" applyProtection="1">
      <alignment horizontal="centerContinuous"/>
      <protection locked="0"/>
    </xf>
    <xf numFmtId="164" fontId="7" fillId="0" borderId="24" xfId="5" quotePrefix="1" applyFont="1" applyBorder="1" applyAlignment="1">
      <alignment horizontal="center"/>
    </xf>
    <xf numFmtId="164" fontId="7" fillId="0" borderId="24" xfId="5" quotePrefix="1" applyFont="1" applyBorder="1" applyAlignment="1">
      <alignment horizontal="centerContinuous"/>
    </xf>
    <xf numFmtId="164" fontId="5" fillId="0" borderId="1" xfId="5" applyBorder="1"/>
    <xf numFmtId="17" fontId="13" fillId="28" borderId="22" xfId="0" quotePrefix="1" applyNumberFormat="1" applyFont="1" applyFill="1" applyBorder="1" applyAlignment="1">
      <alignment horizontal="center"/>
    </xf>
    <xf numFmtId="165" fontId="13" fillId="28" borderId="22" xfId="0" applyNumberFormat="1" applyFont="1" applyFill="1" applyBorder="1"/>
    <xf numFmtId="0" fontId="13" fillId="28" borderId="22" xfId="0" applyFont="1" applyFill="1" applyBorder="1"/>
    <xf numFmtId="165" fontId="105" fillId="28" borderId="22" xfId="0" applyNumberFormat="1" applyFont="1" applyFill="1" applyBorder="1"/>
    <xf numFmtId="165" fontId="105" fillId="28" borderId="4" xfId="0" applyNumberFormat="1" applyFont="1" applyFill="1" applyBorder="1"/>
    <xf numFmtId="0" fontId="13" fillId="28" borderId="0" xfId="0" applyFont="1" applyFill="1" applyAlignment="1">
      <alignment horizontal="left"/>
    </xf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1" xfId="5" applyFont="1" applyFill="1" applyBorder="1" applyAlignment="1">
      <alignment horizontal="right"/>
    </xf>
    <xf numFmtId="164" fontId="13" fillId="0" borderId="5" xfId="5" applyFont="1" applyBorder="1"/>
    <xf numFmtId="164" fontId="13" fillId="0" borderId="8" xfId="5" applyFont="1" applyBorder="1"/>
    <xf numFmtId="164" fontId="13" fillId="0" borderId="0" xfId="5" applyFont="1" applyFill="1" applyBorder="1" applyAlignment="1">
      <alignment horizontal="centerContinuous"/>
    </xf>
    <xf numFmtId="164" fontId="13" fillId="0" borderId="9" xfId="5" applyFont="1" applyBorder="1"/>
    <xf numFmtId="164" fontId="13" fillId="0" borderId="1" xfId="5" applyFont="1" applyFill="1" applyBorder="1" applyAlignment="1">
      <alignment horizontal="center"/>
    </xf>
    <xf numFmtId="164" fontId="13" fillId="0" borderId="3" xfId="5" applyFont="1" applyBorder="1"/>
    <xf numFmtId="5" fontId="13" fillId="0" borderId="0" xfId="5" applyNumberFormat="1" applyFont="1" applyFill="1" applyBorder="1"/>
    <xf numFmtId="5" fontId="13" fillId="0" borderId="0" xfId="5" applyNumberFormat="1" applyFont="1" applyFill="1" applyBorder="1" applyAlignment="1">
      <alignment horizontal="center"/>
    </xf>
    <xf numFmtId="164" fontId="13" fillId="0" borderId="23" xfId="5" applyFont="1" applyFill="1" applyBorder="1" applyAlignment="1">
      <alignment horizontal="right"/>
    </xf>
    <xf numFmtId="5" fontId="13" fillId="0" borderId="23" xfId="5" applyNumberFormat="1" applyFont="1" applyFill="1" applyBorder="1"/>
    <xf numFmtId="5" fontId="13" fillId="0" borderId="23" xfId="5" applyNumberFormat="1" applyFont="1" applyBorder="1"/>
    <xf numFmtId="5" fontId="13" fillId="0" borderId="6" xfId="5" applyNumberFormat="1" applyFont="1" applyFill="1" applyBorder="1"/>
    <xf numFmtId="5" fontId="13" fillId="0" borderId="1" xfId="5" applyNumberFormat="1" applyFont="1" applyFill="1" applyBorder="1"/>
    <xf numFmtId="5" fontId="13" fillId="0" borderId="1" xfId="5" applyNumberFormat="1" applyFont="1" applyBorder="1"/>
    <xf numFmtId="5" fontId="13" fillId="0" borderId="10" xfId="5" applyNumberFormat="1" applyFont="1" applyFill="1" applyBorder="1"/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0" fontId="40" fillId="0" borderId="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7" fontId="51" fillId="0" borderId="0" xfId="214" applyNumberFormat="1" applyFont="1" applyAlignment="1">
      <alignment horizontal="center"/>
    </xf>
  </cellXfs>
  <cellStyles count="1081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76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7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90" Type="http://schemas.openxmlformats.org/officeDocument/2006/relationships/calcChain" Target="calcChain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77" Type="http://schemas.openxmlformats.org/officeDocument/2006/relationships/externalLink" Target="externalLinks/externalLink6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12-2010%20(2009%20GRC)\COS\WY%20COS%20FTY%20Dec%202010_0826HYBRI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03-31-2013%20(2011%20GRC)\COS\WY%20COS%20FTY%20March%202013_NS_run%20for%20mike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2-035-xx%20(GRC%202012)\COS%20(embedded)\COS%20UT%20May%202013_N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FY%202005\COS\COS%20Sep%202006\Wyoming%20Combined%20Sept%202006%20MSP-UCAM%20and%20AFOR-09-22-05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FY%202005\COS\COS%20Sep%202006\Wyoming%20Combined%20Sept%202006%20MSP-UCAM%20and%20AFOR-09-09-05-JAM%20upda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Docket%2010-035-124%20(GRC%202011)\Filed%20(direct)\Testimony%20and%20Exhibits\Confidential%20Exhibit%20RMP__(CCP-5)\UT%20GRC%20MC%20Study%20Jun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6\0306%20SEMI\Tab%20%238%20-%20Rate%20Base\Major%20Plant%20Additions\Major%20Plant%20Addition%20Adjust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SLREG1\ARCHIVE\2004\Balanced%20Scorecard\2005%20Comparisons\ROE%20-%20Q3\Bus%20U%20Comparisons\2005%20Run%20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ARCHIVE\2007\SEMI%20Dec%202007\Models\Idaho\RAM%20Semi%20Dec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SLREG1\ARCHIVE\2005\Wyoming%20GRC\SEPT%202006\Models\JAM%20-%20WY%20Sep%202006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Utah%20GRC%202011\2.%20Marginal%20COS\OR%20GRC%20MC%20Study%20Dec%202011%20-%20NS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oups\SLREG1\USER\CraigS\Misc%20files\RAM%20test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SEMI%20Dec%202007\8%20-%20Rate%20Base\Misc%20Rate%20Base\M&amp;S%20Analysis\Total%20Company%203%2020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Attachm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RATMKT\Dsmmkt\Arnold\Amortization%20Schedules\WZAMT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06\SEMI%20Mar%202006\Tab%20%234%20-%20O&amp;M\ID%20DSM%20Irrigation\GLPCA%20514511%20Sept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ared\Trading\Structuring%20&amp;%20Pricing\Models\NatGasCurve\Gas%20Forward%20Price%20Curv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74933\Local%20Settings\Temporary%20Internet%20Files\OLK9E\COS%20ID%20GRC%2012-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GRC%202011\1.%20Embedded%20COS\COS%20UT%20Jun%202012_NS.xlsm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anne\SAP\RC_CCvlooku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17149\Local%20Settings\Temporary%20Internet%20Files\OLK7\WA%20SBC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PD\SLREG1\ARCHIVE\2010\Results%20-%20June%202010\3%20-%20Revenue\REC%20Revenues\3.5%20REC%20Revenues%20UT,%20CA,%20ID%20-%20Jun2010%20Results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21566\Local%20Settings\Temporary%20Internet%20Files\Content.Outlook\MFLJKWXJ\Budget%20Recovery-YTDDec2010B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14817\Local%20Settings\Temporary%20Internet%20Files\OLK11\Idaho%20FY2004%20NPC%20Gold%20(11%2018%202004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Docket%2011-035-200%20(GRC%202012)\Filed\Rebuttal\Testimony%20and%20Exhibits\Paice\Workpapers\COS%20UT%20May%202013%20-%20Rebuttal.xlsm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trick\CLEANAIR\ACCOUNTING\AP%20INVOICE%20APPROVAL%20FOR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ARCHIVE\2006\SEMI%20Mar%202006\Tab%20%235%20-%20NPC\Normalized%20NPC\Semi-Annual%20(Apr2006-Mar2007)_2006Jun0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FY%202005\COS\COS%20Sep%202006\Wyoming%20Combined%20Sept%202006%20MSP-UCAM%20and%20AFOR-09-12-05-JAM%20updat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EG1\ARCHIVE\2000\Oregon%20SB1149\CA%20Removed\1999%20RFM%20(CA%20and%20Centralia%20Removed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70596\Local%20Settings\Temporary%20Internet%20Files\OLK3B\ORA%20Workpaper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p14818\LOCALS~1\Temp\xSAPtemp82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ER\1206%20Semi\Tab%20%235%20NPC\NPC%20Adjustment\SA(WCA)_Allocation%20Table_2007Apr0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_UT%20EBA%20(DEC13)%20CONF_2014%2002%2025%20(2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_UT%20EBA%20Draft%20(DEC12)%20CONF_2013%2002%2026%20(3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12-2009%20(2008%20GRC)\Rebuttal\WY%20COS%20FTY%20June%202009%20Rebuttal%20Fi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ewweb.pacificorp.com/File/File4447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74933\Local%20Settings\Temporary%20Internet%20Files\Content.Outlook\1VOS77IL\Attachment%20WIEC%2035.1_no%20sit%20fix_1.xlsm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PA&amp;D\CASES\Wy0902\EAST%20Blocking%2090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9\Results%20-%20June%202009\5%20-%20NPC\NPC_5.1\Back%20up\BW%20Report%20for%20447%20-%20June%202009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yoming%20GRC%20FTY%2012-2009%20(2008%20GRC)\COS\WY%20COS%20FTY%20Dec%202009%20Draft%2006-17-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12508/Temporary%20Internet%20Files/OLK49/MGMT%20FEE%20ACTUALS%20CY2002%20%20FY2003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2\Settlement\COS%20UT%20May%202013_NS%20-%20Rebuttal.xlsm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Utah%202012\Settlement\COS%20UT%20May%202013_NS%20-%20Rebuttal.xlsm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74933\Application%20Data\Microsoft\Excel\Rate%20Spread%20-%20RMM\WY%20COS%20FTY%20Dec%202011%20Rebuttal%20-%20RMM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A%20GRC%2007\COS\COS%20WA%20GRC%20June%2020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04092.000\Local%20Settings\Temporary%20Internet%20Files\OLK1AC\RECOV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RAM%20Mar%20200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ec\2004_05\Actuals\09_December%2004\PPW%20CEC_Board\CEC%20Meeting\02_03_Financial%20Results%20vs%20Budge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CC.BRUBAKER\Local%20Settings\Temporary%20Internet%20Files\Content.Outlook\7DP69NLO\Copy%20of%20219981_1_Settlement%20NPC_BCC_12CP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  <row r="10">
          <cell r="D10">
            <v>0.5</v>
          </cell>
        </row>
        <row r="11">
          <cell r="W11">
            <v>3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5566045566.0353851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64">
          <cell r="H264">
            <v>10911620.343994766</v>
          </cell>
        </row>
        <row r="273">
          <cell r="H273">
            <v>0</v>
          </cell>
          <cell r="AB273">
            <v>0</v>
          </cell>
        </row>
        <row r="274">
          <cell r="AB274">
            <v>0</v>
          </cell>
        </row>
        <row r="280">
          <cell r="AB280">
            <v>0</v>
          </cell>
        </row>
        <row r="283">
          <cell r="AB283">
            <v>0</v>
          </cell>
        </row>
        <row r="284">
          <cell r="AB284">
            <v>0</v>
          </cell>
        </row>
        <row r="289">
          <cell r="AB289">
            <v>0</v>
          </cell>
        </row>
        <row r="290">
          <cell r="AB290">
            <v>241043.67823844633</v>
          </cell>
        </row>
        <row r="291">
          <cell r="H291">
            <v>3577623.4299999997</v>
          </cell>
          <cell r="AB291">
            <v>114961.64623925314</v>
          </cell>
        </row>
        <row r="297">
          <cell r="H297">
            <v>2935273.83</v>
          </cell>
          <cell r="AB297">
            <v>0</v>
          </cell>
        </row>
        <row r="298">
          <cell r="AB298">
            <v>0</v>
          </cell>
        </row>
        <row r="299">
          <cell r="AB299">
            <v>0</v>
          </cell>
        </row>
        <row r="302">
          <cell r="H302">
            <v>3890290.93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9">
          <cell r="AB309">
            <v>0</v>
          </cell>
        </row>
        <row r="312">
          <cell r="H312">
            <v>3182622.92</v>
          </cell>
          <cell r="AB312">
            <v>116597.57917836553</v>
          </cell>
        </row>
        <row r="313">
          <cell r="AB313">
            <v>0</v>
          </cell>
        </row>
        <row r="314">
          <cell r="AB314">
            <v>14809.566820082549</v>
          </cell>
        </row>
        <row r="315">
          <cell r="AB315">
            <v>131407.14599844808</v>
          </cell>
        </row>
        <row r="318">
          <cell r="H318">
            <v>-60653.539999999106</v>
          </cell>
          <cell r="AB318">
            <v>0</v>
          </cell>
        </row>
        <row r="319">
          <cell r="AB319">
            <v>0</v>
          </cell>
        </row>
        <row r="320">
          <cell r="AB320">
            <v>0</v>
          </cell>
        </row>
        <row r="323">
          <cell r="AB323">
            <v>0</v>
          </cell>
        </row>
        <row r="355">
          <cell r="AB355">
            <v>0</v>
          </cell>
        </row>
        <row r="360">
          <cell r="AB360">
            <v>0</v>
          </cell>
        </row>
        <row r="364">
          <cell r="AB364">
            <v>0</v>
          </cell>
        </row>
        <row r="367">
          <cell r="AB367">
            <v>0</v>
          </cell>
        </row>
        <row r="371">
          <cell r="AB371">
            <v>0</v>
          </cell>
        </row>
        <row r="380">
          <cell r="AB380">
            <v>-43135.714868065479</v>
          </cell>
        </row>
        <row r="387">
          <cell r="AB387">
            <v>0</v>
          </cell>
        </row>
        <row r="390">
          <cell r="AB390">
            <v>0</v>
          </cell>
        </row>
        <row r="391">
          <cell r="AB391">
            <v>0</v>
          </cell>
        </row>
        <row r="392">
          <cell r="AB392">
            <v>0</v>
          </cell>
        </row>
        <row r="405">
          <cell r="AB405">
            <v>0</v>
          </cell>
        </row>
        <row r="406">
          <cell r="AB406">
            <v>0</v>
          </cell>
        </row>
        <row r="409">
          <cell r="AB409">
            <v>0</v>
          </cell>
        </row>
        <row r="410">
          <cell r="AB410">
            <v>0</v>
          </cell>
        </row>
        <row r="411">
          <cell r="AB411">
            <v>0</v>
          </cell>
        </row>
        <row r="412">
          <cell r="AB412">
            <v>0</v>
          </cell>
        </row>
        <row r="413">
          <cell r="AB413">
            <v>0</v>
          </cell>
        </row>
        <row r="414">
          <cell r="AB414">
            <v>0</v>
          </cell>
        </row>
        <row r="417">
          <cell r="AB417">
            <v>0</v>
          </cell>
        </row>
        <row r="418">
          <cell r="AB418">
            <v>0</v>
          </cell>
        </row>
        <row r="419">
          <cell r="AB419">
            <v>0</v>
          </cell>
        </row>
        <row r="422">
          <cell r="AB422">
            <v>0</v>
          </cell>
        </row>
        <row r="423">
          <cell r="AB423">
            <v>0</v>
          </cell>
        </row>
        <row r="424">
          <cell r="AB424">
            <v>0</v>
          </cell>
        </row>
        <row r="427">
          <cell r="AB427">
            <v>0</v>
          </cell>
        </row>
        <row r="428">
          <cell r="AB428">
            <v>0</v>
          </cell>
        </row>
        <row r="429">
          <cell r="AB429">
            <v>0</v>
          </cell>
        </row>
        <row r="432">
          <cell r="AB432">
            <v>0</v>
          </cell>
        </row>
        <row r="433">
          <cell r="AB433">
            <v>0</v>
          </cell>
        </row>
        <row r="434">
          <cell r="AB434">
            <v>0</v>
          </cell>
        </row>
        <row r="435">
          <cell r="AB435">
            <v>0</v>
          </cell>
        </row>
        <row r="443">
          <cell r="AB443">
            <v>0</v>
          </cell>
        </row>
        <row r="444">
          <cell r="AB444">
            <v>0</v>
          </cell>
        </row>
        <row r="448">
          <cell r="AB448">
            <v>0</v>
          </cell>
        </row>
        <row r="449">
          <cell r="AB449">
            <v>0</v>
          </cell>
        </row>
        <row r="453">
          <cell r="AB453">
            <v>0</v>
          </cell>
        </row>
        <row r="454">
          <cell r="AB454">
            <v>0</v>
          </cell>
        </row>
        <row r="458">
          <cell r="AB458">
            <v>0</v>
          </cell>
        </row>
        <row r="459">
          <cell r="AB459">
            <v>0</v>
          </cell>
        </row>
        <row r="463">
          <cell r="AB463">
            <v>0</v>
          </cell>
        </row>
        <row r="464">
          <cell r="AB464">
            <v>0</v>
          </cell>
        </row>
        <row r="468">
          <cell r="AB468">
            <v>0</v>
          </cell>
        </row>
        <row r="469">
          <cell r="AB469">
            <v>0</v>
          </cell>
        </row>
        <row r="478">
          <cell r="AB478">
            <v>0</v>
          </cell>
        </row>
        <row r="482">
          <cell r="AB482">
            <v>0</v>
          </cell>
        </row>
        <row r="487">
          <cell r="AB487">
            <v>0</v>
          </cell>
        </row>
        <row r="491">
          <cell r="AB491">
            <v>0</v>
          </cell>
        </row>
        <row r="495">
          <cell r="AB495">
            <v>0</v>
          </cell>
        </row>
        <row r="499">
          <cell r="AB499">
            <v>0</v>
          </cell>
        </row>
        <row r="503">
          <cell r="AB503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43">
          <cell r="AB543">
            <v>0</v>
          </cell>
        </row>
        <row r="547">
          <cell r="AB547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7">
          <cell r="AB567">
            <v>0</v>
          </cell>
        </row>
        <row r="571">
          <cell r="AB571">
            <v>0</v>
          </cell>
        </row>
        <row r="584">
          <cell r="AB584">
            <v>0</v>
          </cell>
        </row>
        <row r="587">
          <cell r="AB587">
            <v>0</v>
          </cell>
        </row>
        <row r="588">
          <cell r="AB588">
            <v>0</v>
          </cell>
        </row>
        <row r="593">
          <cell r="AB593">
            <v>0</v>
          </cell>
        </row>
        <row r="594">
          <cell r="AB594">
            <v>0</v>
          </cell>
        </row>
        <row r="599">
          <cell r="AB599">
            <v>0</v>
          </cell>
        </row>
        <row r="609">
          <cell r="AB609">
            <v>0</v>
          </cell>
        </row>
        <row r="610">
          <cell r="AB610">
            <v>0</v>
          </cell>
        </row>
        <row r="614">
          <cell r="AB614">
            <v>0</v>
          </cell>
        </row>
        <row r="619">
          <cell r="AB619">
            <v>0</v>
          </cell>
        </row>
        <row r="624">
          <cell r="AB624">
            <v>0</v>
          </cell>
        </row>
        <row r="625">
          <cell r="AB625">
            <v>0</v>
          </cell>
        </row>
        <row r="629">
          <cell r="AB629">
            <v>0</v>
          </cell>
        </row>
        <row r="630">
          <cell r="AB630">
            <v>0</v>
          </cell>
        </row>
        <row r="641">
          <cell r="AB641">
            <v>0</v>
          </cell>
        </row>
        <row r="642">
          <cell r="AB642">
            <v>0</v>
          </cell>
        </row>
        <row r="643">
          <cell r="AB643">
            <v>0</v>
          </cell>
        </row>
        <row r="644">
          <cell r="AB644">
            <v>0</v>
          </cell>
        </row>
        <row r="645">
          <cell r="AB645">
            <v>0</v>
          </cell>
        </row>
        <row r="650">
          <cell r="AB650">
            <v>0</v>
          </cell>
        </row>
        <row r="657">
          <cell r="AB657">
            <v>0</v>
          </cell>
        </row>
        <row r="659">
          <cell r="AB65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682">
          <cell r="AB682">
            <v>0</v>
          </cell>
        </row>
        <row r="686">
          <cell r="AB686">
            <v>0</v>
          </cell>
        </row>
        <row r="690">
          <cell r="AB690">
            <v>0</v>
          </cell>
        </row>
        <row r="694">
          <cell r="AB694">
            <v>0</v>
          </cell>
        </row>
        <row r="698">
          <cell r="AB698">
            <v>0</v>
          </cell>
        </row>
        <row r="702">
          <cell r="AB702">
            <v>0</v>
          </cell>
        </row>
        <row r="703">
          <cell r="AB703">
            <v>0</v>
          </cell>
        </row>
        <row r="707">
          <cell r="AB707">
            <v>0</v>
          </cell>
        </row>
        <row r="711">
          <cell r="AB711">
            <v>0</v>
          </cell>
        </row>
        <row r="715">
          <cell r="AB715">
            <v>0</v>
          </cell>
        </row>
        <row r="719">
          <cell r="AB719">
            <v>0</v>
          </cell>
        </row>
        <row r="723">
          <cell r="AB723">
            <v>0</v>
          </cell>
        </row>
        <row r="727">
          <cell r="AB727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8">
          <cell r="H748">
            <v>9034335.1104840785</v>
          </cell>
          <cell r="AB748">
            <v>330979.07915794029</v>
          </cell>
        </row>
        <row r="753">
          <cell r="H753">
            <v>6827623.173287319</v>
          </cell>
          <cell r="AB753">
            <v>0</v>
          </cell>
        </row>
        <row r="758">
          <cell r="H758">
            <v>1911902.8294529617</v>
          </cell>
          <cell r="AB758">
            <v>0</v>
          </cell>
        </row>
        <row r="763">
          <cell r="H763">
            <v>1616348.0755915414</v>
          </cell>
          <cell r="AB763">
            <v>0</v>
          </cell>
        </row>
        <row r="768">
          <cell r="H768">
            <v>49.504394141145141</v>
          </cell>
          <cell r="AB768">
            <v>0</v>
          </cell>
        </row>
        <row r="773">
          <cell r="H773">
            <v>104250.16590039269</v>
          </cell>
          <cell r="AB773">
            <v>104250.16590039269</v>
          </cell>
        </row>
        <row r="778">
          <cell r="H778">
            <v>1968077.1591296275</v>
          </cell>
          <cell r="AB778">
            <v>1968077.1591296275</v>
          </cell>
        </row>
        <row r="783">
          <cell r="H783">
            <v>5506349.2060341947</v>
          </cell>
          <cell r="AB783">
            <v>0</v>
          </cell>
        </row>
        <row r="788">
          <cell r="H788">
            <v>3597851.0312700737</v>
          </cell>
          <cell r="AB788">
            <v>0</v>
          </cell>
        </row>
        <row r="793">
          <cell r="H793">
            <v>559226.23933255568</v>
          </cell>
          <cell r="AB793">
            <v>0</v>
          </cell>
        </row>
        <row r="798">
          <cell r="H798">
            <v>3241717.7722080662</v>
          </cell>
          <cell r="AB798">
            <v>118762.55972509139</v>
          </cell>
        </row>
        <row r="803">
          <cell r="H803">
            <v>760677.68611824024</v>
          </cell>
          <cell r="AB803">
            <v>0</v>
          </cell>
        </row>
        <row r="808">
          <cell r="H808">
            <v>4778049.5305086197</v>
          </cell>
          <cell r="AB808">
            <v>0</v>
          </cell>
        </row>
        <row r="813">
          <cell r="H813">
            <v>38917701.291922048</v>
          </cell>
          <cell r="AB813">
            <v>0</v>
          </cell>
        </row>
        <row r="818">
          <cell r="H818">
            <v>12708363.178767273</v>
          </cell>
          <cell r="AB818">
            <v>0</v>
          </cell>
        </row>
        <row r="823">
          <cell r="H823">
            <v>494541.03724424943</v>
          </cell>
          <cell r="AB823">
            <v>0</v>
          </cell>
        </row>
        <row r="833">
          <cell r="H833">
            <v>2281006.8170035193</v>
          </cell>
          <cell r="AB833">
            <v>0</v>
          </cell>
        </row>
        <row r="838">
          <cell r="H838">
            <v>2760377.9114741907</v>
          </cell>
          <cell r="AB838">
            <v>2760377.9114741907</v>
          </cell>
        </row>
        <row r="843">
          <cell r="H843">
            <v>1486844.1560219452</v>
          </cell>
          <cell r="AB843">
            <v>0</v>
          </cell>
        </row>
        <row r="855">
          <cell r="AB855">
            <v>0</v>
          </cell>
        </row>
        <row r="860">
          <cell r="AB860">
            <v>0</v>
          </cell>
        </row>
        <row r="865">
          <cell r="AB865">
            <v>0</v>
          </cell>
        </row>
        <row r="871">
          <cell r="AB871">
            <v>0</v>
          </cell>
        </row>
        <row r="876">
          <cell r="AB876">
            <v>0</v>
          </cell>
        </row>
        <row r="890">
          <cell r="AB890">
            <v>0</v>
          </cell>
        </row>
        <row r="895">
          <cell r="AB895">
            <v>0</v>
          </cell>
        </row>
        <row r="900">
          <cell r="AB900">
            <v>0</v>
          </cell>
        </row>
        <row r="905">
          <cell r="AB905">
            <v>0</v>
          </cell>
        </row>
        <row r="916">
          <cell r="AB916">
            <v>0</v>
          </cell>
        </row>
        <row r="921">
          <cell r="AB921">
            <v>0</v>
          </cell>
        </row>
        <row r="926">
          <cell r="AB926">
            <v>0</v>
          </cell>
        </row>
        <row r="931">
          <cell r="AB931">
            <v>0</v>
          </cell>
        </row>
        <row r="940">
          <cell r="AB940">
            <v>0</v>
          </cell>
        </row>
        <row r="942">
          <cell r="AB942">
            <v>320126.54926868004</v>
          </cell>
        </row>
        <row r="946">
          <cell r="AB946">
            <v>0</v>
          </cell>
        </row>
        <row r="948">
          <cell r="AB948">
            <v>-84964.595736086674</v>
          </cell>
        </row>
        <row r="952">
          <cell r="AB952">
            <v>0</v>
          </cell>
        </row>
        <row r="954">
          <cell r="AB954">
            <v>51119.30630128437</v>
          </cell>
        </row>
        <row r="958">
          <cell r="AB958">
            <v>0</v>
          </cell>
        </row>
        <row r="959">
          <cell r="AB959">
            <v>57336.339925998895</v>
          </cell>
        </row>
        <row r="963">
          <cell r="AB963">
            <v>40583.821637839552</v>
          </cell>
        </row>
        <row r="969">
          <cell r="AB969">
            <v>0</v>
          </cell>
        </row>
        <row r="974">
          <cell r="AB974">
            <v>0</v>
          </cell>
        </row>
        <row r="981">
          <cell r="AB981">
            <v>0</v>
          </cell>
        </row>
        <row r="983">
          <cell r="H983">
            <v>0</v>
          </cell>
          <cell r="AB983">
            <v>0</v>
          </cell>
        </row>
        <row r="988">
          <cell r="AB988">
            <v>-46760.715808708104</v>
          </cell>
        </row>
        <row r="991">
          <cell r="AB991">
            <v>15642.613310406578</v>
          </cell>
        </row>
        <row r="992">
          <cell r="AB992">
            <v>0</v>
          </cell>
        </row>
        <row r="993">
          <cell r="AB993">
            <v>149468.26384999367</v>
          </cell>
        </row>
        <row r="999">
          <cell r="AB999">
            <v>23753.677211923161</v>
          </cell>
        </row>
        <row r="1005">
          <cell r="AB1005">
            <v>157378.40036011403</v>
          </cell>
        </row>
        <row r="1016">
          <cell r="AB1016">
            <v>0</v>
          </cell>
        </row>
        <row r="1017">
          <cell r="AB1017">
            <v>0</v>
          </cell>
        </row>
        <row r="1018">
          <cell r="AB1018">
            <v>0</v>
          </cell>
        </row>
        <row r="1019">
          <cell r="AB1019">
            <v>0</v>
          </cell>
        </row>
        <row r="1024">
          <cell r="AB1024">
            <v>0</v>
          </cell>
        </row>
        <row r="1029">
          <cell r="AB1029">
            <v>0</v>
          </cell>
        </row>
        <row r="1034">
          <cell r="AB1034">
            <v>0</v>
          </cell>
        </row>
        <row r="1035">
          <cell r="AB1035">
            <v>0</v>
          </cell>
        </row>
        <row r="1036">
          <cell r="AB1036">
            <v>0</v>
          </cell>
        </row>
        <row r="1042">
          <cell r="AB1042">
            <v>0</v>
          </cell>
        </row>
        <row r="1045">
          <cell r="AB1045">
            <v>0</v>
          </cell>
        </row>
        <row r="1046">
          <cell r="AB1046">
            <v>0</v>
          </cell>
        </row>
        <row r="1047">
          <cell r="AB1047">
            <v>0</v>
          </cell>
        </row>
        <row r="1048">
          <cell r="AB1048">
            <v>0</v>
          </cell>
        </row>
        <row r="1049">
          <cell r="AB1049">
            <v>0</v>
          </cell>
        </row>
        <row r="1050">
          <cell r="AB1050">
            <v>0</v>
          </cell>
        </row>
        <row r="1051">
          <cell r="AB1051">
            <v>0</v>
          </cell>
        </row>
        <row r="1052">
          <cell r="AB1052">
            <v>0</v>
          </cell>
        </row>
        <row r="1053">
          <cell r="AB1053">
            <v>0</v>
          </cell>
        </row>
        <row r="1054">
          <cell r="AB1054">
            <v>2736928.3052617074</v>
          </cell>
        </row>
        <row r="1055">
          <cell r="AB1055">
            <v>0</v>
          </cell>
        </row>
        <row r="1056">
          <cell r="AB1056">
            <v>0</v>
          </cell>
        </row>
        <row r="1057">
          <cell r="AB1057">
            <v>0</v>
          </cell>
        </row>
        <row r="1061">
          <cell r="AB1061">
            <v>101840.53099260862</v>
          </cell>
        </row>
        <row r="1062">
          <cell r="AB1062">
            <v>0</v>
          </cell>
        </row>
        <row r="1063">
          <cell r="AB1063">
            <v>0</v>
          </cell>
        </row>
        <row r="1064">
          <cell r="AB1064">
            <v>0</v>
          </cell>
        </row>
        <row r="1065">
          <cell r="AB1065">
            <v>0</v>
          </cell>
        </row>
        <row r="1066">
          <cell r="AB1066">
            <v>0</v>
          </cell>
        </row>
        <row r="1067">
          <cell r="AB1067">
            <v>57914.307696588898</v>
          </cell>
        </row>
        <row r="1068">
          <cell r="AB1068">
            <v>0</v>
          </cell>
        </row>
        <row r="1069">
          <cell r="AB1069">
            <v>0</v>
          </cell>
        </row>
        <row r="1070">
          <cell r="AB1070">
            <v>0</v>
          </cell>
        </row>
        <row r="1075">
          <cell r="AB1075">
            <v>0</v>
          </cell>
        </row>
        <row r="1079">
          <cell r="AB1079">
            <v>0</v>
          </cell>
        </row>
        <row r="1084">
          <cell r="AB1084">
            <v>0</v>
          </cell>
        </row>
        <row r="1095">
          <cell r="AB1095">
            <v>4747.5458265600755</v>
          </cell>
        </row>
        <row r="1097">
          <cell r="AB1097">
            <v>0</v>
          </cell>
        </row>
        <row r="1099">
          <cell r="AB1099">
            <v>4761.8336166948075</v>
          </cell>
        </row>
        <row r="1104">
          <cell r="AB1104">
            <v>0</v>
          </cell>
        </row>
        <row r="1107">
          <cell r="AB1107">
            <v>259.16640272207434</v>
          </cell>
        </row>
        <row r="1108">
          <cell r="AB1108">
            <v>0</v>
          </cell>
        </row>
        <row r="1109">
          <cell r="AB1109">
            <v>0</v>
          </cell>
        </row>
        <row r="1110">
          <cell r="AB1110">
            <v>78838.316022503132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0</v>
          </cell>
        </row>
        <row r="1114">
          <cell r="AB1114">
            <v>0</v>
          </cell>
        </row>
        <row r="1115">
          <cell r="AB1115">
            <v>0</v>
          </cell>
        </row>
        <row r="1120">
          <cell r="AB1120">
            <v>0</v>
          </cell>
        </row>
        <row r="1126">
          <cell r="AB1126">
            <v>0</v>
          </cell>
        </row>
        <row r="1134">
          <cell r="AB1134">
            <v>0</v>
          </cell>
        </row>
        <row r="1142">
          <cell r="AB1142">
            <v>0</v>
          </cell>
        </row>
        <row r="1151">
          <cell r="AB1151">
            <v>0</v>
          </cell>
        </row>
        <row r="1162">
          <cell r="AB1162">
            <v>0</v>
          </cell>
        </row>
        <row r="1170">
          <cell r="AB1170">
            <v>546414.08506271814</v>
          </cell>
        </row>
        <row r="1181">
          <cell r="AB1181">
            <v>-15515.016818158245</v>
          </cell>
        </row>
        <row r="1186">
          <cell r="AB1186">
            <v>0</v>
          </cell>
        </row>
        <row r="1223">
          <cell r="AB1223">
            <v>-180055.71154094639</v>
          </cell>
        </row>
        <row r="1248">
          <cell r="AB1248">
            <v>2382976.3439226565</v>
          </cell>
        </row>
        <row r="1263">
          <cell r="AB1263">
            <v>0</v>
          </cell>
        </row>
        <row r="1282">
          <cell r="AB1282">
            <v>-1579965.9680125797</v>
          </cell>
        </row>
        <row r="1297">
          <cell r="AB1297">
            <v>0</v>
          </cell>
        </row>
        <row r="1302">
          <cell r="AB1302">
            <v>0</v>
          </cell>
        </row>
        <row r="1303">
          <cell r="AB1303">
            <v>0</v>
          </cell>
        </row>
        <row r="1304">
          <cell r="AB1304">
            <v>0</v>
          </cell>
        </row>
        <row r="1305">
          <cell r="AB1305">
            <v>0</v>
          </cell>
        </row>
        <row r="1306">
          <cell r="AB1306">
            <v>0</v>
          </cell>
        </row>
        <row r="1307">
          <cell r="AB1307">
            <v>0</v>
          </cell>
        </row>
        <row r="1311">
          <cell r="AB1311">
            <v>0</v>
          </cell>
        </row>
        <row r="1312">
          <cell r="AB1312">
            <v>0</v>
          </cell>
        </row>
        <row r="1313">
          <cell r="AB1313">
            <v>0</v>
          </cell>
        </row>
        <row r="1314">
          <cell r="AB1314">
            <v>92761.03722545864</v>
          </cell>
        </row>
        <row r="1315">
          <cell r="AB1315">
            <v>0</v>
          </cell>
        </row>
        <row r="1316">
          <cell r="AB1316">
            <v>-1239.72733780155</v>
          </cell>
        </row>
        <row r="1320">
          <cell r="AB1320">
            <v>2404.104417848755</v>
          </cell>
        </row>
        <row r="1321">
          <cell r="AB1321">
            <v>0</v>
          </cell>
        </row>
        <row r="1322">
          <cell r="AB1322">
            <v>1182928.2815038655</v>
          </cell>
        </row>
        <row r="1323">
          <cell r="AB1323">
            <v>489519.39390886907</v>
          </cell>
        </row>
        <row r="1324">
          <cell r="AB1324">
            <v>0</v>
          </cell>
        </row>
        <row r="1325">
          <cell r="AB1325">
            <v>0</v>
          </cell>
        </row>
        <row r="1326">
          <cell r="AB1326">
            <v>0</v>
          </cell>
        </row>
        <row r="1327">
          <cell r="AB1327">
            <v>0</v>
          </cell>
        </row>
        <row r="1328">
          <cell r="AB1328">
            <v>0</v>
          </cell>
        </row>
        <row r="1329">
          <cell r="AB1329">
            <v>96277.421264647564</v>
          </cell>
        </row>
        <row r="1330">
          <cell r="AB1330">
            <v>0</v>
          </cell>
        </row>
        <row r="1331">
          <cell r="AB1331">
            <v>0</v>
          </cell>
        </row>
        <row r="1332">
          <cell r="AB1332">
            <v>0</v>
          </cell>
        </row>
        <row r="1333">
          <cell r="AB1333">
            <v>3126038.4599523568</v>
          </cell>
        </row>
        <row r="1339">
          <cell r="AB1339">
            <v>0</v>
          </cell>
        </row>
        <row r="1340">
          <cell r="AB1340">
            <v>0</v>
          </cell>
        </row>
        <row r="1341">
          <cell r="AB1341">
            <v>0</v>
          </cell>
        </row>
        <row r="1344">
          <cell r="AB1344">
            <v>0</v>
          </cell>
        </row>
        <row r="1345">
          <cell r="AB1345">
            <v>0</v>
          </cell>
        </row>
        <row r="1346">
          <cell r="AB1346">
            <v>3205.8019896304322</v>
          </cell>
        </row>
        <row r="1347">
          <cell r="AB1347">
            <v>0</v>
          </cell>
        </row>
        <row r="1348">
          <cell r="AB1348">
            <v>0</v>
          </cell>
        </row>
        <row r="1349">
          <cell r="AB1349">
            <v>87892.998035928351</v>
          </cell>
        </row>
        <row r="1353">
          <cell r="AB1353">
            <v>48201.91943210701</v>
          </cell>
        </row>
        <row r="1354">
          <cell r="AB1354">
            <v>0</v>
          </cell>
        </row>
        <row r="1355">
          <cell r="AB1355">
            <v>574745.18040971807</v>
          </cell>
        </row>
        <row r="1356">
          <cell r="AB1356">
            <v>0</v>
          </cell>
        </row>
        <row r="1357">
          <cell r="AB1357">
            <v>0</v>
          </cell>
        </row>
        <row r="1358">
          <cell r="AB1358">
            <v>0</v>
          </cell>
        </row>
        <row r="1359">
          <cell r="AB1359">
            <v>0</v>
          </cell>
        </row>
        <row r="1360">
          <cell r="AB1360">
            <v>2310.6571155258148</v>
          </cell>
        </row>
        <row r="1361">
          <cell r="AB1361">
            <v>194966.73276667667</v>
          </cell>
        </row>
        <row r="1362">
          <cell r="AB1362">
            <v>15927.448036904676</v>
          </cell>
        </row>
        <row r="1363">
          <cell r="AB1363">
            <v>10890878.152360747</v>
          </cell>
        </row>
        <row r="1364">
          <cell r="AB1364">
            <v>0</v>
          </cell>
        </row>
        <row r="1376">
          <cell r="AB1376">
            <v>64234.509334369584</v>
          </cell>
        </row>
        <row r="1378">
          <cell r="AB1378">
            <v>0</v>
          </cell>
        </row>
        <row r="1401">
          <cell r="AB1401">
            <v>-6829439.919211993</v>
          </cell>
        </row>
        <row r="1405">
          <cell r="AB1405">
            <v>64234.509334369468</v>
          </cell>
        </row>
        <row r="1415">
          <cell r="AB1415">
            <v>0</v>
          </cell>
        </row>
        <row r="1422">
          <cell r="H1422">
            <v>-78653432.161962554</v>
          </cell>
          <cell r="AB1422">
            <v>472717.883561811</v>
          </cell>
        </row>
        <row r="1440">
          <cell r="AB1440">
            <v>0</v>
          </cell>
        </row>
        <row r="1441">
          <cell r="AB1441">
            <v>0</v>
          </cell>
        </row>
        <row r="1447">
          <cell r="AB1447">
            <v>0</v>
          </cell>
        </row>
        <row r="1448">
          <cell r="AB1448">
            <v>0</v>
          </cell>
        </row>
        <row r="1454">
          <cell r="AB1454">
            <v>0</v>
          </cell>
        </row>
        <row r="1455">
          <cell r="AB1455">
            <v>0</v>
          </cell>
        </row>
        <row r="1461">
          <cell r="AB1461">
            <v>0</v>
          </cell>
        </row>
        <row r="1462">
          <cell r="AB1462">
            <v>0</v>
          </cell>
        </row>
        <row r="1468">
          <cell r="AB1468">
            <v>0</v>
          </cell>
        </row>
        <row r="1469">
          <cell r="AB1469">
            <v>0</v>
          </cell>
        </row>
        <row r="1475">
          <cell r="AB1475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92">
          <cell r="AB1492">
            <v>0</v>
          </cell>
        </row>
        <row r="1497">
          <cell r="AB1497">
            <v>0</v>
          </cell>
        </row>
        <row r="1502">
          <cell r="AB1502">
            <v>0</v>
          </cell>
        </row>
        <row r="1507">
          <cell r="AB1507">
            <v>0</v>
          </cell>
        </row>
        <row r="1512">
          <cell r="AB1512">
            <v>0</v>
          </cell>
        </row>
        <row r="1517">
          <cell r="AB1517">
            <v>0</v>
          </cell>
        </row>
        <row r="1522">
          <cell r="AB1522">
            <v>0</v>
          </cell>
        </row>
        <row r="1535">
          <cell r="AB1535">
            <v>0</v>
          </cell>
        </row>
        <row r="1541">
          <cell r="AB1541">
            <v>0</v>
          </cell>
        </row>
        <row r="1547">
          <cell r="AB1547">
            <v>0</v>
          </cell>
        </row>
        <row r="1553">
          <cell r="AB1553">
            <v>0</v>
          </cell>
        </row>
        <row r="1559">
          <cell r="AB1559">
            <v>0</v>
          </cell>
        </row>
        <row r="1565">
          <cell r="AB1565">
            <v>0</v>
          </cell>
        </row>
        <row r="1571">
          <cell r="AB1571">
            <v>0</v>
          </cell>
        </row>
        <row r="1578">
          <cell r="AB1578">
            <v>0</v>
          </cell>
        </row>
        <row r="1600">
          <cell r="AB1600">
            <v>0</v>
          </cell>
        </row>
        <row r="1604">
          <cell r="AB1604">
            <v>0</v>
          </cell>
        </row>
        <row r="1605">
          <cell r="AB1605">
            <v>0</v>
          </cell>
        </row>
        <row r="1609">
          <cell r="AB1609">
            <v>0</v>
          </cell>
        </row>
        <row r="1610">
          <cell r="AB1610">
            <v>0</v>
          </cell>
        </row>
        <row r="1616">
          <cell r="AB1616">
            <v>0</v>
          </cell>
        </row>
        <row r="1617">
          <cell r="AB1617">
            <v>0</v>
          </cell>
        </row>
        <row r="1622">
          <cell r="AB1622">
            <v>0</v>
          </cell>
        </row>
        <row r="1623">
          <cell r="AB1623">
            <v>0</v>
          </cell>
        </row>
        <row r="1627">
          <cell r="AB1627">
            <v>0</v>
          </cell>
        </row>
        <row r="1628">
          <cell r="AB1628">
            <v>0</v>
          </cell>
        </row>
        <row r="1633">
          <cell r="AB1633">
            <v>0</v>
          </cell>
        </row>
        <row r="1638">
          <cell r="AB1638">
            <v>0</v>
          </cell>
        </row>
        <row r="1645">
          <cell r="AB1645">
            <v>0</v>
          </cell>
        </row>
        <row r="1660">
          <cell r="H1660">
            <v>46670213.579049021</v>
          </cell>
          <cell r="AB1660">
            <v>0</v>
          </cell>
        </row>
        <row r="1667">
          <cell r="H1667">
            <v>37071655.374845229</v>
          </cell>
          <cell r="AB1667">
            <v>0</v>
          </cell>
        </row>
        <row r="1673">
          <cell r="H1673">
            <v>561285590.76876986</v>
          </cell>
          <cell r="AB1673">
            <v>0</v>
          </cell>
        </row>
        <row r="1679">
          <cell r="H1679">
            <v>227151660.05616897</v>
          </cell>
          <cell r="AB1679">
            <v>0</v>
          </cell>
        </row>
        <row r="1685">
          <cell r="H1685">
            <v>751041020.61732423</v>
          </cell>
          <cell r="AB1685">
            <v>0</v>
          </cell>
        </row>
        <row r="1691">
          <cell r="H1691">
            <v>325115627.01884234</v>
          </cell>
          <cell r="AB1691">
            <v>0</v>
          </cell>
        </row>
        <row r="1697">
          <cell r="H1697">
            <v>1403362.2646082304</v>
          </cell>
          <cell r="AB1697">
            <v>0</v>
          </cell>
        </row>
        <row r="1703">
          <cell r="H1703">
            <v>3259173.98567193</v>
          </cell>
          <cell r="AB1703">
            <v>0</v>
          </cell>
        </row>
        <row r="1709">
          <cell r="H1709">
            <v>4980029.5959774898</v>
          </cell>
          <cell r="AB1709">
            <v>0</v>
          </cell>
        </row>
        <row r="1713">
          <cell r="AB1713">
            <v>0</v>
          </cell>
        </row>
        <row r="1717">
          <cell r="H1717">
            <v>0</v>
          </cell>
        </row>
        <row r="1729">
          <cell r="H1729">
            <v>32196842.689616952</v>
          </cell>
          <cell r="AB1729">
            <v>0</v>
          </cell>
        </row>
        <row r="1735">
          <cell r="H1735">
            <v>36516908.346329331</v>
          </cell>
          <cell r="AB1735">
            <v>0</v>
          </cell>
        </row>
        <row r="1741">
          <cell r="H1741">
            <v>415747890.56570876</v>
          </cell>
          <cell r="AB1741">
            <v>0</v>
          </cell>
        </row>
        <row r="1748">
          <cell r="H1748">
            <v>318413723.69013411</v>
          </cell>
        </row>
        <row r="1755">
          <cell r="H1755">
            <v>216610706.02967823</v>
          </cell>
        </row>
        <row r="1762">
          <cell r="H1762">
            <v>165085242.94686636</v>
          </cell>
        </row>
        <row r="1769">
          <cell r="H1769">
            <v>464330231.88776994</v>
          </cell>
        </row>
        <row r="1775">
          <cell r="H1775">
            <v>422443903.56040674</v>
          </cell>
          <cell r="AB1775">
            <v>0</v>
          </cell>
        </row>
        <row r="1782">
          <cell r="H1782">
            <v>222755706.53285047</v>
          </cell>
          <cell r="AB1782">
            <v>0</v>
          </cell>
        </row>
        <row r="1793">
          <cell r="H1793">
            <v>85840275.471519634</v>
          </cell>
          <cell r="AB1793">
            <v>85840275.471519634</v>
          </cell>
        </row>
        <row r="1800">
          <cell r="H1800">
            <v>4762733.7057517059</v>
          </cell>
        </row>
        <row r="1804">
          <cell r="H1804">
            <v>0</v>
          </cell>
          <cell r="AB1804">
            <v>0</v>
          </cell>
        </row>
        <row r="1805">
          <cell r="H1805">
            <v>0</v>
          </cell>
          <cell r="AB1805">
            <v>0</v>
          </cell>
        </row>
        <row r="1806">
          <cell r="H1806">
            <v>0</v>
          </cell>
          <cell r="AB1806">
            <v>0</v>
          </cell>
        </row>
        <row r="1807">
          <cell r="H1807">
            <v>0</v>
          </cell>
        </row>
        <row r="1813">
          <cell r="H1813">
            <v>27087633.197658978</v>
          </cell>
          <cell r="AB1813">
            <v>0</v>
          </cell>
        </row>
        <row r="1817">
          <cell r="AB1817">
            <v>0</v>
          </cell>
        </row>
        <row r="1821">
          <cell r="AB1821">
            <v>0</v>
          </cell>
        </row>
        <row r="1830">
          <cell r="AB1830">
            <v>110007.65473874166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23937.92290738723</v>
          </cell>
        </row>
        <row r="1838">
          <cell r="AB1838">
            <v>1005495.4006594135</v>
          </cell>
        </row>
        <row r="1839">
          <cell r="AB1839">
            <v>0</v>
          </cell>
        </row>
        <row r="1840">
          <cell r="AB1840">
            <v>0</v>
          </cell>
        </row>
        <row r="1841">
          <cell r="AB1841">
            <v>0</v>
          </cell>
        </row>
        <row r="1842">
          <cell r="AB1842">
            <v>0</v>
          </cell>
        </row>
        <row r="1843">
          <cell r="AB1843">
            <v>436761.44252446422</v>
          </cell>
        </row>
        <row r="1848">
          <cell r="AB1848">
            <v>78712.935968676902</v>
          </cell>
        </row>
        <row r="1849">
          <cell r="AB1849">
            <v>0</v>
          </cell>
        </row>
        <row r="1850">
          <cell r="AB1850">
            <v>0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0</v>
          </cell>
        </row>
        <row r="1854">
          <cell r="AB1854">
            <v>237752.99784401749</v>
          </cell>
        </row>
        <row r="1855">
          <cell r="AB1855">
            <v>0</v>
          </cell>
        </row>
        <row r="1856">
          <cell r="AB1856">
            <v>0</v>
          </cell>
        </row>
        <row r="1860">
          <cell r="AB1860">
            <v>869911.56289544143</v>
          </cell>
        </row>
        <row r="1861">
          <cell r="AB1861">
            <v>34362.239105945606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0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68">
          <cell r="AB1868">
            <v>0</v>
          </cell>
        </row>
        <row r="1872">
          <cell r="AB1872">
            <v>99960.228083131791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1551.8929269263908</v>
          </cell>
        </row>
        <row r="1876">
          <cell r="AB1876">
            <v>0</v>
          </cell>
        </row>
        <row r="1877">
          <cell r="AB1877">
            <v>0</v>
          </cell>
        </row>
        <row r="1881">
          <cell r="AB1881">
            <v>329938.54988456774</v>
          </cell>
        </row>
        <row r="1882">
          <cell r="AB1882">
            <v>0</v>
          </cell>
        </row>
        <row r="1883">
          <cell r="AB1883">
            <v>0</v>
          </cell>
        </row>
        <row r="1884">
          <cell r="AB1884">
            <v>16949.737560484129</v>
          </cell>
        </row>
        <row r="1885">
          <cell r="AB1885">
            <v>0</v>
          </cell>
        </row>
        <row r="1886">
          <cell r="AB1886">
            <v>0</v>
          </cell>
        </row>
        <row r="1887">
          <cell r="AB1887">
            <v>0</v>
          </cell>
        </row>
        <row r="1888">
          <cell r="AB1888">
            <v>0</v>
          </cell>
        </row>
        <row r="1892">
          <cell r="AB1892">
            <v>197730.81918243528</v>
          </cell>
        </row>
        <row r="1893">
          <cell r="AB1893">
            <v>0</v>
          </cell>
        </row>
        <row r="1894">
          <cell r="AB1894">
            <v>0</v>
          </cell>
        </row>
        <row r="1895">
          <cell r="AB1895">
            <v>21780.394343186828</v>
          </cell>
        </row>
        <row r="1896">
          <cell r="AB1896">
            <v>0</v>
          </cell>
        </row>
        <row r="1897">
          <cell r="AB1897">
            <v>0</v>
          </cell>
        </row>
        <row r="1898">
          <cell r="AB1898">
            <v>0</v>
          </cell>
        </row>
        <row r="1899">
          <cell r="AB1899">
            <v>0</v>
          </cell>
        </row>
        <row r="1903">
          <cell r="AB1903">
            <v>966638.32561087958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6042.8223424323396</v>
          </cell>
        </row>
        <row r="1907">
          <cell r="AB1907">
            <v>0</v>
          </cell>
        </row>
        <row r="1908">
          <cell r="AB1908">
            <v>0</v>
          </cell>
        </row>
        <row r="1909">
          <cell r="AB1909">
            <v>0</v>
          </cell>
        </row>
        <row r="1910">
          <cell r="AB1910">
            <v>0</v>
          </cell>
        </row>
        <row r="1917">
          <cell r="AB1917">
            <v>1032259.2429845872</v>
          </cell>
        </row>
        <row r="1918">
          <cell r="AB1918">
            <v>0</v>
          </cell>
        </row>
        <row r="1919">
          <cell r="AB1919">
            <v>0</v>
          </cell>
        </row>
        <row r="1920">
          <cell r="AB1920">
            <v>190498.71565412349</v>
          </cell>
        </row>
        <row r="1921">
          <cell r="AB1921">
            <v>0</v>
          </cell>
        </row>
        <row r="1922">
          <cell r="AB1922">
            <v>0</v>
          </cell>
        </row>
        <row r="1923">
          <cell r="AB1923">
            <v>0</v>
          </cell>
        </row>
        <row r="1924">
          <cell r="AB1924">
            <v>0</v>
          </cell>
        </row>
        <row r="1925">
          <cell r="AB1925">
            <v>0</v>
          </cell>
        </row>
        <row r="1929">
          <cell r="AB1929">
            <v>9819.2932679764181</v>
          </cell>
        </row>
        <row r="1930">
          <cell r="AB1930">
            <v>0</v>
          </cell>
        </row>
        <row r="1931">
          <cell r="AB1931">
            <v>0</v>
          </cell>
        </row>
        <row r="1932">
          <cell r="AB1932">
            <v>0</v>
          </cell>
        </row>
        <row r="1933">
          <cell r="AB1933">
            <v>14171.189909231061</v>
          </cell>
        </row>
        <row r="1934">
          <cell r="AB1934">
            <v>0</v>
          </cell>
        </row>
        <row r="1935">
          <cell r="AB1935">
            <v>0</v>
          </cell>
        </row>
        <row r="1936">
          <cell r="AB1936">
            <v>0</v>
          </cell>
        </row>
        <row r="1943">
          <cell r="AB1943">
            <v>0</v>
          </cell>
        </row>
        <row r="1947">
          <cell r="AB1947">
            <v>0</v>
          </cell>
        </row>
        <row r="1949">
          <cell r="AB1949">
            <v>0</v>
          </cell>
        </row>
        <row r="1954">
          <cell r="AB1954">
            <v>320682.72506926494</v>
          </cell>
        </row>
        <row r="1955">
          <cell r="AB1955">
            <v>0</v>
          </cell>
        </row>
        <row r="1956">
          <cell r="AB1956">
            <v>54662.648752090478</v>
          </cell>
        </row>
        <row r="1964">
          <cell r="AB1964">
            <v>0</v>
          </cell>
        </row>
        <row r="1967">
          <cell r="H1967">
            <v>0</v>
          </cell>
        </row>
        <row r="1976">
          <cell r="AB1976">
            <v>-4063.3676869692395</v>
          </cell>
        </row>
        <row r="1984">
          <cell r="AB1984">
            <v>0</v>
          </cell>
        </row>
        <row r="1993">
          <cell r="AB1993">
            <v>0</v>
          </cell>
        </row>
        <row r="1994">
          <cell r="AB1994">
            <v>0</v>
          </cell>
        </row>
        <row r="1995">
          <cell r="AB1995">
            <v>0</v>
          </cell>
        </row>
        <row r="1998">
          <cell r="AB1998">
            <v>0</v>
          </cell>
        </row>
        <row r="1999">
          <cell r="AB1999">
            <v>0</v>
          </cell>
        </row>
        <row r="2000">
          <cell r="AB2000">
            <v>0</v>
          </cell>
        </row>
        <row r="2001">
          <cell r="AB2001">
            <v>0</v>
          </cell>
        </row>
        <row r="2005">
          <cell r="AB2005">
            <v>55687.961381608504</v>
          </cell>
        </row>
        <row r="2006">
          <cell r="AB2006">
            <v>0</v>
          </cell>
        </row>
        <row r="2007">
          <cell r="AB2007">
            <v>1644160.3396729536</v>
          </cell>
        </row>
        <row r="2008">
          <cell r="AB2008">
            <v>0</v>
          </cell>
        </row>
        <row r="2009">
          <cell r="AB2009">
            <v>0</v>
          </cell>
        </row>
        <row r="2011">
          <cell r="AB2011">
            <v>0</v>
          </cell>
        </row>
        <row r="2021">
          <cell r="AB2021">
            <v>0</v>
          </cell>
        </row>
        <row r="2033">
          <cell r="AB2033">
            <v>89067.003498634149</v>
          </cell>
        </row>
        <row r="2034">
          <cell r="AB2034">
            <v>0</v>
          </cell>
        </row>
        <row r="2035">
          <cell r="AB2035">
            <v>0</v>
          </cell>
        </row>
        <row r="2036">
          <cell r="AB2036">
            <v>0</v>
          </cell>
        </row>
        <row r="2037">
          <cell r="AB2037">
            <v>0</v>
          </cell>
        </row>
        <row r="2038">
          <cell r="AB2038">
            <v>0</v>
          </cell>
        </row>
        <row r="2045">
          <cell r="AB2045">
            <v>0</v>
          </cell>
        </row>
        <row r="2049">
          <cell r="AB2049">
            <v>0</v>
          </cell>
        </row>
        <row r="2054">
          <cell r="AB2054">
            <v>0</v>
          </cell>
        </row>
        <row r="2061">
          <cell r="AB2061">
            <v>0</v>
          </cell>
        </row>
        <row r="2069">
          <cell r="AB2069">
            <v>0</v>
          </cell>
        </row>
        <row r="2075">
          <cell r="AB2075">
            <v>0</v>
          </cell>
        </row>
        <row r="2076">
          <cell r="AB2076">
            <v>0</v>
          </cell>
        </row>
        <row r="2084">
          <cell r="AB2084">
            <v>0</v>
          </cell>
        </row>
        <row r="2088">
          <cell r="AB2088">
            <v>0</v>
          </cell>
        </row>
        <row r="2092">
          <cell r="AB2092">
            <v>0</v>
          </cell>
        </row>
        <row r="2109">
          <cell r="AB2109">
            <v>0</v>
          </cell>
        </row>
        <row r="2110">
          <cell r="AB2110">
            <v>435181.55665316503</v>
          </cell>
        </row>
        <row r="2120">
          <cell r="AB2120">
            <v>0</v>
          </cell>
        </row>
        <row r="2125">
          <cell r="AB2125">
            <v>-667.83539182216964</v>
          </cell>
        </row>
        <row r="2133">
          <cell r="AB2133">
            <v>0</v>
          </cell>
        </row>
        <row r="2135">
          <cell r="AB2135">
            <v>107896.36835050247</v>
          </cell>
        </row>
        <row r="2142">
          <cell r="AB2142">
            <v>0</v>
          </cell>
        </row>
        <row r="2145">
          <cell r="AB2145">
            <v>11432.885191432661</v>
          </cell>
        </row>
        <row r="2153">
          <cell r="AB2153">
            <v>0</v>
          </cell>
        </row>
        <row r="2156">
          <cell r="AB2156">
            <v>195.56105843370804</v>
          </cell>
        </row>
        <row r="2163">
          <cell r="AB2163">
            <v>82968.914264662017</v>
          </cell>
        </row>
        <row r="2174">
          <cell r="AB2174">
            <v>0</v>
          </cell>
        </row>
        <row r="2175">
          <cell r="AB2175">
            <v>127983.25494826888</v>
          </cell>
        </row>
        <row r="2189">
          <cell r="AB2189">
            <v>0</v>
          </cell>
        </row>
        <row r="2194">
          <cell r="AB2194">
            <v>0</v>
          </cell>
        </row>
        <row r="2199">
          <cell r="AB2199">
            <v>0</v>
          </cell>
        </row>
        <row r="2212">
          <cell r="AB2212">
            <v>0</v>
          </cell>
        </row>
        <row r="2216">
          <cell r="H2216">
            <v>0</v>
          </cell>
          <cell r="AB2216">
            <v>0</v>
          </cell>
        </row>
        <row r="2219">
          <cell r="H2219">
            <v>-3405682.2975901593</v>
          </cell>
        </row>
        <row r="2220">
          <cell r="H2220">
            <v>-3405682.2975901593</v>
          </cell>
          <cell r="AB2220">
            <v>-33910.733381820428</v>
          </cell>
        </row>
        <row r="2224">
          <cell r="H2224">
            <v>-9561269.1045228988</v>
          </cell>
          <cell r="AB2224">
            <v>-95202.552400362169</v>
          </cell>
        </row>
        <row r="2228">
          <cell r="H2228">
            <v>-649261.67011951737</v>
          </cell>
          <cell r="AB2228">
            <v>0</v>
          </cell>
        </row>
        <row r="2232">
          <cell r="AB2232">
            <v>-223.53114269284001</v>
          </cell>
        </row>
        <row r="2233">
          <cell r="H2233">
            <v>-22449.412905862595</v>
          </cell>
          <cell r="AB2233">
            <v>-223.53114269284001</v>
          </cell>
        </row>
        <row r="2237">
          <cell r="H2237">
            <v>-2291352.7786638215</v>
          </cell>
          <cell r="AB2237">
            <v>0</v>
          </cell>
        </row>
        <row r="2245">
          <cell r="AB2245">
            <v>-122766.44207350811</v>
          </cell>
        </row>
        <row r="2249">
          <cell r="H2249">
            <v>-2028144.5304859313</v>
          </cell>
          <cell r="AB2249">
            <v>0</v>
          </cell>
        </row>
        <row r="2256">
          <cell r="H2256">
            <v>-6190841.3351955898</v>
          </cell>
          <cell r="AB2256">
            <v>-5739.0863440579751</v>
          </cell>
        </row>
        <row r="2260">
          <cell r="AB2260">
            <v>0</v>
          </cell>
        </row>
        <row r="2261">
          <cell r="AB2261">
            <v>544691.37226351083</v>
          </cell>
        </row>
        <row r="2263">
          <cell r="AB2263">
            <v>0</v>
          </cell>
        </row>
        <row r="2270">
          <cell r="AB2270">
            <v>0</v>
          </cell>
        </row>
        <row r="2271">
          <cell r="AB2271">
            <v>557082.42554382095</v>
          </cell>
        </row>
        <row r="2277">
          <cell r="AB2277">
            <v>0</v>
          </cell>
        </row>
        <row r="2283">
          <cell r="AB2283">
            <v>59060.212995754206</v>
          </cell>
        </row>
        <row r="2295">
          <cell r="AB2295">
            <v>-14270946.764424136</v>
          </cell>
        </row>
        <row r="2301">
          <cell r="AB2301">
            <v>-61826.907768099067</v>
          </cell>
        </row>
        <row r="2307">
          <cell r="AB2307">
            <v>0</v>
          </cell>
        </row>
        <row r="2308">
          <cell r="AB2308">
            <v>-128091.25975252716</v>
          </cell>
        </row>
        <row r="2321">
          <cell r="AB2321">
            <v>-1207.3958785378845</v>
          </cell>
        </row>
        <row r="2335">
          <cell r="AB2335">
            <v>0</v>
          </cell>
        </row>
        <row r="2336">
          <cell r="AB2336">
            <v>0</v>
          </cell>
        </row>
        <row r="2342">
          <cell r="AB2342">
            <v>0</v>
          </cell>
        </row>
        <row r="2349">
          <cell r="AB2349">
            <v>0</v>
          </cell>
        </row>
        <row r="2356">
          <cell r="AB2356">
            <v>0</v>
          </cell>
        </row>
        <row r="2357">
          <cell r="AB2357">
            <v>0</v>
          </cell>
        </row>
        <row r="2362">
          <cell r="AB2362">
            <v>0</v>
          </cell>
        </row>
        <row r="2380">
          <cell r="AB2380">
            <v>0</v>
          </cell>
        </row>
        <row r="2389">
          <cell r="AB2389">
            <v>0</v>
          </cell>
        </row>
        <row r="2393">
          <cell r="AB2393">
            <v>0</v>
          </cell>
        </row>
        <row r="2397">
          <cell r="AB2397">
            <v>0</v>
          </cell>
        </row>
        <row r="2401">
          <cell r="AB2401">
            <v>0</v>
          </cell>
        </row>
        <row r="2405">
          <cell r="AB2405">
            <v>0</v>
          </cell>
        </row>
        <row r="2409">
          <cell r="AB2409">
            <v>0</v>
          </cell>
        </row>
        <row r="2413">
          <cell r="AB2413">
            <v>0</v>
          </cell>
        </row>
        <row r="2417">
          <cell r="AB2417">
            <v>0</v>
          </cell>
        </row>
        <row r="2421">
          <cell r="AB2421">
            <v>0</v>
          </cell>
        </row>
        <row r="2425">
          <cell r="AB2425">
            <v>-31273826.180826589</v>
          </cell>
        </row>
        <row r="2429">
          <cell r="AB2429">
            <v>0</v>
          </cell>
        </row>
        <row r="2433">
          <cell r="AB2433">
            <v>0</v>
          </cell>
        </row>
        <row r="2437">
          <cell r="AB2437">
            <v>0</v>
          </cell>
        </row>
        <row r="2440">
          <cell r="H2440">
            <v>0</v>
          </cell>
        </row>
        <row r="2441">
          <cell r="AB2441">
            <v>0</v>
          </cell>
        </row>
        <row r="2444">
          <cell r="H2444">
            <v>0</v>
          </cell>
        </row>
        <row r="2445">
          <cell r="AB2445">
            <v>0</v>
          </cell>
        </row>
        <row r="2448">
          <cell r="H2448">
            <v>138624</v>
          </cell>
        </row>
        <row r="2449">
          <cell r="AB2449">
            <v>5078.5855636399874</v>
          </cell>
        </row>
        <row r="2459">
          <cell r="AB2459">
            <v>-1483017.6011861232</v>
          </cell>
        </row>
        <row r="2460">
          <cell r="AB2460">
            <v>0</v>
          </cell>
        </row>
        <row r="2461">
          <cell r="AB2461">
            <v>0</v>
          </cell>
        </row>
        <row r="2462">
          <cell r="AB2462">
            <v>0</v>
          </cell>
        </row>
        <row r="2463">
          <cell r="AB2463">
            <v>0</v>
          </cell>
        </row>
        <row r="2464">
          <cell r="AB2464">
            <v>-271180.17836761073</v>
          </cell>
        </row>
        <row r="2465">
          <cell r="AB2465">
            <v>0</v>
          </cell>
        </row>
        <row r="2466">
          <cell r="AB2466">
            <v>0</v>
          </cell>
        </row>
        <row r="2467">
          <cell r="AB2467">
            <v>0</v>
          </cell>
        </row>
        <row r="2468">
          <cell r="AB2468">
            <v>0</v>
          </cell>
        </row>
        <row r="2480">
          <cell r="AB2480">
            <v>0</v>
          </cell>
        </row>
        <row r="2486">
          <cell r="AB2486">
            <v>0</v>
          </cell>
        </row>
        <row r="2487">
          <cell r="AB2487">
            <v>0</v>
          </cell>
        </row>
        <row r="2494">
          <cell r="AB2494">
            <v>0</v>
          </cell>
        </row>
        <row r="2495">
          <cell r="AB2495">
            <v>0</v>
          </cell>
        </row>
        <row r="2514">
          <cell r="AB2514">
            <v>0</v>
          </cell>
        </row>
        <row r="2519">
          <cell r="AB2519">
            <v>0</v>
          </cell>
        </row>
        <row r="2521">
          <cell r="AB2521">
            <v>-51777.708865938483</v>
          </cell>
        </row>
        <row r="2522">
          <cell r="AB2522">
            <v>0</v>
          </cell>
        </row>
        <row r="2523">
          <cell r="AB2523">
            <v>-52121.371276847553</v>
          </cell>
        </row>
        <row r="2529">
          <cell r="AB2529">
            <v>0</v>
          </cell>
        </row>
        <row r="2533">
          <cell r="AB2533">
            <v>-771.95975605543174</v>
          </cell>
        </row>
        <row r="2534">
          <cell r="AB2534">
            <v>0</v>
          </cell>
        </row>
        <row r="2535">
          <cell r="AB2535">
            <v>0</v>
          </cell>
        </row>
        <row r="2536">
          <cell r="AB2536">
            <v>0</v>
          </cell>
        </row>
        <row r="2537">
          <cell r="AB2537">
            <v>0</v>
          </cell>
        </row>
        <row r="2538">
          <cell r="AB2538">
            <v>0</v>
          </cell>
        </row>
        <row r="2539">
          <cell r="AB2539">
            <v>0</v>
          </cell>
        </row>
        <row r="2540">
          <cell r="AB2540">
            <v>0</v>
          </cell>
        </row>
        <row r="2541">
          <cell r="AB2541">
            <v>-1182821.0007189873</v>
          </cell>
        </row>
        <row r="2554">
          <cell r="AB2554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0.74155389074644962</v>
          </cell>
          <cell r="C11">
            <v>0.13067317353392571</v>
          </cell>
          <cell r="D11">
            <v>0.12777293571962478</v>
          </cell>
          <cell r="E11">
            <v>0.12502862731532027</v>
          </cell>
          <cell r="F11">
            <v>2.7443084043045018E-3</v>
          </cell>
          <cell r="G11">
            <v>0</v>
          </cell>
          <cell r="H11">
            <v>0.99999999999999989</v>
          </cell>
        </row>
        <row r="12">
          <cell r="A12" t="str">
            <v>BOOKDEPR</v>
          </cell>
          <cell r="B12">
            <v>0.51974496753337573</v>
          </cell>
          <cell r="C12">
            <v>0.15093978352398185</v>
          </cell>
          <cell r="D12">
            <v>0.32931524894264247</v>
          </cell>
          <cell r="E12">
            <v>0.32557157689672078</v>
          </cell>
          <cell r="F12">
            <v>3.7436720459216623E-3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0.7584657535476006</v>
          </cell>
          <cell r="C15">
            <v>8.5546029106398552E-2</v>
          </cell>
          <cell r="D15">
            <v>0.15598821734601578</v>
          </cell>
          <cell r="E15">
            <v>0.1160244572836885</v>
          </cell>
          <cell r="F15">
            <v>3.4431842676628258E-2</v>
          </cell>
          <cell r="G15">
            <v>5.5319173856990386E-3</v>
          </cell>
          <cell r="H15">
            <v>1.0000000000000151</v>
          </cell>
        </row>
        <row r="16">
          <cell r="A16" t="str">
            <v>DDS2</v>
          </cell>
          <cell r="B16">
            <v>0.89444384203010596</v>
          </cell>
          <cell r="C16">
            <v>6.6990964246720951E-3</v>
          </cell>
          <cell r="D16">
            <v>9.8857061545221753E-2</v>
          </cell>
          <cell r="E16">
            <v>-1.7192047072908941E-2</v>
          </cell>
          <cell r="F16">
            <v>0.14454293012717781</v>
          </cell>
          <cell r="G16">
            <v>-2.8493821509047106E-2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0.22328197830043112</v>
          </cell>
          <cell r="C18">
            <v>1.6019258296405981E-2</v>
          </cell>
          <cell r="D18">
            <v>0.76069876340316289</v>
          </cell>
          <cell r="E18">
            <v>9.611554977843588E-2</v>
          </cell>
          <cell r="F18">
            <v>0</v>
          </cell>
          <cell r="G18">
            <v>0.66458321362472705</v>
          </cell>
          <cell r="H18">
            <v>1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0.66574950014012413</v>
          </cell>
          <cell r="C20">
            <v>0.33425049985987582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0.90746873930668404</v>
          </cell>
          <cell r="C21">
            <v>2.403308927825348E-2</v>
          </cell>
          <cell r="D21">
            <v>6.8498171415062578E-2</v>
          </cell>
          <cell r="E21">
            <v>5.0813437740093295E-2</v>
          </cell>
          <cell r="F21">
            <v>1.7684733674969283E-2</v>
          </cell>
          <cell r="G21">
            <v>0</v>
          </cell>
          <cell r="H21">
            <v>1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0.53982674964608257</v>
          </cell>
          <cell r="C25">
            <v>0.46017325035391743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1.1700869514458072</v>
          </cell>
          <cell r="C26">
            <v>3.5747954668684328E-3</v>
          </cell>
          <cell r="D26">
            <v>-0.17366174691290373</v>
          </cell>
          <cell r="E26">
            <v>-0.18703634452376894</v>
          </cell>
          <cell r="F26">
            <v>1.344225489363475E-2</v>
          </cell>
          <cell r="G26">
            <v>-6.7657282769547652E-5</v>
          </cell>
          <cell r="H26">
            <v>0.99999999999977174</v>
          </cell>
        </row>
        <row r="27">
          <cell r="A27" t="str">
            <v>G</v>
          </cell>
          <cell r="B27">
            <v>0.2323600953390676</v>
          </cell>
          <cell r="C27">
            <v>0.29281154918881841</v>
          </cell>
          <cell r="D27">
            <v>0.47482835547211394</v>
          </cell>
          <cell r="E27">
            <v>0.44796038040972297</v>
          </cell>
          <cell r="F27">
            <v>2.6867975062390959E-2</v>
          </cell>
          <cell r="G27">
            <v>0</v>
          </cell>
          <cell r="H27">
            <v>1</v>
          </cell>
        </row>
        <row r="28">
          <cell r="A28" t="str">
            <v>G-DGP</v>
          </cell>
          <cell r="B28">
            <v>0.6855986064245424</v>
          </cell>
          <cell r="C28">
            <v>0.31440139357545754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0.6855986064245424</v>
          </cell>
          <cell r="C29">
            <v>0.31440139357545754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0.50504679293010346</v>
          </cell>
          <cell r="C30">
            <v>0.21499921941610298</v>
          </cell>
          <cell r="D30">
            <v>0.27995398765379342</v>
          </cell>
          <cell r="E30">
            <v>0.2734309686869702</v>
          </cell>
          <cell r="F30">
            <v>6.5230189668232076E-3</v>
          </cell>
          <cell r="G30">
            <v>0</v>
          </cell>
          <cell r="H30">
            <v>0.99999999999999989</v>
          </cell>
        </row>
        <row r="31">
          <cell r="A31" t="str">
            <v>G-SG</v>
          </cell>
          <cell r="B31">
            <v>0.4911770740450373</v>
          </cell>
          <cell r="C31">
            <v>0.50882292595496259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G-SITUS</v>
          </cell>
          <cell r="B32">
            <v>0</v>
          </cell>
          <cell r="C32">
            <v>0.2527647986427079</v>
          </cell>
          <cell r="D32">
            <v>0.74723520135729204</v>
          </cell>
          <cell r="E32">
            <v>0.74723520135729204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0.52032571068857525</v>
          </cell>
          <cell r="C33">
            <v>0.13232004862763808</v>
          </cell>
          <cell r="D33">
            <v>0.34735424068378651</v>
          </cell>
          <cell r="E33">
            <v>0.16634551665847275</v>
          </cell>
          <cell r="F33">
            <v>0.18100872402531373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1.2749724155978952</v>
          </cell>
          <cell r="C34">
            <v>5.7792213714078534E-3</v>
          </cell>
          <cell r="D34">
            <v>-0.28075163696967192</v>
          </cell>
          <cell r="E34">
            <v>-0.30237378600255177</v>
          </cell>
          <cell r="F34">
            <v>2.1731527714300109E-2</v>
          </cell>
          <cell r="G34">
            <v>-1.0937868142024943E-4</v>
          </cell>
          <cell r="H34">
            <v>0.99999999999963118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0.91139563576235938</v>
          </cell>
          <cell r="C37">
            <v>8.8604364237640482E-2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I-SITUS</v>
          </cell>
          <cell r="B38">
            <v>9.2126512447585948E-2</v>
          </cell>
          <cell r="C38">
            <v>0.40142398375215244</v>
          </cell>
          <cell r="D38">
            <v>0.50644950380026155</v>
          </cell>
          <cell r="E38">
            <v>0.50644950380026155</v>
          </cell>
          <cell r="F38">
            <v>0</v>
          </cell>
          <cell r="G38">
            <v>0</v>
          </cell>
          <cell r="H38">
            <v>0.99999999999999989</v>
          </cell>
        </row>
        <row r="39">
          <cell r="A39" t="str">
            <v>LABOR</v>
          </cell>
          <cell r="B39">
            <v>0.42911800628192154</v>
          </cell>
          <cell r="C39">
            <v>6.1091947728051668E-2</v>
          </cell>
          <cell r="D39">
            <v>0.50979004599002686</v>
          </cell>
          <cell r="E39">
            <v>0.3631518312497185</v>
          </cell>
          <cell r="F39">
            <v>0.1466382147403083</v>
          </cell>
          <cell r="G39">
            <v>0</v>
          </cell>
          <cell r="H39">
            <v>1</v>
          </cell>
        </row>
        <row r="40">
          <cell r="A40" t="str">
            <v>MSS</v>
          </cell>
          <cell r="B40">
            <v>0.83771466952498774</v>
          </cell>
          <cell r="C40">
            <v>8.0180119814196888E-3</v>
          </cell>
          <cell r="D40">
            <v>0.1542673184935926</v>
          </cell>
          <cell r="E40">
            <v>0.1542673184935926</v>
          </cell>
          <cell r="F40">
            <v>0</v>
          </cell>
          <cell r="G40">
            <v>0</v>
          </cell>
          <cell r="H40">
            <v>1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0.68340686553123631</v>
          </cell>
          <cell r="C43">
            <v>0.31659313446876369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0.68340686553123631</v>
          </cell>
          <cell r="C44">
            <v>0.31659313446876369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0.68340686553123631</v>
          </cell>
          <cell r="C46">
            <v>0.31659313446876369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0.68340686553123631</v>
          </cell>
          <cell r="C47">
            <v>0.31659313446876369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0.69456671189270403</v>
          </cell>
          <cell r="C51">
            <v>0.30543328810729597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PTD</v>
          </cell>
          <cell r="B52">
            <v>0.50579249900415113</v>
          </cell>
          <cell r="C52">
            <v>0.22242048665112085</v>
          </cell>
          <cell r="D52">
            <v>0.27178701434472802</v>
          </cell>
          <cell r="E52">
            <v>0.27178701434472802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0.68463075991965539</v>
          </cell>
          <cell r="C53">
            <v>0.12835032898844131</v>
          </cell>
          <cell r="D53">
            <v>0.18701891109192986</v>
          </cell>
          <cell r="E53">
            <v>0.15933465063824018</v>
          </cell>
          <cell r="F53">
            <v>2.3871265700870642E-2</v>
          </cell>
          <cell r="G53">
            <v>3.8129947528190481E-3</v>
          </cell>
          <cell r="H53">
            <v>1.0000000000000269</v>
          </cell>
        </row>
        <row r="54">
          <cell r="A54" t="str">
            <v>SCHMA</v>
          </cell>
          <cell r="B54">
            <v>0.50857871375018493</v>
          </cell>
          <cell r="C54">
            <v>0.16619636578252911</v>
          </cell>
          <cell r="D54">
            <v>0.32522492046728546</v>
          </cell>
          <cell r="E54">
            <v>0.31173645557641066</v>
          </cell>
          <cell r="F54">
            <v>1.1915414392442548E-2</v>
          </cell>
          <cell r="G54">
            <v>1.5730504984322585E-3</v>
          </cell>
          <cell r="H54">
            <v>0.99999999999999933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0.43898528203951998</v>
          </cell>
          <cell r="C56">
            <v>7.5001281348963889E-2</v>
          </cell>
          <cell r="D56">
            <v>0.48601343661151614</v>
          </cell>
          <cell r="E56">
            <v>0.35337945735409804</v>
          </cell>
          <cell r="F56">
            <v>0.1326339792574181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0.43604112976585901</v>
          </cell>
          <cell r="C57">
            <v>7.5756810224820489E-2</v>
          </cell>
          <cell r="D57">
            <v>0.48820206000932043</v>
          </cell>
          <cell r="E57">
            <v>0.35514942055276266</v>
          </cell>
          <cell r="F57">
            <v>0.13305263945655776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0.50960696576565756</v>
          </cell>
          <cell r="C58">
            <v>0.16754378502979178</v>
          </cell>
          <cell r="D58">
            <v>0.32284924920455016</v>
          </cell>
          <cell r="E58">
            <v>0.3111211748026983</v>
          </cell>
          <cell r="F58">
            <v>1.013178187747418E-2</v>
          </cell>
          <cell r="G58">
            <v>1.5962925243777227E-3</v>
          </cell>
          <cell r="H58">
            <v>0.99999999999999944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0.99857856914329268</v>
          </cell>
          <cell r="C60">
            <v>1.5211196105773643E-4</v>
          </cell>
          <cell r="D60">
            <v>1.2693188956496488E-3</v>
          </cell>
          <cell r="E60">
            <v>9.0420651603711013E-4</v>
          </cell>
          <cell r="F60">
            <v>3.6511237961253857E-4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0.81467201499388697</v>
          </cell>
          <cell r="C61">
            <v>1.549821589872505E-2</v>
          </cell>
          <cell r="D61">
            <v>0.1698297691073882</v>
          </cell>
          <cell r="E61">
            <v>0.11680157298516253</v>
          </cell>
          <cell r="F61">
            <v>2.3562641275558377E-2</v>
          </cell>
          <cell r="G61">
            <v>2.9465554846667304E-2</v>
          </cell>
          <cell r="H61">
            <v>1.0000000000000002</v>
          </cell>
        </row>
        <row r="62">
          <cell r="A62" t="str">
            <v>SCHMAT-SNP</v>
          </cell>
          <cell r="B62">
            <v>0.50387714340694745</v>
          </cell>
          <cell r="C62">
            <v>0.2192586299303253</v>
          </cell>
          <cell r="D62">
            <v>0.27686422666272725</v>
          </cell>
          <cell r="E62">
            <v>0.2766840379229753</v>
          </cell>
          <cell r="F62">
            <v>1.8018873975193917E-4</v>
          </cell>
          <cell r="G62">
            <v>0</v>
          </cell>
          <cell r="H62">
            <v>1</v>
          </cell>
        </row>
        <row r="63">
          <cell r="A63" t="str">
            <v>SCHMAT-SO</v>
          </cell>
          <cell r="B63">
            <v>0.42657506292493658</v>
          </cell>
          <cell r="C63">
            <v>6.1858231036687493E-2</v>
          </cell>
          <cell r="D63">
            <v>0.51156670603837584</v>
          </cell>
          <cell r="E63">
            <v>0.36781649030604324</v>
          </cell>
          <cell r="F63">
            <v>0.1437502157323326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0.61431004843945891</v>
          </cell>
          <cell r="C64">
            <v>0.15347066352476915</v>
          </cell>
          <cell r="D64">
            <v>0.23221928803577191</v>
          </cell>
          <cell r="E64">
            <v>0.21668183455320297</v>
          </cell>
          <cell r="F64">
            <v>6.2145099709114268E-3</v>
          </cell>
          <cell r="G64">
            <v>9.3229435116575238E-3</v>
          </cell>
          <cell r="H64">
            <v>1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0.45005320926638814</v>
          </cell>
          <cell r="C66">
            <v>6.1516549742485764E-2</v>
          </cell>
          <cell r="D66">
            <v>0.48843024099112625</v>
          </cell>
          <cell r="E66">
            <v>0.34921196895538881</v>
          </cell>
          <cell r="F66">
            <v>0.13921827203573744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0.42911800628192154</v>
          </cell>
          <cell r="C67">
            <v>6.1091947728051668E-2</v>
          </cell>
          <cell r="D67">
            <v>0.50979004599002686</v>
          </cell>
          <cell r="E67">
            <v>0.3631518312497185</v>
          </cell>
          <cell r="F67">
            <v>0.1466382147403083</v>
          </cell>
          <cell r="G67">
            <v>0</v>
          </cell>
          <cell r="H67">
            <v>1</v>
          </cell>
        </row>
        <row r="68">
          <cell r="A68" t="str">
            <v>SCHMDT</v>
          </cell>
          <cell r="B68">
            <v>0.61640317184370019</v>
          </cell>
          <cell r="C68">
            <v>0.15464243395845667</v>
          </cell>
          <cell r="D68">
            <v>0.22895439419784305</v>
          </cell>
          <cell r="E68">
            <v>0.21499300425864104</v>
          </cell>
          <cell r="F68">
            <v>4.5196442433620022E-3</v>
          </cell>
          <cell r="G68">
            <v>9.4417456958399999E-3</v>
          </cell>
          <cell r="H68">
            <v>0.99999999999999989</v>
          </cell>
        </row>
        <row r="69">
          <cell r="A69" t="str">
            <v>SCHMDT-GPS</v>
          </cell>
          <cell r="B69">
            <v>0.50390599523411239</v>
          </cell>
          <cell r="C69">
            <v>0.21915356275118467</v>
          </cell>
          <cell r="D69">
            <v>0.2769404420147028</v>
          </cell>
          <cell r="E69">
            <v>0.27660379423502013</v>
          </cell>
          <cell r="F69">
            <v>3.3664777968268558E-4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0.98979364666529157</v>
          </cell>
          <cell r="C70">
            <v>9.1616572373758049E-3</v>
          </cell>
          <cell r="D70">
            <v>1.0446960973326423E-3</v>
          </cell>
          <cell r="E70">
            <v>1.0203543384794185E-3</v>
          </cell>
          <cell r="F70">
            <v>2.4341758853223721E-5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0.85297625672056399</v>
          </cell>
          <cell r="C71">
            <v>1.2345606339431232E-2</v>
          </cell>
          <cell r="D71">
            <v>0.1346781369400048</v>
          </cell>
          <cell r="E71">
            <v>0.10859621428345666</v>
          </cell>
          <cell r="F71">
            <v>2.1494621633170063E-2</v>
          </cell>
          <cell r="G71">
            <v>4.5873010233780567E-3</v>
          </cell>
          <cell r="H71">
            <v>1</v>
          </cell>
        </row>
        <row r="72">
          <cell r="A72" t="str">
            <v>SCHMDT-SNP</v>
          </cell>
          <cell r="B72">
            <v>0.50384391570480436</v>
          </cell>
          <cell r="C72">
            <v>0.2193796323511954</v>
          </cell>
          <cell r="D72">
            <v>0.27677645194400013</v>
          </cell>
          <cell r="E72">
            <v>0.27677645194400013</v>
          </cell>
          <cell r="F72">
            <v>0</v>
          </cell>
          <cell r="G72">
            <v>0</v>
          </cell>
          <cell r="H72">
            <v>0.99999999999999978</v>
          </cell>
        </row>
        <row r="73">
          <cell r="A73" t="str">
            <v>SCHMDT-SO</v>
          </cell>
          <cell r="B73">
            <v>0.34567702938622691</v>
          </cell>
          <cell r="C73">
            <v>9.1920768701336378E-2</v>
          </cell>
          <cell r="D73">
            <v>0.56240220191243662</v>
          </cell>
          <cell r="E73">
            <v>0.13826338947674435</v>
          </cell>
          <cell r="F73">
            <v>1.2823156057375853E-2</v>
          </cell>
          <cell r="G73">
            <v>0.41131565637831641</v>
          </cell>
          <cell r="H73">
            <v>1</v>
          </cell>
        </row>
        <row r="74">
          <cell r="A74" t="str">
            <v>SIT</v>
          </cell>
          <cell r="B74">
            <v>1.2613421931550963</v>
          </cell>
          <cell r="C74">
            <v>5.492748734990208E-3</v>
          </cell>
          <cell r="D74">
            <v>-0.2668349418904386</v>
          </cell>
          <cell r="E74">
            <v>-0.28738529359278026</v>
          </cell>
          <cell r="F74">
            <v>2.06543085462477E-2</v>
          </cell>
          <cell r="G74">
            <v>-1.0395684390605305E-4</v>
          </cell>
          <cell r="H74">
            <v>0.99999999999964806</v>
          </cell>
        </row>
        <row r="75">
          <cell r="A75" t="str">
            <v>T</v>
          </cell>
          <cell r="B75">
            <v>0</v>
          </cell>
          <cell r="C75">
            <v>1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</v>
          </cell>
        </row>
        <row r="76">
          <cell r="A76" t="str">
            <v>TAXDEPR</v>
          </cell>
          <cell r="B76">
            <v>0.57257399437245315</v>
          </cell>
          <cell r="C76">
            <v>0.17545459019840789</v>
          </cell>
          <cell r="D76">
            <v>0.25197141542913898</v>
          </cell>
          <cell r="E76">
            <v>0.24741913806752291</v>
          </cell>
          <cell r="F76">
            <v>4.5522773616160596E-3</v>
          </cell>
          <cell r="G76">
            <v>0</v>
          </cell>
          <cell r="H76">
            <v>1</v>
          </cell>
        </row>
        <row r="77">
          <cell r="A77" t="str">
            <v>TD</v>
          </cell>
          <cell r="B77">
            <v>0</v>
          </cell>
          <cell r="C77">
            <v>0.44215850474318114</v>
          </cell>
          <cell r="D77">
            <v>0.55784149525681881</v>
          </cell>
          <cell r="E77">
            <v>0.55784149525681881</v>
          </cell>
          <cell r="F77">
            <v>0</v>
          </cell>
          <cell r="G77">
            <v>0</v>
          </cell>
          <cell r="H77">
            <v>1</v>
          </cell>
        </row>
        <row r="78">
          <cell r="A78" t="str">
            <v>WSF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0.17743663767138473</v>
          </cell>
          <cell r="C19">
            <v>0.51056356090620303</v>
          </cell>
          <cell r="D19">
            <v>0.18029442254184178</v>
          </cell>
          <cell r="E19">
            <v>3.663568764167812E-2</v>
          </cell>
          <cell r="F19">
            <v>9.5069691238892265E-2</v>
          </cell>
          <cell r="G19">
            <v>1</v>
          </cell>
        </row>
        <row r="20">
          <cell r="A20" t="str">
            <v>PLNT2</v>
          </cell>
          <cell r="B20">
            <v>0.25790201520032657</v>
          </cell>
          <cell r="C20">
            <v>0.74209798479967337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9.9050729100716148E-2</v>
          </cell>
          <cell r="C21">
            <v>0.82361814135809763</v>
          </cell>
          <cell r="D21">
            <v>7.3221224417730577E-3</v>
          </cell>
          <cell r="E21">
            <v>7.0009007099413184E-2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0.17743663767138471</v>
          </cell>
          <cell r="C22">
            <v>0.51056356090620292</v>
          </cell>
          <cell r="D22">
            <v>0.18029442254184175</v>
          </cell>
          <cell r="E22">
            <v>3.663568764167812E-2</v>
          </cell>
          <cell r="F22">
            <v>9.5069691238892279E-2</v>
          </cell>
          <cell r="G22">
            <v>0.99999999999999978</v>
          </cell>
        </row>
        <row r="23">
          <cell r="A23" t="str">
            <v>GENL</v>
          </cell>
          <cell r="B23">
            <v>0.17743663767138471</v>
          </cell>
          <cell r="C23">
            <v>0.51056356090620303</v>
          </cell>
          <cell r="D23">
            <v>0.18029442254184178</v>
          </cell>
          <cell r="E23">
            <v>3.663568764167812E-2</v>
          </cell>
          <cell r="F23">
            <v>9.5069691238892265E-2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0.20746859569083956</v>
          </cell>
          <cell r="C25">
            <v>0.46919738508124692</v>
          </cell>
          <cell r="D25">
            <v>0.19387409178224363</v>
          </cell>
          <cell r="E25">
            <v>3.2133523409771818E-2</v>
          </cell>
          <cell r="F25">
            <v>9.7326404035897901E-2</v>
          </cell>
          <cell r="G25">
            <v>0.99999999999999989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0.3461484003476229</v>
          </cell>
          <cell r="G15">
            <v>0.27714190730544991</v>
          </cell>
          <cell r="H15">
            <v>8.8893933934608704E-2</v>
          </cell>
          <cell r="I15">
            <v>1.8411158366343089E-3</v>
          </cell>
          <cell r="J15">
            <v>0.16676583628548822</v>
          </cell>
          <cell r="K15">
            <v>7.0860901420777278E-3</v>
          </cell>
          <cell r="L15">
            <v>1.9995583660614691E-4</v>
          </cell>
          <cell r="M15">
            <v>3.6884508456680096E-4</v>
          </cell>
          <cell r="N15">
            <v>6.5486496063917571E-2</v>
          </cell>
          <cell r="O15">
            <v>6.1474885781010022E-4</v>
          </cell>
          <cell r="P15">
            <v>8.3923541517602687E-3</v>
          </cell>
          <cell r="Q15">
            <v>2.0243320875040226E-2</v>
          </cell>
          <cell r="R15">
            <v>1.6816995278417228E-2</v>
          </cell>
          <cell r="S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0.33014415729742819</v>
          </cell>
          <cell r="G16">
            <v>0.27509551193609805</v>
          </cell>
          <cell r="H16">
            <v>9.1217445251843041E-2</v>
          </cell>
          <cell r="I16">
            <v>2.4751773382575433E-3</v>
          </cell>
          <cell r="J16">
            <v>0.17406554349443759</v>
          </cell>
          <cell r="K16">
            <v>7.447028376383032E-3</v>
          </cell>
          <cell r="L16">
            <v>2.1383734116064355E-4</v>
          </cell>
          <cell r="M16">
            <v>4.9215859862509581E-4</v>
          </cell>
          <cell r="N16">
            <v>6.4163857169393046E-2</v>
          </cell>
          <cell r="O16">
            <v>5.8791063841491823E-4</v>
          </cell>
          <cell r="P16">
            <v>9.0089371401904841E-3</v>
          </cell>
          <cell r="Q16">
            <v>2.6044643362540199E-2</v>
          </cell>
          <cell r="R16">
            <v>1.9043792055228253E-2</v>
          </cell>
          <cell r="S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0.36215264339781766</v>
          </cell>
          <cell r="G17">
            <v>0.27918830267480171</v>
          </cell>
          <cell r="H17">
            <v>8.6570422617374354E-2</v>
          </cell>
          <cell r="I17">
            <v>1.2070543350110744E-3</v>
          </cell>
          <cell r="J17">
            <v>0.15946612907653884</v>
          </cell>
          <cell r="K17">
            <v>6.7251519077724245E-3</v>
          </cell>
          <cell r="L17">
            <v>1.8607433205165025E-4</v>
          </cell>
          <cell r="M17">
            <v>2.4553157050850616E-4</v>
          </cell>
          <cell r="N17">
            <v>6.6809134958442096E-2</v>
          </cell>
          <cell r="O17">
            <v>6.415870772052822E-4</v>
          </cell>
          <cell r="P17">
            <v>7.7757711633300534E-3</v>
          </cell>
          <cell r="Q17">
            <v>1.4441998387540251E-2</v>
          </cell>
          <cell r="R17">
            <v>1.4590198501606205E-2</v>
          </cell>
          <cell r="S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D18">
            <v>0</v>
          </cell>
          <cell r="E18">
            <v>0</v>
          </cell>
          <cell r="F18">
            <v>0.35685248193826696</v>
          </cell>
          <cell r="G18">
            <v>0.28098891726056074</v>
          </cell>
          <cell r="H18">
            <v>8.7206283909940618E-2</v>
          </cell>
          <cell r="I18">
            <v>1.2132473460716795E-3</v>
          </cell>
          <cell r="J18">
            <v>0.16104033096385387</v>
          </cell>
          <cell r="K18">
            <v>6.5489686159910278E-3</v>
          </cell>
          <cell r="L18">
            <v>1.8859896668711358E-4</v>
          </cell>
          <cell r="M18">
            <v>2.4676561242571049E-4</v>
          </cell>
          <cell r="N18">
            <v>6.7052440030463054E-2</v>
          </cell>
          <cell r="O18">
            <v>6.337711094853973E-4</v>
          </cell>
          <cell r="P18">
            <v>7.8722180382793695E-3</v>
          </cell>
          <cell r="Q18">
            <v>1.5428205017251857E-2</v>
          </cell>
          <cell r="R18">
            <v>1.4727771190722523E-2</v>
          </cell>
          <cell r="S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>SSGCT</v>
          </cell>
          <cell r="D19">
            <v>0</v>
          </cell>
          <cell r="E19">
            <v>0</v>
          </cell>
          <cell r="F19">
            <v>0.34026820996116136</v>
          </cell>
          <cell r="G19">
            <v>0.27925253883748807</v>
          </cell>
          <cell r="H19">
            <v>8.9634475420693749E-2</v>
          </cell>
          <cell r="I19">
            <v>1.8552394296533451E-3</v>
          </cell>
          <cell r="J19">
            <v>0.1684281746267208</v>
          </cell>
          <cell r="K19">
            <v>6.9877923284921966E-3</v>
          </cell>
          <cell r="L19">
            <v>2.0254968993540476E-4</v>
          </cell>
          <cell r="M19">
            <v>3.7179940410827085E-4</v>
          </cell>
          <cell r="N19">
            <v>6.5838559456222676E-2</v>
          </cell>
          <cell r="O19">
            <v>6.1040227386528669E-4</v>
          </cell>
          <cell r="P19">
            <v>8.4949634528499358E-3</v>
          </cell>
          <cell r="Q19">
            <v>2.1072058720750513E-2</v>
          </cell>
          <cell r="R19">
            <v>1.6983236398058273E-2</v>
          </cell>
          <cell r="S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D20">
            <v>0</v>
          </cell>
          <cell r="E20">
            <v>0</v>
          </cell>
          <cell r="F20">
            <v>0.35007684755743257</v>
          </cell>
          <cell r="G20">
            <v>0.27667587754118128</v>
          </cell>
          <cell r="H20">
            <v>8.9837869142854507E-2</v>
          </cell>
          <cell r="I20">
            <v>2.1169705009157365E-3</v>
          </cell>
          <cell r="J20">
            <v>0.16830351151621933</v>
          </cell>
          <cell r="K20">
            <v>3.8468420821479265E-3</v>
          </cell>
          <cell r="L20">
            <v>1.9940517129058802E-4</v>
          </cell>
          <cell r="M20">
            <v>4.3055638122537984E-4</v>
          </cell>
          <cell r="N20">
            <v>6.5669762940050072E-2</v>
          </cell>
          <cell r="O20">
            <v>6.3849438634543793E-4</v>
          </cell>
          <cell r="P20">
            <v>8.2461106097112061E-3</v>
          </cell>
          <cell r="Q20">
            <v>1.7460906650906046E-2</v>
          </cell>
          <cell r="R20">
            <v>1.6496845519719888E-2</v>
          </cell>
          <cell r="S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D21">
            <v>0</v>
          </cell>
          <cell r="E21">
            <v>0</v>
          </cell>
          <cell r="F21">
            <v>0.33506076766448412</v>
          </cell>
          <cell r="G21">
            <v>0.27578824548960756</v>
          </cell>
          <cell r="H21">
            <v>9.1788282097134605E-2</v>
          </cell>
          <cell r="I21">
            <v>2.5590540142830533E-3</v>
          </cell>
          <cell r="J21">
            <v>0.17446336466919565</v>
          </cell>
          <cell r="K21">
            <v>4.0455924207152168E-3</v>
          </cell>
          <cell r="L21">
            <v>2.1202759055625591E-4</v>
          </cell>
          <cell r="M21">
            <v>5.1152597418173764E-4</v>
          </cell>
          <cell r="N21">
            <v>6.4852692406826479E-2</v>
          </cell>
          <cell r="O21">
            <v>6.1668327314505055E-4</v>
          </cell>
          <cell r="P21">
            <v>8.8040520550055311E-3</v>
          </cell>
          <cell r="Q21">
            <v>2.2826866487845373E-2</v>
          </cell>
          <cell r="R21">
            <v>1.8470845857019358E-2</v>
          </cell>
          <cell r="S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1</v>
          </cell>
        </row>
        <row r="24">
          <cell r="A24" t="str">
            <v>F20</v>
          </cell>
          <cell r="B24" t="str">
            <v>12 Weighted Distribution Peaks</v>
          </cell>
          <cell r="C24">
            <v>0</v>
          </cell>
          <cell r="D24">
            <v>0</v>
          </cell>
          <cell r="E24">
            <v>0</v>
          </cell>
          <cell r="F24">
            <v>0.4707810800032789</v>
          </cell>
          <cell r="G24">
            <v>0.33195406095819258</v>
          </cell>
          <cell r="H24">
            <v>9.6141941246542115E-2</v>
          </cell>
          <cell r="I24">
            <v>7.492994782912029E-4</v>
          </cell>
          <cell r="J24">
            <v>0</v>
          </cell>
          <cell r="K24">
            <v>1.3031919730716126E-2</v>
          </cell>
          <cell r="L24">
            <v>1.7660135383184555E-4</v>
          </cell>
          <cell r="M24">
            <v>1.6273362534603863E-4</v>
          </cell>
          <cell r="N24">
            <v>8.619861671738005E-2</v>
          </cell>
          <cell r="O24">
            <v>8.0374688642115581E-4</v>
          </cell>
          <cell r="P24">
            <v>0</v>
          </cell>
          <cell r="Q24">
            <v>0</v>
          </cell>
          <cell r="R24">
            <v>0</v>
          </cell>
          <cell r="S24">
            <v>1</v>
          </cell>
        </row>
        <row r="25">
          <cell r="A25" t="str">
            <v>F21</v>
          </cell>
          <cell r="B25" t="str">
            <v>Transformers      - NCP</v>
          </cell>
          <cell r="C25">
            <v>0</v>
          </cell>
          <cell r="D25">
            <v>0</v>
          </cell>
          <cell r="E25">
            <v>0</v>
          </cell>
          <cell r="F25">
            <v>0.59055368391181151</v>
          </cell>
          <cell r="G25">
            <v>0.23978681675195562</v>
          </cell>
          <cell r="H25">
            <v>6.3362723263065746E-2</v>
          </cell>
          <cell r="I25">
            <v>3.6483710767670928E-3</v>
          </cell>
          <cell r="J25">
            <v>0</v>
          </cell>
          <cell r="K25">
            <v>2.5710409495489625E-2</v>
          </cell>
          <cell r="L25">
            <v>1.1517789034312014E-4</v>
          </cell>
          <cell r="M25">
            <v>8.5950976985743111E-4</v>
          </cell>
          <cell r="N25">
            <v>7.4564681784161146E-2</v>
          </cell>
          <cell r="O25">
            <v>1.3986260565486363E-3</v>
          </cell>
          <cell r="P25">
            <v>0</v>
          </cell>
          <cell r="Q25">
            <v>0</v>
          </cell>
          <cell r="R25">
            <v>0</v>
          </cell>
          <cell r="S25">
            <v>1</v>
          </cell>
        </row>
        <row r="26">
          <cell r="A26" t="str">
            <v>F22</v>
          </cell>
          <cell r="B26" t="str">
            <v>Secondary Lines - NCP</v>
          </cell>
          <cell r="C26">
            <v>0</v>
          </cell>
          <cell r="D26">
            <v>0</v>
          </cell>
          <cell r="E26">
            <v>0</v>
          </cell>
          <cell r="F26">
            <v>0.88789261336042413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0.11210738663957574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</v>
          </cell>
        </row>
        <row r="27">
          <cell r="A27" t="str">
            <v>F30</v>
          </cell>
          <cell r="B27" t="str">
            <v>MWH @ Input</v>
          </cell>
          <cell r="C27">
            <v>0</v>
          </cell>
          <cell r="D27">
            <v>0</v>
          </cell>
          <cell r="E27">
            <v>0</v>
          </cell>
          <cell r="F27">
            <v>0.2981356711970386</v>
          </cell>
          <cell r="G27">
            <v>0.27100272119739433</v>
          </cell>
          <cell r="H27">
            <v>9.5864467886311699E-2</v>
          </cell>
          <cell r="I27">
            <v>3.743300341504011E-3</v>
          </cell>
          <cell r="J27">
            <v>0.18866495791233626</v>
          </cell>
          <cell r="K27">
            <v>8.168904844993637E-3</v>
          </cell>
          <cell r="L27">
            <v>2.4160035026963683E-4</v>
          </cell>
          <cell r="M27">
            <v>7.3878562674168518E-4</v>
          </cell>
          <cell r="N27">
            <v>6.1518579380343982E-2</v>
          </cell>
          <cell r="O27">
            <v>5.3423419962455416E-4</v>
          </cell>
          <cell r="P27">
            <v>1.0242103117050911E-2</v>
          </cell>
          <cell r="Q27">
            <v>3.7647288337540143E-2</v>
          </cell>
          <cell r="R27">
            <v>2.3497385608850296E-2</v>
          </cell>
          <cell r="S27">
            <v>1</v>
          </cell>
        </row>
        <row r="28">
          <cell r="A28" t="str">
            <v>F32</v>
          </cell>
          <cell r="B28" t="str">
            <v>Seasonal System Energy Combustion Turbine</v>
          </cell>
          <cell r="C28" t="str">
            <v>SSECT</v>
          </cell>
          <cell r="D28">
            <v>0</v>
          </cell>
          <cell r="E28">
            <v>0</v>
          </cell>
          <cell r="F28">
            <v>0.29051539402984472</v>
          </cell>
          <cell r="G28">
            <v>0.27404340356827012</v>
          </cell>
          <cell r="H28">
            <v>9.6919049952953126E-2</v>
          </cell>
          <cell r="I28">
            <v>3.7812156803983419E-3</v>
          </cell>
          <cell r="J28">
            <v>0.19059170561532157</v>
          </cell>
          <cell r="K28">
            <v>8.3042634659957031E-3</v>
          </cell>
          <cell r="L28">
            <v>2.4440185968027835E-4</v>
          </cell>
          <cell r="M28">
            <v>7.469007791559521E-4</v>
          </cell>
          <cell r="N28">
            <v>6.2196917733501562E-2</v>
          </cell>
          <cell r="O28">
            <v>5.4029576700495498E-4</v>
          </cell>
          <cell r="P28">
            <v>1.0363199696561638E-2</v>
          </cell>
          <cell r="Q28">
            <v>3.800361983124647E-2</v>
          </cell>
          <cell r="R28">
            <v>2.3749632020065511E-2</v>
          </cell>
          <cell r="S28">
            <v>1</v>
          </cell>
        </row>
        <row r="29">
          <cell r="A29" t="str">
            <v>F33</v>
          </cell>
          <cell r="B29" t="str">
            <v>Seasonal System Energy Cholla</v>
          </cell>
          <cell r="C29" t="str">
            <v>SSECH</v>
          </cell>
          <cell r="D29">
            <v>0</v>
          </cell>
          <cell r="E29">
            <v>0</v>
          </cell>
          <cell r="F29">
            <v>0.29001252798563881</v>
          </cell>
          <cell r="G29">
            <v>0.2731253493348863</v>
          </cell>
          <cell r="H29">
            <v>9.7639520959974885E-2</v>
          </cell>
          <cell r="I29">
            <v>3.8853045543850036E-3</v>
          </cell>
          <cell r="J29">
            <v>0.19294292412812464</v>
          </cell>
          <cell r="K29">
            <v>4.6418434364170888E-3</v>
          </cell>
          <cell r="L29">
            <v>2.4989484835325951E-4</v>
          </cell>
          <cell r="M29">
            <v>7.5443475305081106E-4</v>
          </cell>
          <cell r="N29">
            <v>6.2401480807155671E-2</v>
          </cell>
          <cell r="O29">
            <v>5.5124993354388843E-4</v>
          </cell>
          <cell r="P29">
            <v>1.0477876390888503E-2</v>
          </cell>
          <cell r="Q29">
            <v>3.8924745998663357E-2</v>
          </cell>
          <cell r="R29">
            <v>2.4392846868917774E-2</v>
          </cell>
          <cell r="S29">
            <v>1</v>
          </cell>
        </row>
        <row r="30">
          <cell r="A30" t="str">
            <v>F34</v>
          </cell>
          <cell r="B30" t="str">
            <v>Seasonal System Energy Contracts</v>
          </cell>
          <cell r="C30" t="str">
            <v>SSEC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</row>
        <row r="31">
          <cell r="A31" t="str">
            <v>F40</v>
          </cell>
          <cell r="B31" t="str">
            <v>Average Customers</v>
          </cell>
          <cell r="C31">
            <v>0</v>
          </cell>
          <cell r="D31">
            <v>0</v>
          </cell>
          <cell r="E31">
            <v>0</v>
          </cell>
          <cell r="F31">
            <v>0.86644901411377973</v>
          </cell>
          <cell r="G31">
            <v>1.8399491404001402E-2</v>
          </cell>
          <cell r="H31">
            <v>3.550863511828087E-4</v>
          </cell>
          <cell r="I31">
            <v>1.1688961207919509E-2</v>
          </cell>
          <cell r="J31">
            <v>1.9258920742118438E-4</v>
          </cell>
          <cell r="K31">
            <v>3.4485504953855831E-3</v>
          </cell>
          <cell r="L31">
            <v>2.7010636340821111E-3</v>
          </cell>
          <cell r="M31">
            <v>5.6813816189249392E-4</v>
          </cell>
          <cell r="N31">
            <v>9.6180253868685867E-2</v>
          </cell>
          <cell r="O31">
            <v>1.3240508010206427E-5</v>
          </cell>
          <cell r="P31">
            <v>1.2036825463824024E-6</v>
          </cell>
          <cell r="Q31">
            <v>1.2036825463824024E-6</v>
          </cell>
          <cell r="R31">
            <v>1.2036825463824024E-6</v>
          </cell>
          <cell r="S31">
            <v>1</v>
          </cell>
        </row>
        <row r="32">
          <cell r="A32" t="str">
            <v>F41</v>
          </cell>
          <cell r="B32" t="str">
            <v>Weighted Customers Acct 902</v>
          </cell>
          <cell r="C32">
            <v>0</v>
          </cell>
          <cell r="D32">
            <v>0</v>
          </cell>
          <cell r="E32">
            <v>0</v>
          </cell>
          <cell r="F32">
            <v>0.79450159308294821</v>
          </cell>
          <cell r="G32">
            <v>3.4924317228300562E-2</v>
          </cell>
          <cell r="H32">
            <v>1.0673201016540325E-2</v>
          </cell>
          <cell r="I32">
            <v>0</v>
          </cell>
          <cell r="J32">
            <v>7.4365062583677611E-3</v>
          </cell>
          <cell r="K32">
            <v>1.476744052914159E-2</v>
          </cell>
          <cell r="L32">
            <v>2.7492203824199652E-3</v>
          </cell>
          <cell r="M32">
            <v>5.7826738881560768E-4</v>
          </cell>
          <cell r="N32">
            <v>0.13405445997295945</v>
          </cell>
          <cell r="O32">
            <v>8.9843803347057673E-6</v>
          </cell>
          <cell r="P32">
            <v>3.4866901077807761E-5</v>
          </cell>
          <cell r="Q32">
            <v>1.3557142954691761E-4</v>
          </cell>
          <cell r="R32">
            <v>1.3557142954691761E-4</v>
          </cell>
          <cell r="S32">
            <v>1</v>
          </cell>
        </row>
        <row r="33">
          <cell r="A33" t="str">
            <v>F42</v>
          </cell>
          <cell r="B33" t="str">
            <v>Weighted Customers Acct 903</v>
          </cell>
          <cell r="C33">
            <v>0</v>
          </cell>
          <cell r="D33">
            <v>0</v>
          </cell>
          <cell r="E33">
            <v>0</v>
          </cell>
          <cell r="F33">
            <v>0.87121091198399014</v>
          </cell>
          <cell r="G33">
            <v>1.8685618887272257E-2</v>
          </cell>
          <cell r="H33">
            <v>3.6060824098817972E-4</v>
          </cell>
          <cell r="I33">
            <v>1.0806265281044006E-2</v>
          </cell>
          <cell r="J33">
            <v>1.4291196877289566E-3</v>
          </cell>
          <cell r="K33">
            <v>3.5368533735182337E-3</v>
          </cell>
          <cell r="L33">
            <v>2.4986356816757084E-3</v>
          </cell>
          <cell r="M33">
            <v>5.2555973340059469E-4</v>
          </cell>
          <cell r="N33">
            <v>9.0906317860013006E-2</v>
          </cell>
          <cell r="O33">
            <v>1.3313276223762299E-5</v>
          </cell>
          <cell r="P33">
            <v>8.9319980483059787E-6</v>
          </cell>
          <cell r="Q33">
            <v>8.9319980483059787E-6</v>
          </cell>
          <cell r="R33">
            <v>8.9319980483059787E-6</v>
          </cell>
          <cell r="S33">
            <v>1</v>
          </cell>
        </row>
        <row r="34">
          <cell r="A34" t="str">
            <v>F43</v>
          </cell>
          <cell r="B34" t="str">
            <v>Residential Split</v>
          </cell>
          <cell r="C34">
            <v>0</v>
          </cell>
          <cell r="D34">
            <v>0</v>
          </cell>
          <cell r="E34">
            <v>0</v>
          </cell>
          <cell r="F34">
            <v>0.99998471888655327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1.5281113446754698E-5</v>
          </cell>
          <cell r="P34">
            <v>0</v>
          </cell>
          <cell r="Q34">
            <v>0</v>
          </cell>
          <cell r="R34">
            <v>0</v>
          </cell>
          <cell r="S34">
            <v>1</v>
          </cell>
        </row>
        <row r="35">
          <cell r="A35" t="str">
            <v>F44</v>
          </cell>
          <cell r="B35" t="str">
            <v>Commercial Split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0.15333495510637357</v>
          </cell>
          <cell r="H35">
            <v>1.9129550179132204E-3</v>
          </cell>
          <cell r="I35">
            <v>0</v>
          </cell>
          <cell r="J35">
            <v>2.9855367331593611E-4</v>
          </cell>
          <cell r="K35">
            <v>0</v>
          </cell>
          <cell r="L35">
            <v>0</v>
          </cell>
          <cell r="M35">
            <v>0</v>
          </cell>
          <cell r="N35">
            <v>0.84445353620239727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</row>
        <row r="36">
          <cell r="A36" t="str">
            <v>F45</v>
          </cell>
          <cell r="B36" t="str">
            <v>Industrial / Irrigation Split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0.17540597495971241</v>
          </cell>
          <cell r="H36">
            <v>1.5123342010660717E-2</v>
          </cell>
          <cell r="I36">
            <v>0</v>
          </cell>
          <cell r="J36">
            <v>1.5991074748977315E-2</v>
          </cell>
          <cell r="K36">
            <v>0.3551506136110078</v>
          </cell>
          <cell r="L36">
            <v>0</v>
          </cell>
          <cell r="M36">
            <v>0</v>
          </cell>
          <cell r="N36">
            <v>0.43795710921036318</v>
          </cell>
          <cell r="O36">
            <v>0</v>
          </cell>
          <cell r="P36">
            <v>1.2396181975951408E-4</v>
          </cell>
          <cell r="Q36">
            <v>1.2396181975951408E-4</v>
          </cell>
          <cell r="R36">
            <v>1.2396181975951408E-4</v>
          </cell>
          <cell r="S36">
            <v>1</v>
          </cell>
        </row>
        <row r="37">
          <cell r="A37" t="str">
            <v>F46</v>
          </cell>
          <cell r="B37" t="str">
            <v>Lighting / OSPA  Split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0.78144363080389478</v>
          </cell>
          <cell r="J37">
            <v>0</v>
          </cell>
          <cell r="K37">
            <v>0</v>
          </cell>
          <cell r="L37">
            <v>0.18057455540355677</v>
          </cell>
          <cell r="M37">
            <v>3.7981813792548481E-2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1</v>
          </cell>
        </row>
        <row r="38">
          <cell r="A38" t="str">
            <v>F47</v>
          </cell>
          <cell r="B38" t="str">
            <v>Wtd Customers Acct 902 - irrigation</v>
          </cell>
          <cell r="C38">
            <v>0</v>
          </cell>
          <cell r="D38">
            <v>0</v>
          </cell>
          <cell r="E38">
            <v>0</v>
          </cell>
          <cell r="F38">
            <v>0.80012907615042528</v>
          </cell>
          <cell r="G38">
            <v>3.5171687410508537E-2</v>
          </cell>
          <cell r="H38">
            <v>1.0748799679298562E-2</v>
          </cell>
          <cell r="I38">
            <v>0</v>
          </cell>
          <cell r="J38">
            <v>7.4891792969299159E-3</v>
          </cell>
          <cell r="K38">
            <v>7.7890032368576924E-3</v>
          </cell>
          <cell r="L38">
            <v>2.7686932082588629E-3</v>
          </cell>
          <cell r="M38">
            <v>5.82363277316481E-4</v>
          </cell>
          <cell r="N38">
            <v>0.13500397248518778</v>
          </cell>
          <cell r="O38">
            <v>9.0480170204537995E-6</v>
          </cell>
          <cell r="P38">
            <v>3.5113864579377825E-5</v>
          </cell>
          <cell r="Q38">
            <v>1.365316868086413E-4</v>
          </cell>
          <cell r="R38">
            <v>1.365316868086413E-4</v>
          </cell>
          <cell r="S38">
            <v>1</v>
          </cell>
        </row>
        <row r="39">
          <cell r="A39" t="str">
            <v>F48</v>
          </cell>
          <cell r="B39" t="str">
            <v>Wtd Customers Acct 903 - irrigation</v>
          </cell>
          <cell r="C39">
            <v>0</v>
          </cell>
          <cell r="D39">
            <v>0</v>
          </cell>
          <cell r="E39">
            <v>0</v>
          </cell>
          <cell r="F39">
            <v>0.87268092592419133</v>
          </cell>
          <cell r="G39">
            <v>1.8717147556011064E-2</v>
          </cell>
          <cell r="H39">
            <v>3.6121670345566289E-4</v>
          </cell>
          <cell r="I39">
            <v>1.0824498937654747E-2</v>
          </cell>
          <cell r="J39">
            <v>1.4315310738058291E-3</v>
          </cell>
          <cell r="K39">
            <v>1.85549849574065E-3</v>
          </cell>
          <cell r="L39">
            <v>2.5028516863572644E-3</v>
          </cell>
          <cell r="M39">
            <v>5.2644652226409489E-4</v>
          </cell>
          <cell r="N39">
            <v>9.1059706152868819E-2</v>
          </cell>
          <cell r="O39">
            <v>1.3335740016822594E-5</v>
          </cell>
          <cell r="P39">
            <v>8.9470692112864306E-6</v>
          </cell>
          <cell r="Q39">
            <v>8.9470692112864306E-6</v>
          </cell>
          <cell r="R39">
            <v>8.9470692112864306E-6</v>
          </cell>
          <cell r="S39">
            <v>1</v>
          </cell>
        </row>
        <row r="40">
          <cell r="A40" t="str">
            <v>F50</v>
          </cell>
          <cell r="B40" t="str">
            <v>Contribution in Aid of Construction</v>
          </cell>
          <cell r="C40">
            <v>0</v>
          </cell>
          <cell r="D40">
            <v>0</v>
          </cell>
          <cell r="E40">
            <v>0</v>
          </cell>
          <cell r="F40">
            <v>0.15736072656272435</v>
          </cell>
          <cell r="G40">
            <v>2.7706430725220388E-2</v>
          </cell>
          <cell r="H40">
            <v>1.4655706087708829E-2</v>
          </cell>
          <cell r="I40">
            <v>7.2275376376838868E-2</v>
          </cell>
          <cell r="J40">
            <v>0.55846599187674095</v>
          </cell>
          <cell r="K40">
            <v>2.2113049525370673E-3</v>
          </cell>
          <cell r="L40">
            <v>2.7262602191836858E-3</v>
          </cell>
          <cell r="M40">
            <v>6.3707547574648289E-3</v>
          </cell>
          <cell r="N40">
            <v>0.15822744844158118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</row>
        <row r="41">
          <cell r="A41" t="str">
            <v>F51</v>
          </cell>
          <cell r="B41" t="str">
            <v>Security Deposits</v>
          </cell>
          <cell r="C41">
            <v>0</v>
          </cell>
          <cell r="D41">
            <v>0</v>
          </cell>
          <cell r="E41">
            <v>0</v>
          </cell>
          <cell r="F41">
            <v>0.26075906169504837</v>
          </cell>
          <cell r="G41">
            <v>2.9968509951039449E-2</v>
          </cell>
          <cell r="H41">
            <v>8.2251306973778818E-2</v>
          </cell>
          <cell r="I41">
            <v>1.0695391797479142E-3</v>
          </cell>
          <cell r="J41">
            <v>0.28583611654786145</v>
          </cell>
          <cell r="K41">
            <v>7.1929387323423216E-3</v>
          </cell>
          <cell r="L41">
            <v>0</v>
          </cell>
          <cell r="M41">
            <v>4.0838157835987204E-5</v>
          </cell>
          <cell r="N41">
            <v>0.26577596298169065</v>
          </cell>
          <cell r="O41">
            <v>0</v>
          </cell>
          <cell r="P41">
            <v>0</v>
          </cell>
          <cell r="Q41">
            <v>6.7105725780654907E-2</v>
          </cell>
          <cell r="R41">
            <v>0</v>
          </cell>
          <cell r="S41">
            <v>1</v>
          </cell>
        </row>
        <row r="42">
          <cell r="A42" t="str">
            <v>F60</v>
          </cell>
          <cell r="B42" t="str">
            <v>Meters</v>
          </cell>
          <cell r="C42">
            <v>0</v>
          </cell>
          <cell r="D42">
            <v>0</v>
          </cell>
          <cell r="E42">
            <v>0</v>
          </cell>
          <cell r="F42">
            <v>0.68497890837007003</v>
          </cell>
          <cell r="G42">
            <v>0.10902835722412574</v>
          </cell>
          <cell r="H42">
            <v>1.3486620889471447E-2</v>
          </cell>
          <cell r="I42">
            <v>0</v>
          </cell>
          <cell r="J42">
            <v>3.8957800440214296E-2</v>
          </cell>
          <cell r="K42">
            <v>1.1135492495671355E-2</v>
          </cell>
          <cell r="L42">
            <v>2.0350891354208589E-3</v>
          </cell>
          <cell r="M42">
            <v>4.2805796431312178E-4</v>
          </cell>
          <cell r="N42">
            <v>0.1306353806924791</v>
          </cell>
          <cell r="O42">
            <v>1.9981764371414636E-4</v>
          </cell>
          <cell r="P42">
            <v>3.03815838150666E-3</v>
          </cell>
          <cell r="Q42">
            <v>3.03815838150666E-3</v>
          </cell>
          <cell r="R42">
            <v>3.03815838150666E-3</v>
          </cell>
          <cell r="S42">
            <v>1</v>
          </cell>
        </row>
        <row r="43">
          <cell r="A43" t="str">
            <v>F70</v>
          </cell>
          <cell r="B43" t="str">
            <v>Services</v>
          </cell>
          <cell r="C43">
            <v>0</v>
          </cell>
          <cell r="D43">
            <v>0</v>
          </cell>
          <cell r="E43">
            <v>0</v>
          </cell>
          <cell r="F43">
            <v>0.78247152659940289</v>
          </cell>
          <cell r="G43">
            <v>7.9505021864011857E-2</v>
          </cell>
          <cell r="H43">
            <v>3.0064817283884603E-3</v>
          </cell>
          <cell r="I43">
            <v>0</v>
          </cell>
          <cell r="J43">
            <v>0</v>
          </cell>
          <cell r="K43">
            <v>0</v>
          </cell>
          <cell r="L43">
            <v>3.1363648863416945E-3</v>
          </cell>
          <cell r="M43">
            <v>6.5969885309860956E-4</v>
          </cell>
          <cell r="N43">
            <v>0.13122090606875636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</row>
        <row r="44">
          <cell r="A44" t="str">
            <v>F80</v>
          </cell>
          <cell r="B44" t="str">
            <v>Uncollectables</v>
          </cell>
          <cell r="C44">
            <v>0</v>
          </cell>
          <cell r="D44">
            <v>0</v>
          </cell>
          <cell r="E44">
            <v>0</v>
          </cell>
          <cell r="F44">
            <v>0.81065129837697247</v>
          </cell>
          <cell r="G44">
            <v>8.9623473350243746E-2</v>
          </cell>
          <cell r="H44">
            <v>2.7060566570668406E-2</v>
          </cell>
          <cell r="I44">
            <v>0</v>
          </cell>
          <cell r="J44">
            <v>4.2008370112631192E-2</v>
          </cell>
          <cell r="K44">
            <v>6.9250332500972005E-3</v>
          </cell>
          <cell r="L44">
            <v>0</v>
          </cell>
          <cell r="M44">
            <v>0</v>
          </cell>
          <cell r="N44">
            <v>2.3731258339386784E-2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</row>
        <row r="45">
          <cell r="A45" t="str">
            <v>F85</v>
          </cell>
          <cell r="B45" t="str">
            <v>Firm Sales - Utah Share</v>
          </cell>
          <cell r="C45">
            <v>0</v>
          </cell>
          <cell r="D45">
            <v>0</v>
          </cell>
          <cell r="E45">
            <v>0</v>
          </cell>
          <cell r="F45">
            <v>0.33643911685941369</v>
          </cell>
          <cell r="G45">
            <v>0.27844030436176387</v>
          </cell>
          <cell r="H45">
            <v>9.0747831870374704E-2</v>
          </cell>
          <cell r="I45">
            <v>2.1032880770656031E-3</v>
          </cell>
          <cell r="J45">
            <v>0.17158763334158497</v>
          </cell>
          <cell r="K45">
            <v>5.5538087700705971E-3</v>
          </cell>
          <cell r="L45">
            <v>2.0805063036667589E-4</v>
          </cell>
          <cell r="M45">
            <v>4.2118250800580954E-4</v>
          </cell>
          <cell r="N45">
            <v>6.5281456317390962E-2</v>
          </cell>
          <cell r="O45">
            <v>6.0592213968437589E-4</v>
          </cell>
          <cell r="P45">
            <v>8.6653162059154958E-3</v>
          </cell>
          <cell r="Q45">
            <v>2.2195812505219254E-2</v>
          </cell>
          <cell r="R45">
            <v>1.7750276413143921E-2</v>
          </cell>
          <cell r="S45">
            <v>1</v>
          </cell>
        </row>
        <row r="46">
          <cell r="A46" t="str">
            <v>F86</v>
          </cell>
          <cell r="B46" t="str">
            <v>Non Firm Sales - Utah Share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</v>
          </cell>
        </row>
        <row r="47">
          <cell r="A47" t="str">
            <v>F87</v>
          </cell>
          <cell r="B47" t="str">
            <v>Firm Purchases (Non-Seasonal) - Utah Share</v>
          </cell>
          <cell r="C47">
            <v>0</v>
          </cell>
          <cell r="D47">
            <v>0</v>
          </cell>
          <cell r="E47">
            <v>0</v>
          </cell>
          <cell r="F47">
            <v>0.33498974344285004</v>
          </cell>
          <cell r="G47">
            <v>0.28084078818422581</v>
          </cell>
          <cell r="H47">
            <v>9.0054501965800449E-2</v>
          </cell>
          <cell r="I47">
            <v>1.7613441456342423E-3</v>
          </cell>
          <cell r="J47">
            <v>0.17018925634585255</v>
          </cell>
          <cell r="K47">
            <v>6.8123959913749038E-3</v>
          </cell>
          <cell r="L47">
            <v>2.0644925068073665E-4</v>
          </cell>
          <cell r="M47">
            <v>3.5087871195536835E-4</v>
          </cell>
          <cell r="N47">
            <v>6.5938301165770777E-2</v>
          </cell>
          <cell r="O47">
            <v>5.9761458220806822E-4</v>
          </cell>
          <cell r="P47">
            <v>8.5905776801710881E-3</v>
          </cell>
          <cell r="Q47">
            <v>2.2559342487497944E-2</v>
          </cell>
          <cell r="R47">
            <v>1.7108806045978326E-2</v>
          </cell>
          <cell r="S47">
            <v>1</v>
          </cell>
        </row>
        <row r="48">
          <cell r="A48" t="str">
            <v>F88</v>
          </cell>
          <cell r="B48" t="str">
            <v>Seasonal Purchases - Utah Share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</row>
        <row r="49">
          <cell r="A49" t="str">
            <v>F89</v>
          </cell>
          <cell r="B49" t="str">
            <v>Non firm Purchases - Utah Share</v>
          </cell>
          <cell r="C49">
            <v>0</v>
          </cell>
          <cell r="D49">
            <v>0</v>
          </cell>
          <cell r="E49">
            <v>0</v>
          </cell>
          <cell r="F49">
            <v>0.29979815750086991</v>
          </cell>
          <cell r="G49">
            <v>0.27153082767593717</v>
          </cell>
          <cell r="H49">
            <v>9.5725995590261306E-2</v>
          </cell>
          <cell r="I49">
            <v>3.7181488555205976E-3</v>
          </cell>
          <cell r="J49">
            <v>0.18749351497293129</v>
          </cell>
          <cell r="K49">
            <v>8.0535911679366912E-3</v>
          </cell>
          <cell r="L49">
            <v>2.3886121799682582E-4</v>
          </cell>
          <cell r="M49">
            <v>7.3423736915794228E-4</v>
          </cell>
          <cell r="N49">
            <v>6.1501767050476976E-2</v>
          </cell>
          <cell r="O49">
            <v>5.3622013078342295E-4</v>
          </cell>
          <cell r="P49">
            <v>1.0234264766295255E-2</v>
          </cell>
          <cell r="Q49">
            <v>3.7128983369368061E-2</v>
          </cell>
          <cell r="R49">
            <v>2.330543033246444E-2</v>
          </cell>
          <cell r="S49">
            <v>1</v>
          </cell>
        </row>
        <row r="50">
          <cell r="A50" t="str">
            <v>F90</v>
          </cell>
          <cell r="B50" t="str">
            <v>Coal (Non-Seasonal) - Utah Share</v>
          </cell>
          <cell r="C50">
            <v>0</v>
          </cell>
          <cell r="D50">
            <v>0</v>
          </cell>
          <cell r="E50">
            <v>0</v>
          </cell>
          <cell r="F50">
            <v>0.29747059687518912</v>
          </cell>
          <cell r="G50">
            <v>0.27117620780948143</v>
          </cell>
          <cell r="H50">
            <v>9.6063618438134102E-2</v>
          </cell>
          <cell r="I50">
            <v>3.7582113100422783E-3</v>
          </cell>
          <cell r="J50">
            <v>0.18905544445537212</v>
          </cell>
          <cell r="K50">
            <v>7.8104509563704924E-3</v>
          </cell>
          <cell r="L50">
            <v>2.4225345556404138E-4</v>
          </cell>
          <cell r="M50">
            <v>7.4034957202814291E-4</v>
          </cell>
          <cell r="N50">
            <v>6.1545309447119501E-2</v>
          </cell>
          <cell r="O50">
            <v>5.3424686961272292E-4</v>
          </cell>
          <cell r="P50">
            <v>1.0270609729365249E-2</v>
          </cell>
          <cell r="Q50">
            <v>3.778039999454734E-2</v>
          </cell>
          <cell r="R50">
            <v>2.3552301087173429E-2</v>
          </cell>
          <cell r="S50">
            <v>1</v>
          </cell>
        </row>
        <row r="51">
          <cell r="A51" t="str">
            <v>F91</v>
          </cell>
          <cell r="B51" t="str">
            <v>Seasonal Cholla Coal - Utah Share</v>
          </cell>
          <cell r="C51">
            <v>0</v>
          </cell>
          <cell r="D51">
            <v>0</v>
          </cell>
          <cell r="E51">
            <v>0</v>
          </cell>
          <cell r="F51">
            <v>0.29803711209295691</v>
          </cell>
          <cell r="G51">
            <v>0.27107811080878857</v>
          </cell>
          <cell r="H51">
            <v>9.603368022917208E-2</v>
          </cell>
          <cell r="I51">
            <v>3.7646542273027501E-3</v>
          </cell>
          <cell r="J51">
            <v>0.18891679191924748</v>
          </cell>
          <cell r="K51">
            <v>7.5128668404289226E-3</v>
          </cell>
          <cell r="L51">
            <v>2.4223451999822064E-4</v>
          </cell>
          <cell r="M51">
            <v>7.384535772482102E-4</v>
          </cell>
          <cell r="N51">
            <v>6.1573998749886297E-2</v>
          </cell>
          <cell r="O51">
            <v>5.3511731405607704E-4</v>
          </cell>
          <cell r="P51">
            <v>1.0278414652935297E-2</v>
          </cell>
          <cell r="Q51">
            <v>3.7776055628917352E-2</v>
          </cell>
          <cell r="R51">
            <v>2.3512509439061569E-2</v>
          </cell>
          <cell r="S51">
            <v>1</v>
          </cell>
        </row>
        <row r="52">
          <cell r="A52" t="str">
            <v>F92</v>
          </cell>
          <cell r="B52" t="str">
            <v>Gas (Non-Seasonal) - Utah Share</v>
          </cell>
          <cell r="C52">
            <v>0</v>
          </cell>
          <cell r="D52">
            <v>0</v>
          </cell>
          <cell r="E52">
            <v>0</v>
          </cell>
          <cell r="F52">
            <v>0.29980675988418126</v>
          </cell>
          <cell r="G52">
            <v>0.27119337098099933</v>
          </cell>
          <cell r="H52">
            <v>9.5792608050297309E-2</v>
          </cell>
          <cell r="I52">
            <v>3.7388727917208654E-3</v>
          </cell>
          <cell r="J52">
            <v>0.18799420859614349</v>
          </cell>
          <cell r="K52">
            <v>7.3373034389534785E-3</v>
          </cell>
          <cell r="L52">
            <v>2.4122954559097236E-4</v>
          </cell>
          <cell r="M52">
            <v>7.35771206711764E-4</v>
          </cell>
          <cell r="N52">
            <v>6.1607347581396285E-2</v>
          </cell>
          <cell r="O52">
            <v>5.3909962349364573E-4</v>
          </cell>
          <cell r="P52">
            <v>1.0220696319511637E-2</v>
          </cell>
          <cell r="Q52">
            <v>3.7361039545440587E-2</v>
          </cell>
          <cell r="R52">
            <v>2.3431692435559603E-2</v>
          </cell>
          <cell r="S52">
            <v>1</v>
          </cell>
        </row>
        <row r="53">
          <cell r="A53" t="str">
            <v>F93</v>
          </cell>
          <cell r="B53" t="str">
            <v>Seasonal CT Gas - Utah Share</v>
          </cell>
          <cell r="C53">
            <v>0</v>
          </cell>
          <cell r="D53">
            <v>0</v>
          </cell>
          <cell r="E53">
            <v>0</v>
          </cell>
          <cell r="F53">
            <v>0.29601091350693043</v>
          </cell>
          <cell r="G53">
            <v>0.27107096281757431</v>
          </cell>
          <cell r="H53">
            <v>9.6180378447097273E-2</v>
          </cell>
          <cell r="I53">
            <v>3.7663464777364679E-3</v>
          </cell>
          <cell r="J53">
            <v>0.18990214303332312</v>
          </cell>
          <cell r="K53">
            <v>8.0618697126322528E-3</v>
          </cell>
          <cell r="L53">
            <v>2.4265412429505927E-4</v>
          </cell>
          <cell r="M53">
            <v>7.4442531661012782E-4</v>
          </cell>
          <cell r="N53">
            <v>6.1507878969924837E-2</v>
          </cell>
          <cell r="O53">
            <v>5.3193896728645376E-4</v>
          </cell>
          <cell r="P53">
            <v>1.0282127393483897E-2</v>
          </cell>
          <cell r="Q53">
            <v>3.8048258075726683E-2</v>
          </cell>
          <cell r="R53">
            <v>2.3650103157378997E-2</v>
          </cell>
          <cell r="S53">
            <v>1</v>
          </cell>
        </row>
        <row r="54">
          <cell r="A54" t="str">
            <v>F94</v>
          </cell>
          <cell r="B54" t="str">
            <v>Other Generation - Utah Share</v>
          </cell>
          <cell r="C54">
            <v>0</v>
          </cell>
          <cell r="D54">
            <v>0</v>
          </cell>
          <cell r="E54">
            <v>0</v>
          </cell>
          <cell r="F54">
            <v>0.29768750074992412</v>
          </cell>
          <cell r="G54">
            <v>0.27111580007800595</v>
          </cell>
          <cell r="H54">
            <v>9.6115817842318443E-2</v>
          </cell>
          <cell r="I54">
            <v>3.7611351026905068E-3</v>
          </cell>
          <cell r="J54">
            <v>0.18907265802723822</v>
          </cell>
          <cell r="K54">
            <v>7.5683482108941458E-3</v>
          </cell>
          <cell r="L54">
            <v>2.4302144661041399E-4</v>
          </cell>
          <cell r="M54">
            <v>7.4285179942495212E-4</v>
          </cell>
          <cell r="N54">
            <v>6.157518635005256E-2</v>
          </cell>
          <cell r="O54">
            <v>5.3611760493784875E-4</v>
          </cell>
          <cell r="P54">
            <v>1.0258304197060053E-2</v>
          </cell>
          <cell r="Q54">
            <v>3.7800308510901597E-2</v>
          </cell>
          <cell r="R54">
            <v>2.3522950079941145E-2</v>
          </cell>
          <cell r="S54">
            <v>1</v>
          </cell>
        </row>
        <row r="55">
          <cell r="A55" t="str">
            <v>F95</v>
          </cell>
          <cell r="B55" t="str">
            <v>Firm Wheeling - Utah Share</v>
          </cell>
          <cell r="C55">
            <v>0</v>
          </cell>
          <cell r="D55">
            <v>0</v>
          </cell>
          <cell r="E55">
            <v>0</v>
          </cell>
          <cell r="F55">
            <v>0.33412632373644391</v>
          </cell>
          <cell r="G55">
            <v>0.28017553674375428</v>
          </cell>
          <cell r="H55">
            <v>9.0532563236644256E-2</v>
          </cell>
          <cell r="I55">
            <v>1.9383373737231755E-3</v>
          </cell>
          <cell r="J55">
            <v>0.17132273027688091</v>
          </cell>
          <cell r="K55">
            <v>6.2431564574266674E-3</v>
          </cell>
          <cell r="L55">
            <v>2.067668069395467E-4</v>
          </cell>
          <cell r="M55">
            <v>3.8752704099499964E-4</v>
          </cell>
          <cell r="N55">
            <v>6.5792372584794034E-2</v>
          </cell>
          <cell r="O55">
            <v>5.9927538502456347E-4</v>
          </cell>
          <cell r="P55">
            <v>8.6302901635804796E-3</v>
          </cell>
          <cell r="Q55">
            <v>2.2658388464404884E-2</v>
          </cell>
          <cell r="R55">
            <v>1.738673172938817E-2</v>
          </cell>
          <cell r="S55">
            <v>1</v>
          </cell>
        </row>
        <row r="56">
          <cell r="A56" t="str">
            <v>F96</v>
          </cell>
          <cell r="B56" t="str">
            <v>Non-Firm Wheeling - Utah Share</v>
          </cell>
          <cell r="C56">
            <v>0</v>
          </cell>
          <cell r="D56">
            <v>0</v>
          </cell>
          <cell r="E56">
            <v>0</v>
          </cell>
          <cell r="F56">
            <v>0.29947784433237412</v>
          </cell>
          <cell r="G56">
            <v>0.27014360972380774</v>
          </cell>
          <cell r="H56">
            <v>9.5979968488540707E-2</v>
          </cell>
          <cell r="I56">
            <v>3.7835095344273531E-3</v>
          </cell>
          <cell r="J56">
            <v>0.18903682572612729</v>
          </cell>
          <cell r="K56">
            <v>6.7989466928714982E-3</v>
          </cell>
          <cell r="L56">
            <v>2.4338737717096326E-4</v>
          </cell>
          <cell r="M56">
            <v>7.4497679800308804E-4</v>
          </cell>
          <cell r="N56">
            <v>6.1790987552453401E-2</v>
          </cell>
          <cell r="O56">
            <v>5.4189131358046527E-4</v>
          </cell>
          <cell r="P56">
            <v>1.0145184907983088E-2</v>
          </cell>
          <cell r="Q56">
            <v>3.8003876801940617E-2</v>
          </cell>
          <cell r="R56">
            <v>2.3308990750719759E-2</v>
          </cell>
          <cell r="S56">
            <v>1</v>
          </cell>
        </row>
        <row r="57">
          <cell r="A57" t="str">
            <v>F101</v>
          </cell>
          <cell r="B57" t="str">
            <v>Rate Base</v>
          </cell>
          <cell r="C57">
            <v>0</v>
          </cell>
          <cell r="D57">
            <v>0</v>
          </cell>
          <cell r="E57">
            <v>0</v>
          </cell>
          <cell r="F57">
            <v>0.40387943064020398</v>
          </cell>
          <cell r="G57">
            <v>0.26689296553279024</v>
          </cell>
          <cell r="H57">
            <v>8.2933087793711766E-2</v>
          </cell>
          <cell r="I57">
            <v>4.662233909154833E-3</v>
          </cell>
          <cell r="J57">
            <v>0.12550926366144619</v>
          </cell>
          <cell r="K57">
            <v>8.4693605035784398E-3</v>
          </cell>
          <cell r="L57">
            <v>2.7747218159948281E-4</v>
          </cell>
          <cell r="M57">
            <v>3.6725389816889001E-4</v>
          </cell>
          <cell r="N57">
            <v>7.1480389457339838E-2</v>
          </cell>
          <cell r="O57">
            <v>6.3627218527380488E-4</v>
          </cell>
          <cell r="P57">
            <v>6.3463974311634393E-3</v>
          </cell>
          <cell r="Q57">
            <v>1.5622140590785091E-2</v>
          </cell>
          <cell r="R57">
            <v>1.2923732214783917E-2</v>
          </cell>
          <cell r="S57">
            <v>1</v>
          </cell>
        </row>
        <row r="58">
          <cell r="A58" t="str">
            <v>F101G</v>
          </cell>
          <cell r="B58" t="str">
            <v>Generation Rate Base</v>
          </cell>
          <cell r="C58">
            <v>0</v>
          </cell>
          <cell r="D58">
            <v>0</v>
          </cell>
          <cell r="E58">
            <v>0</v>
          </cell>
          <cell r="F58">
            <v>0.34242047733702197</v>
          </cell>
          <cell r="G58">
            <v>0.27667674618918187</v>
          </cell>
          <cell r="H58">
            <v>8.9435722498969791E-2</v>
          </cell>
          <cell r="I58">
            <v>1.9879904619515497E-3</v>
          </cell>
          <cell r="J58">
            <v>0.16846465218813683</v>
          </cell>
          <cell r="K58">
            <v>7.1629602227303042E-3</v>
          </cell>
          <cell r="L58">
            <v>2.031902253860918E-4</v>
          </cell>
          <cell r="M58">
            <v>3.9737259136167182E-4</v>
          </cell>
          <cell r="N58">
            <v>6.518253487310563E-2</v>
          </cell>
          <cell r="O58">
            <v>6.0854337229930902E-4</v>
          </cell>
          <cell r="P58">
            <v>8.5356078158865256E-3</v>
          </cell>
          <cell r="Q58">
            <v>2.1590414087835953E-2</v>
          </cell>
          <cell r="R58">
            <v>1.7333788136132965E-2</v>
          </cell>
          <cell r="S58">
            <v>1</v>
          </cell>
        </row>
        <row r="59">
          <cell r="A59" t="str">
            <v>F101T</v>
          </cell>
          <cell r="B59" t="str">
            <v>Transmission Rate Base</v>
          </cell>
          <cell r="C59">
            <v>0</v>
          </cell>
          <cell r="D59">
            <v>0</v>
          </cell>
          <cell r="E59">
            <v>0</v>
          </cell>
          <cell r="F59">
            <v>0.3438402316389314</v>
          </cell>
          <cell r="G59">
            <v>0.27555602443468841</v>
          </cell>
          <cell r="H59">
            <v>8.8373153347162947E-2</v>
          </cell>
          <cell r="I59">
            <v>1.6550020456530543E-3</v>
          </cell>
          <cell r="J59">
            <v>0.1718140092334865</v>
          </cell>
          <cell r="K59">
            <v>7.0401623640345551E-3</v>
          </cell>
          <cell r="L59">
            <v>1.9221650824100835E-4</v>
          </cell>
          <cell r="M59">
            <v>3.5130227880528312E-4</v>
          </cell>
          <cell r="N59">
            <v>6.4740677040601255E-2</v>
          </cell>
          <cell r="O59">
            <v>6.1133376098984377E-4</v>
          </cell>
          <cell r="P59">
            <v>8.384840063816559E-3</v>
          </cell>
          <cell r="Q59">
            <v>2.0138427935932263E-2</v>
          </cell>
          <cell r="R59">
            <v>1.7302619347657436E-2</v>
          </cell>
          <cell r="S59">
            <v>1</v>
          </cell>
        </row>
        <row r="60">
          <cell r="A60" t="str">
            <v>F101D</v>
          </cell>
          <cell r="B60" t="str">
            <v>Distribution Rate Base</v>
          </cell>
          <cell r="C60">
            <v>0</v>
          </cell>
          <cell r="D60">
            <v>0</v>
          </cell>
          <cell r="E60">
            <v>0</v>
          </cell>
          <cell r="F60">
            <v>0.57660712262796932</v>
          </cell>
          <cell r="G60">
            <v>0.23918842268196797</v>
          </cell>
          <cell r="H60">
            <v>6.556311904906631E-2</v>
          </cell>
          <cell r="I60">
            <v>1.2654865517756001E-2</v>
          </cell>
          <cell r="J60">
            <v>-2.4843182886082159E-5</v>
          </cell>
          <cell r="K60">
            <v>1.2403832878981582E-2</v>
          </cell>
          <cell r="L60">
            <v>4.8424208582078534E-4</v>
          </cell>
          <cell r="M60">
            <v>3.1572602268109263E-4</v>
          </cell>
          <cell r="N60">
            <v>9.179079119731684E-2</v>
          </cell>
          <cell r="O60">
            <v>7.1370337197621729E-4</v>
          </cell>
          <cell r="P60">
            <v>1.0065917048470323E-4</v>
          </cell>
          <cell r="Q60">
            <v>1.0145498212244967E-4</v>
          </cell>
          <cell r="R60">
            <v>1.0090359674253332E-4</v>
          </cell>
          <cell r="S60">
            <v>1</v>
          </cell>
        </row>
        <row r="61">
          <cell r="A61" t="str">
            <v>F101R</v>
          </cell>
          <cell r="B61" t="str">
            <v>Retail Rate Base</v>
          </cell>
          <cell r="C61">
            <v>0</v>
          </cell>
          <cell r="D61">
            <v>0</v>
          </cell>
          <cell r="E61">
            <v>0</v>
          </cell>
          <cell r="F61">
            <v>-3.6755537519483097</v>
          </cell>
          <cell r="G61">
            <v>7.3999564773730556E-2</v>
          </cell>
          <cell r="H61">
            <v>0.60387424979833171</v>
          </cell>
          <cell r="I61">
            <v>-5.6033058722564602E-2</v>
          </cell>
          <cell r="J61">
            <v>2.1250485311204321</v>
          </cell>
          <cell r="K61">
            <v>3.0985234679691318E-2</v>
          </cell>
          <cell r="L61">
            <v>-1.5584865733203284E-2</v>
          </cell>
          <cell r="M61">
            <v>-2.9753097980085149E-3</v>
          </cell>
          <cell r="N61">
            <v>1.412285515178362</v>
          </cell>
          <cell r="O61">
            <v>-9.2892521883968228E-5</v>
          </cell>
          <cell r="P61">
            <v>-8.4991158924146344E-5</v>
          </cell>
          <cell r="Q61">
            <v>0.50427520003501081</v>
          </cell>
          <cell r="R61">
            <v>-1.4342570266041808E-4</v>
          </cell>
          <cell r="S61">
            <v>1</v>
          </cell>
        </row>
        <row r="62">
          <cell r="A62" t="str">
            <v>F101M</v>
          </cell>
          <cell r="B62" t="str">
            <v>Misc Rate Base</v>
          </cell>
          <cell r="C62">
            <v>0</v>
          </cell>
          <cell r="D62">
            <v>0</v>
          </cell>
          <cell r="E62">
            <v>0</v>
          </cell>
          <cell r="F62">
            <v>0.37194479648276563</v>
          </cell>
          <cell r="G62">
            <v>0.27017472865114867</v>
          </cell>
          <cell r="H62">
            <v>8.6399066627692964E-2</v>
          </cell>
          <cell r="I62">
            <v>4.3838958740342413E-3</v>
          </cell>
          <cell r="J62">
            <v>0.14637292352103043</v>
          </cell>
          <cell r="K62">
            <v>7.9917244246912617E-3</v>
          </cell>
          <cell r="L62">
            <v>2.4733407066771136E-4</v>
          </cell>
          <cell r="M62">
            <v>4.1697866713456182E-4</v>
          </cell>
          <cell r="N62">
            <v>6.8699232623730316E-2</v>
          </cell>
          <cell r="O62">
            <v>6.1439919273320988E-4</v>
          </cell>
          <cell r="P62">
            <v>7.4454421015251364E-3</v>
          </cell>
          <cell r="Q62">
            <v>1.9893301994217572E-2</v>
          </cell>
          <cell r="R62">
            <v>1.5416175768628354E-2</v>
          </cell>
          <cell r="S62">
            <v>1</v>
          </cell>
        </row>
        <row r="63">
          <cell r="A63" t="str">
            <v>F102</v>
          </cell>
          <cell r="B63" t="str">
            <v>SGP - System Gross Plant</v>
          </cell>
          <cell r="C63">
            <v>0</v>
          </cell>
          <cell r="D63">
            <v>0</v>
          </cell>
          <cell r="E63">
            <v>0</v>
          </cell>
          <cell r="F63">
            <v>0.40699770433233362</v>
          </cell>
          <cell r="G63">
            <v>0.26604829024262955</v>
          </cell>
          <cell r="H63">
            <v>8.2358502052883642E-2</v>
          </cell>
          <cell r="I63">
            <v>5.9844966363501381E-3</v>
          </cell>
          <cell r="J63">
            <v>0.12315062656674258</v>
          </cell>
          <cell r="K63">
            <v>8.4484920904371388E-3</v>
          </cell>
          <cell r="L63">
            <v>2.7542354000494149E-4</v>
          </cell>
          <cell r="M63">
            <v>3.539347696718907E-4</v>
          </cell>
          <cell r="N63">
            <v>7.2502478242994509E-2</v>
          </cell>
          <cell r="O63">
            <v>6.3661179214994442E-4</v>
          </cell>
          <cell r="P63">
            <v>6.1343366117120202E-3</v>
          </cell>
          <cell r="Q63">
            <v>1.4734950200145411E-2</v>
          </cell>
          <cell r="R63">
            <v>1.2374152921944659E-2</v>
          </cell>
          <cell r="S63">
            <v>1</v>
          </cell>
        </row>
        <row r="64">
          <cell r="A64" t="str">
            <v>F102G</v>
          </cell>
          <cell r="B64" t="str">
            <v>SGGP - System Gross Generation Plant</v>
          </cell>
          <cell r="C64">
            <v>0</v>
          </cell>
          <cell r="D64">
            <v>0</v>
          </cell>
          <cell r="E64">
            <v>0</v>
          </cell>
          <cell r="F64">
            <v>0.34614840034762284</v>
          </cell>
          <cell r="G64">
            <v>0.27714190730544985</v>
          </cell>
          <cell r="H64">
            <v>8.8893933934608704E-2</v>
          </cell>
          <cell r="I64">
            <v>1.8411158366343089E-3</v>
          </cell>
          <cell r="J64">
            <v>0.16676583628548819</v>
          </cell>
          <cell r="K64">
            <v>7.0860901420777261E-3</v>
          </cell>
          <cell r="L64">
            <v>1.9995583660614694E-4</v>
          </cell>
          <cell r="M64">
            <v>3.6884508456680091E-4</v>
          </cell>
          <cell r="N64">
            <v>6.5486496063917571E-2</v>
          </cell>
          <cell r="O64">
            <v>6.1474885781010011E-4</v>
          </cell>
          <cell r="P64">
            <v>8.3923541517602687E-3</v>
          </cell>
          <cell r="Q64">
            <v>2.0243320875040226E-2</v>
          </cell>
          <cell r="R64">
            <v>1.6816995278417228E-2</v>
          </cell>
          <cell r="S64">
            <v>1</v>
          </cell>
        </row>
        <row r="65">
          <cell r="A65" t="str">
            <v>F102T</v>
          </cell>
          <cell r="B65" t="str">
            <v>SGTP - System Gross Transmission Plant</v>
          </cell>
          <cell r="C65">
            <v>0</v>
          </cell>
          <cell r="D65">
            <v>0</v>
          </cell>
          <cell r="E65">
            <v>0</v>
          </cell>
          <cell r="F65">
            <v>0.34340037373305027</v>
          </cell>
          <cell r="G65">
            <v>0.27494171416134194</v>
          </cell>
          <cell r="H65">
            <v>8.8188216687089913E-2</v>
          </cell>
          <cell r="I65">
            <v>1.826499460205872E-3</v>
          </cell>
          <cell r="J65">
            <v>0.17276601076781811</v>
          </cell>
          <cell r="K65">
            <v>7.0298346046142176E-3</v>
          </cell>
          <cell r="L65">
            <v>1.9836841352350088E-4</v>
          </cell>
          <cell r="M65">
            <v>3.6591687196195889E-4</v>
          </cell>
          <cell r="N65">
            <v>6.4966607386408096E-2</v>
          </cell>
          <cell r="O65">
            <v>6.0986844749809615E-4</v>
          </cell>
          <cell r="P65">
            <v>8.3638913257047861E-3</v>
          </cell>
          <cell r="Q65">
            <v>2.0082611813620106E-2</v>
          </cell>
          <cell r="R65">
            <v>1.7260086327163283E-2</v>
          </cell>
          <cell r="S65">
            <v>1</v>
          </cell>
        </row>
        <row r="66">
          <cell r="A66" t="str">
            <v>F102D</v>
          </cell>
          <cell r="B66" t="str">
            <v>SGDP - System Gross Distribution Plant</v>
          </cell>
          <cell r="C66">
            <v>0</v>
          </cell>
          <cell r="D66">
            <v>0</v>
          </cell>
          <cell r="E66">
            <v>0</v>
          </cell>
          <cell r="F66">
            <v>0.57228327124950928</v>
          </cell>
          <cell r="G66">
            <v>0.23812514611636967</v>
          </cell>
          <cell r="H66">
            <v>6.542531486363444E-2</v>
          </cell>
          <cell r="I66">
            <v>1.7098032327922709E-2</v>
          </cell>
          <cell r="J66">
            <v>1.3798204912094045E-3</v>
          </cell>
          <cell r="K66">
            <v>1.2144883461154256E-2</v>
          </cell>
          <cell r="L66">
            <v>4.7892714432723146E-4</v>
          </cell>
          <cell r="M66">
            <v>3.163811342316408E-4</v>
          </cell>
          <cell r="N66">
            <v>9.1726219433068079E-2</v>
          </cell>
          <cell r="O66">
            <v>6.9918422949930893E-4</v>
          </cell>
          <cell r="P66">
            <v>1.0760651635802231E-4</v>
          </cell>
          <cell r="Q66">
            <v>1.0760651635802231E-4</v>
          </cell>
          <cell r="R66">
            <v>1.0760651635802231E-4</v>
          </cell>
          <cell r="S66">
            <v>1</v>
          </cell>
        </row>
        <row r="67">
          <cell r="A67" t="str">
            <v>F102R</v>
          </cell>
          <cell r="B67" t="str">
            <v>SGTP - System Gross Retail Plant</v>
          </cell>
          <cell r="C67">
            <v>0</v>
          </cell>
          <cell r="D67">
            <v>0</v>
          </cell>
          <cell r="E67">
            <v>0</v>
          </cell>
          <cell r="F67">
            <v>0.40699770433233362</v>
          </cell>
          <cell r="G67">
            <v>0.26604829024262955</v>
          </cell>
          <cell r="H67">
            <v>8.2358502052883642E-2</v>
          </cell>
          <cell r="I67">
            <v>5.9844966363501381E-3</v>
          </cell>
          <cell r="J67">
            <v>0.12315062656674258</v>
          </cell>
          <cell r="K67">
            <v>8.4484920904371388E-3</v>
          </cell>
          <cell r="L67">
            <v>2.7542354000494149E-4</v>
          </cell>
          <cell r="M67">
            <v>3.539347696718907E-4</v>
          </cell>
          <cell r="N67">
            <v>7.2502478242994509E-2</v>
          </cell>
          <cell r="O67">
            <v>6.3661179214994442E-4</v>
          </cell>
          <cell r="P67">
            <v>6.1343366117120202E-3</v>
          </cell>
          <cell r="Q67">
            <v>1.4734950200145411E-2</v>
          </cell>
          <cell r="R67">
            <v>1.2374152921944659E-2</v>
          </cell>
          <cell r="S67">
            <v>1</v>
          </cell>
        </row>
        <row r="68">
          <cell r="A68" t="str">
            <v>F102M</v>
          </cell>
          <cell r="B68" t="str">
            <v>SGDP - System Gross Misc Plant</v>
          </cell>
          <cell r="C68">
            <v>0</v>
          </cell>
          <cell r="D68">
            <v>0</v>
          </cell>
          <cell r="E68">
            <v>0</v>
          </cell>
          <cell r="F68">
            <v>0.40699770433233362</v>
          </cell>
          <cell r="G68">
            <v>0.26604829024262955</v>
          </cell>
          <cell r="H68">
            <v>8.2358502052883642E-2</v>
          </cell>
          <cell r="I68">
            <v>5.9844966363501381E-3</v>
          </cell>
          <cell r="J68">
            <v>0.12315062656674258</v>
          </cell>
          <cell r="K68">
            <v>8.4484920904371388E-3</v>
          </cell>
          <cell r="L68">
            <v>2.7542354000494149E-4</v>
          </cell>
          <cell r="M68">
            <v>3.539347696718907E-4</v>
          </cell>
          <cell r="N68">
            <v>7.2502478242994509E-2</v>
          </cell>
          <cell r="O68">
            <v>6.3661179214994442E-4</v>
          </cell>
          <cell r="P68">
            <v>6.1343366117120202E-3</v>
          </cell>
          <cell r="Q68">
            <v>1.4734950200145411E-2</v>
          </cell>
          <cell r="R68">
            <v>1.2374152921944659E-2</v>
          </cell>
          <cell r="S68">
            <v>1</v>
          </cell>
        </row>
        <row r="69">
          <cell r="A69" t="str">
            <v>F103</v>
          </cell>
          <cell r="B69" t="str">
            <v>SGP - System Gross Plant (Regulatory fees)</v>
          </cell>
          <cell r="C69">
            <v>0</v>
          </cell>
          <cell r="D69">
            <v>0</v>
          </cell>
          <cell r="E69">
            <v>0</v>
          </cell>
          <cell r="F69">
            <v>0.25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0.25</v>
          </cell>
          <cell r="L69">
            <v>0</v>
          </cell>
          <cell r="M69">
            <v>0</v>
          </cell>
          <cell r="N69">
            <v>0.25</v>
          </cell>
          <cell r="O69">
            <v>0.25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</row>
        <row r="70">
          <cell r="A70" t="str">
            <v>F104</v>
          </cell>
          <cell r="B70" t="str">
            <v>SNP - System Net Plant</v>
          </cell>
          <cell r="C70">
            <v>0</v>
          </cell>
          <cell r="D70">
            <v>0</v>
          </cell>
          <cell r="E70">
            <v>0</v>
          </cell>
          <cell r="F70">
            <v>0.40685137361051088</v>
          </cell>
          <cell r="G70">
            <v>0.26565191032875735</v>
          </cell>
          <cell r="H70">
            <v>8.2420700219701909E-2</v>
          </cell>
          <cell r="I70">
            <v>4.7494781898919499E-3</v>
          </cell>
          <cell r="J70">
            <v>0.12422881700322501</v>
          </cell>
          <cell r="K70">
            <v>8.5005894274748379E-3</v>
          </cell>
          <cell r="L70">
            <v>2.8258285306598328E-4</v>
          </cell>
          <cell r="M70">
            <v>3.6611178844853088E-4</v>
          </cell>
          <cell r="N70">
            <v>7.2376855493827622E-2</v>
          </cell>
          <cell r="O70">
            <v>6.3680534764103645E-4</v>
          </cell>
          <cell r="P70">
            <v>6.2004998076277094E-3</v>
          </cell>
          <cell r="Q70">
            <v>1.5161025682856153E-2</v>
          </cell>
          <cell r="R70">
            <v>1.2573250246971352E-2</v>
          </cell>
          <cell r="S70">
            <v>1</v>
          </cell>
        </row>
        <row r="71">
          <cell r="A71" t="str">
            <v>F104G</v>
          </cell>
          <cell r="B71" t="str">
            <v>SNP - System Net Generation Plant</v>
          </cell>
          <cell r="C71">
            <v>0</v>
          </cell>
          <cell r="D71">
            <v>0</v>
          </cell>
          <cell r="E71">
            <v>0</v>
          </cell>
          <cell r="F71">
            <v>0.34420642446377425</v>
          </cell>
          <cell r="G71">
            <v>0.27689359500204153</v>
          </cell>
          <cell r="H71">
            <v>8.9175871851307834E-2</v>
          </cell>
          <cell r="I71">
            <v>1.9180536924996142E-3</v>
          </cell>
          <cell r="J71">
            <v>0.16765159235120625</v>
          </cell>
          <cell r="K71">
            <v>7.1298868617589656E-3</v>
          </cell>
          <cell r="L71">
            <v>2.0164023661130938E-4</v>
          </cell>
          <cell r="M71">
            <v>3.8380810841633751E-4</v>
          </cell>
          <cell r="N71">
            <v>6.5326005322296668E-2</v>
          </cell>
          <cell r="O71">
            <v>6.1149227299897113E-4</v>
          </cell>
          <cell r="P71">
            <v>8.4671711418651697E-3</v>
          </cell>
          <cell r="Q71">
            <v>2.0947260969540159E-2</v>
          </cell>
          <cell r="R71">
            <v>1.7087197725683005E-2</v>
          </cell>
          <cell r="S71">
            <v>1</v>
          </cell>
        </row>
        <row r="72">
          <cell r="A72" t="str">
            <v>F104T</v>
          </cell>
          <cell r="B72" t="str">
            <v>SNP - System Net Transmission Plant</v>
          </cell>
          <cell r="C72">
            <v>0</v>
          </cell>
          <cell r="D72">
            <v>0</v>
          </cell>
          <cell r="E72">
            <v>0</v>
          </cell>
          <cell r="F72">
            <v>0.34340052398237036</v>
          </cell>
          <cell r="G72">
            <v>0.27494183445767456</v>
          </cell>
          <cell r="H72">
            <v>8.8188255272428212E-2</v>
          </cell>
          <cell r="I72">
            <v>1.8265002593613857E-3</v>
          </cell>
          <cell r="J72">
            <v>0.17276568270617143</v>
          </cell>
          <cell r="K72">
            <v>7.0298376804054808E-3</v>
          </cell>
          <cell r="L72">
            <v>1.9836850031641534E-4</v>
          </cell>
          <cell r="M72">
            <v>3.6591703206301121E-4</v>
          </cell>
          <cell r="N72">
            <v>6.4966635811504095E-2</v>
          </cell>
          <cell r="O72">
            <v>6.0986871433624365E-4</v>
          </cell>
          <cell r="P72">
            <v>8.3638928819197954E-3</v>
          </cell>
          <cell r="Q72">
            <v>2.0082620600444471E-2</v>
          </cell>
          <cell r="R72">
            <v>1.7260062101004607E-2</v>
          </cell>
          <cell r="S72">
            <v>1</v>
          </cell>
        </row>
        <row r="73">
          <cell r="A73" t="str">
            <v>F104D</v>
          </cell>
          <cell r="B73" t="str">
            <v>SNP - System Net Distribution Plant</v>
          </cell>
          <cell r="C73">
            <v>0</v>
          </cell>
          <cell r="D73">
            <v>0</v>
          </cell>
          <cell r="E73">
            <v>0</v>
          </cell>
          <cell r="F73">
            <v>0.57613045334718493</v>
          </cell>
          <cell r="G73">
            <v>0.23846417633296926</v>
          </cell>
          <cell r="H73">
            <v>6.5362943553253811E-2</v>
          </cell>
          <cell r="I73">
            <v>1.2575185943177299E-2</v>
          </cell>
          <cell r="J73">
            <v>1.2791519146759583E-3</v>
          </cell>
          <cell r="K73">
            <v>1.2403440118704276E-2</v>
          </cell>
          <cell r="L73">
            <v>4.897227255862617E-4</v>
          </cell>
          <cell r="M73">
            <v>3.3148038799609412E-4</v>
          </cell>
          <cell r="N73">
            <v>9.1950992239916401E-2</v>
          </cell>
          <cell r="O73">
            <v>7.1318607029246595E-4</v>
          </cell>
          <cell r="P73">
            <v>9.9755788747802202E-5</v>
          </cell>
          <cell r="Q73">
            <v>9.9755788747802202E-5</v>
          </cell>
          <cell r="R73">
            <v>9.9755788747802202E-5</v>
          </cell>
          <cell r="S73">
            <v>1</v>
          </cell>
        </row>
        <row r="74">
          <cell r="A74" t="str">
            <v>F104R</v>
          </cell>
          <cell r="B74" t="str">
            <v>SNP - System Net Retail Plant</v>
          </cell>
          <cell r="C74">
            <v>0</v>
          </cell>
          <cell r="D74">
            <v>0</v>
          </cell>
          <cell r="E74">
            <v>0</v>
          </cell>
          <cell r="F74">
            <v>0.87164885972756267</v>
          </cell>
          <cell r="G74">
            <v>1.8711933791347925E-2</v>
          </cell>
          <cell r="H74">
            <v>3.6111608455106865E-4</v>
          </cell>
          <cell r="I74">
            <v>1.0725084478773038E-2</v>
          </cell>
          <cell r="J74">
            <v>1.5428423563938244E-3</v>
          </cell>
          <cell r="K74">
            <v>3.5449745149797318E-3</v>
          </cell>
          <cell r="L74">
            <v>2.4800185530835465E-3</v>
          </cell>
          <cell r="M74">
            <v>5.2164383112987165E-4</v>
          </cell>
          <cell r="N74">
            <v>9.0421278399340152E-2</v>
          </cell>
          <cell r="O74">
            <v>1.3319968655183395E-5</v>
          </cell>
          <cell r="P74">
            <v>9.6427647274614109E-6</v>
          </cell>
          <cell r="Q74">
            <v>9.6427647274614109E-6</v>
          </cell>
          <cell r="R74">
            <v>9.6427647274614109E-6</v>
          </cell>
          <cell r="S74">
            <v>1</v>
          </cell>
        </row>
        <row r="75">
          <cell r="A75" t="str">
            <v>F104M</v>
          </cell>
          <cell r="B75" t="str">
            <v>SNP - System Net Misc Plant</v>
          </cell>
          <cell r="C75">
            <v>0</v>
          </cell>
          <cell r="D75">
            <v>0</v>
          </cell>
          <cell r="E75">
            <v>0</v>
          </cell>
          <cell r="F75">
            <v>0.40685137361051088</v>
          </cell>
          <cell r="G75">
            <v>0.26565191032875735</v>
          </cell>
          <cell r="H75">
            <v>8.2420700219701909E-2</v>
          </cell>
          <cell r="I75">
            <v>4.7494781898919499E-3</v>
          </cell>
          <cell r="J75">
            <v>0.12422881700322501</v>
          </cell>
          <cell r="K75">
            <v>8.5005894274748379E-3</v>
          </cell>
          <cell r="L75">
            <v>2.8258285306598328E-4</v>
          </cell>
          <cell r="M75">
            <v>3.6611178844853088E-4</v>
          </cell>
          <cell r="N75">
            <v>7.2376855493827622E-2</v>
          </cell>
          <cell r="O75">
            <v>6.3680534764103645E-4</v>
          </cell>
          <cell r="P75">
            <v>6.2004998076277094E-3</v>
          </cell>
          <cell r="Q75">
            <v>1.5161025682856153E-2</v>
          </cell>
          <cell r="R75">
            <v>1.2573250246971352E-2</v>
          </cell>
          <cell r="S75">
            <v>1</v>
          </cell>
        </row>
        <row r="76">
          <cell r="A76" t="str">
            <v>F105</v>
          </cell>
          <cell r="B76" t="str">
            <v>STP - System Prod &amp; Trans Plant</v>
          </cell>
          <cell r="C76">
            <v>0</v>
          </cell>
          <cell r="D76">
            <v>0</v>
          </cell>
          <cell r="E76">
            <v>0</v>
          </cell>
          <cell r="F76">
            <v>0.34530906154292762</v>
          </cell>
          <cell r="G76">
            <v>0.27646989507897385</v>
          </cell>
          <cell r="H76">
            <v>8.8678384395225004E-2</v>
          </cell>
          <cell r="I76">
            <v>1.8366515087215572E-3</v>
          </cell>
          <cell r="J76">
            <v>0.16859848930684371</v>
          </cell>
          <cell r="K76">
            <v>7.0689078282960031E-3</v>
          </cell>
          <cell r="L76">
            <v>1.9947098475439691E-4</v>
          </cell>
          <cell r="M76">
            <v>3.6795071096262674E-4</v>
          </cell>
          <cell r="N76">
            <v>6.5327704755696089E-2</v>
          </cell>
          <cell r="O76">
            <v>6.1325821804119197E-4</v>
          </cell>
          <cell r="P76">
            <v>8.3836606572093176E-3</v>
          </cell>
          <cell r="Q76">
            <v>2.0194234977982041E-2</v>
          </cell>
          <cell r="R76">
            <v>1.6952330034366647E-2</v>
          </cell>
          <cell r="S76">
            <v>1</v>
          </cell>
        </row>
        <row r="77">
          <cell r="A77" t="str">
            <v>F105G</v>
          </cell>
          <cell r="B77" t="str">
            <v>SGGP - System Gross Generation Plant</v>
          </cell>
          <cell r="C77">
            <v>0</v>
          </cell>
          <cell r="D77">
            <v>0</v>
          </cell>
          <cell r="E77">
            <v>0</v>
          </cell>
          <cell r="F77">
            <v>0.34614840034762284</v>
          </cell>
          <cell r="G77">
            <v>0.27714190730544985</v>
          </cell>
          <cell r="H77">
            <v>8.8893933934608704E-2</v>
          </cell>
          <cell r="I77">
            <v>1.8411158366343089E-3</v>
          </cell>
          <cell r="J77">
            <v>0.16676583628548819</v>
          </cell>
          <cell r="K77">
            <v>7.0860901420777261E-3</v>
          </cell>
          <cell r="L77">
            <v>1.9995583660614694E-4</v>
          </cell>
          <cell r="M77">
            <v>3.6884508456680091E-4</v>
          </cell>
          <cell r="N77">
            <v>6.5486496063917571E-2</v>
          </cell>
          <cell r="O77">
            <v>6.1474885781010011E-4</v>
          </cell>
          <cell r="P77">
            <v>8.3923541517602687E-3</v>
          </cell>
          <cell r="Q77">
            <v>2.0243320875040226E-2</v>
          </cell>
          <cell r="R77">
            <v>1.6816995278417228E-2</v>
          </cell>
          <cell r="S77">
            <v>1</v>
          </cell>
        </row>
        <row r="78">
          <cell r="A78" t="str">
            <v>F105T</v>
          </cell>
          <cell r="B78" t="str">
            <v>SGTP - System Gross Transmission Plant</v>
          </cell>
          <cell r="C78">
            <v>0</v>
          </cell>
          <cell r="D78">
            <v>0</v>
          </cell>
          <cell r="E78">
            <v>0</v>
          </cell>
          <cell r="F78">
            <v>0.34340037373305027</v>
          </cell>
          <cell r="G78">
            <v>0.27494171416134194</v>
          </cell>
          <cell r="H78">
            <v>8.8188216687089913E-2</v>
          </cell>
          <cell r="I78">
            <v>1.826499460205872E-3</v>
          </cell>
          <cell r="J78">
            <v>0.17276601076781811</v>
          </cell>
          <cell r="K78">
            <v>7.0298346046142176E-3</v>
          </cell>
          <cell r="L78">
            <v>1.9836841352350088E-4</v>
          </cell>
          <cell r="M78">
            <v>3.6591687196195889E-4</v>
          </cell>
          <cell r="N78">
            <v>6.4966607386408096E-2</v>
          </cell>
          <cell r="O78">
            <v>6.0986844749809615E-4</v>
          </cell>
          <cell r="P78">
            <v>8.3638913257047861E-3</v>
          </cell>
          <cell r="Q78">
            <v>2.0082611813620106E-2</v>
          </cell>
          <cell r="R78">
            <v>1.7260086327163283E-2</v>
          </cell>
          <cell r="S78">
            <v>1</v>
          </cell>
        </row>
        <row r="79">
          <cell r="A79" t="str">
            <v>F105D</v>
          </cell>
          <cell r="B79" t="str">
            <v>SGDP - System Gross Distribution Plant</v>
          </cell>
          <cell r="C79">
            <v>0</v>
          </cell>
          <cell r="D79">
            <v>0</v>
          </cell>
          <cell r="E79">
            <v>0</v>
          </cell>
          <cell r="F79">
            <v>7.6923076923076927E-2</v>
          </cell>
          <cell r="G79">
            <v>7.6923076923076927E-2</v>
          </cell>
          <cell r="H79">
            <v>7.6923076923076927E-2</v>
          </cell>
          <cell r="I79">
            <v>7.6923076923076927E-2</v>
          </cell>
          <cell r="J79">
            <v>7.6923076923076927E-2</v>
          </cell>
          <cell r="K79">
            <v>7.6923076923076927E-2</v>
          </cell>
          <cell r="L79">
            <v>7.6923076923076927E-2</v>
          </cell>
          <cell r="M79">
            <v>7.6923076923076927E-2</v>
          </cell>
          <cell r="N79">
            <v>7.6923076923076927E-2</v>
          </cell>
          <cell r="O79">
            <v>7.6923076923076927E-2</v>
          </cell>
          <cell r="P79">
            <v>7.6923076923076927E-2</v>
          </cell>
          <cell r="Q79">
            <v>7.6923076923076927E-2</v>
          </cell>
          <cell r="R79">
            <v>7.6923076923076927E-2</v>
          </cell>
          <cell r="S79">
            <v>1</v>
          </cell>
        </row>
        <row r="80">
          <cell r="A80" t="str">
            <v>F105R</v>
          </cell>
          <cell r="B80" t="str">
            <v>SGTP - System Gross Retail Plant</v>
          </cell>
          <cell r="C80">
            <v>0</v>
          </cell>
          <cell r="D80">
            <v>0</v>
          </cell>
          <cell r="E80">
            <v>0</v>
          </cell>
          <cell r="F80">
            <v>7.6923076923076927E-2</v>
          </cell>
          <cell r="G80">
            <v>7.6923076923076927E-2</v>
          </cell>
          <cell r="H80">
            <v>7.6923076923076927E-2</v>
          </cell>
          <cell r="I80">
            <v>7.6923076923076927E-2</v>
          </cell>
          <cell r="J80">
            <v>7.6923076923076927E-2</v>
          </cell>
          <cell r="K80">
            <v>7.6923076923076927E-2</v>
          </cell>
          <cell r="L80">
            <v>7.6923076923076927E-2</v>
          </cell>
          <cell r="M80">
            <v>7.6923076923076927E-2</v>
          </cell>
          <cell r="N80">
            <v>7.6923076923076927E-2</v>
          </cell>
          <cell r="O80">
            <v>7.6923076923076927E-2</v>
          </cell>
          <cell r="P80">
            <v>7.6923076923076927E-2</v>
          </cell>
          <cell r="Q80">
            <v>7.6923076923076927E-2</v>
          </cell>
          <cell r="R80">
            <v>7.6923076923076927E-2</v>
          </cell>
          <cell r="S80">
            <v>1</v>
          </cell>
        </row>
        <row r="81">
          <cell r="A81" t="str">
            <v>F105M</v>
          </cell>
          <cell r="B81" t="str">
            <v>SGDP - System Gross Misc Plant</v>
          </cell>
          <cell r="C81">
            <v>0</v>
          </cell>
          <cell r="D81">
            <v>0</v>
          </cell>
          <cell r="E81">
            <v>0</v>
          </cell>
          <cell r="F81">
            <v>7.6923076923076927E-2</v>
          </cell>
          <cell r="G81">
            <v>7.6923076923076927E-2</v>
          </cell>
          <cell r="H81">
            <v>7.6923076923076927E-2</v>
          </cell>
          <cell r="I81">
            <v>7.6923076923076927E-2</v>
          </cell>
          <cell r="J81">
            <v>7.6923076923076927E-2</v>
          </cell>
          <cell r="K81">
            <v>7.6923076923076927E-2</v>
          </cell>
          <cell r="L81">
            <v>7.6923076923076927E-2</v>
          </cell>
          <cell r="M81">
            <v>7.6923076923076927E-2</v>
          </cell>
          <cell r="N81">
            <v>7.6923076923076927E-2</v>
          </cell>
          <cell r="O81">
            <v>7.6923076923076927E-2</v>
          </cell>
          <cell r="P81">
            <v>7.6923076923076927E-2</v>
          </cell>
          <cell r="Q81">
            <v>7.6923076923076927E-2</v>
          </cell>
          <cell r="R81">
            <v>7.6923076923076927E-2</v>
          </cell>
          <cell r="S81">
            <v>1</v>
          </cell>
        </row>
        <row r="82">
          <cell r="A82" t="str">
            <v>F106</v>
          </cell>
          <cell r="B82" t="str">
            <v>STP - System Transmission Plant</v>
          </cell>
          <cell r="C82">
            <v>0</v>
          </cell>
          <cell r="D82">
            <v>0</v>
          </cell>
          <cell r="E82">
            <v>0</v>
          </cell>
          <cell r="F82">
            <v>0.34340037373305027</v>
          </cell>
          <cell r="G82">
            <v>0.27494171416134194</v>
          </cell>
          <cell r="H82">
            <v>8.8188216687089913E-2</v>
          </cell>
          <cell r="I82">
            <v>1.826499460205872E-3</v>
          </cell>
          <cell r="J82">
            <v>0.17276601076781811</v>
          </cell>
          <cell r="K82">
            <v>7.0298346046142176E-3</v>
          </cell>
          <cell r="L82">
            <v>1.9836841352350088E-4</v>
          </cell>
          <cell r="M82">
            <v>3.6591687196195889E-4</v>
          </cell>
          <cell r="N82">
            <v>6.4966607386408096E-2</v>
          </cell>
          <cell r="O82">
            <v>6.0986844749809615E-4</v>
          </cell>
          <cell r="P82">
            <v>8.3638913257047861E-3</v>
          </cell>
          <cell r="Q82">
            <v>2.0082611813620106E-2</v>
          </cell>
          <cell r="R82">
            <v>1.7260086327163283E-2</v>
          </cell>
          <cell r="S82">
            <v>1</v>
          </cell>
        </row>
        <row r="83">
          <cell r="A83" t="str">
            <v>F107</v>
          </cell>
          <cell r="B83" t="str">
            <v>STP - System Trans &amp; Dist Plant</v>
          </cell>
          <cell r="C83">
            <v>0</v>
          </cell>
          <cell r="D83">
            <v>0</v>
          </cell>
          <cell r="E83">
            <v>0</v>
          </cell>
          <cell r="F83">
            <v>0.4692734113239776</v>
          </cell>
          <cell r="G83">
            <v>0.2546946214175056</v>
          </cell>
          <cell r="H83">
            <v>7.5669869409979079E-2</v>
          </cell>
          <cell r="I83">
            <v>1.0225004772692023E-2</v>
          </cell>
          <cell r="J83">
            <v>7.8513008008177287E-2</v>
          </cell>
          <cell r="K83">
            <v>9.8428308746933094E-3</v>
          </cell>
          <cell r="L83">
            <v>3.5266032459292163E-4</v>
          </cell>
          <cell r="M83">
            <v>3.3867493363856676E-4</v>
          </cell>
          <cell r="N83">
            <v>7.9682926035011564E-2</v>
          </cell>
          <cell r="O83">
            <v>6.5898722791939558E-4</v>
          </cell>
          <cell r="P83">
            <v>3.8233876032998581E-3</v>
          </cell>
          <cell r="Q83">
            <v>9.0974546876691001E-3</v>
          </cell>
          <cell r="R83">
            <v>7.8271633808437279E-3</v>
          </cell>
          <cell r="S83">
            <v>1</v>
          </cell>
        </row>
        <row r="84">
          <cell r="A84" t="str">
            <v>F107G</v>
          </cell>
          <cell r="B84" t="str">
            <v>SGGP - System Gross Generation Plant</v>
          </cell>
          <cell r="C84">
            <v>0</v>
          </cell>
          <cell r="D84">
            <v>0</v>
          </cell>
          <cell r="E84">
            <v>0</v>
          </cell>
          <cell r="F84">
            <v>0.34614840034762284</v>
          </cell>
          <cell r="G84">
            <v>0.27714190730544985</v>
          </cell>
          <cell r="H84">
            <v>8.8893933934608704E-2</v>
          </cell>
          <cell r="I84">
            <v>1.8411158366343089E-3</v>
          </cell>
          <cell r="J84">
            <v>0.16676583628548819</v>
          </cell>
          <cell r="K84">
            <v>7.0860901420777261E-3</v>
          </cell>
          <cell r="L84">
            <v>1.9995583660614694E-4</v>
          </cell>
          <cell r="M84">
            <v>3.6884508456680091E-4</v>
          </cell>
          <cell r="N84">
            <v>6.5486496063917571E-2</v>
          </cell>
          <cell r="O84">
            <v>6.1474885781010011E-4</v>
          </cell>
          <cell r="P84">
            <v>8.3923541517602687E-3</v>
          </cell>
          <cell r="Q84">
            <v>2.0243320875040226E-2</v>
          </cell>
          <cell r="R84">
            <v>1.6816995278417228E-2</v>
          </cell>
          <cell r="S84">
            <v>1</v>
          </cell>
        </row>
        <row r="85">
          <cell r="A85" t="str">
            <v>F107T</v>
          </cell>
          <cell r="B85" t="str">
            <v>SGTP - System Gross Transmission Plant</v>
          </cell>
          <cell r="C85">
            <v>0</v>
          </cell>
          <cell r="D85">
            <v>0</v>
          </cell>
          <cell r="E85">
            <v>0</v>
          </cell>
          <cell r="F85">
            <v>0.34340037373305027</v>
          </cell>
          <cell r="G85">
            <v>0.27494171416134194</v>
          </cell>
          <cell r="H85">
            <v>8.8188216687089913E-2</v>
          </cell>
          <cell r="I85">
            <v>1.826499460205872E-3</v>
          </cell>
          <cell r="J85">
            <v>0.17276601076781811</v>
          </cell>
          <cell r="K85">
            <v>7.0298346046142176E-3</v>
          </cell>
          <cell r="L85">
            <v>1.9836841352350088E-4</v>
          </cell>
          <cell r="M85">
            <v>3.6591687196195889E-4</v>
          </cell>
          <cell r="N85">
            <v>6.4966607386408096E-2</v>
          </cell>
          <cell r="O85">
            <v>6.0986844749809615E-4</v>
          </cell>
          <cell r="P85">
            <v>8.3638913257047861E-3</v>
          </cell>
          <cell r="Q85">
            <v>2.0082611813620106E-2</v>
          </cell>
          <cell r="R85">
            <v>1.7260086327163283E-2</v>
          </cell>
          <cell r="S85">
            <v>1</v>
          </cell>
        </row>
        <row r="86">
          <cell r="A86" t="str">
            <v>F107D</v>
          </cell>
          <cell r="B86" t="str">
            <v>SGDP - System Gross Distribution Plant</v>
          </cell>
          <cell r="C86">
            <v>0</v>
          </cell>
          <cell r="D86">
            <v>0</v>
          </cell>
          <cell r="E86">
            <v>0</v>
          </cell>
          <cell r="F86">
            <v>0.57228327124950928</v>
          </cell>
          <cell r="G86">
            <v>0.23812514611636967</v>
          </cell>
          <cell r="H86">
            <v>6.542531486363444E-2</v>
          </cell>
          <cell r="I86">
            <v>1.7098032327922709E-2</v>
          </cell>
          <cell r="J86">
            <v>1.3798204912094045E-3</v>
          </cell>
          <cell r="K86">
            <v>1.2144883461154256E-2</v>
          </cell>
          <cell r="L86">
            <v>4.7892714432723146E-4</v>
          </cell>
          <cell r="M86">
            <v>3.163811342316408E-4</v>
          </cell>
          <cell r="N86">
            <v>9.1726219433068079E-2</v>
          </cell>
          <cell r="O86">
            <v>6.9918422949930893E-4</v>
          </cell>
          <cell r="P86">
            <v>1.0760651635802231E-4</v>
          </cell>
          <cell r="Q86">
            <v>1.0760651635802231E-4</v>
          </cell>
          <cell r="R86">
            <v>1.0760651635802231E-4</v>
          </cell>
          <cell r="S86">
            <v>1</v>
          </cell>
        </row>
        <row r="87">
          <cell r="A87" t="str">
            <v>F107R</v>
          </cell>
          <cell r="B87" t="str">
            <v>SGTP - System Gross Retail Plant</v>
          </cell>
          <cell r="C87">
            <v>0</v>
          </cell>
          <cell r="D87">
            <v>0</v>
          </cell>
          <cell r="E87">
            <v>0</v>
          </cell>
          <cell r="F87">
            <v>0.57228327124950928</v>
          </cell>
          <cell r="G87">
            <v>0.23812514611636967</v>
          </cell>
          <cell r="H87">
            <v>6.542531486363444E-2</v>
          </cell>
          <cell r="I87">
            <v>1.7098032327922709E-2</v>
          </cell>
          <cell r="J87">
            <v>1.3798204912094045E-3</v>
          </cell>
          <cell r="K87">
            <v>1.2144883461154256E-2</v>
          </cell>
          <cell r="L87">
            <v>4.7892714432723146E-4</v>
          </cell>
          <cell r="M87">
            <v>3.163811342316408E-4</v>
          </cell>
          <cell r="N87">
            <v>9.1726219433068079E-2</v>
          </cell>
          <cell r="O87">
            <v>6.9918422949930893E-4</v>
          </cell>
          <cell r="P87">
            <v>1.0760651635802231E-4</v>
          </cell>
          <cell r="Q87">
            <v>1.0760651635802231E-4</v>
          </cell>
          <cell r="R87">
            <v>1.0760651635802231E-4</v>
          </cell>
          <cell r="S87">
            <v>1</v>
          </cell>
        </row>
        <row r="88">
          <cell r="A88" t="str">
            <v>F107M</v>
          </cell>
          <cell r="B88" t="str">
            <v>SGDP - System Gross Misc Plant</v>
          </cell>
          <cell r="C88">
            <v>0</v>
          </cell>
          <cell r="D88">
            <v>0</v>
          </cell>
          <cell r="E88">
            <v>0</v>
          </cell>
          <cell r="F88">
            <v>0.57228327124950928</v>
          </cell>
          <cell r="G88">
            <v>0.23812514611636967</v>
          </cell>
          <cell r="H88">
            <v>6.542531486363444E-2</v>
          </cell>
          <cell r="I88">
            <v>1.7098032327922709E-2</v>
          </cell>
          <cell r="J88">
            <v>1.3798204912094045E-3</v>
          </cell>
          <cell r="K88">
            <v>1.2144883461154256E-2</v>
          </cell>
          <cell r="L88">
            <v>4.7892714432723146E-4</v>
          </cell>
          <cell r="M88">
            <v>3.163811342316408E-4</v>
          </cell>
          <cell r="N88">
            <v>9.1726219433068079E-2</v>
          </cell>
          <cell r="O88">
            <v>6.9918422949930893E-4</v>
          </cell>
          <cell r="P88">
            <v>1.0760651635802231E-4</v>
          </cell>
          <cell r="Q88">
            <v>1.0760651635802231E-4</v>
          </cell>
          <cell r="R88">
            <v>1.0760651635802231E-4</v>
          </cell>
          <cell r="S88">
            <v>1</v>
          </cell>
        </row>
        <row r="89">
          <cell r="A89" t="str">
            <v>F108</v>
          </cell>
          <cell r="B89" t="str">
            <v>SGP - System General Plant</v>
          </cell>
          <cell r="C89">
            <v>0</v>
          </cell>
          <cell r="D89">
            <v>0</v>
          </cell>
          <cell r="E89">
            <v>0</v>
          </cell>
          <cell r="F89">
            <v>0.39962058657514998</v>
          </cell>
          <cell r="G89">
            <v>0.25900517637058285</v>
          </cell>
          <cell r="H89">
            <v>8.3226556285771428E-2</v>
          </cell>
          <cell r="I89">
            <v>6.830129603004333E-3</v>
          </cell>
          <cell r="J89">
            <v>0.12781242537183371</v>
          </cell>
          <cell r="K89">
            <v>8.7692265619291488E-3</v>
          </cell>
          <cell r="L89">
            <v>3.3421007919502292E-4</v>
          </cell>
          <cell r="M89">
            <v>4.9056652826668149E-4</v>
          </cell>
          <cell r="N89">
            <v>7.1553649843376213E-2</v>
          </cell>
          <cell r="O89">
            <v>5.9617115742151337E-4</v>
          </cell>
          <cell r="P89">
            <v>6.6494423035403797E-3</v>
          </cell>
          <cell r="Q89">
            <v>2.0650636111612497E-2</v>
          </cell>
          <cell r="R89">
            <v>1.4461223208316328E-2</v>
          </cell>
          <cell r="S89">
            <v>1</v>
          </cell>
        </row>
        <row r="90">
          <cell r="A90" t="str">
            <v>F108G</v>
          </cell>
          <cell r="B90" t="str">
            <v>SGGP - System Gen Generation Plant</v>
          </cell>
          <cell r="C90">
            <v>0</v>
          </cell>
          <cell r="D90">
            <v>0</v>
          </cell>
          <cell r="E90">
            <v>0</v>
          </cell>
          <cell r="F90">
            <v>0.31305531109819079</v>
          </cell>
          <cell r="G90">
            <v>0.27291043291549044</v>
          </cell>
          <cell r="H90">
            <v>9.3698420291891682E-2</v>
          </cell>
          <cell r="I90">
            <v>3.1522090134272797E-3</v>
          </cell>
          <cell r="J90">
            <v>0.181859949852924</v>
          </cell>
          <cell r="K90">
            <v>7.8324272955398212E-3</v>
          </cell>
          <cell r="L90">
            <v>2.2865959146025518E-4</v>
          </cell>
          <cell r="M90">
            <v>6.2382903560987107E-4</v>
          </cell>
          <cell r="N90">
            <v>6.2751583400819919E-2</v>
          </cell>
          <cell r="O90">
            <v>5.5925360027401876E-4</v>
          </cell>
          <cell r="P90">
            <v>9.6673057881361234E-3</v>
          </cell>
          <cell r="Q90">
            <v>3.2239119879182328E-2</v>
          </cell>
          <cell r="R90">
            <v>2.1421498237053457E-2</v>
          </cell>
          <cell r="S90">
            <v>1</v>
          </cell>
        </row>
        <row r="91">
          <cell r="A91" t="str">
            <v>F108T</v>
          </cell>
          <cell r="B91" t="str">
            <v>SGTP - System Gen Transmission Plant</v>
          </cell>
          <cell r="C91">
            <v>0</v>
          </cell>
          <cell r="D91">
            <v>0</v>
          </cell>
          <cell r="E91">
            <v>0</v>
          </cell>
          <cell r="F91">
            <v>0.34340257188918805</v>
          </cell>
          <cell r="G91">
            <v>0.27494347410356312</v>
          </cell>
          <cell r="H91">
            <v>8.818878119279408E-2</v>
          </cell>
          <cell r="I91">
            <v>1.8265111518966973E-3</v>
          </cell>
          <cell r="J91">
            <v>0.17276121120718207</v>
          </cell>
          <cell r="K91">
            <v>7.0298796036161564E-3</v>
          </cell>
          <cell r="L91">
            <v>1.9836968330879838E-4</v>
          </cell>
          <cell r="M91">
            <v>3.6591921424950294E-4</v>
          </cell>
          <cell r="N91">
            <v>6.4967023247186645E-2</v>
          </cell>
          <cell r="O91">
            <v>6.0987235135544075E-4</v>
          </cell>
          <cell r="P91">
            <v>8.3639140932192848E-3</v>
          </cell>
          <cell r="Q91">
            <v>2.0082740365362613E-2</v>
          </cell>
          <cell r="R91">
            <v>1.7259731897077621E-2</v>
          </cell>
          <cell r="S91">
            <v>1</v>
          </cell>
        </row>
        <row r="92">
          <cell r="A92" t="str">
            <v>F108D</v>
          </cell>
          <cell r="B92" t="str">
            <v>SGDP - System Gen Distribution Plant</v>
          </cell>
          <cell r="C92">
            <v>0</v>
          </cell>
          <cell r="D92">
            <v>0</v>
          </cell>
          <cell r="E92">
            <v>0</v>
          </cell>
          <cell r="F92">
            <v>0.5722832712495094</v>
          </cell>
          <cell r="G92">
            <v>0.23812514611636967</v>
          </cell>
          <cell r="H92">
            <v>6.542531486363444E-2</v>
          </cell>
          <cell r="I92">
            <v>1.7098032327922705E-2</v>
          </cell>
          <cell r="J92">
            <v>1.3798204912094047E-3</v>
          </cell>
          <cell r="K92">
            <v>1.2144883461154258E-2</v>
          </cell>
          <cell r="L92">
            <v>4.7892714432723162E-4</v>
          </cell>
          <cell r="M92">
            <v>3.1638113423164085E-4</v>
          </cell>
          <cell r="N92">
            <v>9.1726219433068107E-2</v>
          </cell>
          <cell r="O92">
            <v>6.9918422949930882E-4</v>
          </cell>
          <cell r="P92">
            <v>1.0760651635802233E-4</v>
          </cell>
          <cell r="Q92">
            <v>1.0760651635802233E-4</v>
          </cell>
          <cell r="R92">
            <v>1.0760651635802233E-4</v>
          </cell>
          <cell r="S92">
            <v>1</v>
          </cell>
        </row>
        <row r="93">
          <cell r="A93" t="str">
            <v>F108R</v>
          </cell>
          <cell r="B93" t="str">
            <v>SGTP - System Gen Retail Plant</v>
          </cell>
          <cell r="C93">
            <v>0</v>
          </cell>
          <cell r="D93">
            <v>0</v>
          </cell>
          <cell r="E93">
            <v>0</v>
          </cell>
          <cell r="F93">
            <v>0.87121091198399014</v>
          </cell>
          <cell r="G93">
            <v>1.8685618887272257E-2</v>
          </cell>
          <cell r="H93">
            <v>3.6060824098817972E-4</v>
          </cell>
          <cell r="I93">
            <v>1.0806265281044006E-2</v>
          </cell>
          <cell r="J93">
            <v>1.4291196877289566E-3</v>
          </cell>
          <cell r="K93">
            <v>3.5368533735182328E-3</v>
          </cell>
          <cell r="L93">
            <v>2.4986356816757084E-3</v>
          </cell>
          <cell r="M93">
            <v>5.2555973340059469E-4</v>
          </cell>
          <cell r="N93">
            <v>9.0906317860013006E-2</v>
          </cell>
          <cell r="O93">
            <v>1.3313276223762299E-5</v>
          </cell>
          <cell r="P93">
            <v>8.9319980483059787E-6</v>
          </cell>
          <cell r="Q93">
            <v>8.9319980483059787E-6</v>
          </cell>
          <cell r="R93">
            <v>8.9319980483059787E-6</v>
          </cell>
          <cell r="S93">
            <v>1</v>
          </cell>
        </row>
        <row r="94">
          <cell r="A94" t="str">
            <v>F108M</v>
          </cell>
          <cell r="B94" t="str">
            <v>SGDP - System Gen Misc Plant</v>
          </cell>
          <cell r="C94">
            <v>0</v>
          </cell>
          <cell r="D94">
            <v>0</v>
          </cell>
          <cell r="E94">
            <v>0</v>
          </cell>
          <cell r="F94">
            <v>7.6923076923076927E-2</v>
          </cell>
          <cell r="G94">
            <v>7.6923076923076927E-2</v>
          </cell>
          <cell r="H94">
            <v>7.6923076923076927E-2</v>
          </cell>
          <cell r="I94">
            <v>7.6923076923076927E-2</v>
          </cell>
          <cell r="J94">
            <v>7.6923076923076927E-2</v>
          </cell>
          <cell r="K94">
            <v>7.6923076923076927E-2</v>
          </cell>
          <cell r="L94">
            <v>7.6923076923076927E-2</v>
          </cell>
          <cell r="M94">
            <v>7.6923076923076927E-2</v>
          </cell>
          <cell r="N94">
            <v>7.6923076923076927E-2</v>
          </cell>
          <cell r="O94">
            <v>7.6923076923076927E-2</v>
          </cell>
          <cell r="P94">
            <v>7.6923076923076927E-2</v>
          </cell>
          <cell r="Q94">
            <v>7.6923076923076927E-2</v>
          </cell>
          <cell r="R94">
            <v>7.6923076923076927E-2</v>
          </cell>
          <cell r="S94">
            <v>1</v>
          </cell>
        </row>
        <row r="95">
          <cell r="A95" t="str">
            <v>F110</v>
          </cell>
          <cell r="B95" t="str">
            <v>SIP - System Intangible Plant</v>
          </cell>
          <cell r="C95">
            <v>0</v>
          </cell>
          <cell r="D95">
            <v>0</v>
          </cell>
          <cell r="E95">
            <v>0</v>
          </cell>
          <cell r="F95">
            <v>0.45665947910921073</v>
          </cell>
          <cell r="G95">
            <v>0.23158901732916684</v>
          </cell>
          <cell r="H95">
            <v>7.2009738952105204E-2</v>
          </cell>
          <cell r="I95">
            <v>5.2325962910293655E-3</v>
          </cell>
          <cell r="J95">
            <v>0.1203954023106211</v>
          </cell>
          <cell r="K95">
            <v>7.1927072962992061E-3</v>
          </cell>
          <cell r="L95">
            <v>5.9320580506181005E-4</v>
          </cell>
          <cell r="M95">
            <v>3.872933416527607E-4</v>
          </cell>
          <cell r="N95">
            <v>7.2775809131081989E-2</v>
          </cell>
          <cell r="O95">
            <v>5.3143987190643267E-4</v>
          </cell>
          <cell r="P95">
            <v>6.0107693613809981E-3</v>
          </cell>
          <cell r="Q95">
            <v>1.4512544058634372E-2</v>
          </cell>
          <cell r="R95">
            <v>1.2109997141849198E-2</v>
          </cell>
          <cell r="S95">
            <v>1</v>
          </cell>
        </row>
        <row r="96">
          <cell r="A96" t="str">
            <v>F118</v>
          </cell>
          <cell r="B96" t="str">
            <v>Account 360</v>
          </cell>
          <cell r="C96">
            <v>0</v>
          </cell>
          <cell r="D96">
            <v>0</v>
          </cell>
          <cell r="E96">
            <v>0</v>
          </cell>
          <cell r="F96">
            <v>0.4707810800032789</v>
          </cell>
          <cell r="G96">
            <v>0.33195406095819258</v>
          </cell>
          <cell r="H96">
            <v>9.6141941246542115E-2</v>
          </cell>
          <cell r="I96">
            <v>7.492994782912029E-4</v>
          </cell>
          <cell r="J96">
            <v>0</v>
          </cell>
          <cell r="K96">
            <v>1.3031919730716126E-2</v>
          </cell>
          <cell r="L96">
            <v>1.7660135383184555E-4</v>
          </cell>
          <cell r="M96">
            <v>1.6273362534603863E-4</v>
          </cell>
          <cell r="N96">
            <v>8.619861671738005E-2</v>
          </cell>
          <cell r="O96">
            <v>8.0374688642115581E-4</v>
          </cell>
          <cell r="P96">
            <v>0</v>
          </cell>
          <cell r="Q96">
            <v>0</v>
          </cell>
          <cell r="R96">
            <v>0</v>
          </cell>
          <cell r="S96">
            <v>1</v>
          </cell>
        </row>
        <row r="97">
          <cell r="A97" t="str">
            <v>F119</v>
          </cell>
          <cell r="B97" t="str">
            <v>Account 361</v>
          </cell>
          <cell r="C97">
            <v>0</v>
          </cell>
          <cell r="D97">
            <v>0</v>
          </cell>
          <cell r="E97">
            <v>0</v>
          </cell>
          <cell r="F97">
            <v>0.4707810800032789</v>
          </cell>
          <cell r="G97">
            <v>0.33195406095819258</v>
          </cell>
          <cell r="H97">
            <v>9.6141941246542115E-2</v>
          </cell>
          <cell r="I97">
            <v>7.492994782912029E-4</v>
          </cell>
          <cell r="J97">
            <v>0</v>
          </cell>
          <cell r="K97">
            <v>1.3031919730716126E-2</v>
          </cell>
          <cell r="L97">
            <v>1.7660135383184555E-4</v>
          </cell>
          <cell r="M97">
            <v>1.6273362534603863E-4</v>
          </cell>
          <cell r="N97">
            <v>8.619861671738005E-2</v>
          </cell>
          <cell r="O97">
            <v>8.0374688642115581E-4</v>
          </cell>
          <cell r="P97">
            <v>0</v>
          </cell>
          <cell r="Q97">
            <v>0</v>
          </cell>
          <cell r="R97">
            <v>0</v>
          </cell>
          <cell r="S97">
            <v>1</v>
          </cell>
        </row>
        <row r="98">
          <cell r="A98" t="str">
            <v>F120</v>
          </cell>
          <cell r="B98" t="str">
            <v>Account 362</v>
          </cell>
          <cell r="C98">
            <v>0</v>
          </cell>
          <cell r="D98">
            <v>0</v>
          </cell>
          <cell r="E98">
            <v>0</v>
          </cell>
          <cell r="F98">
            <v>0.47078108000327895</v>
          </cell>
          <cell r="G98">
            <v>0.33195406095819258</v>
          </cell>
          <cell r="H98">
            <v>9.6141941246542115E-2</v>
          </cell>
          <cell r="I98">
            <v>7.492994782912029E-4</v>
          </cell>
          <cell r="J98">
            <v>0</v>
          </cell>
          <cell r="K98">
            <v>1.3031919730716126E-2</v>
          </cell>
          <cell r="L98">
            <v>1.7660135383184555E-4</v>
          </cell>
          <cell r="M98">
            <v>1.6273362534603863E-4</v>
          </cell>
          <cell r="N98">
            <v>8.619861671738005E-2</v>
          </cell>
          <cell r="O98">
            <v>8.0374688642115581E-4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</row>
        <row r="99">
          <cell r="A99" t="str">
            <v>F121</v>
          </cell>
          <cell r="B99" t="str">
            <v>Account 364</v>
          </cell>
          <cell r="C99">
            <v>0</v>
          </cell>
          <cell r="D99">
            <v>0</v>
          </cell>
          <cell r="E99">
            <v>0</v>
          </cell>
          <cell r="F99">
            <v>0.46650143808336253</v>
          </cell>
          <cell r="G99">
            <v>0.32643931427058126</v>
          </cell>
          <cell r="H99">
            <v>9.4544736951166233E-2</v>
          </cell>
          <cell r="I99">
            <v>1.3361247569268569E-2</v>
          </cell>
          <cell r="J99">
            <v>0</v>
          </cell>
          <cell r="K99">
            <v>1.2815420688768167E-2</v>
          </cell>
          <cell r="L99">
            <v>1.7366747880028055E-4</v>
          </cell>
          <cell r="M99">
            <v>1.6003013463184286E-4</v>
          </cell>
          <cell r="N99">
            <v>8.521375056918884E-2</v>
          </cell>
          <cell r="O99">
            <v>7.9039425423230842E-4</v>
          </cell>
          <cell r="P99">
            <v>0</v>
          </cell>
          <cell r="Q99">
            <v>0</v>
          </cell>
          <cell r="R99">
            <v>0</v>
          </cell>
          <cell r="S99">
            <v>1</v>
          </cell>
        </row>
        <row r="100">
          <cell r="A100" t="str">
            <v>F122</v>
          </cell>
          <cell r="B100" t="str">
            <v>Account 365</v>
          </cell>
          <cell r="C100">
            <v>0</v>
          </cell>
          <cell r="D100">
            <v>0</v>
          </cell>
          <cell r="E100">
            <v>0</v>
          </cell>
          <cell r="F100">
            <v>0.62630032180128248</v>
          </cell>
          <cell r="G100">
            <v>0.20263236706771157</v>
          </cell>
          <cell r="H100">
            <v>5.8687244473039427E-2</v>
          </cell>
          <cell r="I100">
            <v>8.316280907041753E-3</v>
          </cell>
          <cell r="J100">
            <v>0</v>
          </cell>
          <cell r="K100">
            <v>7.9549824901946307E-3</v>
          </cell>
          <cell r="L100">
            <v>1.0780151401376061E-4</v>
          </cell>
          <cell r="M100">
            <v>9.9336334703044779E-5</v>
          </cell>
          <cell r="N100">
            <v>9.5411039890973603E-2</v>
          </cell>
          <cell r="O100">
            <v>4.9062552103959261E-4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</row>
        <row r="101">
          <cell r="A101" t="str">
            <v>F123</v>
          </cell>
          <cell r="B101" t="str">
            <v>Account 366</v>
          </cell>
          <cell r="C101">
            <v>0</v>
          </cell>
          <cell r="D101">
            <v>0</v>
          </cell>
          <cell r="E101">
            <v>0</v>
          </cell>
          <cell r="F101">
            <v>0.62854085366896428</v>
          </cell>
          <cell r="G101">
            <v>0.20629135114531277</v>
          </cell>
          <cell r="H101">
            <v>5.9746974940548529E-2</v>
          </cell>
          <cell r="I101">
            <v>6.2296750022582548E-4</v>
          </cell>
          <cell r="J101">
            <v>0</v>
          </cell>
          <cell r="K101">
            <v>8.0986276278911772E-3</v>
          </cell>
          <cell r="L101">
            <v>1.0974811331092939E-4</v>
          </cell>
          <cell r="M101">
            <v>1.0113007610904755E-4</v>
          </cell>
          <cell r="N101">
            <v>9.5988862057050053E-2</v>
          </cell>
          <cell r="O101">
            <v>4.9948487058738117E-4</v>
          </cell>
          <cell r="P101">
            <v>0</v>
          </cell>
          <cell r="Q101">
            <v>0</v>
          </cell>
          <cell r="R101">
            <v>0</v>
          </cell>
          <cell r="S101">
            <v>1</v>
          </cell>
        </row>
        <row r="102">
          <cell r="A102" t="str">
            <v>F124</v>
          </cell>
          <cell r="B102" t="str">
            <v>Account 367</v>
          </cell>
          <cell r="C102">
            <v>0</v>
          </cell>
          <cell r="D102">
            <v>0</v>
          </cell>
          <cell r="E102">
            <v>0</v>
          </cell>
          <cell r="F102">
            <v>0.5984560038114245</v>
          </cell>
          <cell r="G102">
            <v>0.22838765526518298</v>
          </cell>
          <cell r="H102">
            <v>6.6146600136656117E-2</v>
          </cell>
          <cell r="I102">
            <v>3.2858791544882475E-3</v>
          </cell>
          <cell r="J102">
            <v>0</v>
          </cell>
          <cell r="K102">
            <v>8.9660888085269716E-3</v>
          </cell>
          <cell r="L102">
            <v>1.2150346647933277E-4</v>
          </cell>
          <cell r="M102">
            <v>1.1196233303579126E-4</v>
          </cell>
          <cell r="N102">
            <v>9.3971321269832264E-2</v>
          </cell>
          <cell r="O102">
            <v>5.529857543738199E-4</v>
          </cell>
          <cell r="P102">
            <v>0</v>
          </cell>
          <cell r="Q102">
            <v>0</v>
          </cell>
          <cell r="R102">
            <v>0</v>
          </cell>
          <cell r="S102">
            <v>1</v>
          </cell>
        </row>
        <row r="103">
          <cell r="A103" t="str">
            <v>F125</v>
          </cell>
          <cell r="B103" t="str">
            <v>Account 368</v>
          </cell>
          <cell r="C103">
            <v>0</v>
          </cell>
          <cell r="D103">
            <v>0</v>
          </cell>
          <cell r="E103">
            <v>0</v>
          </cell>
          <cell r="F103">
            <v>0.59055368391181151</v>
          </cell>
          <cell r="G103">
            <v>0.23978681675195562</v>
          </cell>
          <cell r="H103">
            <v>6.3362723263065746E-2</v>
          </cell>
          <cell r="I103">
            <v>3.6483710767670928E-3</v>
          </cell>
          <cell r="J103">
            <v>0</v>
          </cell>
          <cell r="K103">
            <v>2.5710409495489625E-2</v>
          </cell>
          <cell r="L103">
            <v>1.1517789034312014E-4</v>
          </cell>
          <cell r="M103">
            <v>8.5950976985743111E-4</v>
          </cell>
          <cell r="N103">
            <v>7.4564681784161146E-2</v>
          </cell>
          <cell r="O103">
            <v>1.3986260565486365E-3</v>
          </cell>
          <cell r="P103">
            <v>0</v>
          </cell>
          <cell r="Q103">
            <v>0</v>
          </cell>
          <cell r="R103">
            <v>0</v>
          </cell>
          <cell r="S103">
            <v>1</v>
          </cell>
        </row>
        <row r="104">
          <cell r="A104" t="str">
            <v>F126</v>
          </cell>
          <cell r="B104" t="str">
            <v>Account 369</v>
          </cell>
          <cell r="C104">
            <v>0</v>
          </cell>
          <cell r="D104">
            <v>0</v>
          </cell>
          <cell r="E104">
            <v>0</v>
          </cell>
          <cell r="F104">
            <v>0.78247152659940289</v>
          </cell>
          <cell r="G104">
            <v>7.9505021864011857E-2</v>
          </cell>
          <cell r="H104">
            <v>3.0064817283884599E-3</v>
          </cell>
          <cell r="I104">
            <v>0</v>
          </cell>
          <cell r="J104">
            <v>0</v>
          </cell>
          <cell r="K104">
            <v>0</v>
          </cell>
          <cell r="L104">
            <v>3.1363648863416945E-3</v>
          </cell>
          <cell r="M104">
            <v>6.5969885309860956E-4</v>
          </cell>
          <cell r="N104">
            <v>0.13122090606875636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</row>
        <row r="105">
          <cell r="A105" t="str">
            <v>F127</v>
          </cell>
          <cell r="B105" t="str">
            <v>Account 370</v>
          </cell>
          <cell r="C105">
            <v>0</v>
          </cell>
          <cell r="D105">
            <v>0</v>
          </cell>
          <cell r="E105">
            <v>0</v>
          </cell>
          <cell r="F105">
            <v>0.68497890837007003</v>
          </cell>
          <cell r="G105">
            <v>0.10902835722412574</v>
          </cell>
          <cell r="H105">
            <v>1.3486620889471449E-2</v>
          </cell>
          <cell r="I105">
            <v>0</v>
          </cell>
          <cell r="J105">
            <v>3.8957800440214296E-2</v>
          </cell>
          <cell r="K105">
            <v>1.1135492495671355E-2</v>
          </cell>
          <cell r="L105">
            <v>2.0350891354208589E-3</v>
          </cell>
          <cell r="M105">
            <v>4.2805796431312178E-4</v>
          </cell>
          <cell r="N105">
            <v>0.1306353806924791</v>
          </cell>
          <cell r="O105">
            <v>1.9981764371414633E-4</v>
          </cell>
          <cell r="P105">
            <v>3.03815838150666E-3</v>
          </cell>
          <cell r="Q105">
            <v>3.03815838150666E-3</v>
          </cell>
          <cell r="R105">
            <v>3.03815838150666E-3</v>
          </cell>
          <cell r="S105">
            <v>1</v>
          </cell>
        </row>
        <row r="106">
          <cell r="A106" t="str">
            <v>F128</v>
          </cell>
          <cell r="B106" t="str">
            <v>Account 371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</v>
          </cell>
        </row>
        <row r="107">
          <cell r="A107" t="str">
            <v>F129</v>
          </cell>
          <cell r="B107" t="str">
            <v>Account 372</v>
          </cell>
          <cell r="C107">
            <v>0</v>
          </cell>
          <cell r="D107">
            <v>0</v>
          </cell>
          <cell r="E107">
            <v>0</v>
          </cell>
          <cell r="F107">
            <v>7.6923076923076927E-2</v>
          </cell>
          <cell r="G107">
            <v>7.6923076923076927E-2</v>
          </cell>
          <cell r="H107">
            <v>7.6923076923076927E-2</v>
          </cell>
          <cell r="I107">
            <v>7.6923076923076927E-2</v>
          </cell>
          <cell r="J107">
            <v>7.6923076923076927E-2</v>
          </cell>
          <cell r="K107">
            <v>7.6923076923076927E-2</v>
          </cell>
          <cell r="L107">
            <v>7.6923076923076927E-2</v>
          </cell>
          <cell r="M107">
            <v>7.6923076923076927E-2</v>
          </cell>
          <cell r="N107">
            <v>7.6923076923076927E-2</v>
          </cell>
          <cell r="O107">
            <v>7.6923076923076927E-2</v>
          </cell>
          <cell r="P107">
            <v>7.6923076923076927E-2</v>
          </cell>
          <cell r="Q107">
            <v>7.6923076923076927E-2</v>
          </cell>
          <cell r="R107">
            <v>7.6923076923076927E-2</v>
          </cell>
          <cell r="S107">
            <v>1</v>
          </cell>
        </row>
        <row r="108">
          <cell r="A108" t="str">
            <v>F130</v>
          </cell>
          <cell r="B108" t="str">
            <v>Account 373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1</v>
          </cell>
        </row>
        <row r="109">
          <cell r="A109" t="str">
            <v>F131</v>
          </cell>
          <cell r="B109" t="str">
            <v>Account 581 thru 587 &amp; 591 thru 597</v>
          </cell>
          <cell r="C109">
            <v>0</v>
          </cell>
          <cell r="D109">
            <v>0</v>
          </cell>
          <cell r="E109">
            <v>0</v>
          </cell>
          <cell r="F109">
            <v>0.5431178716251488</v>
          </cell>
          <cell r="G109">
            <v>0.24651479307064361</v>
          </cell>
          <cell r="H109">
            <v>6.8434723782509047E-2</v>
          </cell>
          <cell r="I109">
            <v>3.5081888691545951E-2</v>
          </cell>
          <cell r="J109">
            <v>2.2844854412390034E-3</v>
          </cell>
          <cell r="K109">
            <v>9.8890964518531053E-3</v>
          </cell>
          <cell r="L109">
            <v>5.3505083595494331E-4</v>
          </cell>
          <cell r="M109">
            <v>2.0515278338273965E-4</v>
          </cell>
          <cell r="N109">
            <v>9.2822255042778745E-2</v>
          </cell>
          <cell r="O109">
            <v>5.8020944698907698E-4</v>
          </cell>
          <cell r="P109">
            <v>1.7815760931835713E-4</v>
          </cell>
          <cell r="Q109">
            <v>1.7815760931835713E-4</v>
          </cell>
          <cell r="R109">
            <v>1.7815760931835713E-4</v>
          </cell>
          <cell r="S109">
            <v>1</v>
          </cell>
        </row>
        <row r="110">
          <cell r="A110" t="str">
            <v>F132</v>
          </cell>
          <cell r="B110" t="str">
            <v>Account 364 + 365</v>
          </cell>
          <cell r="C110">
            <v>0</v>
          </cell>
          <cell r="D110">
            <v>0</v>
          </cell>
          <cell r="E110">
            <v>0</v>
          </cell>
          <cell r="F110">
            <v>0.53119782782208946</v>
          </cell>
          <cell r="G110">
            <v>0.27631466807631871</v>
          </cell>
          <cell r="H110">
            <v>8.0027424599263916E-2</v>
          </cell>
          <cell r="I110">
            <v>1.1318735620471341E-2</v>
          </cell>
          <cell r="J110">
            <v>0</v>
          </cell>
          <cell r="K110">
            <v>1.0847617180509703E-2</v>
          </cell>
          <cell r="L110">
            <v>1.4700089622347065E-4</v>
          </cell>
          <cell r="M110">
            <v>1.3545756163534266E-4</v>
          </cell>
          <cell r="N110">
            <v>8.9342238759414938E-2</v>
          </cell>
          <cell r="O110">
            <v>6.6902948407311907E-4</v>
          </cell>
          <cell r="P110">
            <v>0</v>
          </cell>
          <cell r="Q110">
            <v>0</v>
          </cell>
          <cell r="R110">
            <v>0</v>
          </cell>
          <cell r="S110">
            <v>1</v>
          </cell>
        </row>
        <row r="111">
          <cell r="A111" t="str">
            <v>F133</v>
          </cell>
          <cell r="B111" t="str">
            <v>Account 366 + 367</v>
          </cell>
          <cell r="C111">
            <v>0</v>
          </cell>
          <cell r="D111">
            <v>0</v>
          </cell>
          <cell r="E111">
            <v>0</v>
          </cell>
          <cell r="F111">
            <v>0.60634676110342911</v>
          </cell>
          <cell r="G111">
            <v>0.22259216106508412</v>
          </cell>
          <cell r="H111">
            <v>6.4468084557505675E-2</v>
          </cell>
          <cell r="I111">
            <v>2.5874415803160363E-3</v>
          </cell>
          <cell r="J111">
            <v>0</v>
          </cell>
          <cell r="K111">
            <v>8.7385681238951549E-3</v>
          </cell>
          <cell r="L111">
            <v>1.1842023225436881E-4</v>
          </cell>
          <cell r="M111">
            <v>1.0912121164950157E-4</v>
          </cell>
          <cell r="N111">
            <v>9.4500488766231308E-2</v>
          </cell>
          <cell r="O111">
            <v>5.3895335963475384E-4</v>
          </cell>
          <cell r="P111">
            <v>0</v>
          </cell>
          <cell r="Q111">
            <v>0</v>
          </cell>
          <cell r="R111">
            <v>0</v>
          </cell>
          <cell r="S111">
            <v>1</v>
          </cell>
        </row>
        <row r="112">
          <cell r="A112" t="str">
            <v>F134</v>
          </cell>
          <cell r="B112" t="str">
            <v>Account 364 + 365 + 369  (OH)</v>
          </cell>
          <cell r="C112">
            <v>0</v>
          </cell>
          <cell r="D112">
            <v>0</v>
          </cell>
          <cell r="E112">
            <v>0</v>
          </cell>
          <cell r="F112">
            <v>0.5646956754982182</v>
          </cell>
          <cell r="G112">
            <v>0.25007754265454785</v>
          </cell>
          <cell r="H112">
            <v>6.9759593844534146E-2</v>
          </cell>
          <cell r="I112">
            <v>9.8098101597252907E-3</v>
          </cell>
          <cell r="J112">
            <v>0</v>
          </cell>
          <cell r="K112">
            <v>9.401497551874383E-3</v>
          </cell>
          <cell r="L112">
            <v>5.4551956362379223E-4</v>
          </cell>
          <cell r="M112">
            <v>2.053453175462253E-4</v>
          </cell>
          <cell r="N112">
            <v>9.4925175713158103E-2</v>
          </cell>
          <cell r="O112">
            <v>5.7983969677197482E-4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A113" t="str">
            <v>F135</v>
          </cell>
          <cell r="B113" t="str">
            <v>Account 366 + 367 + 369  (UG)</v>
          </cell>
          <cell r="C113">
            <v>0</v>
          </cell>
          <cell r="D113">
            <v>0</v>
          </cell>
          <cell r="E113">
            <v>0</v>
          </cell>
          <cell r="F113">
            <v>0.63847973148955328</v>
          </cell>
          <cell r="G113">
            <v>0.1964867193139728</v>
          </cell>
          <cell r="H113">
            <v>5.3254761672275774E-2</v>
          </cell>
          <cell r="I113">
            <v>2.1153774532638855E-3</v>
          </cell>
          <cell r="J113">
            <v>0</v>
          </cell>
          <cell r="K113">
            <v>7.1442656420634843E-3</v>
          </cell>
          <cell r="L113">
            <v>6.6902721772664649E-4</v>
          </cell>
          <cell r="M113">
            <v>2.0957099790259236E-4</v>
          </cell>
          <cell r="N113">
            <v>0.10119992185518628</v>
          </cell>
          <cell r="O113">
            <v>4.4062435805523664E-4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A114" t="str">
            <v>F136</v>
          </cell>
          <cell r="B114" t="str">
            <v>Account 902 + 903 + 904</v>
          </cell>
          <cell r="C114">
            <v>0</v>
          </cell>
          <cell r="D114">
            <v>0</v>
          </cell>
          <cell r="E114">
            <v>0</v>
          </cell>
          <cell r="F114">
            <v>0.85278051655847564</v>
          </cell>
          <cell r="G114">
            <v>3.1575841689494413E-2</v>
          </cell>
          <cell r="H114">
            <v>5.8266424581653008E-3</v>
          </cell>
          <cell r="I114">
            <v>7.6249230415128605E-3</v>
          </cell>
          <cell r="J114">
            <v>8.2904151394039612E-3</v>
          </cell>
          <cell r="K114">
            <v>3.4825089585814868E-3</v>
          </cell>
          <cell r="L114">
            <v>2.1749138845496823E-3</v>
          </cell>
          <cell r="M114">
            <v>4.5746851760581562E-4</v>
          </cell>
          <cell r="N114">
            <v>8.771127807081136E-2</v>
          </cell>
          <cell r="O114">
            <v>1.0739860096555443E-5</v>
          </cell>
          <cell r="P114">
            <v>1.1525982314316034E-5</v>
          </cell>
          <cell r="Q114">
            <v>2.6612919494371003E-5</v>
          </cell>
          <cell r="R114">
            <v>2.6612919494371003E-5</v>
          </cell>
          <cell r="S114">
            <v>1</v>
          </cell>
        </row>
        <row r="115">
          <cell r="A115" t="str">
            <v>F137</v>
          </cell>
          <cell r="B115" t="str">
            <v>Total O &amp; M Expense</v>
          </cell>
          <cell r="C115">
            <v>0</v>
          </cell>
          <cell r="D115">
            <v>0</v>
          </cell>
          <cell r="E115">
            <v>0</v>
          </cell>
          <cell r="F115">
            <v>0.35856042356017565</v>
          </cell>
          <cell r="G115">
            <v>0.26408203129872732</v>
          </cell>
          <cell r="H115">
            <v>8.7416190333786933E-2</v>
          </cell>
          <cell r="I115">
            <v>5.6071649845686614E-3</v>
          </cell>
          <cell r="J115">
            <v>0.1568768956047466</v>
          </cell>
          <cell r="K115">
            <v>7.3824965335934295E-3</v>
          </cell>
          <cell r="L115">
            <v>3.1879840396214099E-4</v>
          </cell>
          <cell r="M115">
            <v>5.1255252231742553E-4</v>
          </cell>
          <cell r="N115">
            <v>6.7150571991724542E-2</v>
          </cell>
          <cell r="O115">
            <v>5.5482104554298002E-4</v>
          </cell>
          <cell r="P115">
            <v>8.2044122989504802E-3</v>
          </cell>
          <cell r="Q115">
            <v>2.5660312901860344E-2</v>
          </cell>
          <cell r="R115">
            <v>1.7673328520043777E-2</v>
          </cell>
          <cell r="S115">
            <v>1</v>
          </cell>
        </row>
        <row r="116">
          <cell r="A116" t="str">
            <v>F137G</v>
          </cell>
          <cell r="B116" t="str">
            <v>Generation O &amp; M Exp</v>
          </cell>
          <cell r="C116">
            <v>0</v>
          </cell>
          <cell r="D116">
            <v>0</v>
          </cell>
          <cell r="E116">
            <v>0</v>
          </cell>
          <cell r="F116">
            <v>0.31840108073022311</v>
          </cell>
          <cell r="G116">
            <v>0.27489015835754088</v>
          </cell>
          <cell r="H116">
            <v>9.28799971629925E-2</v>
          </cell>
          <cell r="I116">
            <v>2.8373136903540215E-3</v>
          </cell>
          <cell r="J116">
            <v>0.17901149232130834</v>
          </cell>
          <cell r="K116">
            <v>7.3163055943166978E-3</v>
          </cell>
          <cell r="L116">
            <v>2.2388434206237063E-4</v>
          </cell>
          <cell r="M116">
            <v>5.5885548905086093E-4</v>
          </cell>
          <cell r="N116">
            <v>6.3557195281612508E-2</v>
          </cell>
          <cell r="O116">
            <v>5.6909834147879921E-4</v>
          </cell>
          <cell r="P116">
            <v>9.4140076515919647E-3</v>
          </cell>
          <cell r="Q116">
            <v>2.9945680984222671E-2</v>
          </cell>
          <cell r="R116">
            <v>2.0394930053245407E-2</v>
          </cell>
          <cell r="S116">
            <v>1</v>
          </cell>
        </row>
        <row r="117">
          <cell r="A117" t="str">
            <v>F137T</v>
          </cell>
          <cell r="B117" t="str">
            <v>Transmission O &amp; M Exp</v>
          </cell>
          <cell r="C117">
            <v>0</v>
          </cell>
          <cell r="D117">
            <v>0</v>
          </cell>
          <cell r="E117">
            <v>0</v>
          </cell>
          <cell r="F117">
            <v>0.33895056728158685</v>
          </cell>
          <cell r="G117">
            <v>0.2774814878170751</v>
          </cell>
          <cell r="H117">
            <v>8.9573892868729493E-2</v>
          </cell>
          <cell r="I117">
            <v>2.0966280983772609E-3</v>
          </cell>
          <cell r="J117">
            <v>0.17064686796817535</v>
          </cell>
          <cell r="K117">
            <v>6.6133241894246759E-3</v>
          </cell>
          <cell r="L117">
            <v>2.0857420033217538E-4</v>
          </cell>
          <cell r="M117">
            <v>3.8984768033234815E-4</v>
          </cell>
          <cell r="N117">
            <v>6.5627016161163718E-2</v>
          </cell>
          <cell r="O117">
            <v>6.0197378070384121E-4</v>
          </cell>
          <cell r="P117">
            <v>8.4978283758878718E-3</v>
          </cell>
          <cell r="Q117">
            <v>2.1964538398993386E-2</v>
          </cell>
          <cell r="R117">
            <v>1.7347453179217813E-2</v>
          </cell>
          <cell r="S117">
            <v>1</v>
          </cell>
        </row>
        <row r="118">
          <cell r="A118" t="str">
            <v>F137D</v>
          </cell>
          <cell r="B118" t="str">
            <v xml:space="preserve">Distribution O &amp; M Exp </v>
          </cell>
          <cell r="C118">
            <v>0</v>
          </cell>
          <cell r="D118">
            <v>0</v>
          </cell>
          <cell r="E118">
            <v>0</v>
          </cell>
          <cell r="F118">
            <v>0.54054031867854702</v>
          </cell>
          <cell r="G118">
            <v>0.2461890671172916</v>
          </cell>
          <cell r="H118">
            <v>6.8700137085952476E-2</v>
          </cell>
          <cell r="I118">
            <v>3.2343825477048005E-2</v>
          </cell>
          <cell r="J118">
            <v>6.8528358164167708E-3</v>
          </cell>
          <cell r="K118">
            <v>1.0059659944078982E-2</v>
          </cell>
          <cell r="L118">
            <v>5.2232906993957364E-4</v>
          </cell>
          <cell r="M118">
            <v>2.2619038922403308E-4</v>
          </cell>
          <cell r="N118">
            <v>9.1930770224364466E-2</v>
          </cell>
          <cell r="O118">
            <v>5.9198657123027431E-4</v>
          </cell>
          <cell r="P118">
            <v>4.1141948484687803E-4</v>
          </cell>
          <cell r="Q118">
            <v>9.3045285313566217E-4</v>
          </cell>
          <cell r="R118">
            <v>7.0100728792423265E-4</v>
          </cell>
          <cell r="S118">
            <v>1</v>
          </cell>
        </row>
        <row r="119">
          <cell r="A119" t="str">
            <v>F137R</v>
          </cell>
          <cell r="B119" t="str">
            <v>Retail O &amp; M Exp  (Customer)</v>
          </cell>
          <cell r="C119">
            <v>0</v>
          </cell>
          <cell r="D119">
            <v>0</v>
          </cell>
          <cell r="E119">
            <v>0</v>
          </cell>
          <cell r="F119">
            <v>0.85462793204989895</v>
          </cell>
          <cell r="G119">
            <v>2.9766302619335355E-2</v>
          </cell>
          <cell r="H119">
            <v>5.1027399152060414E-3</v>
          </cell>
          <cell r="I119">
            <v>8.1562395414022278E-3</v>
          </cell>
          <cell r="J119">
            <v>7.2382114561459843E-3</v>
          </cell>
          <cell r="K119">
            <v>3.4786308743713595E-3</v>
          </cell>
          <cell r="L119">
            <v>2.2438569753083942E-3</v>
          </cell>
          <cell r="M119">
            <v>4.7260755430000574E-4</v>
          </cell>
          <cell r="N119">
            <v>8.8805752511835381E-2</v>
          </cell>
          <cell r="O119">
            <v>1.0661010195594862E-5</v>
          </cell>
          <cell r="P119">
            <v>1.1511389664271826E-5</v>
          </cell>
          <cell r="Q119">
            <v>5.3512403418519102E-5</v>
          </cell>
          <cell r="R119">
            <v>3.2041698918036537E-5</v>
          </cell>
          <cell r="S119">
            <v>1</v>
          </cell>
        </row>
        <row r="120">
          <cell r="A120" t="str">
            <v>F137M</v>
          </cell>
          <cell r="B120" t="str">
            <v xml:space="preserve">Misc &amp; Customer O &amp; M Exp </v>
          </cell>
          <cell r="C120">
            <v>0</v>
          </cell>
          <cell r="D120">
            <v>0</v>
          </cell>
          <cell r="E120">
            <v>0</v>
          </cell>
          <cell r="F120">
            <v>0.40699770433233368</v>
          </cell>
          <cell r="G120">
            <v>0.26604829024262955</v>
          </cell>
          <cell r="H120">
            <v>8.2358502052883642E-2</v>
          </cell>
          <cell r="I120">
            <v>5.9844966363501381E-3</v>
          </cell>
          <cell r="J120">
            <v>0.12315062656674258</v>
          </cell>
          <cell r="K120">
            <v>8.4484920904371388E-3</v>
          </cell>
          <cell r="L120">
            <v>2.7542354000494149E-4</v>
          </cell>
          <cell r="M120">
            <v>3.539347696718907E-4</v>
          </cell>
          <cell r="N120">
            <v>7.2502478242994509E-2</v>
          </cell>
          <cell r="O120">
            <v>6.3661179214994442E-4</v>
          </cell>
          <cell r="P120">
            <v>6.1343366117120202E-3</v>
          </cell>
          <cell r="Q120">
            <v>1.4734950200145413E-2</v>
          </cell>
          <cell r="R120">
            <v>1.2374152921944659E-2</v>
          </cell>
          <cell r="S120">
            <v>1</v>
          </cell>
        </row>
        <row r="121">
          <cell r="A121" t="str">
            <v>F138</v>
          </cell>
          <cell r="B121" t="str">
            <v>GTD O&amp;M Exp  (less fuel, purchased p &amp; wheeling)</v>
          </cell>
          <cell r="C121">
            <v>0</v>
          </cell>
          <cell r="D121">
            <v>0</v>
          </cell>
          <cell r="E121">
            <v>0</v>
          </cell>
          <cell r="F121">
            <v>0.46517393622124814</v>
          </cell>
          <cell r="G121">
            <v>0.23729080594656712</v>
          </cell>
          <cell r="H121">
            <v>7.2588071346608274E-2</v>
          </cell>
          <cell r="I121">
            <v>1.2031280264176913E-2</v>
          </cell>
          <cell r="J121">
            <v>0.1007919216307373</v>
          </cell>
          <cell r="K121">
            <v>7.42366622621758E-3</v>
          </cell>
          <cell r="L121">
            <v>5.5102135080567125E-4</v>
          </cell>
          <cell r="M121">
            <v>3.3698989659877856E-4</v>
          </cell>
          <cell r="N121">
            <v>7.6082075124231374E-2</v>
          </cell>
          <cell r="O121">
            <v>5.2857010985461598E-4</v>
          </cell>
          <cell r="P121">
            <v>5.0265419999859689E-3</v>
          </cell>
          <cell r="Q121">
            <v>1.2105576169874109E-2</v>
          </cell>
          <cell r="R121">
            <v>1.0069543713093786E-2</v>
          </cell>
          <cell r="S121">
            <v>1</v>
          </cell>
        </row>
        <row r="122">
          <cell r="A122" t="str">
            <v>F138G</v>
          </cell>
          <cell r="B122" t="str">
            <v xml:space="preserve">Generation O &amp; M Exp (less fuel &amp; purchased power) </v>
          </cell>
          <cell r="C122">
            <v>0</v>
          </cell>
          <cell r="D122">
            <v>0</v>
          </cell>
          <cell r="E122">
            <v>0</v>
          </cell>
          <cell r="F122">
            <v>0.34573284175561814</v>
          </cell>
          <cell r="G122">
            <v>0.27709023300000502</v>
          </cell>
          <cell r="H122">
            <v>8.8955862930045884E-2</v>
          </cell>
          <cell r="I122">
            <v>1.8575802547006596E-3</v>
          </cell>
          <cell r="J122">
            <v>0.16695712064381904</v>
          </cell>
          <cell r="K122">
            <v>7.0902242885279038E-3</v>
          </cell>
          <cell r="L122">
            <v>2.003251320436722E-4</v>
          </cell>
          <cell r="M122">
            <v>3.7205224265470145E-4</v>
          </cell>
          <cell r="N122">
            <v>6.5452956264633835E-2</v>
          </cell>
          <cell r="O122">
            <v>6.1407458999095165E-4</v>
          </cell>
          <cell r="P122">
            <v>8.408354916744255E-3</v>
          </cell>
          <cell r="Q122">
            <v>2.0393874334921392E-2</v>
          </cell>
          <cell r="R122">
            <v>1.6874499646294477E-2</v>
          </cell>
          <cell r="S122">
            <v>1</v>
          </cell>
        </row>
        <row r="123">
          <cell r="A123" t="str">
            <v>F138T</v>
          </cell>
          <cell r="B123" t="str">
            <v>Transmission O &amp; M Exp - (less wheeling exp)</v>
          </cell>
          <cell r="C123">
            <v>0</v>
          </cell>
          <cell r="D123">
            <v>0</v>
          </cell>
          <cell r="E123">
            <v>0</v>
          </cell>
          <cell r="F123">
            <v>0.34347145415227098</v>
          </cell>
          <cell r="G123">
            <v>0.27499862432742989</v>
          </cell>
          <cell r="H123">
            <v>8.820647075986307E-2</v>
          </cell>
          <cell r="I123">
            <v>1.8268775272007522E-3</v>
          </cell>
          <cell r="J123">
            <v>0.17261081033586431</v>
          </cell>
          <cell r="K123">
            <v>7.0312897095848852E-3</v>
          </cell>
          <cell r="L123">
            <v>1.9840947378747239E-4</v>
          </cell>
          <cell r="M123">
            <v>3.6599261306956515E-4</v>
          </cell>
          <cell r="N123">
            <v>6.4980054819904362E-2</v>
          </cell>
          <cell r="O123">
            <v>6.0999468412517479E-4</v>
          </cell>
          <cell r="P123">
            <v>8.3646275447783174E-3</v>
          </cell>
          <cell r="Q123">
            <v>2.0086768712027765E-2</v>
          </cell>
          <cell r="R123">
            <v>1.724862534009319E-2</v>
          </cell>
          <cell r="S123">
            <v>1</v>
          </cell>
        </row>
        <row r="124">
          <cell r="A124" t="str">
            <v>F138D</v>
          </cell>
          <cell r="B124" t="str">
            <v xml:space="preserve">Distribution O &amp; M Exp </v>
          </cell>
          <cell r="C124">
            <v>0</v>
          </cell>
          <cell r="D124">
            <v>0</v>
          </cell>
          <cell r="E124">
            <v>0</v>
          </cell>
          <cell r="F124">
            <v>0.5431178716251488</v>
          </cell>
          <cell r="G124">
            <v>0.24651479307064361</v>
          </cell>
          <cell r="H124">
            <v>6.8434723782509033E-2</v>
          </cell>
          <cell r="I124">
            <v>3.5081888691545951E-2</v>
          </cell>
          <cell r="J124">
            <v>2.2844854412390034E-3</v>
          </cell>
          <cell r="K124">
            <v>9.8890964518531053E-3</v>
          </cell>
          <cell r="L124">
            <v>5.3505083595494331E-4</v>
          </cell>
          <cell r="M124">
            <v>2.0515278338273965E-4</v>
          </cell>
          <cell r="N124">
            <v>9.2822255042778745E-2</v>
          </cell>
          <cell r="O124">
            <v>5.8020944698907698E-4</v>
          </cell>
          <cell r="P124">
            <v>1.7815760931835713E-4</v>
          </cell>
          <cell r="Q124">
            <v>1.7815760931835713E-4</v>
          </cell>
          <cell r="R124">
            <v>1.7815760931835713E-4</v>
          </cell>
          <cell r="S124">
            <v>1</v>
          </cell>
        </row>
        <row r="125">
          <cell r="A125" t="str">
            <v>F138R</v>
          </cell>
          <cell r="B125" t="str">
            <v>Retail O &amp; M Exp  (Customer)</v>
          </cell>
          <cell r="C125">
            <v>0</v>
          </cell>
          <cell r="D125">
            <v>0</v>
          </cell>
          <cell r="E125">
            <v>0</v>
          </cell>
          <cell r="F125">
            <v>0.85454842705351874</v>
          </cell>
          <cell r="G125">
            <v>2.9871586495254121E-2</v>
          </cell>
          <cell r="H125">
            <v>5.1189405745740036E-3</v>
          </cell>
          <cell r="I125">
            <v>8.1505737721491688E-3</v>
          </cell>
          <cell r="J125">
            <v>7.2430263247767529E-3</v>
          </cell>
          <cell r="K125">
            <v>3.478116703819274E-3</v>
          </cell>
          <cell r="L125">
            <v>2.2429671332991571E-3</v>
          </cell>
          <cell r="M125">
            <v>4.7178274818057155E-4</v>
          </cell>
          <cell r="N125">
            <v>8.8806672142818829E-2</v>
          </cell>
          <cell r="O125">
            <v>1.1063298841235599E-5</v>
          </cell>
          <cell r="P125">
            <v>1.0190875656186684E-5</v>
          </cell>
          <cell r="Q125">
            <v>2.3326438556021258E-5</v>
          </cell>
          <cell r="R125">
            <v>2.3326438556021258E-5</v>
          </cell>
          <cell r="S125">
            <v>1</v>
          </cell>
        </row>
        <row r="126">
          <cell r="A126" t="str">
            <v>F138M</v>
          </cell>
          <cell r="B126" t="str">
            <v xml:space="preserve">Misc &amp; Customer O &amp; M Exp </v>
          </cell>
          <cell r="C126">
            <v>0</v>
          </cell>
          <cell r="D126">
            <v>0</v>
          </cell>
          <cell r="E126">
            <v>0</v>
          </cell>
          <cell r="F126">
            <v>7.6923076923076927E-2</v>
          </cell>
          <cell r="G126">
            <v>7.6923076923076927E-2</v>
          </cell>
          <cell r="H126">
            <v>7.6923076923076927E-2</v>
          </cell>
          <cell r="I126">
            <v>7.6923076923076927E-2</v>
          </cell>
          <cell r="J126">
            <v>7.6923076923076927E-2</v>
          </cell>
          <cell r="K126">
            <v>7.6923076923076927E-2</v>
          </cell>
          <cell r="L126">
            <v>7.6923076923076927E-2</v>
          </cell>
          <cell r="M126">
            <v>7.6923076923076927E-2</v>
          </cell>
          <cell r="N126">
            <v>7.6923076923076927E-2</v>
          </cell>
          <cell r="O126">
            <v>7.6923076923076927E-2</v>
          </cell>
          <cell r="P126">
            <v>7.6923076923076927E-2</v>
          </cell>
          <cell r="Q126">
            <v>7.6923076923076927E-2</v>
          </cell>
          <cell r="R126">
            <v>7.6923076923076927E-2</v>
          </cell>
          <cell r="S126">
            <v>1</v>
          </cell>
        </row>
        <row r="127">
          <cell r="A127" t="str">
            <v>F140</v>
          </cell>
          <cell r="B127" t="str">
            <v>Revenue Requirement Before Rev Credits</v>
          </cell>
          <cell r="C127">
            <v>0</v>
          </cell>
          <cell r="D127">
            <v>0</v>
          </cell>
          <cell r="E127">
            <v>0</v>
          </cell>
          <cell r="F127">
            <v>0.37505823624434115</v>
          </cell>
          <cell r="G127">
            <v>0.26948475987658699</v>
          </cell>
          <cell r="H127">
            <v>8.5323444400192405E-2</v>
          </cell>
          <cell r="I127">
            <v>6.2248956332308421E-3</v>
          </cell>
          <cell r="J127">
            <v>0.14112117538759233</v>
          </cell>
          <cell r="K127">
            <v>7.5848585070070248E-3</v>
          </cell>
          <cell r="L127">
            <v>3.0627381927896295E-4</v>
          </cell>
          <cell r="M127">
            <v>5.4240176599364414E-4</v>
          </cell>
          <cell r="N127">
            <v>7.058829374083897E-2</v>
          </cell>
          <cell r="O127">
            <v>5.5952035071762539E-4</v>
          </cell>
          <cell r="P127">
            <v>7.1657475890743588E-3</v>
          </cell>
          <cell r="Q127">
            <v>2.0780556627261665E-2</v>
          </cell>
          <cell r="R127">
            <v>1.5259835962699805E-2</v>
          </cell>
          <cell r="S127">
            <v>1</v>
          </cell>
        </row>
        <row r="128">
          <cell r="A128" t="str">
            <v>F140G</v>
          </cell>
          <cell r="B128" t="str">
            <v>Revenue Requirement Before Rev Credits</v>
          </cell>
          <cell r="C128">
            <v>0</v>
          </cell>
          <cell r="D128">
            <v>0</v>
          </cell>
          <cell r="E128">
            <v>0</v>
          </cell>
          <cell r="F128">
            <v>0.32345560665046424</v>
          </cell>
          <cell r="G128">
            <v>0.27990417112480165</v>
          </cell>
          <cell r="H128">
            <v>9.1972295333427032E-2</v>
          </cell>
          <cell r="I128">
            <v>2.8535491497781004E-3</v>
          </cell>
          <cell r="J128">
            <v>0.17356925245933538</v>
          </cell>
          <cell r="K128">
            <v>7.1343074034468353E-3</v>
          </cell>
          <cell r="L128">
            <v>2.1913600479901653E-4</v>
          </cell>
          <cell r="M128">
            <v>5.8940176295765097E-4</v>
          </cell>
          <cell r="N128">
            <v>6.4992486347540679E-2</v>
          </cell>
          <cell r="O128">
            <v>5.6176801710514513E-4</v>
          </cell>
          <cell r="P128">
            <v>8.925116767555908E-3</v>
          </cell>
          <cell r="Q128">
            <v>2.6688648812033706E-2</v>
          </cell>
          <cell r="R128">
            <v>1.9134260166837561E-2</v>
          </cell>
          <cell r="S128">
            <v>1</v>
          </cell>
        </row>
        <row r="129">
          <cell r="A129" t="str">
            <v>F140T</v>
          </cell>
          <cell r="B129" t="str">
            <v>Revenue Requirement Before Rev Credits</v>
          </cell>
          <cell r="C129">
            <v>0</v>
          </cell>
          <cell r="D129">
            <v>0</v>
          </cell>
          <cell r="E129">
            <v>0</v>
          </cell>
          <cell r="F129">
            <v>0.34040366652016457</v>
          </cell>
          <cell r="G129">
            <v>0.28594839817307288</v>
          </cell>
          <cell r="H129">
            <v>8.8673588226581029E-2</v>
          </cell>
          <cell r="I129">
            <v>2.2135475988279999E-3</v>
          </cell>
          <cell r="J129">
            <v>0.16518041477589901</v>
          </cell>
          <cell r="K129">
            <v>6.5742527057948662E-3</v>
          </cell>
          <cell r="L129">
            <v>1.9901201700667784E-4</v>
          </cell>
          <cell r="M129">
            <v>4.9595426863632505E-4</v>
          </cell>
          <cell r="N129">
            <v>6.727319024616378E-2</v>
          </cell>
          <cell r="O129">
            <v>5.7197402841294414E-4</v>
          </cell>
          <cell r="P129">
            <v>7.853655965978654E-3</v>
          </cell>
          <cell r="Q129">
            <v>1.8390929579941828E-2</v>
          </cell>
          <cell r="R129">
            <v>1.6221415892982562E-2</v>
          </cell>
          <cell r="S129">
            <v>1</v>
          </cell>
        </row>
        <row r="130">
          <cell r="A130" t="str">
            <v>F140D</v>
          </cell>
          <cell r="B130" t="str">
            <v>Revenue Requirement Before Rev Credits</v>
          </cell>
          <cell r="C130">
            <v>0</v>
          </cell>
          <cell r="D130">
            <v>0</v>
          </cell>
          <cell r="E130">
            <v>0</v>
          </cell>
          <cell r="F130">
            <v>0.5535515496212009</v>
          </cell>
          <cell r="G130">
            <v>0.24732836856459947</v>
          </cell>
          <cell r="H130">
            <v>6.5904103533668282E-2</v>
          </cell>
          <cell r="I130">
            <v>2.3523698505864148E-2</v>
          </cell>
          <cell r="J130">
            <v>2.6127361761412293E-3</v>
          </cell>
          <cell r="K130">
            <v>1.0876179184792356E-2</v>
          </cell>
          <cell r="L130">
            <v>4.9069884425070062E-4</v>
          </cell>
          <cell r="M130">
            <v>3.9392832348767733E-4</v>
          </cell>
          <cell r="N130">
            <v>9.3801614168634126E-2</v>
          </cell>
          <cell r="O130">
            <v>6.1975327041352416E-4</v>
          </cell>
          <cell r="P130">
            <v>2.051151184985279E-4</v>
          </cell>
          <cell r="Q130">
            <v>3.8416839711429446E-4</v>
          </cell>
          <cell r="R130">
            <v>3.0808629187298905E-4</v>
          </cell>
          <cell r="S130">
            <v>1</v>
          </cell>
        </row>
        <row r="131">
          <cell r="A131" t="str">
            <v>F140R</v>
          </cell>
          <cell r="B131" t="str">
            <v>Revenue Requirement Before Rev Credits</v>
          </cell>
          <cell r="C131">
            <v>0</v>
          </cell>
          <cell r="D131">
            <v>0</v>
          </cell>
          <cell r="E131">
            <v>0</v>
          </cell>
          <cell r="F131">
            <v>0.83449756794297336</v>
          </cell>
          <cell r="G131">
            <v>3.1776467014015243E-2</v>
          </cell>
          <cell r="H131">
            <v>7.9134955238763238E-3</v>
          </cell>
          <cell r="I131">
            <v>8.0083814809114601E-3</v>
          </cell>
          <cell r="J131">
            <v>1.6644601801912223E-2</v>
          </cell>
          <cell r="K131">
            <v>3.6765803802998945E-3</v>
          </cell>
          <cell r="L131">
            <v>2.1418791277244783E-3</v>
          </cell>
          <cell r="M131">
            <v>4.6284605287676416E-4</v>
          </cell>
          <cell r="N131">
            <v>9.2217271981541463E-2</v>
          </cell>
          <cell r="O131">
            <v>1.414913500044821E-5</v>
          </cell>
          <cell r="P131">
            <v>4.9453532526993607E-5</v>
          </cell>
          <cell r="Q131">
            <v>2.4897081761200883E-3</v>
          </cell>
          <cell r="R131">
            <v>1.0759785025636462E-4</v>
          </cell>
          <cell r="S131">
            <v>1</v>
          </cell>
        </row>
        <row r="132">
          <cell r="A132" t="str">
            <v>F140M</v>
          </cell>
          <cell r="B132" t="str">
            <v>Revenue Requirement Before Rev Credits</v>
          </cell>
          <cell r="C132">
            <v>0</v>
          </cell>
          <cell r="D132">
            <v>0</v>
          </cell>
          <cell r="E132">
            <v>0</v>
          </cell>
          <cell r="F132">
            <v>0.4008933906799596</v>
          </cell>
          <cell r="G132">
            <v>0.27005325479842512</v>
          </cell>
          <cell r="H132">
            <v>8.2857855476646716E-2</v>
          </cell>
          <cell r="I132">
            <v>6.1279199469340909E-3</v>
          </cell>
          <cell r="J132">
            <v>0.12456007410233134</v>
          </cell>
          <cell r="K132">
            <v>8.2459172449810669E-3</v>
          </cell>
          <cell r="L132">
            <v>2.7132674499582009E-4</v>
          </cell>
          <cell r="M132">
            <v>4.2077989136409498E-4</v>
          </cell>
          <cell r="N132">
            <v>7.2762968101757447E-2</v>
          </cell>
          <cell r="O132">
            <v>6.194589706302586E-4</v>
          </cell>
          <cell r="P132">
            <v>6.1358459068860862E-3</v>
          </cell>
          <cell r="Q132">
            <v>1.4596525376861914E-2</v>
          </cell>
          <cell r="R132">
            <v>1.2454657765642975E-2</v>
          </cell>
          <cell r="S132">
            <v>1</v>
          </cell>
        </row>
        <row r="133">
          <cell r="A133" t="str">
            <v>F141</v>
          </cell>
          <cell r="B133" t="str">
            <v>Firm Revenues</v>
          </cell>
          <cell r="C133">
            <v>0</v>
          </cell>
          <cell r="D133">
            <v>0</v>
          </cell>
          <cell r="E133">
            <v>0</v>
          </cell>
          <cell r="F133">
            <v>0.37643136257302112</v>
          </cell>
          <cell r="G133">
            <v>0.27920039270360569</v>
          </cell>
          <cell r="H133">
            <v>8.4185226772836047E-2</v>
          </cell>
          <cell r="I133">
            <v>8.3493834430601373E-3</v>
          </cell>
          <cell r="J133">
            <v>0.130425341209151</v>
          </cell>
          <cell r="K133">
            <v>7.3454479183869981E-3</v>
          </cell>
          <cell r="L133">
            <v>3.1777179730256154E-4</v>
          </cell>
          <cell r="M133">
            <v>7.3596122162594702E-4</v>
          </cell>
          <cell r="N133">
            <v>7.3955908745865995E-2</v>
          </cell>
          <cell r="O133">
            <v>5.0233728575399561E-4</v>
          </cell>
          <cell r="P133">
            <v>6.3787094230879655E-3</v>
          </cell>
          <cell r="Q133">
            <v>1.831085355368715E-2</v>
          </cell>
          <cell r="R133">
            <v>1.3861303352615281E-2</v>
          </cell>
          <cell r="S133">
            <v>1</v>
          </cell>
        </row>
        <row r="134">
          <cell r="A134" t="str">
            <v>F150</v>
          </cell>
          <cell r="B134" t="str">
            <v>Income Before State Taxes</v>
          </cell>
          <cell r="C134">
            <v>0</v>
          </cell>
          <cell r="D134">
            <v>0</v>
          </cell>
          <cell r="E134">
            <v>0</v>
          </cell>
          <cell r="F134">
            <v>0.31666138585334658</v>
          </cell>
          <cell r="G134">
            <v>8.9171824318046752E-2</v>
          </cell>
          <cell r="H134">
            <v>0.10668090369819894</v>
          </cell>
          <cell r="I134">
            <v>-1.4240228783217282E-2</v>
          </cell>
          <cell r="J134">
            <v>0.33924515920253306</v>
          </cell>
          <cell r="K134">
            <v>1.3993169810290165E-2</v>
          </cell>
          <cell r="L134">
            <v>-1.4288530914343792E-5</v>
          </cell>
          <cell r="M134">
            <v>-2.7658728452215398E-3</v>
          </cell>
          <cell r="N134">
            <v>1.8540335250869303E-2</v>
          </cell>
          <cell r="O134">
            <v>1.4466366042718783E-3</v>
          </cell>
          <cell r="P134">
            <v>2.0628587185430741E-2</v>
          </cell>
          <cell r="Q134">
            <v>7.0892999980082902E-2</v>
          </cell>
          <cell r="R134">
            <v>3.9759391446429593E-2</v>
          </cell>
          <cell r="S134">
            <v>1</v>
          </cell>
        </row>
        <row r="135">
          <cell r="A135" t="str">
            <v>F150G</v>
          </cell>
          <cell r="B135" t="str">
            <v>Income Before State Taxes</v>
          </cell>
          <cell r="C135">
            <v>0</v>
          </cell>
          <cell r="D135">
            <v>0</v>
          </cell>
          <cell r="E135">
            <v>0</v>
          </cell>
          <cell r="F135">
            <v>0.3664803480421388</v>
          </cell>
          <cell r="G135">
            <v>0.18993481795861258</v>
          </cell>
          <cell r="H135">
            <v>8.9477495835339482E-2</v>
          </cell>
          <cell r="I135">
            <v>-2.6228811862979481E-3</v>
          </cell>
          <cell r="J135">
            <v>0.21953354386115048</v>
          </cell>
          <cell r="K135">
            <v>9.7873251761557232E-3</v>
          </cell>
          <cell r="L135">
            <v>1.8996303571067411E-4</v>
          </cell>
          <cell r="M135">
            <v>-1.0063348324610677E-3</v>
          </cell>
          <cell r="N135">
            <v>4.5955033580527646E-2</v>
          </cell>
          <cell r="O135">
            <v>9.4763608294083537E-4</v>
          </cell>
          <cell r="P135">
            <v>1.3468458172939476E-2</v>
          </cell>
          <cell r="Q135">
            <v>4.1847360533803592E-2</v>
          </cell>
          <cell r="R135">
            <v>2.6007233739583992E-2</v>
          </cell>
          <cell r="S135">
            <v>1</v>
          </cell>
        </row>
        <row r="136">
          <cell r="A136" t="str">
            <v>F150T</v>
          </cell>
          <cell r="B136" t="str">
            <v>Income Before State Taxes</v>
          </cell>
          <cell r="C136">
            <v>0</v>
          </cell>
          <cell r="D136">
            <v>0</v>
          </cell>
          <cell r="E136">
            <v>0</v>
          </cell>
          <cell r="F136">
            <v>0.71636574804674691</v>
          </cell>
          <cell r="G136">
            <v>-2.1206826505314131</v>
          </cell>
          <cell r="H136">
            <v>0.11770708047220943</v>
          </cell>
          <cell r="I136">
            <v>-8.7241580725519935E-2</v>
          </cell>
          <cell r="J136">
            <v>1.7308353919995922</v>
          </cell>
          <cell r="K136">
            <v>8.1428714941926925E-2</v>
          </cell>
          <cell r="L136">
            <v>2.9714131411404446E-4</v>
          </cell>
          <cell r="M136">
            <v>-3.0935013713150605E-2</v>
          </cell>
          <cell r="N136">
            <v>-0.46475524902484888</v>
          </cell>
          <cell r="O136">
            <v>9.3350258619898062E-3</v>
          </cell>
          <cell r="P136">
            <v>0.14815682120157744</v>
          </cell>
          <cell r="Q136">
            <v>0.6147722944335634</v>
          </cell>
          <cell r="R136">
            <v>0.28471627586296622</v>
          </cell>
          <cell r="S136">
            <v>1</v>
          </cell>
        </row>
        <row r="137">
          <cell r="A137" t="str">
            <v>F150D</v>
          </cell>
          <cell r="B137" t="str">
            <v>Income Before State Taxes</v>
          </cell>
          <cell r="C137">
            <v>0</v>
          </cell>
          <cell r="D137">
            <v>0</v>
          </cell>
          <cell r="E137">
            <v>0</v>
          </cell>
          <cell r="F137">
            <v>0.46437534894583243</v>
          </cell>
          <cell r="G137">
            <v>0.33074361408834801</v>
          </cell>
          <cell r="H137">
            <v>4.9100560283442292E-2</v>
          </cell>
          <cell r="I137">
            <v>2.4765836803917498E-2</v>
          </cell>
          <cell r="J137">
            <v>-3.0461432710225458E-3</v>
          </cell>
          <cell r="K137">
            <v>2.1012263446690254E-3</v>
          </cell>
          <cell r="L137">
            <v>5.3873188602831515E-4</v>
          </cell>
          <cell r="M137">
            <v>2.2751245684578445E-3</v>
          </cell>
          <cell r="N137">
            <v>0.12972623532896871</v>
          </cell>
          <cell r="O137">
            <v>-6.0497095257040286E-5</v>
          </cell>
          <cell r="P137">
            <v>-1.3152163557565805E-4</v>
          </cell>
          <cell r="Q137">
            <v>-2.4637450950914174E-4</v>
          </cell>
          <cell r="R137">
            <v>-1.4214173729466963E-4</v>
          </cell>
          <cell r="S137">
            <v>1</v>
          </cell>
        </row>
        <row r="138">
          <cell r="A138" t="str">
            <v>F150R</v>
          </cell>
          <cell r="B138" t="str">
            <v>Income Before State Taxes</v>
          </cell>
          <cell r="C138">
            <v>0</v>
          </cell>
          <cell r="D138">
            <v>0</v>
          </cell>
          <cell r="E138">
            <v>0</v>
          </cell>
          <cell r="F138">
            <v>-0.7284519173381554</v>
          </cell>
          <cell r="G138">
            <v>-2.3140820483842885E-2</v>
          </cell>
          <cell r="H138">
            <v>0.21113123964315733</v>
          </cell>
          <cell r="I138">
            <v>-1.7748653057892805E-2</v>
          </cell>
          <cell r="J138">
            <v>0.76238558308846149</v>
          </cell>
          <cell r="K138">
            <v>1.24876025064596E-2</v>
          </cell>
          <cell r="L138">
            <v>-3.8325206137654923E-3</v>
          </cell>
          <cell r="M138">
            <v>-1.1275161713342223E-3</v>
          </cell>
          <cell r="N138">
            <v>0.62310998056064038</v>
          </cell>
          <cell r="O138">
            <v>-1.8811757764999331E-4</v>
          </cell>
          <cell r="P138">
            <v>-1.6216749477372112E-3</v>
          </cell>
          <cell r="Q138">
            <v>0.17026653858454344</v>
          </cell>
          <cell r="R138">
            <v>-3.2697242925947513E-3</v>
          </cell>
          <cell r="S138">
            <v>1</v>
          </cell>
        </row>
        <row r="139">
          <cell r="A139" t="str">
            <v>F150M</v>
          </cell>
          <cell r="B139" t="str">
            <v>Income Before State Taxes</v>
          </cell>
          <cell r="C139">
            <v>0</v>
          </cell>
          <cell r="D139">
            <v>0</v>
          </cell>
          <cell r="E139">
            <v>0</v>
          </cell>
          <cell r="F139">
            <v>-7.3082206488909334</v>
          </cell>
          <cell r="G139">
            <v>9.500589471304183</v>
          </cell>
          <cell r="H139">
            <v>0.45409862282010766</v>
          </cell>
          <cell r="I139">
            <v>0.7232728932764001</v>
          </cell>
          <cell r="J139">
            <v>-1.4406154377606339</v>
          </cell>
          <cell r="K139">
            <v>-0.40379667697870431</v>
          </cell>
          <cell r="L139">
            <v>-3.8932620093799718E-3</v>
          </cell>
          <cell r="M139">
            <v>0.1557724397605236</v>
          </cell>
          <cell r="N139">
            <v>1.5734212332865798</v>
          </cell>
          <cell r="O139">
            <v>-3.7910166992317772E-2</v>
          </cell>
          <cell r="P139">
            <v>-0.27994303639762358</v>
          </cell>
          <cell r="Q139">
            <v>-1.4765511830878328</v>
          </cell>
          <cell r="R139">
            <v>-0.45628752199981226</v>
          </cell>
          <cell r="S139">
            <v>1</v>
          </cell>
        </row>
        <row r="140">
          <cell r="A140" t="str">
            <v>F151</v>
          </cell>
          <cell r="B140" t="str">
            <v>Depreciation Expense</v>
          </cell>
          <cell r="C140">
            <v>0</v>
          </cell>
          <cell r="D140">
            <v>0</v>
          </cell>
          <cell r="E140">
            <v>0</v>
          </cell>
          <cell r="F140">
            <v>0.40655676078437381</v>
          </cell>
          <cell r="G140">
            <v>0.26569875790327996</v>
          </cell>
          <cell r="H140">
            <v>8.2247042388827102E-2</v>
          </cell>
          <cell r="I140">
            <v>9.2158223793638305E-3</v>
          </cell>
          <cell r="J140">
            <v>0.12137056696613006</v>
          </cell>
          <cell r="K140">
            <v>8.4296489272596056E-3</v>
          </cell>
          <cell r="L140">
            <v>2.717684120988252E-4</v>
          </cell>
          <cell r="M140">
            <v>3.4696836014617462E-4</v>
          </cell>
          <cell r="N140">
            <v>7.2421446268088205E-2</v>
          </cell>
          <cell r="O140">
            <v>6.3269706723910208E-4</v>
          </cell>
          <cell r="P140">
            <v>6.0607738225710479E-3</v>
          </cell>
          <cell r="Q140">
            <v>1.4549449408987119E-2</v>
          </cell>
          <cell r="R140">
            <v>1.2198297311635352E-2</v>
          </cell>
          <cell r="S140">
            <v>1</v>
          </cell>
        </row>
        <row r="141">
          <cell r="A141" t="str">
            <v>F151G</v>
          </cell>
          <cell r="B141" t="str">
            <v>Depreciation Expense</v>
          </cell>
          <cell r="C141">
            <v>0</v>
          </cell>
          <cell r="D141">
            <v>0</v>
          </cell>
          <cell r="E141">
            <v>0</v>
          </cell>
          <cell r="F141">
            <v>0.34614523771625788</v>
          </cell>
          <cell r="G141">
            <v>0.27714150291305473</v>
          </cell>
          <cell r="H141">
            <v>8.8894393088455981E-2</v>
          </cell>
          <cell r="I141">
            <v>1.841241134830924E-3</v>
          </cell>
          <cell r="J141">
            <v>0.16676727879563391</v>
          </cell>
          <cell r="K141">
            <v>7.0861614678240977E-3</v>
          </cell>
          <cell r="L141">
            <v>1.9995857975879463E-4</v>
          </cell>
          <cell r="M141">
            <v>3.6886945280377838E-4</v>
          </cell>
          <cell r="N141">
            <v>6.5486234694526996E-2</v>
          </cell>
          <cell r="O141">
            <v>6.1474355425440112E-4</v>
          </cell>
          <cell r="P141">
            <v>8.3924759959919659E-3</v>
          </cell>
          <cell r="Q141">
            <v>2.024446728630129E-2</v>
          </cell>
          <cell r="R141">
            <v>1.6817435320305354E-2</v>
          </cell>
          <cell r="S141">
            <v>1</v>
          </cell>
        </row>
        <row r="142">
          <cell r="A142" t="str">
            <v>F151T</v>
          </cell>
          <cell r="B142" t="str">
            <v>Depreciation Expense</v>
          </cell>
          <cell r="C142">
            <v>0</v>
          </cell>
          <cell r="D142">
            <v>0</v>
          </cell>
          <cell r="E142">
            <v>0</v>
          </cell>
          <cell r="F142">
            <v>0.34340037373305027</v>
          </cell>
          <cell r="G142">
            <v>0.27494171416134194</v>
          </cell>
          <cell r="H142">
            <v>8.8188216687089913E-2</v>
          </cell>
          <cell r="I142">
            <v>1.826499460205872E-3</v>
          </cell>
          <cell r="J142">
            <v>0.17276601076781811</v>
          </cell>
          <cell r="K142">
            <v>7.0298346046142185E-3</v>
          </cell>
          <cell r="L142">
            <v>1.9836841352350088E-4</v>
          </cell>
          <cell r="M142">
            <v>3.6591687196195889E-4</v>
          </cell>
          <cell r="N142">
            <v>6.4966607386408096E-2</v>
          </cell>
          <cell r="O142">
            <v>6.0986844749809615E-4</v>
          </cell>
          <cell r="P142">
            <v>8.3638913257047861E-3</v>
          </cell>
          <cell r="Q142">
            <v>2.0082611813620106E-2</v>
          </cell>
          <cell r="R142">
            <v>1.7260086327163283E-2</v>
          </cell>
          <cell r="S142">
            <v>1</v>
          </cell>
        </row>
        <row r="143">
          <cell r="A143" t="str">
            <v>F151D</v>
          </cell>
          <cell r="B143" t="str">
            <v>Depreciation Expense</v>
          </cell>
          <cell r="C143">
            <v>0</v>
          </cell>
          <cell r="D143">
            <v>0</v>
          </cell>
          <cell r="E143">
            <v>0</v>
          </cell>
          <cell r="F143">
            <v>0.55880700310046749</v>
          </cell>
          <cell r="G143">
            <v>0.24047358165360042</v>
          </cell>
          <cell r="H143">
            <v>6.650933156768081E-2</v>
          </cell>
          <cell r="I143">
            <v>2.8225694445843497E-2</v>
          </cell>
          <cell r="J143">
            <v>1.7421816323298744E-3</v>
          </cell>
          <cell r="K143">
            <v>1.1987641390655664E-2</v>
          </cell>
          <cell r="L143">
            <v>4.3237965121809441E-4</v>
          </cell>
          <cell r="M143">
            <v>2.9036822740779382E-4</v>
          </cell>
          <cell r="N143">
            <v>9.0434899826545845E-2</v>
          </cell>
          <cell r="O143">
            <v>6.8932179689858066E-4</v>
          </cell>
          <cell r="P143">
            <v>1.3586556911735254E-4</v>
          </cell>
          <cell r="Q143">
            <v>1.3586556911735254E-4</v>
          </cell>
          <cell r="R143">
            <v>1.3586556911735254E-4</v>
          </cell>
          <cell r="S143">
            <v>1</v>
          </cell>
        </row>
        <row r="144">
          <cell r="A144" t="str">
            <v>F151R</v>
          </cell>
          <cell r="B144" t="str">
            <v>Depreciation Expense</v>
          </cell>
          <cell r="C144">
            <v>0</v>
          </cell>
          <cell r="D144">
            <v>0</v>
          </cell>
          <cell r="E144">
            <v>0</v>
          </cell>
          <cell r="F144">
            <v>0.87121091198399003</v>
          </cell>
          <cell r="G144">
            <v>1.8685618887272257E-2</v>
          </cell>
          <cell r="H144">
            <v>3.6060824098817966E-4</v>
          </cell>
          <cell r="I144">
            <v>1.0806265281044006E-2</v>
          </cell>
          <cell r="J144">
            <v>1.4291196877289564E-3</v>
          </cell>
          <cell r="K144">
            <v>3.5368533735182337E-3</v>
          </cell>
          <cell r="L144">
            <v>2.4986356816757084E-3</v>
          </cell>
          <cell r="M144">
            <v>5.2555973340059469E-4</v>
          </cell>
          <cell r="N144">
            <v>9.0906317860013006E-2</v>
          </cell>
          <cell r="O144">
            <v>1.3313276223762299E-5</v>
          </cell>
          <cell r="P144">
            <v>8.9319980483059787E-6</v>
          </cell>
          <cell r="Q144">
            <v>8.9319980483059787E-6</v>
          </cell>
          <cell r="R144">
            <v>8.9319980483059787E-6</v>
          </cell>
          <cell r="S144">
            <v>1</v>
          </cell>
        </row>
        <row r="145">
          <cell r="A145" t="str">
            <v>F151M</v>
          </cell>
          <cell r="B145" t="str">
            <v>Depreciation Expense</v>
          </cell>
          <cell r="C145">
            <v>0</v>
          </cell>
          <cell r="D145">
            <v>0</v>
          </cell>
          <cell r="E145">
            <v>0</v>
          </cell>
          <cell r="F145">
            <v>7.6923076923076927E-2</v>
          </cell>
          <cell r="G145">
            <v>7.6923076923076927E-2</v>
          </cell>
          <cell r="H145">
            <v>7.6923076923076927E-2</v>
          </cell>
          <cell r="I145">
            <v>7.6923076923076927E-2</v>
          </cell>
          <cell r="J145">
            <v>7.6923076923076927E-2</v>
          </cell>
          <cell r="K145">
            <v>7.6923076923076927E-2</v>
          </cell>
          <cell r="L145">
            <v>7.6923076923076927E-2</v>
          </cell>
          <cell r="M145">
            <v>7.6923076923076927E-2</v>
          </cell>
          <cell r="N145">
            <v>7.6923076923076927E-2</v>
          </cell>
          <cell r="O145">
            <v>7.6923076923076927E-2</v>
          </cell>
          <cell r="P145">
            <v>7.6923076923076927E-2</v>
          </cell>
          <cell r="Q145">
            <v>7.6923076923076927E-2</v>
          </cell>
          <cell r="R145">
            <v>7.6923076923076927E-2</v>
          </cell>
          <cell r="S145">
            <v>1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5">
          <cell r="C5" t="str">
            <v>12 Months Ending December 31,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1724573805.7033823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0.74495515661281908</v>
          </cell>
        </row>
      </sheetData>
      <sheetData sheetId="23"/>
      <sheetData sheetId="24">
        <row r="251">
          <cell r="AG251" t="str">
            <v>DIS</v>
          </cell>
        </row>
        <row r="275">
          <cell r="H275">
            <v>0</v>
          </cell>
        </row>
        <row r="276">
          <cell r="H276">
            <v>0</v>
          </cell>
          <cell r="AG276">
            <v>0</v>
          </cell>
        </row>
        <row r="288">
          <cell r="H288">
            <v>115938437.37436633</v>
          </cell>
        </row>
        <row r="327">
          <cell r="AG327">
            <v>5.1178549502640197E-2</v>
          </cell>
        </row>
        <row r="608">
          <cell r="AG608">
            <v>0</v>
          </cell>
        </row>
        <row r="732">
          <cell r="H732">
            <v>25091221.66910474</v>
          </cell>
        </row>
        <row r="827">
          <cell r="H827">
            <v>98238.50889699017</v>
          </cell>
        </row>
        <row r="828">
          <cell r="H828">
            <v>652910.76721132139</v>
          </cell>
        </row>
        <row r="1021">
          <cell r="AG1021">
            <v>43810.742231877011</v>
          </cell>
        </row>
        <row r="1076">
          <cell r="AG1076">
            <v>0</v>
          </cell>
        </row>
        <row r="1093">
          <cell r="AG1093">
            <v>0</v>
          </cell>
        </row>
        <row r="1140">
          <cell r="AG1140">
            <v>0</v>
          </cell>
        </row>
        <row r="1141">
          <cell r="AG1141">
            <v>0</v>
          </cell>
        </row>
        <row r="1143">
          <cell r="AG1143">
            <v>0</v>
          </cell>
        </row>
        <row r="1148">
          <cell r="AG1148">
            <v>0</v>
          </cell>
        </row>
        <row r="1294">
          <cell r="AG1294">
            <v>-433227.37494349119</v>
          </cell>
        </row>
        <row r="1883">
          <cell r="AG1883">
            <v>48134.263537467246</v>
          </cell>
        </row>
        <row r="1885">
          <cell r="AG1885">
            <v>-48134.263537467246</v>
          </cell>
        </row>
        <row r="1936">
          <cell r="AG1936">
            <v>0</v>
          </cell>
        </row>
        <row r="1937">
          <cell r="AG1937">
            <v>0</v>
          </cell>
        </row>
        <row r="1960">
          <cell r="AG1960">
            <v>0</v>
          </cell>
        </row>
        <row r="1961">
          <cell r="AG1961">
            <v>0</v>
          </cell>
        </row>
        <row r="1962">
          <cell r="AG1962">
            <v>0</v>
          </cell>
        </row>
        <row r="1964">
          <cell r="AG1964">
            <v>0</v>
          </cell>
        </row>
        <row r="2001">
          <cell r="AG2001">
            <v>0</v>
          </cell>
        </row>
        <row r="2034">
          <cell r="H2034">
            <v>128921.22893744383</v>
          </cell>
        </row>
        <row r="2036">
          <cell r="AG2036">
            <v>0</v>
          </cell>
        </row>
        <row r="2058">
          <cell r="AG2058">
            <v>13140.555274701919</v>
          </cell>
        </row>
        <row r="2067">
          <cell r="AG2067">
            <v>0</v>
          </cell>
        </row>
        <row r="2139">
          <cell r="H2139">
            <v>0</v>
          </cell>
        </row>
        <row r="2147">
          <cell r="H2147">
            <v>-3029085.4566001594</v>
          </cell>
        </row>
        <row r="2151">
          <cell r="H2151">
            <v>-3.4157553211878022E-2</v>
          </cell>
        </row>
        <row r="2155">
          <cell r="H2155">
            <v>0</v>
          </cell>
        </row>
        <row r="2156">
          <cell r="AG2156">
            <v>0</v>
          </cell>
        </row>
        <row r="2171">
          <cell r="AG2171">
            <v>0</v>
          </cell>
        </row>
        <row r="2187">
          <cell r="AG2187">
            <v>0</v>
          </cell>
        </row>
        <row r="2207">
          <cell r="AG2207">
            <v>-26922.482423796235</v>
          </cell>
        </row>
        <row r="2219">
          <cell r="AG2219">
            <v>864.02560103648705</v>
          </cell>
        </row>
        <row r="2389">
          <cell r="AG2389">
            <v>0</v>
          </cell>
        </row>
        <row r="2390">
          <cell r="AG2390">
            <v>0</v>
          </cell>
        </row>
        <row r="2403">
          <cell r="AG2403">
            <v>0</v>
          </cell>
        </row>
        <row r="2410">
          <cell r="AG2410">
            <v>0</v>
          </cell>
        </row>
        <row r="2411">
          <cell r="AG2411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  <sheetName val="Sheet1"/>
    </sheetNames>
    <sheetDataSet>
      <sheetData sheetId="0">
        <row r="3">
          <cell r="C3" t="str">
            <v>Rocky Mountain Power</v>
          </cell>
        </row>
        <row r="19">
          <cell r="K19">
            <v>67875230.453694463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1935861328.0220451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0.81307706711145988</v>
          </cell>
        </row>
      </sheetData>
      <sheetData sheetId="23"/>
      <sheetData sheetId="24">
        <row r="251">
          <cell r="AG251" t="str">
            <v>DIS</v>
          </cell>
        </row>
        <row r="328">
          <cell r="AG328">
            <v>0</v>
          </cell>
        </row>
        <row r="409">
          <cell r="AG409">
            <v>0</v>
          </cell>
        </row>
        <row r="420">
          <cell r="AG420">
            <v>0</v>
          </cell>
        </row>
        <row r="559">
          <cell r="AG559">
            <v>0</v>
          </cell>
        </row>
        <row r="951">
          <cell r="AG951">
            <v>0</v>
          </cell>
        </row>
        <row r="991">
          <cell r="AG991">
            <v>0</v>
          </cell>
        </row>
        <row r="1518">
          <cell r="I1518">
            <v>970663.84981162648</v>
          </cell>
        </row>
        <row r="1795">
          <cell r="AG1795">
            <v>6925.8930178870532</v>
          </cell>
        </row>
        <row r="1855">
          <cell r="AG1855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17">
          <cell r="H17">
            <v>0.37950999999999996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  <row r="722">
          <cell r="Y722">
            <v>11440.454450226256</v>
          </cell>
        </row>
        <row r="724">
          <cell r="Y724">
            <v>38084.035315421454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778">
          <cell r="Y1778">
            <v>0</v>
          </cell>
        </row>
        <row r="1912">
          <cell r="F1912">
            <v>1.0719561604796075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AP33">
            <v>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14">
          <cell r="N14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5.759308024002361E-2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1">
          <cell r="Y11">
            <v>1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3.5.1"/>
      <sheetName val="Internal"/>
      <sheetName val="3.5.1 - internal"/>
      <sheetName val="9-24-10 REC Rev"/>
      <sheetName val="LIVE 9-24-10 REC Rev"/>
      <sheetName val="Low-impact hydro"/>
      <sheetName val="301944-5"/>
      <sheetName val="BW-Actuals"/>
      <sheetName val="glpca"/>
      <sheetName val="Factor"/>
      <sheetName val="Assumptions"/>
      <sheetName val="Issue Card"/>
      <sheetName val="BU Approval"/>
    </sheetNames>
    <sheetDataSet>
      <sheetData sheetId="0"/>
      <sheetData sheetId="1"/>
      <sheetData sheetId="2"/>
      <sheetData sheetId="3"/>
      <sheetData sheetId="4">
        <row r="48">
          <cell r="E48">
            <v>98525363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nsitivities"/>
      <sheetName val="REC's (2)"/>
      <sheetName val="PE Summary"/>
      <sheetName val="C&amp;T"/>
      <sheetName val="Gen"/>
      <sheetName val="Res Dev"/>
      <sheetName val="IW Fuels"/>
      <sheetName val="FSO"/>
      <sheetName val="Wind &amp; Hydro"/>
      <sheetName val="InitiativeNo"/>
      <sheetName val="Corp Sum"/>
      <sheetName val="Rollup"/>
      <sheetName val="REC's"/>
      <sheetName val="RMP Load Adjustment"/>
      <sheetName val="CCoal-DNPC"/>
      <sheetName val="Codes"/>
      <sheetName val="Summary"/>
    </sheetNames>
    <sheetDataSet>
      <sheetData sheetId="0" refreshError="1"/>
      <sheetData sheetId="1" refreshError="1"/>
      <sheetData sheetId="2">
        <row r="1">
          <cell r="X1">
            <v>12</v>
          </cell>
        </row>
        <row r="2">
          <cell r="X2" t="str">
            <v>December 31, 2010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A21">
            <v>0.34939999999999999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38388</v>
          </cell>
        </row>
        <row r="2">
          <cell r="A2">
            <v>38416</v>
          </cell>
        </row>
        <row r="3">
          <cell r="A3">
            <v>38447</v>
          </cell>
        </row>
        <row r="4">
          <cell r="A4">
            <v>38477</v>
          </cell>
        </row>
        <row r="5">
          <cell r="A5">
            <v>38508</v>
          </cell>
        </row>
        <row r="6">
          <cell r="A6">
            <v>38538</v>
          </cell>
        </row>
        <row r="7">
          <cell r="A7">
            <v>38569</v>
          </cell>
        </row>
        <row r="8">
          <cell r="A8">
            <v>38600</v>
          </cell>
        </row>
        <row r="9">
          <cell r="A9">
            <v>38630</v>
          </cell>
        </row>
        <row r="10">
          <cell r="A10">
            <v>38661</v>
          </cell>
        </row>
        <row r="11">
          <cell r="A11">
            <v>38691</v>
          </cell>
        </row>
        <row r="12">
          <cell r="A12">
            <v>38722</v>
          </cell>
        </row>
        <row r="13">
          <cell r="A13">
            <v>38753</v>
          </cell>
        </row>
        <row r="14">
          <cell r="A14">
            <v>38781</v>
          </cell>
        </row>
        <row r="15">
          <cell r="A15">
            <v>38812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/>
      <sheetData sheetId="2">
        <row r="239">
          <cell r="M239" t="str">
            <v>AMPS Resources (Cove Fort)</v>
          </cell>
        </row>
      </sheetData>
      <sheetData sheetId="3">
        <row r="239">
          <cell r="M239" t="str">
            <v>AMPS Resources (Cove Fort)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-15 Comm Ord Metho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ed Base NPC (GRC11)"/>
      <sheetName val="(4.3) Base NPC by Cat (GRC11)"/>
      <sheetName val="(6.4) Base UTGRC11 Stlmt NPC"/>
      <sheetName val="(6.5) Allctd Base NPC (GRC12)"/>
      <sheetName val="(6.6) Base NPC by Cat (GRC12)"/>
      <sheetName val="(6.7) Base UTGRC12 Stlmt NPC"/>
      <sheetName val="(7.1) Wheeling Revenues"/>
      <sheetName val="(8.1) Actual Factors"/>
      <sheetName val="(8.2) Dynamic Scalar"/>
      <sheetName val="(8.3) Utah Sales"/>
      <sheetName val="Chec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Page3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8">
          <cell r="G8">
            <v>0.61779709495561286</v>
          </cell>
        </row>
        <row r="24">
          <cell r="N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v Apr Form"/>
      <sheetName val="Page 2"/>
      <sheetName val="-"/>
    </sheetNames>
    <sheetDataSet>
      <sheetData sheetId="0"/>
      <sheetData sheetId="1"/>
      <sheetData sheetId="2"/>
      <sheetData sheetId="3">
        <row r="1">
          <cell r="A1">
            <v>39452</v>
          </cell>
          <cell r="B1">
            <v>39421</v>
          </cell>
        </row>
        <row r="2">
          <cell r="B2">
            <v>39452</v>
          </cell>
        </row>
        <row r="3">
          <cell r="B3">
            <v>39483</v>
          </cell>
        </row>
        <row r="4">
          <cell r="B4">
            <v>39512</v>
          </cell>
        </row>
        <row r="5">
          <cell r="B5">
            <v>39543</v>
          </cell>
        </row>
        <row r="6">
          <cell r="B6">
            <v>39573</v>
          </cell>
        </row>
        <row r="7">
          <cell r="B7">
            <v>39604</v>
          </cell>
        </row>
        <row r="8">
          <cell r="B8">
            <v>39634</v>
          </cell>
        </row>
        <row r="9">
          <cell r="B9">
            <v>39665</v>
          </cell>
        </row>
        <row r="10">
          <cell r="B10">
            <v>39696</v>
          </cell>
        </row>
        <row r="11">
          <cell r="B11">
            <v>39726</v>
          </cell>
        </row>
        <row r="12">
          <cell r="B12">
            <v>39757</v>
          </cell>
        </row>
        <row r="13">
          <cell r="B13">
            <v>39787</v>
          </cell>
        </row>
        <row r="14">
          <cell r="B14">
            <v>39818</v>
          </cell>
        </row>
        <row r="15">
          <cell r="B15">
            <v>39849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8">
          <cell r="H58">
            <v>1814329680.1926062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9">
          <cell r="A9" t="str">
            <v>Factor Name</v>
          </cell>
        </row>
      </sheetData>
      <sheetData sheetId="21">
        <row r="11">
          <cell r="A11" t="str">
            <v>Factor Name</v>
          </cell>
        </row>
      </sheetData>
      <sheetData sheetId="22">
        <row r="4">
          <cell r="P4">
            <v>0.81318732477822031</v>
          </cell>
        </row>
      </sheetData>
      <sheetData sheetId="23"/>
      <sheetData sheetId="24">
        <row r="251">
          <cell r="AG251" t="str">
            <v>DIS</v>
          </cell>
        </row>
        <row r="689">
          <cell r="AG689">
            <v>0</v>
          </cell>
        </row>
      </sheetData>
      <sheetData sheetId="25"/>
      <sheetData sheetId="26">
        <row r="14">
          <cell r="A14" t="str">
            <v>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NPC Analysi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29">
          <cell r="N2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"/>
      <sheetName val="2003 Plan"/>
      <sheetName val="Sheet1"/>
      <sheetName val="MGTSND FEB 03"/>
      <sheetName val="MGTFEE RECRS FEB 03"/>
      <sheetName val="Powercor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-Page1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Analysis-Not USed"/>
      <sheetName val="NPC adj-Not Used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  <row r="30">
          <cell r="G30">
            <v>8.2617300454857379E-2</v>
          </cell>
        </row>
      </sheetData>
      <sheetData sheetId="1" refreshError="1"/>
      <sheetData sheetId="2" refreshError="1"/>
      <sheetData sheetId="3" refreshError="1"/>
      <sheetData sheetId="4">
        <row r="16">
          <cell r="D16">
            <v>7696713.2449887665</v>
          </cell>
        </row>
      </sheetData>
      <sheetData sheetId="5" refreshError="1"/>
      <sheetData sheetId="6" refreshError="1"/>
      <sheetData sheetId="7" refreshError="1"/>
      <sheetData sheetId="8">
        <row r="71">
          <cell r="E71">
            <v>-489685.98169817787</v>
          </cell>
        </row>
      </sheetData>
      <sheetData sheetId="9">
        <row r="136">
          <cell r="E136">
            <v>57715011.020101152</v>
          </cell>
        </row>
      </sheetData>
      <sheetData sheetId="10">
        <row r="136">
          <cell r="E136">
            <v>14389918.281402655</v>
          </cell>
        </row>
      </sheetData>
      <sheetData sheetId="11">
        <row r="68">
          <cell r="E68">
            <v>7664070.6445309613</v>
          </cell>
        </row>
      </sheetData>
      <sheetData sheetId="12">
        <row r="68">
          <cell r="E68">
            <v>3802158.1253485414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view="pageBreakPreview" topLeftCell="A9" zoomScale="70" zoomScaleNormal="75" zoomScaleSheetLayoutView="70" workbookViewId="0">
      <pane xSplit="4" ySplit="4" topLeftCell="J13" activePane="bottomRight" state="frozen"/>
      <selection activeCell="A9" sqref="A9"/>
      <selection pane="topRight" activeCell="E9" sqref="E9"/>
      <selection pane="bottomLeft" activeCell="A13" sqref="A13"/>
      <selection pane="bottomRight" activeCell="M57" sqref="M57"/>
    </sheetView>
  </sheetViews>
  <sheetFormatPr defaultColWidth="9" defaultRowHeight="15.75"/>
  <cols>
    <col min="1" max="1" width="4.625" style="355" customWidth="1"/>
    <col min="2" max="2" width="1.625" style="355" customWidth="1"/>
    <col min="3" max="3" width="39.375" style="355" customWidth="1"/>
    <col min="4" max="4" width="0.75" style="362" customWidth="1"/>
    <col min="5" max="5" width="7.625" style="355" customWidth="1"/>
    <col min="6" max="6" width="0.75" style="362" customWidth="1"/>
    <col min="7" max="7" width="11.625" style="362" customWidth="1"/>
    <col min="8" max="8" width="0.75" style="362" customWidth="1"/>
    <col min="9" max="9" width="18.5" style="362" bestFit="1" customWidth="1"/>
    <col min="10" max="10" width="2.125" style="362" customWidth="1"/>
    <col min="11" max="11" width="17.375" style="362" customWidth="1"/>
    <col min="12" max="12" width="1.875" style="362" customWidth="1"/>
    <col min="13" max="13" width="10.125" style="362" bestFit="1" customWidth="1"/>
    <col min="14" max="14" width="1.875" style="362" customWidth="1"/>
    <col min="15" max="15" width="15.375" style="362" bestFit="1" customWidth="1"/>
    <col min="16" max="16" width="2.875" style="362" customWidth="1"/>
    <col min="17" max="17" width="15.75" style="362" bestFit="1" customWidth="1"/>
    <col min="18" max="18" width="1.875" style="362" customWidth="1"/>
    <col min="19" max="19" width="12.875" style="362" bestFit="1" customWidth="1"/>
    <col min="20" max="20" width="1.625" style="362" customWidth="1"/>
    <col min="21" max="21" width="15.375" style="362" bestFit="1" customWidth="1"/>
    <col min="22" max="22" width="2.875" style="362" customWidth="1"/>
    <col min="23" max="23" width="9.25" style="362" bestFit="1" customWidth="1"/>
    <col min="24" max="24" width="1" style="362" customWidth="1"/>
    <col min="25" max="25" width="6.375" style="363" bestFit="1" customWidth="1"/>
    <col min="26" max="26" width="2.5" style="362" customWidth="1"/>
    <col min="27" max="27" width="9.25" style="362" bestFit="1" customWidth="1"/>
    <col min="28" max="28" width="1" style="362" customWidth="1"/>
    <col min="29" max="29" width="6.375" style="363" bestFit="1" customWidth="1"/>
    <col min="30" max="16384" width="9" style="355"/>
  </cols>
  <sheetData>
    <row r="1" spans="1:29">
      <c r="A1" s="351" t="s">
        <v>407</v>
      </c>
      <c r="B1" s="351"/>
      <c r="C1" s="351"/>
      <c r="D1" s="352"/>
      <c r="E1" s="351"/>
      <c r="F1" s="352"/>
      <c r="G1" s="352"/>
      <c r="H1" s="352"/>
      <c r="I1" s="352"/>
      <c r="J1" s="352"/>
      <c r="K1" s="353"/>
      <c r="L1" s="352"/>
      <c r="M1" s="353"/>
      <c r="N1" s="352"/>
      <c r="O1" s="353"/>
      <c r="P1" s="352"/>
      <c r="Q1" s="353"/>
      <c r="R1" s="352"/>
      <c r="S1" s="353"/>
      <c r="T1" s="352"/>
      <c r="U1" s="353"/>
      <c r="V1" s="352"/>
      <c r="W1" s="353"/>
      <c r="X1" s="352"/>
      <c r="Y1" s="354"/>
      <c r="Z1" s="352"/>
      <c r="AA1" s="353"/>
      <c r="AB1" s="352"/>
      <c r="AC1" s="394"/>
    </row>
    <row r="2" spans="1:29" s="55" customFormat="1">
      <c r="A2" s="351" t="s">
        <v>239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7"/>
      <c r="Z2" s="356"/>
      <c r="AA2" s="356"/>
      <c r="AB2" s="356"/>
      <c r="AC2" s="395"/>
    </row>
    <row r="3" spans="1:29" s="55" customFormat="1">
      <c r="A3" s="88" t="s">
        <v>294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7"/>
      <c r="Z3" s="356"/>
      <c r="AA3" s="356"/>
      <c r="AB3" s="356"/>
      <c r="AC3" s="395"/>
    </row>
    <row r="4" spans="1:29" s="55" customFormat="1">
      <c r="A4" s="351" t="s">
        <v>240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7"/>
      <c r="Z4" s="356"/>
      <c r="AA4" s="356"/>
      <c r="AB4" s="356"/>
      <c r="AC4" s="395"/>
    </row>
    <row r="5" spans="1:29" s="55" customFormat="1">
      <c r="A5" s="351" t="s">
        <v>442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7"/>
      <c r="Z5" s="356"/>
      <c r="AA5" s="356"/>
      <c r="AB5" s="356"/>
      <c r="AC5" s="357"/>
    </row>
    <row r="6" spans="1:29">
      <c r="A6" s="351" t="s">
        <v>443</v>
      </c>
      <c r="B6" s="356"/>
      <c r="C6" s="356"/>
      <c r="D6" s="356"/>
      <c r="E6" s="356"/>
      <c r="F6" s="356"/>
      <c r="G6" s="356"/>
      <c r="H6" s="356"/>
      <c r="I6" s="356"/>
      <c r="J6" s="353"/>
      <c r="K6" s="358"/>
      <c r="L6" s="353"/>
      <c r="M6" s="358"/>
      <c r="N6" s="353"/>
      <c r="O6" s="358"/>
      <c r="P6" s="353"/>
      <c r="Q6" s="358"/>
      <c r="R6" s="353"/>
      <c r="S6" s="358"/>
      <c r="T6" s="353"/>
      <c r="U6" s="358"/>
      <c r="V6" s="353"/>
      <c r="W6" s="358"/>
      <c r="X6" s="358"/>
      <c r="Y6" s="359"/>
      <c r="Z6" s="353"/>
      <c r="AA6" s="358"/>
      <c r="AB6" s="358"/>
      <c r="AC6" s="359"/>
    </row>
    <row r="7" spans="1:29" ht="10.5" customHeight="1">
      <c r="A7" s="351"/>
      <c r="B7" s="351"/>
      <c r="C7" s="351"/>
      <c r="D7" s="352"/>
      <c r="E7" s="351"/>
      <c r="F7" s="352"/>
      <c r="G7" s="352"/>
      <c r="H7" s="352"/>
      <c r="I7" s="352"/>
      <c r="J7" s="352"/>
      <c r="K7" s="353"/>
      <c r="L7" s="352"/>
      <c r="M7" s="353"/>
      <c r="N7" s="352"/>
      <c r="O7" s="353"/>
      <c r="P7" s="352"/>
      <c r="Q7" s="353"/>
      <c r="R7" s="352"/>
      <c r="S7" s="353"/>
      <c r="T7" s="352"/>
      <c r="U7" s="353"/>
      <c r="V7" s="352"/>
      <c r="W7" s="353"/>
      <c r="X7" s="352"/>
      <c r="Y7" s="354"/>
      <c r="Z7" s="352"/>
      <c r="AA7" s="353"/>
      <c r="AB7" s="352"/>
      <c r="AC7" s="354"/>
    </row>
    <row r="8" spans="1:29">
      <c r="D8" s="360"/>
      <c r="F8" s="360"/>
      <c r="G8" s="361"/>
      <c r="H8" s="360"/>
      <c r="J8" s="360"/>
      <c r="L8" s="360"/>
      <c r="N8" s="360"/>
      <c r="P8" s="360"/>
      <c r="R8" s="360"/>
      <c r="T8" s="360"/>
      <c r="V8" s="360"/>
      <c r="Z8" s="360"/>
    </row>
    <row r="9" spans="1:29">
      <c r="D9" s="361"/>
      <c r="E9" s="364"/>
      <c r="F9" s="361"/>
      <c r="G9" s="361" t="s">
        <v>408</v>
      </c>
      <c r="H9" s="361"/>
      <c r="I9" s="361"/>
      <c r="J9" s="361"/>
      <c r="K9" s="83"/>
      <c r="L9" s="84"/>
      <c r="M9" s="85"/>
      <c r="N9" s="84"/>
      <c r="O9" s="85"/>
      <c r="P9" s="361"/>
      <c r="Q9" s="83"/>
      <c r="R9" s="84"/>
      <c r="S9" s="85"/>
      <c r="T9" s="84"/>
      <c r="U9" s="85"/>
      <c r="V9" s="84"/>
      <c r="W9" s="365" t="s">
        <v>243</v>
      </c>
      <c r="X9" s="365"/>
      <c r="Y9" s="366"/>
      <c r="Z9" s="365"/>
      <c r="AA9" s="365"/>
      <c r="AB9" s="365"/>
      <c r="AC9" s="366"/>
    </row>
    <row r="10" spans="1:29" s="367" customFormat="1">
      <c r="A10" s="367" t="s">
        <v>241</v>
      </c>
      <c r="D10" s="361"/>
      <c r="E10" s="364" t="s">
        <v>242</v>
      </c>
      <c r="F10" s="361"/>
      <c r="G10" s="368" t="s">
        <v>84</v>
      </c>
      <c r="H10" s="361"/>
      <c r="I10" s="361" t="s">
        <v>409</v>
      </c>
      <c r="J10" s="368"/>
      <c r="K10" s="365" t="s">
        <v>410</v>
      </c>
      <c r="L10" s="365"/>
      <c r="M10" s="365"/>
      <c r="N10" s="365"/>
      <c r="O10" s="365"/>
      <c r="P10" s="368"/>
      <c r="Q10" s="365" t="s">
        <v>411</v>
      </c>
      <c r="R10" s="365"/>
      <c r="S10" s="365"/>
      <c r="T10" s="365"/>
      <c r="U10" s="365"/>
      <c r="V10" s="83"/>
      <c r="W10" s="365" t="s">
        <v>412</v>
      </c>
      <c r="X10" s="365"/>
      <c r="Y10" s="366"/>
      <c r="Z10" s="83"/>
      <c r="AA10" s="365" t="s">
        <v>413</v>
      </c>
      <c r="AB10" s="365"/>
      <c r="AC10" s="366"/>
    </row>
    <row r="11" spans="1:29" s="367" customFormat="1">
      <c r="A11" s="367" t="s">
        <v>244</v>
      </c>
      <c r="C11" s="364" t="s">
        <v>245</v>
      </c>
      <c r="E11" s="369" t="s">
        <v>244</v>
      </c>
      <c r="G11" s="370" t="s">
        <v>246</v>
      </c>
      <c r="I11" s="370" t="s">
        <v>246</v>
      </c>
      <c r="K11" s="86" t="s">
        <v>412</v>
      </c>
      <c r="L11" s="87"/>
      <c r="M11" s="86" t="s">
        <v>414</v>
      </c>
      <c r="N11" s="87"/>
      <c r="O11" s="86" t="s">
        <v>413</v>
      </c>
      <c r="Q11" s="86" t="s">
        <v>412</v>
      </c>
      <c r="R11" s="87"/>
      <c r="S11" s="86" t="s">
        <v>414</v>
      </c>
      <c r="T11" s="87"/>
      <c r="U11" s="86" t="s">
        <v>413</v>
      </c>
      <c r="V11" s="87"/>
      <c r="W11" s="86" t="s">
        <v>247</v>
      </c>
      <c r="X11" s="87"/>
      <c r="Y11" s="371" t="s">
        <v>415</v>
      </c>
      <c r="Z11" s="87"/>
      <c r="AA11" s="86" t="s">
        <v>247</v>
      </c>
      <c r="AB11" s="87"/>
      <c r="AC11" s="371" t="s">
        <v>415</v>
      </c>
    </row>
    <row r="12" spans="1:29" s="367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29" s="367" customFormat="1">
      <c r="D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3"/>
      <c r="Z13" s="372"/>
      <c r="AA13" s="372"/>
      <c r="AB13" s="372"/>
      <c r="AC13" s="373"/>
    </row>
    <row r="14" spans="1:29">
      <c r="C14" s="367" t="s">
        <v>248</v>
      </c>
    </row>
    <row r="15" spans="1:29">
      <c r="A15" s="355">
        <v>1</v>
      </c>
      <c r="C15" s="355" t="s">
        <v>248</v>
      </c>
      <c r="E15" s="374" t="s">
        <v>249</v>
      </c>
      <c r="G15" s="58">
        <v>740189</v>
      </c>
      <c r="I15" s="58">
        <v>6200666.1794248829</v>
      </c>
      <c r="J15" s="60"/>
      <c r="K15" s="59">
        <f>SUM('Exhibit-RMP(JRS-2)'!G29,'Exhibit-RMP(JRS-2)'!G49)/1000</f>
        <v>684504.94400000002</v>
      </c>
      <c r="L15" s="60"/>
      <c r="M15" s="59">
        <f>SUM('Exhibit-RMP(JRS-2)'!K29,'Exhibit-RMP(JRS-2)'!K49)/1000</f>
        <v>13564.878039999998</v>
      </c>
      <c r="N15" s="60"/>
      <c r="O15" s="59">
        <f>K15+M15</f>
        <v>698069.82204</v>
      </c>
      <c r="P15" s="60"/>
      <c r="Q15" s="59">
        <f>K15</f>
        <v>684504.94400000002</v>
      </c>
      <c r="R15" s="60"/>
      <c r="S15" s="59">
        <f>SUM('Exhibit-RMP(JRS-2)'!O29,'Exhibit-RMP(JRS-2)'!O49)/1000</f>
        <v>9337.6834880000006</v>
      </c>
      <c r="T15" s="60"/>
      <c r="U15" s="59">
        <f>Q15+S15</f>
        <v>693842.62748799997</v>
      </c>
      <c r="V15" s="60"/>
      <c r="W15" s="59">
        <f>Q15-K15</f>
        <v>0</v>
      </c>
      <c r="X15" s="60"/>
      <c r="Y15" s="375">
        <f>W15/K15</f>
        <v>0</v>
      </c>
      <c r="Z15" s="60"/>
      <c r="AA15" s="59">
        <f>U15-O15</f>
        <v>-4227.1945520000299</v>
      </c>
      <c r="AB15" s="60"/>
      <c r="AC15" s="375">
        <f>AA15/O15</f>
        <v>-6.0555469073948999E-3</v>
      </c>
    </row>
    <row r="16" spans="1:29">
      <c r="A16" s="355">
        <f>MAX(A$14:A15)+1</f>
        <v>2</v>
      </c>
      <c r="C16" s="355" t="s">
        <v>250</v>
      </c>
      <c r="E16" s="355">
        <v>2</v>
      </c>
      <c r="G16" s="58">
        <v>447</v>
      </c>
      <c r="I16" s="58">
        <v>3185.6706103628849</v>
      </c>
      <c r="J16" s="60"/>
      <c r="K16" s="59">
        <f>'Exhibit-RMP(JRS-2)'!G71/1000</f>
        <v>351.48899999999998</v>
      </c>
      <c r="L16" s="60"/>
      <c r="M16" s="59">
        <f>'Exhibit-RMP(JRS-2)'!K71/1000</f>
        <v>6.9327179999999995</v>
      </c>
      <c r="N16" s="60"/>
      <c r="O16" s="59">
        <f t="shared" ref="O16:O17" si="0">K16+M16</f>
        <v>358.421718</v>
      </c>
      <c r="P16" s="60"/>
      <c r="Q16" s="59">
        <f t="shared" ref="Q16:Q17" si="1">K16</f>
        <v>351.48899999999998</v>
      </c>
      <c r="R16" s="60"/>
      <c r="S16" s="59">
        <f>'Exhibit-RMP(JRS-2)'!O71/1000</f>
        <v>4.7722895999999997</v>
      </c>
      <c r="T16" s="60"/>
      <c r="U16" s="59">
        <f t="shared" ref="U16:U17" si="2">Q16+S16</f>
        <v>356.2612896</v>
      </c>
      <c r="V16" s="60"/>
      <c r="W16" s="59">
        <f t="shared" ref="W16:W17" si="3">Q16-K16</f>
        <v>0</v>
      </c>
      <c r="X16" s="60"/>
      <c r="Y16" s="375">
        <f t="shared" ref="Y16:Y18" si="4">W16/K16</f>
        <v>0</v>
      </c>
      <c r="Z16" s="60"/>
      <c r="AA16" s="59">
        <f t="shared" ref="AA16:AA17" si="5">U16-O16</f>
        <v>-2.1604284000000007</v>
      </c>
      <c r="AB16" s="60"/>
      <c r="AC16" s="375">
        <f t="shared" ref="AC16:AC17" si="6">AA16/O16</f>
        <v>-6.0276157707608571E-3</v>
      </c>
    </row>
    <row r="17" spans="1:30">
      <c r="A17" s="355">
        <f>MAX(A$14:A16)+1</f>
        <v>3</v>
      </c>
      <c r="C17" s="376" t="s">
        <v>251</v>
      </c>
      <c r="E17" s="377" t="s">
        <v>252</v>
      </c>
      <c r="G17" s="393"/>
      <c r="I17" s="378"/>
      <c r="J17" s="60"/>
      <c r="K17" s="61">
        <f>'Exhibit-RMP(JRS-2)'!G504/1000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79">
        <f t="shared" si="4"/>
        <v>0</v>
      </c>
      <c r="Z17" s="60"/>
      <c r="AA17" s="61">
        <f t="shared" si="5"/>
        <v>0</v>
      </c>
      <c r="AB17" s="60"/>
      <c r="AC17" s="379">
        <f t="shared" si="6"/>
        <v>0</v>
      </c>
    </row>
    <row r="18" spans="1:30">
      <c r="A18" s="355">
        <f>MAX(A$14:A17)+1</f>
        <v>4</v>
      </c>
      <c r="C18" s="367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13571.810757999998</v>
      </c>
      <c r="N18" s="60"/>
      <c r="O18" s="59">
        <f>SUM(O15:O17)</f>
        <v>698461.28402799997</v>
      </c>
      <c r="P18" s="60"/>
      <c r="Q18" s="59">
        <f>SUM(Q15:Q17)</f>
        <v>684889.47326999996</v>
      </c>
      <c r="R18" s="60"/>
      <c r="S18" s="59">
        <f>SUM(S15:S17)</f>
        <v>9342.4557776000001</v>
      </c>
      <c r="T18" s="60"/>
      <c r="U18" s="59">
        <f>SUM(U15:U17)</f>
        <v>694231.92904760002</v>
      </c>
      <c r="V18" s="60"/>
      <c r="W18" s="59">
        <f>SUM(W15:W17)</f>
        <v>0</v>
      </c>
      <c r="X18" s="60"/>
      <c r="Y18" s="375">
        <f t="shared" si="4"/>
        <v>0</v>
      </c>
      <c r="Z18" s="60"/>
      <c r="AA18" s="59">
        <f>SUM(AA15:AA17)</f>
        <v>-4229.3549804000304</v>
      </c>
      <c r="AB18" s="60"/>
      <c r="AC18" s="375">
        <f>AA18/O18</f>
        <v>-6.0552461204570985E-3</v>
      </c>
      <c r="AD18" s="396">
        <f>AA18/(G18*12)*1000</f>
        <v>-0.47586972327387433</v>
      </c>
    </row>
    <row r="19" spans="1:30" ht="24.95" customHeight="1">
      <c r="C19" s="367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75"/>
      <c r="Z19" s="60"/>
      <c r="AA19" s="59"/>
      <c r="AB19" s="60"/>
      <c r="AC19" s="375"/>
    </row>
    <row r="20" spans="1:30">
      <c r="A20" s="355">
        <f>MAX(A$14:A19)+1</f>
        <v>5</v>
      </c>
      <c r="C20" s="355" t="s">
        <v>255</v>
      </c>
      <c r="E20" s="380">
        <v>6</v>
      </c>
      <c r="G20" s="58">
        <v>13072</v>
      </c>
      <c r="I20" s="58">
        <v>5783806.2612344306</v>
      </c>
      <c r="J20" s="60"/>
      <c r="K20" s="59">
        <f>'Exhibit-RMP(JRS-2)'!G86/1000</f>
        <v>494681.46600000001</v>
      </c>
      <c r="L20" s="60"/>
      <c r="M20" s="59">
        <f>'Exhibit-RMP(JRS-2)'!K86/1000</f>
        <v>11294.9630707</v>
      </c>
      <c r="N20" s="60"/>
      <c r="O20" s="59">
        <f t="shared" ref="O20:O22" si="7">K20+M20</f>
        <v>505976.42907070002</v>
      </c>
      <c r="P20" s="60"/>
      <c r="Q20" s="59">
        <f t="shared" ref="Q20:Q22" si="8">K20</f>
        <v>494681.46600000001</v>
      </c>
      <c r="R20" s="60"/>
      <c r="S20" s="59">
        <f>'Exhibit-RMP(JRS-2)'!O86/1000</f>
        <v>7851.8888261000011</v>
      </c>
      <c r="T20" s="60"/>
      <c r="U20" s="59">
        <f t="shared" ref="U20:U22" si="9">Q20+S20</f>
        <v>502533.3548261</v>
      </c>
      <c r="V20" s="60"/>
      <c r="W20" s="59">
        <f t="shared" ref="W20:W22" si="10">Q20-K20</f>
        <v>0</v>
      </c>
      <c r="X20" s="60"/>
      <c r="Y20" s="375">
        <f t="shared" ref="Y20:Y38" si="11">W20/K20</f>
        <v>0</v>
      </c>
      <c r="Z20" s="60"/>
      <c r="AA20" s="59">
        <f t="shared" ref="AA20:AA22" si="12">U20-O20</f>
        <v>-3443.0742446000222</v>
      </c>
      <c r="AB20" s="60"/>
      <c r="AC20" s="375">
        <f t="shared" ref="AC20:AC38" si="13">AA20/O20</f>
        <v>-6.8048115421576721E-3</v>
      </c>
    </row>
    <row r="21" spans="1:30">
      <c r="A21" s="355">
        <f>MAX(A$14:A20)+1</f>
        <v>6</v>
      </c>
      <c r="C21" s="355" t="s">
        <v>256</v>
      </c>
      <c r="E21" s="381" t="s">
        <v>257</v>
      </c>
      <c r="G21" s="58">
        <v>2276</v>
      </c>
      <c r="I21" s="58">
        <v>292031.09985016566</v>
      </c>
      <c r="J21" s="60"/>
      <c r="K21" s="62">
        <f>'Exhibit-RMP(JRS-2)'!G113/1000</f>
        <v>34227.404000000002</v>
      </c>
      <c r="L21" s="60"/>
      <c r="M21" s="59">
        <f>'Exhibit-RMP(JRS-2)'!K113/1000</f>
        <v>787.14176249999991</v>
      </c>
      <c r="N21" s="60"/>
      <c r="O21" s="59">
        <f t="shared" si="7"/>
        <v>35014.545762500005</v>
      </c>
      <c r="P21" s="60"/>
      <c r="Q21" s="59">
        <f t="shared" si="8"/>
        <v>34227.404000000002</v>
      </c>
      <c r="R21" s="60"/>
      <c r="S21" s="59">
        <f>'Exhibit-RMP(JRS-2)'!O113/1000</f>
        <v>541.55353259999993</v>
      </c>
      <c r="T21" s="60"/>
      <c r="U21" s="59">
        <f t="shared" si="9"/>
        <v>34768.957532600005</v>
      </c>
      <c r="V21" s="60"/>
      <c r="W21" s="59">
        <f t="shared" si="10"/>
        <v>0</v>
      </c>
      <c r="X21" s="60"/>
      <c r="Y21" s="375">
        <f t="shared" si="11"/>
        <v>0</v>
      </c>
      <c r="Z21" s="60"/>
      <c r="AA21" s="59">
        <f t="shared" si="12"/>
        <v>-245.58822990000044</v>
      </c>
      <c r="AB21" s="60"/>
      <c r="AC21" s="375">
        <f t="shared" si="13"/>
        <v>-7.0138916427989577E-3</v>
      </c>
    </row>
    <row r="22" spans="1:30">
      <c r="A22" s="355">
        <f>MAX(A$14:A21)+1</f>
        <v>7</v>
      </c>
      <c r="C22" s="355" t="s">
        <v>258</v>
      </c>
      <c r="E22" s="381" t="s">
        <v>259</v>
      </c>
      <c r="G22" s="382">
        <v>37</v>
      </c>
      <c r="I22" s="382">
        <v>3907.4969999999998</v>
      </c>
      <c r="J22" s="60"/>
      <c r="K22" s="61">
        <f>'Exhibit-RMP(JRS-2)'!G101/1000</f>
        <v>345.71800000000002</v>
      </c>
      <c r="L22" s="60"/>
      <c r="M22" s="61">
        <f>'Exhibit-RMP(JRS-2)'!K101/1000</f>
        <v>7.5237685999999995</v>
      </c>
      <c r="N22" s="60"/>
      <c r="O22" s="61">
        <f t="shared" si="7"/>
        <v>353.2417686</v>
      </c>
      <c r="P22" s="60"/>
      <c r="Q22" s="61">
        <f t="shared" si="8"/>
        <v>345.71800000000002</v>
      </c>
      <c r="R22" s="60"/>
      <c r="S22" s="61">
        <f>'Exhibit-RMP(JRS-2)'!O101/1000</f>
        <v>5.2302778000000005</v>
      </c>
      <c r="T22" s="60"/>
      <c r="U22" s="61">
        <f t="shared" si="9"/>
        <v>350.94827780000003</v>
      </c>
      <c r="V22" s="60"/>
      <c r="W22" s="61">
        <f t="shared" si="10"/>
        <v>0</v>
      </c>
      <c r="X22" s="60"/>
      <c r="Y22" s="379">
        <f t="shared" si="11"/>
        <v>0</v>
      </c>
      <c r="Z22" s="60"/>
      <c r="AA22" s="61">
        <f t="shared" si="12"/>
        <v>-2.2934907999999723</v>
      </c>
      <c r="AB22" s="60"/>
      <c r="AC22" s="379">
        <f t="shared" si="13"/>
        <v>-6.4926942504272478E-3</v>
      </c>
    </row>
    <row r="23" spans="1:30">
      <c r="A23" s="355">
        <f>MAX(A$14:A22)+1</f>
        <v>8</v>
      </c>
      <c r="C23" s="383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12089.628601799999</v>
      </c>
      <c r="N23" s="60"/>
      <c r="O23" s="59">
        <f>SUM(O20:O22)</f>
        <v>541344.21660179994</v>
      </c>
      <c r="P23" s="60"/>
      <c r="Q23" s="59">
        <f>SUM(Q20:Q22)</f>
        <v>529254.58799999999</v>
      </c>
      <c r="R23" s="60"/>
      <c r="S23" s="59">
        <f>SUM(S20:S22)</f>
        <v>8398.6726365000013</v>
      </c>
      <c r="T23" s="60"/>
      <c r="U23" s="59">
        <f>SUM(U20:U22)</f>
        <v>537653.26063649997</v>
      </c>
      <c r="V23" s="60"/>
      <c r="W23" s="59">
        <f>SUM(W20:W22)</f>
        <v>0</v>
      </c>
      <c r="X23" s="60"/>
      <c r="Y23" s="375">
        <f t="shared" si="11"/>
        <v>0</v>
      </c>
      <c r="Z23" s="60"/>
      <c r="AA23" s="59">
        <f>SUM(AA20:AA22)</f>
        <v>-3690.9559653000224</v>
      </c>
      <c r="AB23" s="60"/>
      <c r="AC23" s="375">
        <f t="shared" si="13"/>
        <v>-6.8181313332751512E-3</v>
      </c>
    </row>
    <row r="24" spans="1:30" ht="21.95" customHeight="1">
      <c r="A24" s="355">
        <f>MAX(A$14:A23)+1</f>
        <v>9</v>
      </c>
      <c r="C24" s="376" t="s">
        <v>261</v>
      </c>
      <c r="E24" s="381">
        <v>8</v>
      </c>
      <c r="F24" s="58"/>
      <c r="G24" s="58">
        <v>274</v>
      </c>
      <c r="I24" s="58">
        <v>2187047.3255884075</v>
      </c>
      <c r="J24" s="60"/>
      <c r="K24" s="62">
        <f>'Exhibit-RMP(JRS-2)'!G165/1000</f>
        <v>167313.40900000001</v>
      </c>
      <c r="L24" s="60"/>
      <c r="M24" s="59">
        <f>'Exhibit-RMP(JRS-2)'!K165/1000</f>
        <v>4267.4046529999996</v>
      </c>
      <c r="N24" s="60"/>
      <c r="O24" s="59">
        <f t="shared" ref="O24:O26" si="14">K24+M24</f>
        <v>171580.81365300002</v>
      </c>
      <c r="P24" s="60"/>
      <c r="Q24" s="59">
        <f t="shared" ref="Q24:Q26" si="15">K24</f>
        <v>167313.40900000001</v>
      </c>
      <c r="R24" s="60"/>
      <c r="S24" s="59">
        <f>'Exhibit-RMP(JRS-2)'!O165/1000</f>
        <v>2810.9525530000001</v>
      </c>
      <c r="T24" s="60"/>
      <c r="U24" s="59">
        <f t="shared" ref="U24:U26" si="16">Q24+S24</f>
        <v>170124.36155300002</v>
      </c>
      <c r="V24" s="60"/>
      <c r="W24" s="59">
        <f t="shared" ref="W24:W26" si="17">Q24-K24</f>
        <v>0</v>
      </c>
      <c r="X24" s="60"/>
      <c r="Y24" s="375">
        <f t="shared" si="11"/>
        <v>0</v>
      </c>
      <c r="Z24" s="60"/>
      <c r="AA24" s="59">
        <f t="shared" ref="AA24:AA26" si="18">U24-O24</f>
        <v>-1456.452099999995</v>
      </c>
      <c r="AB24" s="60"/>
      <c r="AC24" s="375">
        <f t="shared" si="13"/>
        <v>-8.4884321795179307E-3</v>
      </c>
    </row>
    <row r="25" spans="1:30" ht="21.95" customHeight="1">
      <c r="A25" s="355">
        <f>MAX(A$14:A24)+1</f>
        <v>10</v>
      </c>
      <c r="C25" s="355" t="s">
        <v>262</v>
      </c>
      <c r="E25" s="355">
        <v>9</v>
      </c>
      <c r="G25" s="58">
        <v>149</v>
      </c>
      <c r="I25" s="58">
        <v>5027435.5407653069</v>
      </c>
      <c r="J25" s="60"/>
      <c r="K25" s="62">
        <f>'Exhibit-RMP(JRS-2)'!G176/1000</f>
        <v>284876.45199999999</v>
      </c>
      <c r="L25" s="60"/>
      <c r="M25" s="59">
        <f>'Exhibit-RMP(JRS-2)'!K176/1000</f>
        <v>9065.9630999000001</v>
      </c>
      <c r="N25" s="60"/>
      <c r="O25" s="59">
        <f t="shared" si="14"/>
        <v>293942.41509989998</v>
      </c>
      <c r="P25" s="60"/>
      <c r="Q25" s="59">
        <f t="shared" si="15"/>
        <v>284876.45199999999</v>
      </c>
      <c r="R25" s="60"/>
      <c r="S25" s="59">
        <f>'Exhibit-RMP(JRS-2)'!O176/1000</f>
        <v>5894.1975839000006</v>
      </c>
      <c r="T25" s="60"/>
      <c r="U25" s="59">
        <f t="shared" si="16"/>
        <v>290770.6495839</v>
      </c>
      <c r="V25" s="60"/>
      <c r="W25" s="59">
        <f t="shared" si="17"/>
        <v>0</v>
      </c>
      <c r="X25" s="60"/>
      <c r="Y25" s="375">
        <f t="shared" si="11"/>
        <v>0</v>
      </c>
      <c r="Z25" s="60"/>
      <c r="AA25" s="59">
        <f t="shared" si="18"/>
        <v>-3171.7655159999849</v>
      </c>
      <c r="AB25" s="60"/>
      <c r="AC25" s="375">
        <f t="shared" si="13"/>
        <v>-1.0790431571170227E-2</v>
      </c>
    </row>
    <row r="26" spans="1:30">
      <c r="A26" s="355">
        <f>MAX(A$14:A25)+1</f>
        <v>11</v>
      </c>
      <c r="C26" s="355" t="s">
        <v>263</v>
      </c>
      <c r="E26" s="381" t="s">
        <v>264</v>
      </c>
      <c r="G26" s="382">
        <v>9</v>
      </c>
      <c r="I26" s="382">
        <v>42590.781425473026</v>
      </c>
      <c r="J26" s="60"/>
      <c r="K26" s="61">
        <f>'Exhibit-RMP(JRS-2)'!G184/1000</f>
        <v>3292.5839999999998</v>
      </c>
      <c r="L26" s="60"/>
      <c r="M26" s="61">
        <f>'Exhibit-RMP(JRS-2)'!K184/1000</f>
        <v>105.31775999999998</v>
      </c>
      <c r="N26" s="60"/>
      <c r="O26" s="61">
        <f t="shared" si="14"/>
        <v>3397.9017599999997</v>
      </c>
      <c r="P26" s="60"/>
      <c r="Q26" s="61">
        <f t="shared" si="15"/>
        <v>3292.5839999999998</v>
      </c>
      <c r="R26" s="60"/>
      <c r="S26" s="61">
        <f>'Exhibit-RMP(JRS-2)'!O184/1000</f>
        <v>67.743454999999997</v>
      </c>
      <c r="T26" s="60"/>
      <c r="U26" s="61">
        <f t="shared" si="16"/>
        <v>3360.3274549999996</v>
      </c>
      <c r="V26" s="60"/>
      <c r="W26" s="61">
        <f t="shared" si="17"/>
        <v>0</v>
      </c>
      <c r="X26" s="60"/>
      <c r="Y26" s="379">
        <f t="shared" si="11"/>
        <v>0</v>
      </c>
      <c r="Z26" s="60"/>
      <c r="AA26" s="61">
        <f t="shared" si="18"/>
        <v>-37.574305000000095</v>
      </c>
      <c r="AB26" s="60"/>
      <c r="AC26" s="379">
        <f t="shared" si="13"/>
        <v>-1.1058090449324849E-2</v>
      </c>
    </row>
    <row r="27" spans="1:30">
      <c r="A27" s="355">
        <f>MAX(A$14:A26)+1</f>
        <v>12</v>
      </c>
      <c r="C27" s="383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9171.2808599</v>
      </c>
      <c r="N27" s="60"/>
      <c r="O27" s="59">
        <f>SUM(O25:O26)</f>
        <v>297340.31685989996</v>
      </c>
      <c r="P27" s="60"/>
      <c r="Q27" s="59">
        <f>SUM(Q25:Q26)</f>
        <v>288169.03599999996</v>
      </c>
      <c r="R27" s="60"/>
      <c r="S27" s="59">
        <f>SUM(S25:S26)</f>
        <v>5961.9410389000004</v>
      </c>
      <c r="T27" s="60"/>
      <c r="U27" s="59">
        <f>SUM(U25:U26)</f>
        <v>294130.97703890002</v>
      </c>
      <c r="V27" s="60"/>
      <c r="W27" s="59">
        <f>SUM(W25:W26)</f>
        <v>0</v>
      </c>
      <c r="X27" s="60"/>
      <c r="Y27" s="375">
        <f t="shared" si="11"/>
        <v>0</v>
      </c>
      <c r="Z27" s="60"/>
      <c r="AA27" s="59">
        <f>SUM(AA25:AA26)</f>
        <v>-3209.339820999985</v>
      </c>
      <c r="AB27" s="60"/>
      <c r="AC27" s="375">
        <f t="shared" si="13"/>
        <v>-1.0793490283768525E-2</v>
      </c>
    </row>
    <row r="28" spans="1:30" ht="21.95" customHeight="1">
      <c r="A28" s="355">
        <f>MAX(A$14:A27)+1</f>
        <v>13</v>
      </c>
      <c r="C28" s="355" t="s">
        <v>266</v>
      </c>
      <c r="E28" s="381">
        <v>10</v>
      </c>
      <c r="G28" s="58">
        <v>2784.3333333333335</v>
      </c>
      <c r="I28" s="58">
        <v>173133.39199999999</v>
      </c>
      <c r="J28" s="60"/>
      <c r="K28" s="62">
        <f>'Exhibit-RMP(JRS-2)'!G200/1000</f>
        <v>13209.986000000001</v>
      </c>
      <c r="L28" s="60"/>
      <c r="M28" s="59">
        <f>'Exhibit-RMP(JRS-2)'!K200/1000</f>
        <v>320.36295179999996</v>
      </c>
      <c r="N28" s="60"/>
      <c r="O28" s="59">
        <f t="shared" ref="O28:O29" si="19">K28+M28</f>
        <v>13530.348951800001</v>
      </c>
      <c r="P28" s="60"/>
      <c r="Q28" s="59">
        <f t="shared" ref="Q28:Q29" si="20">K28</f>
        <v>13209.986000000001</v>
      </c>
      <c r="R28" s="60"/>
      <c r="S28" s="59">
        <f>'Exhibit-RMP(JRS-2)'!O200/1000</f>
        <v>230.3010778</v>
      </c>
      <c r="T28" s="60"/>
      <c r="U28" s="59">
        <f t="shared" ref="U28:U29" si="21">Q28+S28</f>
        <v>13440.287077800001</v>
      </c>
      <c r="V28" s="60"/>
      <c r="W28" s="59">
        <f t="shared" ref="W28:W29" si="22">Q28-K28</f>
        <v>0</v>
      </c>
      <c r="X28" s="60"/>
      <c r="Y28" s="375">
        <f t="shared" si="11"/>
        <v>0</v>
      </c>
      <c r="Z28" s="60"/>
      <c r="AA28" s="59">
        <f t="shared" ref="AA28:AA29" si="23">U28-O28</f>
        <v>-90.061873999999079</v>
      </c>
      <c r="AB28" s="60"/>
      <c r="AC28" s="375">
        <f t="shared" si="13"/>
        <v>-6.6562861254230816E-3</v>
      </c>
    </row>
    <row r="29" spans="1:30">
      <c r="A29" s="355">
        <f>MAX(A$14:A28)+1</f>
        <v>14</v>
      </c>
      <c r="C29" s="355" t="s">
        <v>267</v>
      </c>
      <c r="E29" s="381" t="s">
        <v>268</v>
      </c>
      <c r="G29" s="382">
        <v>261</v>
      </c>
      <c r="I29" s="382">
        <v>16756.608</v>
      </c>
      <c r="J29" s="60"/>
      <c r="K29" s="61">
        <f>'Exhibit-RMP(JRS-2)'!G216/1000</f>
        <v>1285.6210000000001</v>
      </c>
      <c r="L29" s="60"/>
      <c r="M29" s="61">
        <f>'Exhibit-RMP(JRS-2)'!K216/1000</f>
        <v>31.209958799999992</v>
      </c>
      <c r="N29" s="60"/>
      <c r="O29" s="61">
        <f t="shared" si="19"/>
        <v>1316.8309588000002</v>
      </c>
      <c r="P29" s="60"/>
      <c r="Q29" s="61">
        <f t="shared" si="20"/>
        <v>1285.6210000000001</v>
      </c>
      <c r="R29" s="60"/>
      <c r="S29" s="61">
        <f>'Exhibit-RMP(JRS-2)'!O216/1000</f>
        <v>22.4360748</v>
      </c>
      <c r="T29" s="60"/>
      <c r="U29" s="61">
        <f t="shared" si="21"/>
        <v>1308.0570748</v>
      </c>
      <c r="V29" s="60"/>
      <c r="W29" s="61">
        <f t="shared" si="22"/>
        <v>0</v>
      </c>
      <c r="X29" s="60"/>
      <c r="Y29" s="379">
        <f t="shared" si="11"/>
        <v>0</v>
      </c>
      <c r="Z29" s="60"/>
      <c r="AA29" s="61">
        <f t="shared" si="23"/>
        <v>-8.7738840000001801</v>
      </c>
      <c r="AB29" s="60"/>
      <c r="AC29" s="379">
        <f t="shared" si="13"/>
        <v>-6.6628779809335837E-3</v>
      </c>
    </row>
    <row r="30" spans="1:30">
      <c r="A30" s="355">
        <f>MAX(A$14:A29)+1</f>
        <v>15</v>
      </c>
      <c r="C30" s="383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351.57291059999994</v>
      </c>
      <c r="N30" s="60"/>
      <c r="O30" s="59">
        <f>SUM(O28:O29)</f>
        <v>14847.1799106</v>
      </c>
      <c r="P30" s="60"/>
      <c r="Q30" s="59">
        <f>SUM(Q28:Q29)</f>
        <v>14495.607</v>
      </c>
      <c r="R30" s="60"/>
      <c r="S30" s="59">
        <f>SUM(S28:S29)</f>
        <v>252.7371526</v>
      </c>
      <c r="T30" s="60"/>
      <c r="U30" s="59">
        <f>SUM(U28:U29)</f>
        <v>14748.344152600002</v>
      </c>
      <c r="V30" s="60"/>
      <c r="W30" s="59">
        <f>SUM(W28:W29)</f>
        <v>0</v>
      </c>
      <c r="X30" s="60"/>
      <c r="Y30" s="375">
        <f t="shared" si="11"/>
        <v>0</v>
      </c>
      <c r="Z30" s="60"/>
      <c r="AA30" s="59">
        <f>SUM(AA28:AA29)</f>
        <v>-98.835757999999259</v>
      </c>
      <c r="AB30" s="60"/>
      <c r="AC30" s="375">
        <f t="shared" si="13"/>
        <v>-6.6568707724378303E-3</v>
      </c>
    </row>
    <row r="31" spans="1:30" ht="21.95" customHeight="1">
      <c r="A31" s="355">
        <f>MAX(A$14:A30)+1</f>
        <v>16</v>
      </c>
      <c r="C31" s="355" t="s">
        <v>270</v>
      </c>
      <c r="E31" s="355">
        <v>21</v>
      </c>
      <c r="G31" s="58">
        <v>5</v>
      </c>
      <c r="I31" s="58">
        <v>4048.7003377015881</v>
      </c>
      <c r="J31" s="60"/>
      <c r="K31" s="62">
        <f>'Exhibit-RMP(JRS-2)'!G383/1000</f>
        <v>475.92599999999999</v>
      </c>
      <c r="L31" s="60"/>
      <c r="M31" s="59">
        <f>'Exhibit-RMP(JRS-2)'!K383/1000</f>
        <v>14.590657</v>
      </c>
      <c r="N31" s="60"/>
      <c r="O31" s="59">
        <f t="shared" ref="O31:O37" si="24">K31+M31</f>
        <v>490.51665700000001</v>
      </c>
      <c r="P31" s="60"/>
      <c r="Q31" s="59">
        <f t="shared" ref="Q31:Q37" si="25">K31</f>
        <v>475.92599999999999</v>
      </c>
      <c r="R31" s="60"/>
      <c r="S31" s="59">
        <f>'Exhibit-RMP(JRS-2)'!O383/1000</f>
        <v>9.7996949999999998</v>
      </c>
      <c r="T31" s="60"/>
      <c r="U31" s="59">
        <f t="shared" ref="U31:U37" si="26">Q31+S31</f>
        <v>485.72569499999997</v>
      </c>
      <c r="V31" s="60"/>
      <c r="W31" s="59">
        <f t="shared" ref="W31:W37" si="27">Q31-K31</f>
        <v>0</v>
      </c>
      <c r="X31" s="60"/>
      <c r="Y31" s="375">
        <f t="shared" si="11"/>
        <v>0</v>
      </c>
      <c r="Z31" s="60"/>
      <c r="AA31" s="59">
        <f t="shared" ref="AA31:AA37" si="28">U31-O31</f>
        <v>-4.7909620000000359</v>
      </c>
      <c r="AB31" s="60"/>
      <c r="AC31" s="375">
        <f t="shared" si="13"/>
        <v>-9.7671749401978727E-3</v>
      </c>
    </row>
    <row r="32" spans="1:30">
      <c r="A32" s="355">
        <f>MAX(A$14:A31)+1</f>
        <v>17</v>
      </c>
      <c r="C32" s="355" t="s">
        <v>271</v>
      </c>
      <c r="E32" s="380">
        <v>23</v>
      </c>
      <c r="G32" s="58">
        <v>82668</v>
      </c>
      <c r="I32" s="58">
        <v>1390888.2107534346</v>
      </c>
      <c r="J32" s="60"/>
      <c r="K32" s="62">
        <f>'Exhibit-RMP(JRS-2)'!G396/1000</f>
        <v>139102.851</v>
      </c>
      <c r="L32" s="60"/>
      <c r="M32" s="59">
        <f>'Exhibit-RMP(JRS-2)'!K396/1000</f>
        <v>2803.3371765000002</v>
      </c>
      <c r="N32" s="60"/>
      <c r="O32" s="59">
        <f t="shared" si="24"/>
        <v>141906.1881765</v>
      </c>
      <c r="P32" s="60"/>
      <c r="Q32" s="59">
        <f t="shared" si="25"/>
        <v>139102.851</v>
      </c>
      <c r="R32" s="60"/>
      <c r="S32" s="59">
        <f>'Exhibit-RMP(JRS-2)'!O396/1000</f>
        <v>1989.4650930000003</v>
      </c>
      <c r="T32" s="60"/>
      <c r="U32" s="59">
        <f t="shared" si="26"/>
        <v>141092.316093</v>
      </c>
      <c r="V32" s="60"/>
      <c r="W32" s="59">
        <f t="shared" si="27"/>
        <v>0</v>
      </c>
      <c r="X32" s="60"/>
      <c r="Y32" s="375">
        <f t="shared" si="11"/>
        <v>0</v>
      </c>
      <c r="Z32" s="60"/>
      <c r="AA32" s="59">
        <f t="shared" si="28"/>
        <v>-813.87208349999855</v>
      </c>
      <c r="AB32" s="60"/>
      <c r="AC32" s="375">
        <f t="shared" si="13"/>
        <v>-5.735282540939802E-3</v>
      </c>
    </row>
    <row r="33" spans="1:29">
      <c r="A33" s="355">
        <f>MAX(A$14:A32)+1</f>
        <v>18</v>
      </c>
      <c r="C33" s="355" t="s">
        <v>272</v>
      </c>
      <c r="E33" s="355">
        <v>31</v>
      </c>
      <c r="G33" s="58">
        <v>4</v>
      </c>
      <c r="I33" s="58">
        <v>56282.44502511515</v>
      </c>
      <c r="J33" s="60"/>
      <c r="K33" s="62">
        <f>'Exhibit-RMP(JRS-2)'!G457/1000</f>
        <v>4575.5919999999996</v>
      </c>
      <c r="L33" s="60"/>
      <c r="M33" s="59">
        <f>'Exhibit-RMP(JRS-2)'!K457/1000</f>
        <v>109.4220555</v>
      </c>
      <c r="N33" s="60"/>
      <c r="O33" s="59">
        <f t="shared" si="24"/>
        <v>4685.0140554999998</v>
      </c>
      <c r="P33" s="60"/>
      <c r="Q33" s="59">
        <f t="shared" si="25"/>
        <v>4575.5919999999996</v>
      </c>
      <c r="R33" s="60"/>
      <c r="S33" s="59">
        <f>'Exhibit-RMP(JRS-2)'!O457/1000</f>
        <v>71.280445499999999</v>
      </c>
      <c r="T33" s="60"/>
      <c r="U33" s="59">
        <f t="shared" si="26"/>
        <v>4646.8724454999992</v>
      </c>
      <c r="V33" s="60"/>
      <c r="W33" s="59">
        <f t="shared" si="27"/>
        <v>0</v>
      </c>
      <c r="X33" s="60"/>
      <c r="Y33" s="375">
        <f t="shared" si="11"/>
        <v>0</v>
      </c>
      <c r="Z33" s="60"/>
      <c r="AA33" s="59">
        <f t="shared" si="28"/>
        <v>-38.141610000000583</v>
      </c>
      <c r="AB33" s="60"/>
      <c r="AC33" s="375">
        <f t="shared" si="13"/>
        <v>-8.1411943588993105E-3</v>
      </c>
    </row>
    <row r="34" spans="1:29">
      <c r="A34" s="355">
        <f>MAX(A$14:A33)+1</f>
        <v>19</v>
      </c>
      <c r="C34" s="376" t="s">
        <v>273</v>
      </c>
      <c r="E34" s="381" t="s">
        <v>252</v>
      </c>
      <c r="G34" s="58">
        <v>1</v>
      </c>
      <c r="I34" s="58">
        <v>535721.17000000004</v>
      </c>
      <c r="J34" s="60"/>
      <c r="K34" s="62">
        <f>'Exhibit-RMP(JRS-2)'!G465/1000</f>
        <v>27958.751</v>
      </c>
      <c r="L34" s="60"/>
      <c r="M34" s="59">
        <f>'Exhibit-RMP(JRS-2)'!K465/1000</f>
        <v>822.64383013665793</v>
      </c>
      <c r="N34" s="60"/>
      <c r="O34" s="59">
        <f t="shared" si="24"/>
        <v>28781.394830136658</v>
      </c>
      <c r="P34" s="60"/>
      <c r="Q34" s="59">
        <f t="shared" si="25"/>
        <v>27958.751</v>
      </c>
      <c r="R34" s="60"/>
      <c r="S34" s="59">
        <f>'Exhibit-RMP(JRS-2)'!O465/1000</f>
        <v>445.38041758991045</v>
      </c>
      <c r="T34" s="60"/>
      <c r="U34" s="59">
        <f t="shared" si="26"/>
        <v>28404.13141758991</v>
      </c>
      <c r="V34" s="60"/>
      <c r="W34" s="59">
        <f t="shared" si="27"/>
        <v>0</v>
      </c>
      <c r="X34" s="60"/>
      <c r="Y34" s="375">
        <f t="shared" si="11"/>
        <v>0</v>
      </c>
      <c r="Z34" s="60"/>
      <c r="AA34" s="59">
        <f t="shared" si="28"/>
        <v>-377.26341254674844</v>
      </c>
      <c r="AB34" s="60"/>
      <c r="AC34" s="375">
        <f t="shared" si="13"/>
        <v>-1.3107891913275877E-2</v>
      </c>
    </row>
    <row r="35" spans="1:29">
      <c r="A35" s="355">
        <f>MAX(A$14:A34)+1</f>
        <v>20</v>
      </c>
      <c r="C35" s="376" t="s">
        <v>274</v>
      </c>
      <c r="E35" s="381" t="s">
        <v>252</v>
      </c>
      <c r="G35" s="58">
        <v>1</v>
      </c>
      <c r="I35" s="58">
        <v>795798.67578575748</v>
      </c>
      <c r="J35" s="60"/>
      <c r="K35" s="62">
        <f>'Exhibit-RMP(JRS-2)'!G470/1000</f>
        <v>35062.89</v>
      </c>
      <c r="L35" s="60"/>
      <c r="M35" s="59">
        <f>'Exhibit-RMP(JRS-2)'!K470/1000</f>
        <v>1044.8741219999999</v>
      </c>
      <c r="N35" s="60"/>
      <c r="O35" s="59">
        <f t="shared" si="24"/>
        <v>36107.764122</v>
      </c>
      <c r="P35" s="60"/>
      <c r="Q35" s="59">
        <f t="shared" si="25"/>
        <v>35062.89</v>
      </c>
      <c r="R35" s="60"/>
      <c r="S35" s="59">
        <f>'Exhibit-RMP(JRS-2)'!O470/1000</f>
        <v>873.0659609999999</v>
      </c>
      <c r="T35" s="60"/>
      <c r="U35" s="59">
        <f t="shared" si="26"/>
        <v>35935.955961</v>
      </c>
      <c r="V35" s="60"/>
      <c r="W35" s="59">
        <f t="shared" si="27"/>
        <v>0</v>
      </c>
      <c r="X35" s="60"/>
      <c r="Y35" s="375">
        <f t="shared" si="11"/>
        <v>0</v>
      </c>
      <c r="Z35" s="60"/>
      <c r="AA35" s="59">
        <f t="shared" si="28"/>
        <v>-171.80816100000084</v>
      </c>
      <c r="AB35" s="60"/>
      <c r="AC35" s="375">
        <f t="shared" si="13"/>
        <v>-4.7582054767916328E-3</v>
      </c>
    </row>
    <row r="36" spans="1:29">
      <c r="A36" s="355">
        <f>MAX(A$14:A35)+1</f>
        <v>21</v>
      </c>
      <c r="C36" s="376" t="s">
        <v>275</v>
      </c>
      <c r="E36" s="381" t="s">
        <v>252</v>
      </c>
      <c r="G36" s="58">
        <v>1</v>
      </c>
      <c r="I36" s="58">
        <v>621809.33325000003</v>
      </c>
      <c r="J36" s="60"/>
      <c r="K36" s="62">
        <f>'Exhibit-RMP(JRS-2)'!G492/1000</f>
        <v>30035.48</v>
      </c>
      <c r="L36" s="60"/>
      <c r="M36" s="59">
        <f>'Exhibit-RMP(JRS-2)'!K492/1000</f>
        <v>937.71874769999999</v>
      </c>
      <c r="N36" s="60"/>
      <c r="O36" s="59">
        <f t="shared" si="24"/>
        <v>30973.1987477</v>
      </c>
      <c r="P36" s="60"/>
      <c r="Q36" s="59">
        <f t="shared" si="25"/>
        <v>30035.48</v>
      </c>
      <c r="R36" s="60"/>
      <c r="S36" s="59">
        <f>'Exhibit-RMP(JRS-2)'!O492/1000</f>
        <v>609.65387969999995</v>
      </c>
      <c r="T36" s="60"/>
      <c r="U36" s="59">
        <f t="shared" si="26"/>
        <v>30645.133879699999</v>
      </c>
      <c r="V36" s="60"/>
      <c r="W36" s="59">
        <f t="shared" si="27"/>
        <v>0</v>
      </c>
      <c r="X36" s="60"/>
      <c r="Y36" s="375">
        <f t="shared" si="11"/>
        <v>0</v>
      </c>
      <c r="Z36" s="60"/>
      <c r="AA36" s="59">
        <f t="shared" si="28"/>
        <v>-328.0648680000013</v>
      </c>
      <c r="AB36" s="60"/>
      <c r="AC36" s="375">
        <f t="shared" si="13"/>
        <v>-1.0591894969335793E-2</v>
      </c>
    </row>
    <row r="37" spans="1:29">
      <c r="A37" s="355">
        <f>MAX(A$14:A36)+1</f>
        <v>22</v>
      </c>
      <c r="C37" s="376" t="s">
        <v>251</v>
      </c>
      <c r="E37" s="377" t="s">
        <v>252</v>
      </c>
      <c r="G37" s="393"/>
      <c r="I37" s="378"/>
      <c r="J37" s="60"/>
      <c r="K37" s="61">
        <f>SUM('Exhibit-RMP(JRS-2)'!G505:G507)/1000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79">
        <f t="shared" si="11"/>
        <v>0</v>
      </c>
      <c r="Z37" s="60"/>
      <c r="AA37" s="61">
        <f t="shared" si="28"/>
        <v>0</v>
      </c>
      <c r="AB37" s="60"/>
      <c r="AC37" s="379">
        <f t="shared" si="13"/>
        <v>0</v>
      </c>
    </row>
    <row r="38" spans="1:29">
      <c r="A38" s="355">
        <f>MAX(A$14:A37)+1</f>
        <v>23</v>
      </c>
      <c r="C38" s="367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31612.473614136663</v>
      </c>
      <c r="N38" s="60"/>
      <c r="O38" s="59">
        <f>SUM(O20:O22,O24:O26,O28:O29,O31:O37)</f>
        <v>1270984.2973241366</v>
      </c>
      <c r="P38" s="60"/>
      <c r="Q38" s="59">
        <f>SUM(Q20:Q22,Q24:Q26,Q28:Q29,Q31:Q37)</f>
        <v>1239371.8237099999</v>
      </c>
      <c r="R38" s="60"/>
      <c r="S38" s="59">
        <f>SUM(S20:S22,S24:S26,S28:S29,S31:S37)</f>
        <v>21422.948872789912</v>
      </c>
      <c r="T38" s="60"/>
      <c r="U38" s="59">
        <f>SUM(U20:U22,U24:U26,U28:U29,U31:U37)</f>
        <v>1260794.7725827899</v>
      </c>
      <c r="V38" s="60"/>
      <c r="W38" s="59">
        <f>SUM(W20:W22,W24:W26,W28:W29,W31:W37)</f>
        <v>0</v>
      </c>
      <c r="X38" s="60"/>
      <c r="Y38" s="375">
        <f t="shared" si="11"/>
        <v>0</v>
      </c>
      <c r="Z38" s="60"/>
      <c r="AA38" s="59">
        <f>SUM(AA20:AA22,AA24:AA26,AA28:AA29,AA31:AA37)</f>
        <v>-10189.52474134675</v>
      </c>
      <c r="AB38" s="60"/>
      <c r="AC38" s="375">
        <f t="shared" si="13"/>
        <v>-8.0170343274887333E-3</v>
      </c>
    </row>
    <row r="39" spans="1:29" ht="24.95" customHeight="1">
      <c r="C39" s="367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75"/>
      <c r="Z39" s="60"/>
      <c r="AA39" s="59"/>
      <c r="AB39" s="60"/>
      <c r="AC39" s="375"/>
    </row>
    <row r="40" spans="1:29">
      <c r="A40" s="355">
        <f>MAX(A$14:A39)+1</f>
        <v>24</v>
      </c>
      <c r="C40" s="355" t="s">
        <v>278</v>
      </c>
      <c r="E40" s="355">
        <v>7</v>
      </c>
      <c r="G40" s="58">
        <v>8046</v>
      </c>
      <c r="I40" s="58">
        <v>12440.930563737753</v>
      </c>
      <c r="J40" s="60"/>
      <c r="K40" s="62">
        <f>'Exhibit-RMP(JRS-2)'!G153/1000</f>
        <v>2999.06</v>
      </c>
      <c r="L40" s="60"/>
      <c r="M40" s="59">
        <f>'Exhibit-RMP(JRS-2)'!K153/1000</f>
        <v>27.591352000000001</v>
      </c>
      <c r="N40" s="60"/>
      <c r="O40" s="59">
        <f t="shared" ref="O40:O44" si="29">K40+M40</f>
        <v>3026.6513519999999</v>
      </c>
      <c r="P40" s="60"/>
      <c r="Q40" s="59">
        <f t="shared" ref="Q40:Q44" si="30">K40</f>
        <v>2999.06</v>
      </c>
      <c r="R40" s="60"/>
      <c r="S40" s="59">
        <f>'Exhibit-RMP(JRS-2)'!O153/1000</f>
        <v>26.391728000000004</v>
      </c>
      <c r="T40" s="60"/>
      <c r="U40" s="59">
        <f t="shared" ref="U40:U44" si="31">Q40+S40</f>
        <v>3025.451728</v>
      </c>
      <c r="V40" s="60"/>
      <c r="W40" s="59">
        <f t="shared" ref="W40:W44" si="32">Q40-K40</f>
        <v>0</v>
      </c>
      <c r="X40" s="60"/>
      <c r="Y40" s="375">
        <f t="shared" ref="Y40:Y49" si="33">W40/K40</f>
        <v>0</v>
      </c>
      <c r="Z40" s="60"/>
      <c r="AA40" s="59">
        <f t="shared" ref="AA40:AA44" si="34">U40-O40</f>
        <v>-1.1996239999998579</v>
      </c>
      <c r="AB40" s="60"/>
      <c r="AC40" s="375">
        <f t="shared" ref="AC40:AC49" si="35">AA40/O40</f>
        <v>-3.9635354736420198E-4</v>
      </c>
    </row>
    <row r="41" spans="1:29">
      <c r="A41" s="355">
        <f>MAX(A$14:A40)+1</f>
        <v>25</v>
      </c>
      <c r="C41" s="355" t="s">
        <v>279</v>
      </c>
      <c r="E41" s="384">
        <v>11</v>
      </c>
      <c r="G41" s="58">
        <v>809.41666666666663</v>
      </c>
      <c r="I41" s="58">
        <v>16496.197391013095</v>
      </c>
      <c r="J41" s="60"/>
      <c r="K41" s="62">
        <f>'Exhibit-RMP(JRS-2)'!G268/1000</f>
        <v>4979.3900000000003</v>
      </c>
      <c r="L41" s="60"/>
      <c r="M41" s="59">
        <f>'Exhibit-RMP(JRS-2)'!K268/1000</f>
        <v>45.810387999999989</v>
      </c>
      <c r="N41" s="60"/>
      <c r="O41" s="59">
        <f t="shared" si="29"/>
        <v>5025.2003880000002</v>
      </c>
      <c r="P41" s="60"/>
      <c r="Q41" s="59">
        <f t="shared" si="30"/>
        <v>4979.3900000000003</v>
      </c>
      <c r="R41" s="60"/>
      <c r="S41" s="59">
        <f>'Exhibit-RMP(JRS-2)'!O268/1000</f>
        <v>43.818631999999994</v>
      </c>
      <c r="T41" s="60"/>
      <c r="U41" s="59">
        <f t="shared" si="31"/>
        <v>5023.2086320000008</v>
      </c>
      <c r="V41" s="60"/>
      <c r="W41" s="59">
        <f t="shared" si="32"/>
        <v>0</v>
      </c>
      <c r="X41" s="60"/>
      <c r="Y41" s="375">
        <f t="shared" si="33"/>
        <v>0</v>
      </c>
      <c r="Z41" s="60"/>
      <c r="AA41" s="59">
        <f t="shared" si="34"/>
        <v>-1.991755999999441</v>
      </c>
      <c r="AB41" s="60"/>
      <c r="AC41" s="375">
        <f t="shared" si="35"/>
        <v>-3.9635354736413764E-4</v>
      </c>
    </row>
    <row r="42" spans="1:29">
      <c r="A42" s="355">
        <f>MAX(A$14:A41)+1</f>
        <v>26</v>
      </c>
      <c r="C42" s="355" t="s">
        <v>280</v>
      </c>
      <c r="E42" s="384">
        <v>12</v>
      </c>
      <c r="G42" s="58">
        <v>839</v>
      </c>
      <c r="I42" s="385">
        <v>56516.774129293255</v>
      </c>
      <c r="J42" s="60"/>
      <c r="K42" s="62">
        <f>'Exhibit-RMP(JRS-2)'!G351/1000</f>
        <v>4144.8670000000002</v>
      </c>
      <c r="L42" s="60"/>
      <c r="M42" s="59">
        <f>'Exhibit-RMP(JRS-2)'!K351/1000</f>
        <v>38.132776400000004</v>
      </c>
      <c r="N42" s="60"/>
      <c r="O42" s="59">
        <f t="shared" si="29"/>
        <v>4182.9997764</v>
      </c>
      <c r="P42" s="60"/>
      <c r="Q42" s="59">
        <f t="shared" si="30"/>
        <v>4144.8670000000002</v>
      </c>
      <c r="R42" s="60"/>
      <c r="S42" s="59">
        <f>'Exhibit-RMP(JRS-2)'!O351/1000</f>
        <v>36.474829600000014</v>
      </c>
      <c r="T42" s="60"/>
      <c r="U42" s="59">
        <f t="shared" si="31"/>
        <v>4181.3418296</v>
      </c>
      <c r="V42" s="60"/>
      <c r="W42" s="59">
        <f t="shared" si="32"/>
        <v>0</v>
      </c>
      <c r="X42" s="60"/>
      <c r="Y42" s="375">
        <f t="shared" si="33"/>
        <v>0</v>
      </c>
      <c r="Z42" s="60"/>
      <c r="AA42" s="59">
        <f t="shared" si="34"/>
        <v>-1.6579467999999906</v>
      </c>
      <c r="AB42" s="60"/>
      <c r="AC42" s="375">
        <f t="shared" si="35"/>
        <v>-3.9635354736424665E-4</v>
      </c>
    </row>
    <row r="43" spans="1:29" s="386" customFormat="1">
      <c r="A43" s="386">
        <f>MAX(A$14:A42)+1</f>
        <v>27</v>
      </c>
      <c r="C43" s="386" t="s">
        <v>281</v>
      </c>
      <c r="D43" s="387"/>
      <c r="E43" s="386">
        <v>15</v>
      </c>
      <c r="F43" s="387"/>
      <c r="G43" s="388">
        <v>2466</v>
      </c>
      <c r="H43" s="387"/>
      <c r="I43" s="388">
        <v>6177.9471587633907</v>
      </c>
      <c r="J43" s="63"/>
      <c r="K43" s="62">
        <f>'Exhibit-RMP(JRS-2)'!G360/1000</f>
        <v>1234.6020000000001</v>
      </c>
      <c r="L43" s="63"/>
      <c r="M43" s="62">
        <f>'Exhibit-RMP(JRS-2)'!K360/1000</f>
        <v>23.1462465</v>
      </c>
      <c r="N43" s="63"/>
      <c r="O43" s="62">
        <f t="shared" si="29"/>
        <v>1257.7482465000001</v>
      </c>
      <c r="P43" s="63"/>
      <c r="Q43" s="62">
        <f t="shared" si="30"/>
        <v>1234.6020000000001</v>
      </c>
      <c r="R43" s="63"/>
      <c r="S43" s="62">
        <f>'Exhibit-RMP(JRS-2)'!O360/1000</f>
        <v>19.960123499999998</v>
      </c>
      <c r="T43" s="63"/>
      <c r="U43" s="62">
        <f t="shared" si="31"/>
        <v>1254.5621235000001</v>
      </c>
      <c r="V43" s="63"/>
      <c r="W43" s="62">
        <f t="shared" si="32"/>
        <v>0</v>
      </c>
      <c r="X43" s="63"/>
      <c r="Y43" s="389">
        <f t="shared" si="33"/>
        <v>0</v>
      </c>
      <c r="Z43" s="63"/>
      <c r="AA43" s="62">
        <f t="shared" si="34"/>
        <v>-3.1861229999999523</v>
      </c>
      <c r="AB43" s="63"/>
      <c r="AC43" s="389">
        <f t="shared" si="35"/>
        <v>-2.5331961375149111E-3</v>
      </c>
    </row>
    <row r="44" spans="1:29">
      <c r="A44" s="355">
        <f>MAX(A$14:A43)+1</f>
        <v>28</v>
      </c>
      <c r="C44" s="355" t="s">
        <v>282</v>
      </c>
      <c r="E44" s="355">
        <v>15</v>
      </c>
      <c r="G44" s="382">
        <v>515</v>
      </c>
      <c r="I44" s="382">
        <v>17536.444611929484</v>
      </c>
      <c r="J44" s="60"/>
      <c r="K44" s="61">
        <f>'Exhibit-RMP(JRS-2)'!G366/1000</f>
        <v>682.02800000000002</v>
      </c>
      <c r="L44" s="60"/>
      <c r="M44" s="61">
        <f>'Exhibit-RMP(JRS-2)'!K366/1000</f>
        <v>12.721625</v>
      </c>
      <c r="N44" s="60"/>
      <c r="O44" s="61">
        <f t="shared" si="29"/>
        <v>694.74962500000004</v>
      </c>
      <c r="P44" s="60"/>
      <c r="Q44" s="61">
        <f t="shared" si="30"/>
        <v>682.02800000000002</v>
      </c>
      <c r="R44" s="60"/>
      <c r="S44" s="61">
        <f>'Exhibit-RMP(JRS-2)'!O366/1000</f>
        <v>7.6329749999999992</v>
      </c>
      <c r="T44" s="60"/>
      <c r="U44" s="61">
        <f t="shared" si="31"/>
        <v>689.66097500000001</v>
      </c>
      <c r="V44" s="60"/>
      <c r="W44" s="61">
        <f t="shared" si="32"/>
        <v>0</v>
      </c>
      <c r="X44" s="60"/>
      <c r="Y44" s="379">
        <f t="shared" si="33"/>
        <v>0</v>
      </c>
      <c r="Z44" s="60"/>
      <c r="AA44" s="61">
        <f t="shared" si="34"/>
        <v>-5.0886500000000296</v>
      </c>
      <c r="AB44" s="60"/>
      <c r="AC44" s="379">
        <f t="shared" si="35"/>
        <v>-7.3244372028268877E-3</v>
      </c>
    </row>
    <row r="45" spans="1:29">
      <c r="A45" s="355">
        <f>MAX(A$14:A44)+1</f>
        <v>29</v>
      </c>
      <c r="C45" s="383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147.40238789999998</v>
      </c>
      <c r="N45" s="59"/>
      <c r="O45" s="59">
        <f>SUM(O40:O44)</f>
        <v>14187.3493879</v>
      </c>
      <c r="P45" s="59"/>
      <c r="Q45" s="59">
        <f>SUM(Q40:Q44)</f>
        <v>14039.947000000002</v>
      </c>
      <c r="R45" s="59"/>
      <c r="S45" s="59">
        <f>SUM(S40:S44)</f>
        <v>134.2782881</v>
      </c>
      <c r="T45" s="59"/>
      <c r="U45" s="59">
        <f>SUM(U40:U44)</f>
        <v>14174.2252881</v>
      </c>
      <c r="V45" s="59"/>
      <c r="W45" s="59">
        <f>SUM(W40:W44)</f>
        <v>0</v>
      </c>
      <c r="X45" s="59"/>
      <c r="Y45" s="375">
        <f t="shared" si="33"/>
        <v>0</v>
      </c>
      <c r="Z45" s="59"/>
      <c r="AA45" s="59">
        <f>SUM(AA40:AA44)</f>
        <v>-13.124099799999271</v>
      </c>
      <c r="AB45" s="59"/>
      <c r="AC45" s="375">
        <f t="shared" si="35"/>
        <v>-9.2505650218161644E-4</v>
      </c>
    </row>
    <row r="46" spans="1:29" ht="21.95" customHeight="1">
      <c r="A46" s="355">
        <f>MAX(A$14:A45)+1</f>
        <v>30</v>
      </c>
      <c r="C46" s="376" t="s">
        <v>284</v>
      </c>
      <c r="E46" s="381" t="s">
        <v>252</v>
      </c>
      <c r="G46" s="58">
        <v>5</v>
      </c>
      <c r="I46" s="58">
        <v>7.7366128294616923</v>
      </c>
      <c r="J46" s="60"/>
      <c r="K46" s="62">
        <f>'Exhibit-RMP(JRS-2)'!G501/1000</f>
        <v>0.58299999999999996</v>
      </c>
      <c r="L46" s="60"/>
      <c r="M46" s="59">
        <f>'Exhibit-RMP(JRS-2)'!K501/1000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'Exhibit-RMP(JRS-2)'!O501/1000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75">
        <f t="shared" si="33"/>
        <v>0</v>
      </c>
      <c r="Z46" s="60"/>
      <c r="AA46" s="59">
        <f t="shared" ref="AA46:AA47" si="40">U46-O46</f>
        <v>0</v>
      </c>
      <c r="AB46" s="60"/>
      <c r="AC46" s="375">
        <f t="shared" si="35"/>
        <v>0</v>
      </c>
    </row>
    <row r="47" spans="1:29">
      <c r="A47" s="355">
        <f>MAX(A$14:A46)+1</f>
        <v>31</v>
      </c>
      <c r="C47" s="376" t="s">
        <v>251</v>
      </c>
      <c r="D47" s="65"/>
      <c r="E47" s="377" t="s">
        <v>252</v>
      </c>
      <c r="F47" s="65"/>
      <c r="G47" s="390"/>
      <c r="H47" s="65"/>
      <c r="I47" s="390"/>
      <c r="J47" s="60"/>
      <c r="K47" s="61">
        <f>'Exhibit-RMP(JRS-2)'!G508/1000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79">
        <f t="shared" si="33"/>
        <v>0</v>
      </c>
      <c r="Z47" s="60"/>
      <c r="AA47" s="61">
        <f t="shared" si="40"/>
        <v>0</v>
      </c>
      <c r="AB47" s="60"/>
      <c r="AC47" s="379">
        <f t="shared" si="35"/>
        <v>0</v>
      </c>
    </row>
    <row r="48" spans="1:29" ht="21.95" customHeight="1">
      <c r="A48" s="355">
        <f>MAX(A$14:A47)+1</f>
        <v>32</v>
      </c>
      <c r="C48" s="367" t="s">
        <v>285</v>
      </c>
      <c r="E48" s="386"/>
      <c r="G48" s="382">
        <v>12680.416666666666</v>
      </c>
      <c r="I48" s="382">
        <v>109176.03046756644</v>
      </c>
      <c r="J48" s="60"/>
      <c r="K48" s="61">
        <f>SUM(K45:K47)</f>
        <v>14045.191640000003</v>
      </c>
      <c r="L48" s="60"/>
      <c r="M48" s="61">
        <f>SUM(M45:M47)</f>
        <v>147.40238789999998</v>
      </c>
      <c r="N48" s="60"/>
      <c r="O48" s="61">
        <f>SUM(O45:O47)</f>
        <v>14192.594027900001</v>
      </c>
      <c r="P48" s="60"/>
      <c r="Q48" s="61">
        <f>SUM(Q45:Q47)</f>
        <v>14045.191640000003</v>
      </c>
      <c r="R48" s="60"/>
      <c r="S48" s="61">
        <f>SUM(S45:S47)</f>
        <v>134.2782881</v>
      </c>
      <c r="T48" s="60"/>
      <c r="U48" s="61">
        <f>SUM(U45:U47)</f>
        <v>14179.469928100001</v>
      </c>
      <c r="V48" s="60"/>
      <c r="W48" s="61">
        <f>SUM(W45:W47)</f>
        <v>0</v>
      </c>
      <c r="X48" s="60"/>
      <c r="Y48" s="379">
        <f t="shared" si="33"/>
        <v>0</v>
      </c>
      <c r="Z48" s="60"/>
      <c r="AA48" s="61">
        <f>SUM(AA45:AA47)</f>
        <v>-13.124099799999271</v>
      </c>
      <c r="AB48" s="60"/>
      <c r="AC48" s="379">
        <f t="shared" si="35"/>
        <v>-9.2471466274591748E-4</v>
      </c>
    </row>
    <row r="49" spans="1:29" ht="24.95" customHeight="1" thickBot="1">
      <c r="A49" s="355">
        <f>MAX(A$14:A48)+1</f>
        <v>33</v>
      </c>
      <c r="C49" s="367" t="s">
        <v>286</v>
      </c>
      <c r="E49" s="386"/>
      <c r="G49" s="391">
        <v>854858.75</v>
      </c>
      <c r="I49" s="391">
        <v>23244284.921518605</v>
      </c>
      <c r="J49" s="60"/>
      <c r="K49" s="66">
        <f>K48+K38+K18</f>
        <v>1938306.48862</v>
      </c>
      <c r="L49" s="60"/>
      <c r="M49" s="66">
        <f>M48+M38+M18</f>
        <v>45331.68676003666</v>
      </c>
      <c r="N49" s="60"/>
      <c r="O49" s="66">
        <f>O48+O38+O18</f>
        <v>1983638.1753800365</v>
      </c>
      <c r="P49" s="60"/>
      <c r="Q49" s="66">
        <f>Q48+Q38+Q18</f>
        <v>1938306.48862</v>
      </c>
      <c r="R49" s="60"/>
      <c r="S49" s="66">
        <f>S48+S38+S18</f>
        <v>30899.68293848991</v>
      </c>
      <c r="T49" s="60"/>
      <c r="U49" s="66">
        <f>U48+U38+U18</f>
        <v>1969206.17155849</v>
      </c>
      <c r="V49" s="60"/>
      <c r="W49" s="66">
        <f>W48+W38+W18</f>
        <v>0</v>
      </c>
      <c r="X49" s="60"/>
      <c r="Y49" s="392">
        <f t="shared" si="33"/>
        <v>0</v>
      </c>
      <c r="Z49" s="60"/>
      <c r="AA49" s="66">
        <f>AA48+AA38+AA18</f>
        <v>-14432.003821546779</v>
      </c>
      <c r="AB49" s="60"/>
      <c r="AC49" s="392">
        <f t="shared" si="35"/>
        <v>-7.2755223208899053E-3</v>
      </c>
    </row>
    <row r="50" spans="1:29" ht="16.5" thickTop="1">
      <c r="E50" s="386"/>
    </row>
    <row r="51" spans="1:29">
      <c r="C51" s="376"/>
    </row>
    <row r="52" spans="1:29">
      <c r="C52" s="376"/>
    </row>
  </sheetData>
  <printOptions horizontalCentered="1"/>
  <pageMargins left="0.5" right="0.5" top="1" bottom="0.5" header="0.5" footer="0.25"/>
  <pageSetup scale="3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80" zoomScaleNormal="80" workbookViewId="0">
      <selection activeCell="A8" sqref="A8"/>
    </sheetView>
  </sheetViews>
  <sheetFormatPr defaultRowHeight="15.75"/>
  <cols>
    <col min="1" max="1" width="16.25" customWidth="1"/>
    <col min="2" max="2" width="20.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7">
      <c r="A1" s="401" t="s">
        <v>416</v>
      </c>
      <c r="B1" s="401"/>
      <c r="C1" s="401"/>
      <c r="D1" s="401"/>
      <c r="E1" s="401"/>
      <c r="F1" s="401"/>
    </row>
    <row r="2" spans="1:7">
      <c r="A2" s="401"/>
      <c r="B2" s="401"/>
      <c r="C2" s="401"/>
      <c r="D2" s="401"/>
      <c r="E2" s="401"/>
      <c r="F2" s="401"/>
    </row>
    <row r="3" spans="1:7">
      <c r="A3" s="402" t="s">
        <v>417</v>
      </c>
      <c r="B3" s="402" t="s">
        <v>418</v>
      </c>
      <c r="C3" s="402" t="s">
        <v>428</v>
      </c>
      <c r="D3" s="402" t="s">
        <v>424</v>
      </c>
      <c r="E3" s="402" t="s">
        <v>419</v>
      </c>
      <c r="F3" s="402" t="s">
        <v>425</v>
      </c>
      <c r="G3" s="404" t="s">
        <v>429</v>
      </c>
    </row>
    <row r="4" spans="1:7">
      <c r="A4" s="403">
        <v>41061</v>
      </c>
      <c r="B4" t="s">
        <v>423</v>
      </c>
      <c r="C4" t="s">
        <v>422</v>
      </c>
      <c r="D4" s="399">
        <v>60</v>
      </c>
      <c r="E4">
        <v>3</v>
      </c>
      <c r="F4" s="399">
        <f>D4/E4</f>
        <v>20</v>
      </c>
      <c r="G4" s="403">
        <v>42155</v>
      </c>
    </row>
    <row r="5" spans="1:7">
      <c r="A5" s="403">
        <v>41334</v>
      </c>
      <c r="B5" t="s">
        <v>420</v>
      </c>
      <c r="C5" t="s">
        <v>421</v>
      </c>
      <c r="D5" s="399">
        <v>7.8</v>
      </c>
      <c r="E5">
        <v>2</v>
      </c>
      <c r="F5" s="399">
        <f>D5/E5</f>
        <v>3.9</v>
      </c>
      <c r="G5" s="403">
        <v>42063</v>
      </c>
    </row>
    <row r="6" spans="1:7">
      <c r="A6" s="403">
        <v>41579</v>
      </c>
      <c r="B6" s="400" t="s">
        <v>426</v>
      </c>
      <c r="C6" t="s">
        <v>427</v>
      </c>
      <c r="D6" s="399">
        <v>15</v>
      </c>
      <c r="E6">
        <v>2</v>
      </c>
      <c r="F6" s="399">
        <f>D6/E6</f>
        <v>7.5</v>
      </c>
      <c r="G6" s="403">
        <v>42308</v>
      </c>
    </row>
    <row r="7" spans="1:7">
      <c r="A7" s="403">
        <v>41944</v>
      </c>
      <c r="B7" s="400"/>
      <c r="C7" s="400" t="s">
        <v>434</v>
      </c>
      <c r="D7" s="399">
        <v>25.3</v>
      </c>
      <c r="E7">
        <v>1</v>
      </c>
      <c r="F7" s="399">
        <f>D7/E7</f>
        <v>25.3</v>
      </c>
      <c r="G7" s="403">
        <v>42308</v>
      </c>
    </row>
    <row r="8" spans="1:7">
      <c r="A8" s="403">
        <v>42309</v>
      </c>
      <c r="B8" s="400"/>
      <c r="C8" s="400" t="s">
        <v>530</v>
      </c>
      <c r="D8" s="399">
        <v>30.5</v>
      </c>
      <c r="E8">
        <v>1</v>
      </c>
      <c r="F8" s="399">
        <f>D8/E8</f>
        <v>30.5</v>
      </c>
      <c r="G8" s="403">
        <v>42674</v>
      </c>
    </row>
    <row r="9" spans="1:7">
      <c r="A9" s="403"/>
      <c r="G9" s="403"/>
    </row>
    <row r="10" spans="1:7">
      <c r="A10" s="403"/>
      <c r="G10" s="40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view="pageBreakPreview" zoomScale="80" zoomScaleNormal="70" zoomScaleSheetLayoutView="80" workbookViewId="0">
      <selection activeCell="E5" sqref="E5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25" style="146" customWidth="1"/>
    <col min="8" max="8" width="1.75" style="146" customWidth="1"/>
    <col min="9" max="9" width="12.125" style="190" bestFit="1" customWidth="1"/>
    <col min="10" max="10" width="1.75" style="146" customWidth="1"/>
    <col min="11" max="11" width="12.125" style="190" bestFit="1" customWidth="1"/>
    <col min="12" max="12" width="2.75" style="144" customWidth="1"/>
    <col min="13" max="13" width="11.375" style="146" bestFit="1" customWidth="1"/>
    <col min="14" max="14" width="2.375" style="146" customWidth="1"/>
    <col min="15" max="15" width="6.5" style="146" bestFit="1" customWidth="1"/>
    <col min="16" max="16384" width="9" style="144"/>
  </cols>
  <sheetData>
    <row r="1" spans="1:15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2"/>
      <c r="K1" s="184"/>
      <c r="L1" s="145"/>
      <c r="M1" s="143"/>
      <c r="N1" s="143"/>
      <c r="O1" s="142"/>
    </row>
    <row r="2" spans="1:15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2"/>
      <c r="K2" s="184"/>
      <c r="L2" s="145"/>
      <c r="M2" s="143"/>
      <c r="N2" s="143"/>
      <c r="O2" s="142"/>
    </row>
    <row r="3" spans="1:15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2"/>
      <c r="K3" s="184"/>
      <c r="L3" s="145"/>
      <c r="M3" s="143"/>
      <c r="N3" s="143"/>
      <c r="O3" s="142"/>
    </row>
    <row r="4" spans="1:15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2"/>
      <c r="K4" s="184"/>
      <c r="L4" s="145"/>
      <c r="M4" s="143"/>
      <c r="N4" s="143"/>
      <c r="O4" s="142"/>
    </row>
    <row r="5" spans="1:15" s="55" customFormat="1">
      <c r="A5" s="88" t="s">
        <v>442</v>
      </c>
      <c r="B5" s="88"/>
      <c r="C5" s="88"/>
      <c r="D5" s="142"/>
      <c r="E5" s="88"/>
      <c r="F5" s="142"/>
      <c r="G5" s="143"/>
      <c r="H5" s="142"/>
      <c r="I5" s="184"/>
      <c r="J5" s="142"/>
      <c r="K5" s="184"/>
      <c r="L5" s="145"/>
      <c r="M5" s="143"/>
      <c r="N5" s="143"/>
      <c r="O5" s="142"/>
    </row>
    <row r="6" spans="1:15">
      <c r="A6" s="88" t="s">
        <v>443</v>
      </c>
      <c r="B6" s="88"/>
      <c r="C6" s="88"/>
      <c r="D6" s="142"/>
      <c r="E6" s="88"/>
      <c r="F6" s="142"/>
      <c r="G6" s="143"/>
      <c r="H6" s="142"/>
      <c r="I6" s="184"/>
      <c r="J6" s="142"/>
      <c r="K6" s="184"/>
      <c r="L6" s="145"/>
      <c r="M6" s="143"/>
      <c r="N6" s="143"/>
      <c r="O6" s="142"/>
    </row>
    <row r="7" spans="1:15">
      <c r="A7" s="88"/>
      <c r="B7" s="88"/>
      <c r="C7" s="88"/>
      <c r="D7" s="142"/>
      <c r="E7" s="88"/>
      <c r="F7" s="142"/>
      <c r="G7" s="143"/>
      <c r="H7" s="142"/>
      <c r="I7" s="185"/>
      <c r="J7" s="142"/>
      <c r="K7" s="185"/>
      <c r="M7" s="180"/>
      <c r="N7" s="180"/>
      <c r="O7" s="85"/>
    </row>
    <row r="8" spans="1:15">
      <c r="A8" s="88"/>
      <c r="B8" s="88"/>
      <c r="C8" s="88"/>
      <c r="D8" s="142"/>
      <c r="E8" s="88"/>
      <c r="F8" s="142"/>
      <c r="G8" s="142"/>
      <c r="H8" s="179"/>
      <c r="I8" s="186"/>
      <c r="J8" s="142"/>
      <c r="K8" s="186"/>
      <c r="M8" s="85"/>
      <c r="N8" s="85"/>
      <c r="O8" s="85"/>
    </row>
    <row r="9" spans="1:15">
      <c r="D9" s="84"/>
      <c r="E9" s="147"/>
      <c r="F9" s="84"/>
      <c r="G9" s="83" t="s">
        <v>311</v>
      </c>
      <c r="H9" s="84"/>
      <c r="I9" s="182" t="s">
        <v>513</v>
      </c>
      <c r="J9" s="365"/>
      <c r="K9" s="182"/>
      <c r="M9" s="365" t="s">
        <v>514</v>
      </c>
      <c r="N9" s="365"/>
      <c r="O9" s="365"/>
    </row>
    <row r="10" spans="1:15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628" t="s">
        <v>526</v>
      </c>
      <c r="J10" s="626"/>
      <c r="K10" s="628" t="s">
        <v>527</v>
      </c>
      <c r="M10" s="629" t="s">
        <v>528</v>
      </c>
      <c r="N10" s="627"/>
      <c r="O10" s="627"/>
    </row>
    <row r="11" spans="1:15" s="87" customFormat="1">
      <c r="A11" s="662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M11" s="187" t="s">
        <v>247</v>
      </c>
      <c r="N11" s="622"/>
      <c r="O11" s="67" t="s">
        <v>287</v>
      </c>
    </row>
    <row r="12" spans="1:15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188">
        <v>-4</v>
      </c>
      <c r="J12" s="57"/>
      <c r="K12" s="56">
        <v>-5</v>
      </c>
      <c r="M12" s="56">
        <v>-6</v>
      </c>
      <c r="N12" s="56"/>
      <c r="O12" s="56">
        <v>-7</v>
      </c>
    </row>
    <row r="13" spans="1:15" s="87" customFormat="1">
      <c r="D13" s="149"/>
      <c r="F13" s="149"/>
      <c r="G13" s="149"/>
      <c r="H13" s="149"/>
      <c r="I13" s="189"/>
      <c r="J13" s="149"/>
      <c r="K13" s="189"/>
      <c r="M13" s="84"/>
      <c r="N13" s="84"/>
      <c r="O13" s="149"/>
    </row>
    <row r="14" spans="1:15" ht="18.75" customHeight="1">
      <c r="C14" s="87" t="s">
        <v>248</v>
      </c>
    </row>
    <row r="15" spans="1:15">
      <c r="A15" s="144">
        <v>1</v>
      </c>
      <c r="C15" s="144" t="s">
        <v>248</v>
      </c>
      <c r="E15" s="150" t="s">
        <v>249</v>
      </c>
      <c r="G15" s="59">
        <f>('Exhibit-RMP(JRS-2)'!G29+'Exhibit-RMP(JRS-2)'!G49)/1000</f>
        <v>684504.94400000002</v>
      </c>
      <c r="H15" s="60"/>
      <c r="I15" s="191"/>
      <c r="J15" s="60"/>
      <c r="K15" s="191"/>
      <c r="L15" s="656"/>
      <c r="M15" s="59">
        <f>M18*$G15/SUM($G15:$G16)</f>
        <v>9367.8429354171694</v>
      </c>
      <c r="N15" s="396"/>
      <c r="O15" s="68">
        <f>M15/$G15</f>
        <v>1.3685573811453975E-2</v>
      </c>
    </row>
    <row r="16" spans="1:15">
      <c r="A16" s="144">
        <f>MAX(A$14:A15)+1</f>
        <v>2</v>
      </c>
      <c r="C16" s="144" t="s">
        <v>250</v>
      </c>
      <c r="E16" s="151">
        <v>2</v>
      </c>
      <c r="G16" s="59">
        <f>'Exhibit-RMP(JRS-2)'!G71/1000</f>
        <v>351.48899999999998</v>
      </c>
      <c r="H16" s="60"/>
      <c r="I16" s="191"/>
      <c r="J16" s="60"/>
      <c r="K16" s="191"/>
      <c r="L16" s="656"/>
      <c r="M16" s="59">
        <f>M18-M15</f>
        <v>4.8103286534133076</v>
      </c>
      <c r="N16" s="59"/>
      <c r="O16" s="193">
        <f>M16/$G16</f>
        <v>1.3685573811451589E-2</v>
      </c>
    </row>
    <row r="17" spans="1:18">
      <c r="A17" s="144">
        <f>MAX(A$14:A16)+1</f>
        <v>3</v>
      </c>
      <c r="C17" s="152" t="s">
        <v>251</v>
      </c>
      <c r="E17" s="153" t="s">
        <v>252</v>
      </c>
      <c r="G17" s="61">
        <f>'Exhibit-RMP(JRS-2)'!G504/1000</f>
        <v>33.04027</v>
      </c>
      <c r="H17" s="60"/>
      <c r="I17" s="192"/>
      <c r="J17" s="60"/>
      <c r="K17" s="192"/>
      <c r="L17" s="656"/>
      <c r="M17" s="61"/>
      <c r="N17" s="61"/>
      <c r="O17" s="194"/>
    </row>
    <row r="18" spans="1:18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1">
        <f>'Allocator-2012'!F35/1000</f>
        <v>186766.54276300658</v>
      </c>
      <c r="J18" s="60"/>
      <c r="K18" s="191">
        <f>'Allocator-2014'!F33/1000</f>
        <v>170320.71556135381</v>
      </c>
      <c r="L18" s="656"/>
      <c r="M18" s="59">
        <f>I18/($I$49-$I$34)*($I$59-$G$34*$I$61)*$I$60+K18/($K$49-$K$34)*($K$59-$G$34*$K$61)*$K$60</f>
        <v>9372.6532640705827</v>
      </c>
      <c r="N18" s="59"/>
      <c r="O18" s="193">
        <f>M18/$G18</f>
        <v>1.3684913595358556E-2</v>
      </c>
      <c r="Q18" s="638">
        <f>I18/$I$49</f>
        <v>0.30932682913727905</v>
      </c>
      <c r="R18" s="638">
        <f>K18/$K$49</f>
        <v>0.28920276165275521</v>
      </c>
    </row>
    <row r="19" spans="1:18" ht="24.75" customHeight="1">
      <c r="C19" s="87" t="s">
        <v>254</v>
      </c>
      <c r="G19" s="59"/>
      <c r="H19" s="60"/>
      <c r="I19" s="191"/>
      <c r="J19" s="60"/>
      <c r="K19" s="191"/>
      <c r="L19" s="656"/>
      <c r="M19" s="59"/>
      <c r="N19" s="154"/>
      <c r="O19" s="193"/>
      <c r="Q19" s="638"/>
      <c r="R19" s="638"/>
    </row>
    <row r="20" spans="1:18">
      <c r="A20" s="144">
        <f>MAX(A$14:A19)+1</f>
        <v>5</v>
      </c>
      <c r="C20" s="144" t="s">
        <v>255</v>
      </c>
      <c r="E20" s="155">
        <v>6</v>
      </c>
      <c r="G20" s="59">
        <f>'Exhibit-RMP(JRS-2)'!G86/1000</f>
        <v>494681.46600000001</v>
      </c>
      <c r="H20" s="60"/>
      <c r="I20" s="191"/>
      <c r="J20" s="60"/>
      <c r="K20" s="191"/>
      <c r="L20" s="656"/>
      <c r="M20" s="59">
        <f>M$23*$G20/$G$23</f>
        <v>7839.1906277622038</v>
      </c>
      <c r="N20" s="396"/>
      <c r="O20" s="193">
        <f t="shared" ref="O20:O36" si="0">M20/$G20</f>
        <v>1.5846946300919637E-2</v>
      </c>
      <c r="Q20" s="638"/>
      <c r="R20" s="638"/>
    </row>
    <row r="21" spans="1:18">
      <c r="A21" s="144">
        <f>MAX(A$14:A20)+1</f>
        <v>6</v>
      </c>
      <c r="C21" s="144" t="s">
        <v>256</v>
      </c>
      <c r="E21" s="151" t="s">
        <v>257</v>
      </c>
      <c r="G21" s="59">
        <f>'Exhibit-RMP(JRS-2)'!G113/1000</f>
        <v>34227.404000000002</v>
      </c>
      <c r="H21" s="60"/>
      <c r="I21" s="191"/>
      <c r="J21" s="60"/>
      <c r="K21" s="191"/>
      <c r="L21" s="656"/>
      <c r="M21" s="59">
        <f>M$23*$G21/$G$23</f>
        <v>542.39983320788201</v>
      </c>
      <c r="N21" s="59"/>
      <c r="O21" s="193">
        <f t="shared" si="0"/>
        <v>1.5846946300919637E-2</v>
      </c>
      <c r="Q21" s="638"/>
      <c r="R21" s="638"/>
    </row>
    <row r="22" spans="1:18">
      <c r="A22" s="144">
        <f>MAX(A$14:A21)+1</f>
        <v>7</v>
      </c>
      <c r="C22" s="144" t="s">
        <v>258</v>
      </c>
      <c r="E22" s="151" t="s">
        <v>259</v>
      </c>
      <c r="G22" s="61">
        <f>'Exhibit-RMP(JRS-2)'!G101/1000</f>
        <v>345.71800000000002</v>
      </c>
      <c r="H22" s="60"/>
      <c r="I22" s="192"/>
      <c r="J22" s="60"/>
      <c r="K22" s="192"/>
      <c r="L22" s="656"/>
      <c r="M22" s="61">
        <f>M23-M20-M21</f>
        <v>5.4785745812612276</v>
      </c>
      <c r="N22" s="61"/>
      <c r="O22" s="194">
        <f t="shared" si="0"/>
        <v>1.5846946300919325E-2</v>
      </c>
      <c r="Q22" s="638"/>
      <c r="R22" s="638"/>
    </row>
    <row r="23" spans="1:18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1">
        <f>'Allocator-2012'!G35/1000</f>
        <v>166496.53372796826</v>
      </c>
      <c r="J23" s="60"/>
      <c r="K23" s="191">
        <f>'Allocator-2014'!G33/1000</f>
        <v>161024.00812616933</v>
      </c>
      <c r="L23" s="656"/>
      <c r="M23" s="59">
        <f>I23/($I$49-$I$34)*($I$59-$G$34*$I$61)*$I$60+K23/($K$49-$K$34)*($K$59-$G$34*$K$61)*$K$60</f>
        <v>8387.069035551347</v>
      </c>
      <c r="N23" s="59"/>
      <c r="O23" s="193">
        <f t="shared" si="0"/>
        <v>1.5846946300919637E-2</v>
      </c>
      <c r="Q23" s="638">
        <f>I23/$I$49</f>
        <v>0.27575519725592723</v>
      </c>
      <c r="R23" s="638">
        <f>K23/$K$49</f>
        <v>0.27341705140798739</v>
      </c>
    </row>
    <row r="24" spans="1:18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'Exhibit-RMP(JRS-2)'!G165/1000</f>
        <v>167313.40900000001</v>
      </c>
      <c r="H24" s="60"/>
      <c r="I24" s="191">
        <f>'Allocator-2012'!H35/1000</f>
        <v>55469.240109993545</v>
      </c>
      <c r="J24" s="60"/>
      <c r="K24" s="191">
        <f>'Allocator-2014'!H33/1000</f>
        <v>56650.65884333758</v>
      </c>
      <c r="L24" s="656"/>
      <c r="M24" s="59">
        <f>I24/($I$49-$I$34)*($I$59-$G$34*$I$61)*$I$60+K24/($K$49-$K$34)*($K$59-$G$34*$K$61)*$K$60</f>
        <v>2804.5452490952744</v>
      </c>
      <c r="N24" s="59"/>
      <c r="O24" s="193">
        <f t="shared" si="0"/>
        <v>1.6762226445910706E-2</v>
      </c>
      <c r="Q24" s="638">
        <f>I24/$I$49</f>
        <v>9.1869367521843104E-2</v>
      </c>
      <c r="R24" s="638">
        <f>K24/$K$49</f>
        <v>9.6192215567809478E-2</v>
      </c>
    </row>
    <row r="25" spans="1:18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'Exhibit-RMP(JRS-2)'!G176/1000</f>
        <v>284876.45199999999</v>
      </c>
      <c r="H25" s="60"/>
      <c r="I25" s="191"/>
      <c r="J25" s="60"/>
      <c r="K25" s="191"/>
      <c r="L25" s="656"/>
      <c r="M25" s="59">
        <f>M27*$G25/$G$27</f>
        <v>5861.185681795092</v>
      </c>
      <c r="N25" s="59"/>
      <c r="O25" s="193">
        <f t="shared" si="0"/>
        <v>2.0574482870192066E-2</v>
      </c>
      <c r="Q25" s="638"/>
      <c r="R25" s="638"/>
    </row>
    <row r="26" spans="1:18">
      <c r="A26" s="144">
        <f>MAX(A$14:A25)+1</f>
        <v>11</v>
      </c>
      <c r="C26" s="144" t="s">
        <v>263</v>
      </c>
      <c r="E26" s="151" t="s">
        <v>264</v>
      </c>
      <c r="G26" s="61">
        <f>'Exhibit-RMP(JRS-2)'!G184/1000</f>
        <v>3292.5839999999998</v>
      </c>
      <c r="H26" s="60"/>
      <c r="I26" s="192"/>
      <c r="J26" s="60"/>
      <c r="K26" s="192"/>
      <c r="L26" s="656"/>
      <c r="M26" s="61">
        <f>M27-M25</f>
        <v>67.743213106668009</v>
      </c>
      <c r="N26" s="61"/>
      <c r="O26" s="194">
        <f t="shared" si="0"/>
        <v>2.0574482870191927E-2</v>
      </c>
      <c r="Q26" s="638"/>
      <c r="R26" s="638"/>
    </row>
    <row r="27" spans="1:18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1">
        <f>'Allocator-2012'!J35/1000</f>
        <v>116867.44235738491</v>
      </c>
      <c r="J27" s="60"/>
      <c r="K27" s="191">
        <f>'Allocator-2014'!J33/1000</f>
        <v>125184.06318938315</v>
      </c>
      <c r="L27" s="656"/>
      <c r="M27" s="59">
        <f>I27/($I$49-$I$34)*($I$59-$G$34*$I$61)*$I$60+K27/($K$49-$K$34)*($K$59-$G$34*$K$61)*$K$60</f>
        <v>5928.92889490176</v>
      </c>
      <c r="N27" s="59"/>
      <c r="O27" s="193">
        <f t="shared" si="0"/>
        <v>2.0574482870192066E-2</v>
      </c>
      <c r="Q27" s="638">
        <f>I27/$I$49</f>
        <v>0.19355841168868065</v>
      </c>
      <c r="R27" s="638">
        <f>K27/$K$49</f>
        <v>0.21256120648601423</v>
      </c>
    </row>
    <row r="28" spans="1:18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'Exhibit-RMP(JRS-2)'!G200/1000</f>
        <v>13209.986000000001</v>
      </c>
      <c r="H28" s="60"/>
      <c r="I28" s="191"/>
      <c r="J28" s="60"/>
      <c r="K28" s="191"/>
      <c r="L28" s="656"/>
      <c r="M28" s="59">
        <f>M30*$G28/$G$30</f>
        <v>230.82443514725546</v>
      </c>
      <c r="N28" s="59"/>
      <c r="O28" s="193">
        <f t="shared" si="0"/>
        <v>1.74734806794841E-2</v>
      </c>
      <c r="Q28" s="638"/>
      <c r="R28" s="638"/>
    </row>
    <row r="29" spans="1:18">
      <c r="A29" s="144">
        <f>MAX(A$14:A28)+1</f>
        <v>14</v>
      </c>
      <c r="C29" s="144" t="s">
        <v>267</v>
      </c>
      <c r="E29" s="151" t="s">
        <v>268</v>
      </c>
      <c r="G29" s="61">
        <f>'Exhibit-RMP(JRS-2)'!G216/1000</f>
        <v>1285.6210000000001</v>
      </c>
      <c r="H29" s="60"/>
      <c r="I29" s="192"/>
      <c r="J29" s="60"/>
      <c r="K29" s="192"/>
      <c r="L29" s="656"/>
      <c r="M29" s="61">
        <f>M30-M28</f>
        <v>22.464273704639027</v>
      </c>
      <c r="N29" s="61"/>
      <c r="O29" s="194">
        <f t="shared" si="0"/>
        <v>1.7473480679484097E-2</v>
      </c>
      <c r="Q29" s="638"/>
      <c r="R29" s="638"/>
    </row>
    <row r="30" spans="1:18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1">
        <f>'Allocator-2012'!K35/1000</f>
        <v>5025.6575079417371</v>
      </c>
      <c r="J30" s="60"/>
      <c r="K30" s="191">
        <f>'Allocator-2014'!K33/1000</f>
        <v>4897.3684914644637</v>
      </c>
      <c r="L30" s="656"/>
      <c r="M30" s="59">
        <f>I30/($I$49-$I$34)*($I$59-$G$34*$I$61)*$I$60+K30/($K$49-$K$34)*($K$59-$G$34*$K$61)*$K$60</f>
        <v>253.28870885189448</v>
      </c>
      <c r="N30" s="59"/>
      <c r="O30" s="193">
        <f t="shared" si="0"/>
        <v>1.74734806794841E-2</v>
      </c>
      <c r="Q30" s="638">
        <f>I30/$I$49</f>
        <v>8.3236037796888315E-3</v>
      </c>
      <c r="R30" s="638">
        <f>K30/$K$49</f>
        <v>8.3156795572087178E-3</v>
      </c>
    </row>
    <row r="31" spans="1:18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'Exhibit-RMP(JRS-2)'!G383/1000</f>
        <v>475.92599999999999</v>
      </c>
      <c r="H31" s="60"/>
      <c r="I31" s="191"/>
      <c r="J31" s="60"/>
      <c r="K31" s="191"/>
      <c r="L31" s="656"/>
      <c r="M31" s="59">
        <f>G31*$O$25</f>
        <v>9.7919313344790293</v>
      </c>
      <c r="N31" s="59"/>
      <c r="O31" s="193">
        <f t="shared" si="0"/>
        <v>2.0574482870192066E-2</v>
      </c>
      <c r="Q31" s="638"/>
      <c r="R31" s="638"/>
    </row>
    <row r="32" spans="1:18">
      <c r="A32" s="144">
        <f>MAX(A$14:A31)+1</f>
        <v>17</v>
      </c>
      <c r="C32" s="144" t="s">
        <v>271</v>
      </c>
      <c r="E32" s="155">
        <v>23</v>
      </c>
      <c r="G32" s="59">
        <f>'Exhibit-RMP(JRS-2)'!G396/1000</f>
        <v>139102.851</v>
      </c>
      <c r="H32" s="60"/>
      <c r="I32" s="191">
        <f>'Allocator-2012'!N35/1000</f>
        <v>39440.154378784922</v>
      </c>
      <c r="J32" s="60"/>
      <c r="K32" s="191">
        <f>'Allocator-2014'!N33/1000</f>
        <v>37646.168832798976</v>
      </c>
      <c r="L32" s="656"/>
      <c r="M32" s="59">
        <f>I32/($I$49-$I$34)*($I$59-$G$34*$I$61)*$I$60+K32/($K$49-$K$34)*($K$59-$G$34*$K$61)*$K$60</f>
        <v>1985.0381635937865</v>
      </c>
      <c r="N32" s="59"/>
      <c r="O32" s="193">
        <f t="shared" si="0"/>
        <v>1.4270291006427946E-2</v>
      </c>
      <c r="Q32" s="638">
        <f>I32/$I$49</f>
        <v>6.5321645484197402E-2</v>
      </c>
      <c r="R32" s="638">
        <f>K32/$K$49</f>
        <v>6.3922793866900099E-2</v>
      </c>
    </row>
    <row r="33" spans="1:19">
      <c r="A33" s="144">
        <f>MAX(A$14:A32)+1</f>
        <v>18</v>
      </c>
      <c r="C33" s="144" t="s">
        <v>272</v>
      </c>
      <c r="E33" s="144">
        <v>31</v>
      </c>
      <c r="G33" s="59">
        <f>'Exhibit-RMP(JRS-2)'!G457/1000</f>
        <v>4575.5919999999996</v>
      </c>
      <c r="H33" s="60"/>
      <c r="I33" s="191"/>
      <c r="J33" s="60"/>
      <c r="K33" s="191"/>
      <c r="L33" s="656"/>
      <c r="M33" s="59">
        <f>G33*$O$25</f>
        <v>94.140439224987844</v>
      </c>
      <c r="N33" s="59"/>
      <c r="O33" s="193">
        <f t="shared" si="0"/>
        <v>2.0574482870192066E-2</v>
      </c>
      <c r="Q33" s="638"/>
      <c r="R33" s="638"/>
    </row>
    <row r="34" spans="1:19">
      <c r="A34" s="144">
        <f>MAX(A$14:A33)+1</f>
        <v>19</v>
      </c>
      <c r="C34" s="152" t="s">
        <v>273</v>
      </c>
      <c r="E34" s="151" t="s">
        <v>252</v>
      </c>
      <c r="G34" s="59">
        <f>'Exhibit-RMP(JRS-2)'!G465/1000</f>
        <v>27958.751</v>
      </c>
      <c r="H34" s="60"/>
      <c r="I34" s="191">
        <f>'Allocator-2012'!O35/1000</f>
        <v>13774.886444271626</v>
      </c>
      <c r="J34" s="60"/>
      <c r="K34" s="191">
        <f>'Allocator-2014'!O33/1000</f>
        <v>13217.424165390406</v>
      </c>
      <c r="L34" s="656"/>
      <c r="M34" s="59">
        <f>G34*M61</f>
        <v>445.80189867176421</v>
      </c>
      <c r="N34" s="59"/>
      <c r="O34" s="193">
        <f t="shared" si="0"/>
        <v>1.5944986193115858E-2</v>
      </c>
      <c r="Q34" s="638">
        <f>I34/$I$49</f>
        <v>2.281426792238405E-2</v>
      </c>
      <c r="R34" s="638">
        <f>K34/$K$49</f>
        <v>2.2443045509574568E-2</v>
      </c>
    </row>
    <row r="35" spans="1:19">
      <c r="A35" s="144">
        <f>MAX(A$14:A34)+1</f>
        <v>20</v>
      </c>
      <c r="C35" s="152" t="s">
        <v>274</v>
      </c>
      <c r="E35" s="151" t="s">
        <v>252</v>
      </c>
      <c r="G35" s="59">
        <f>'Exhibit-RMP(JRS-2)'!G470/1000</f>
        <v>35062.89</v>
      </c>
      <c r="H35" s="60"/>
      <c r="I35" s="191">
        <f>'Allocator-2012'!P35/1000</f>
        <v>17269.071073591076</v>
      </c>
      <c r="J35" s="60"/>
      <c r="K35" s="191">
        <f>'Allocator-2014'!P33/1000</f>
        <v>17353.819534399088</v>
      </c>
      <c r="L35" s="656"/>
      <c r="M35" s="59">
        <f>I35/($I$49-$I$34)*($I$59-$G$34*$I$61)*$I$60+K35/($K$49-$K$34)*($K$59-$G$34*$K$61)*$K$60</f>
        <v>872.15584986787565</v>
      </c>
      <c r="N35" s="59"/>
      <c r="O35" s="193">
        <f t="shared" si="0"/>
        <v>2.4874043464981798E-2</v>
      </c>
      <c r="Q35" s="638">
        <f>I35/$I$49</f>
        <v>2.8601412856469593E-2</v>
      </c>
      <c r="R35" s="638">
        <f>K35/$K$49</f>
        <v>2.9466600806781245E-2</v>
      </c>
    </row>
    <row r="36" spans="1:19">
      <c r="A36" s="144">
        <f>MAX(A$14:A35)+1</f>
        <v>21</v>
      </c>
      <c r="C36" s="152" t="s">
        <v>275</v>
      </c>
      <c r="E36" s="151" t="s">
        <v>252</v>
      </c>
      <c r="G36" s="59">
        <f>'Exhibit-RMP(JRS-2)'!G492/1000</f>
        <v>30035.48</v>
      </c>
      <c r="H36" s="60"/>
      <c r="I36" s="191"/>
      <c r="J36" s="60"/>
      <c r="K36" s="191"/>
      <c r="L36" s="656"/>
      <c r="M36" s="59">
        <f>G36*$O$25</f>
        <v>617.96446875799643</v>
      </c>
      <c r="N36" s="59"/>
      <c r="O36" s="193">
        <f t="shared" si="0"/>
        <v>2.0574482870192066E-2</v>
      </c>
      <c r="Q36" s="638"/>
      <c r="R36" s="638"/>
    </row>
    <row r="37" spans="1:19">
      <c r="A37" s="144">
        <f>MAX(A$14:A36)+1</f>
        <v>22</v>
      </c>
      <c r="C37" s="152" t="s">
        <v>251</v>
      </c>
      <c r="E37" s="153" t="s">
        <v>252</v>
      </c>
      <c r="G37" s="61">
        <f>('Exhibit-RMP(JRS-2)'!G505+'Exhibit-RMP(JRS-2)'!G506+'Exhibit-RMP(JRS-2)'!G507+'Exhibit-RMP(JRS-2)'!G509)/1000</f>
        <v>2927.6937100000005</v>
      </c>
      <c r="H37" s="60"/>
      <c r="I37" s="192"/>
      <c r="J37" s="60"/>
      <c r="K37" s="192"/>
      <c r="L37" s="656"/>
      <c r="M37" s="61"/>
      <c r="N37" s="61"/>
      <c r="O37" s="194"/>
      <c r="Q37" s="638"/>
      <c r="R37" s="638"/>
    </row>
    <row r="38" spans="1:19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414342.98559993604</v>
      </c>
      <c r="J38" s="60"/>
      <c r="K38" s="59">
        <f>SUM(K20:K37)</f>
        <v>415973.51118294301</v>
      </c>
      <c r="L38" s="656"/>
      <c r="M38" s="59">
        <f>SUM(M20:M22,M24:M26,M28:M29,M31:M37)</f>
        <v>21398.724639851167</v>
      </c>
      <c r="N38" s="59"/>
      <c r="O38" s="193">
        <f>M38/$G38</f>
        <v>1.7265782738060894E-2</v>
      </c>
      <c r="Q38" s="638">
        <f>I38/$I$49</f>
        <v>0.68624390650919087</v>
      </c>
      <c r="R38" s="638">
        <f>K38/$K$49</f>
        <v>0.70631859320227575</v>
      </c>
    </row>
    <row r="39" spans="1:19" ht="28.5" customHeight="1">
      <c r="C39" s="87" t="s">
        <v>277</v>
      </c>
      <c r="G39" s="59"/>
      <c r="H39" s="60"/>
      <c r="I39" s="191"/>
      <c r="J39" s="60"/>
      <c r="K39" s="191"/>
      <c r="L39" s="656"/>
      <c r="M39" s="59"/>
      <c r="N39" s="59"/>
      <c r="O39" s="193"/>
      <c r="Q39" s="638">
        <f>SUM(I40:I42)/$I$49</f>
        <v>3.5274838587451671E-3</v>
      </c>
      <c r="R39" s="638">
        <f>SUM(K40:K42)/$K$49</f>
        <v>3.4880389816249408E-3</v>
      </c>
    </row>
    <row r="40" spans="1:19">
      <c r="A40" s="144">
        <f>MAX(A$14:A39)+1</f>
        <v>24</v>
      </c>
      <c r="C40" s="144" t="s">
        <v>278</v>
      </c>
      <c r="E40" s="144">
        <v>7</v>
      </c>
      <c r="G40" s="59">
        <f>'Exhibit-RMP(JRS-2)'!G153/1000</f>
        <v>2999.06</v>
      </c>
      <c r="H40" s="60"/>
      <c r="I40" s="191">
        <f>G40/SUM($G$40:$G$42)*'Allocator-2012'!$I$35/1000</f>
        <v>526.87818622496457</v>
      </c>
      <c r="J40" s="60"/>
      <c r="K40" s="191">
        <f>G40/SUM($G$40:$G$42)*'Allocator-2014'!$I$33/1000</f>
        <v>508.1712140829631</v>
      </c>
      <c r="L40" s="656"/>
      <c r="M40" s="59">
        <f>I40/($I$49-$I$34)*($I$59-$G$34*$I$61)*$I$60+K40/($K$49-$K$34)*($K$59-$G$34*$K$61)*$K$60</f>
        <v>26.536091382104999</v>
      </c>
      <c r="N40" s="59"/>
      <c r="O40" s="193">
        <f t="shared" ref="O40:O45" si="1">M40/$G40</f>
        <v>8.8481362100474806E-3</v>
      </c>
      <c r="Q40" s="638">
        <f t="shared" ref="Q40:Q45" si="2">I40/$I$49</f>
        <v>8.7262716477745151E-4</v>
      </c>
      <c r="R40" s="638">
        <f t="shared" ref="R40:R45" si="3">K40/$K$49</f>
        <v>8.6286931111609919E-4</v>
      </c>
      <c r="S40" s="59"/>
    </row>
    <row r="41" spans="1:19">
      <c r="A41" s="144">
        <f>MAX(A$14:A40)+1</f>
        <v>25</v>
      </c>
      <c r="C41" s="144" t="s">
        <v>279</v>
      </c>
      <c r="E41" s="144">
        <v>11</v>
      </c>
      <c r="G41" s="59">
        <f>'Exhibit-RMP(JRS-2)'!G268/1000</f>
        <v>4979.3900000000003</v>
      </c>
      <c r="H41" s="60"/>
      <c r="I41" s="191">
        <f>G41/SUM($G$40:$G$42)*'Allocator-2012'!$I$35/1000</f>
        <v>874.78475645926619</v>
      </c>
      <c r="J41" s="60"/>
      <c r="K41" s="191">
        <f>G41/SUM($G$40:$G$42)*'Allocator-2014'!$I$33/1000</f>
        <v>843.72525447725832</v>
      </c>
      <c r="L41" s="656"/>
      <c r="M41" s="59">
        <f>I41/($I$49-$I$34)*($I$59-$G$34*$I$61)*$I$60+K41/($K$49-$K$34)*($K$59-$G$34*$K$61)*$K$60</f>
        <v>44.058320962948329</v>
      </c>
      <c r="N41" s="59"/>
      <c r="O41" s="193">
        <f t="shared" si="1"/>
        <v>8.8481362100474806E-3</v>
      </c>
      <c r="Q41" s="638">
        <f t="shared" si="2"/>
        <v>1.4488376284639839E-3</v>
      </c>
      <c r="R41" s="638">
        <f t="shared" si="3"/>
        <v>1.4326364991291919E-3</v>
      </c>
    </row>
    <row r="42" spans="1:19">
      <c r="A42" s="144">
        <f>MAX(A$14:A41)+1</f>
        <v>26</v>
      </c>
      <c r="C42" s="144" t="s">
        <v>280</v>
      </c>
      <c r="E42" s="144">
        <v>12</v>
      </c>
      <c r="G42" s="59">
        <f>'Exhibit-RMP(JRS-2)'!G351/1000</f>
        <v>4144.8670000000002</v>
      </c>
      <c r="H42" s="60"/>
      <c r="I42" s="191">
        <f>G42/SUM($G$40:$G$42)*'Allocator-2012'!$I$35/1000</f>
        <v>728.17483048145425</v>
      </c>
      <c r="J42" s="60"/>
      <c r="K42" s="191">
        <f>G42/SUM($G$40:$G$42)*'Allocator-2014'!$I$33/1000</f>
        <v>702.32075903863517</v>
      </c>
      <c r="L42" s="656"/>
      <c r="M42" s="59">
        <f>I42/($I$49-$I$34)*($I$59-$G$34*$I$61)*$I$60+K42/($K$49-$K$34)*($K$59-$G$34*$K$61)*$K$60</f>
        <v>36.674347788530866</v>
      </c>
      <c r="N42" s="59"/>
      <c r="O42" s="193">
        <f t="shared" si="1"/>
        <v>8.8481362100474789E-3</v>
      </c>
      <c r="Q42" s="638">
        <f t="shared" si="2"/>
        <v>1.2060190655037316E-3</v>
      </c>
      <c r="R42" s="638">
        <f t="shared" si="3"/>
        <v>1.1925331713796498E-3</v>
      </c>
    </row>
    <row r="43" spans="1:19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'Exhibit-RMP(JRS-2)'!G360/1000</f>
        <v>1234.6020000000001</v>
      </c>
      <c r="H43" s="63"/>
      <c r="I43" s="191">
        <f>'Allocator-2012'!M35/1000</f>
        <v>394.17625589642319</v>
      </c>
      <c r="J43" s="63"/>
      <c r="K43" s="191">
        <f>'Allocator-2014'!M33/1000</f>
        <v>424.60365694151704</v>
      </c>
      <c r="L43" s="656"/>
      <c r="M43" s="62">
        <f>I43/($I$49-$I$34)*($I$59-$G$34*$I$61)*$I$60+K43/($K$49-$K$34)*($K$59-$G$34*$K$61)*$K$60</f>
        <v>20.005567398079354</v>
      </c>
      <c r="N43" s="62"/>
      <c r="O43" s="195">
        <f t="shared" si="1"/>
        <v>1.6204062036250834E-2</v>
      </c>
      <c r="Q43" s="638">
        <f t="shared" si="2"/>
        <v>6.5284332811345574E-4</v>
      </c>
      <c r="R43" s="638">
        <f t="shared" si="3"/>
        <v>7.2097248881690726E-4</v>
      </c>
    </row>
    <row r="44" spans="1:19">
      <c r="A44" s="144">
        <f>MAX(A$14:A43)+1</f>
        <v>28</v>
      </c>
      <c r="C44" s="144" t="s">
        <v>282</v>
      </c>
      <c r="E44" s="144">
        <v>15</v>
      </c>
      <c r="G44" s="61">
        <f>'Exhibit-RMP(JRS-2)'!G366/1000</f>
        <v>682.02800000000002</v>
      </c>
      <c r="H44" s="60"/>
      <c r="I44" s="192">
        <f>'Allocator-2012'!L35/1000</f>
        <v>150.30424006263303</v>
      </c>
      <c r="J44" s="60"/>
      <c r="K44" s="192">
        <f>'Allocator-2014'!L33/1000</f>
        <v>158.79585700516043</v>
      </c>
      <c r="L44" s="656"/>
      <c r="M44" s="61">
        <f>I44/($I$49-$I$34)*($I$59-$G$34*$I$61)*$I$60+K44/($K$49-$K$34)*($K$59-$G$34*$K$61)*$K$60</f>
        <v>7.6176559286363181</v>
      </c>
      <c r="N44" s="61"/>
      <c r="O44" s="194">
        <f t="shared" si="1"/>
        <v>1.116912491662559E-2</v>
      </c>
      <c r="Q44" s="638">
        <f t="shared" si="2"/>
        <v>2.4893716667154421E-4</v>
      </c>
      <c r="R44" s="638">
        <f t="shared" si="3"/>
        <v>2.696336745271914E-4</v>
      </c>
    </row>
    <row r="45" spans="1:19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1">
        <f>SUM(I40:I44)</f>
        <v>2674.3182691247416</v>
      </c>
      <c r="J45" s="59"/>
      <c r="K45" s="191">
        <f>SUM(K40:K44)</f>
        <v>2637.6167415455338</v>
      </c>
      <c r="L45" s="656"/>
      <c r="M45" s="59">
        <f>SUM(M40:M44)</f>
        <v>134.89198346029985</v>
      </c>
      <c r="N45" s="59"/>
      <c r="O45" s="193">
        <f t="shared" si="1"/>
        <v>9.6077273981376027E-3</v>
      </c>
      <c r="Q45" s="638">
        <f t="shared" si="2"/>
        <v>4.4292643535301674E-3</v>
      </c>
      <c r="R45" s="638">
        <f t="shared" si="3"/>
        <v>4.4786451449690392E-3</v>
      </c>
    </row>
    <row r="46" spans="1:19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'Exhibit-RMP(JRS-2)'!G501/1000</f>
        <v>0.58299999999999996</v>
      </c>
      <c r="H46" s="60"/>
      <c r="I46" s="191">
        <v>0</v>
      </c>
      <c r="J46" s="60"/>
      <c r="K46" s="191">
        <v>0</v>
      </c>
      <c r="L46" s="656"/>
      <c r="M46" s="59"/>
      <c r="N46" s="59"/>
      <c r="O46" s="193"/>
      <c r="Q46" s="638"/>
      <c r="R46" s="638"/>
    </row>
    <row r="47" spans="1:19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'Exhibit-RMP(JRS-2)'!G508/1000</f>
        <v>4.6616400000000002</v>
      </c>
      <c r="H47" s="60"/>
      <c r="I47" s="192">
        <v>0</v>
      </c>
      <c r="J47" s="60"/>
      <c r="K47" s="192">
        <v>0</v>
      </c>
      <c r="L47" s="656"/>
      <c r="M47" s="61"/>
      <c r="N47" s="61"/>
      <c r="O47" s="194"/>
      <c r="Q47" s="638"/>
      <c r="R47" s="638"/>
    </row>
    <row r="48" spans="1:19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2674.3182691247416</v>
      </c>
      <c r="J48" s="60"/>
      <c r="K48" s="61">
        <f>SUM(K45:K47)</f>
        <v>2637.6167415455338</v>
      </c>
      <c r="L48" s="656"/>
      <c r="M48" s="61">
        <f>SUM(M45:M47)</f>
        <v>134.89198346029985</v>
      </c>
      <c r="N48" s="61"/>
      <c r="O48" s="194">
        <f>M48/$G48</f>
        <v>9.6041397595554509E-3</v>
      </c>
      <c r="Q48" s="638">
        <f>I48/$I$49</f>
        <v>4.4292643535301674E-3</v>
      </c>
      <c r="R48" s="638">
        <f>K48/$K$49</f>
        <v>4.4786451449690392E-3</v>
      </c>
    </row>
    <row r="49" spans="1:18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603783.84663206735</v>
      </c>
      <c r="J49" s="60"/>
      <c r="K49" s="181">
        <f>K18+K38+K48</f>
        <v>588931.84348584234</v>
      </c>
      <c r="L49" s="657"/>
      <c r="M49" s="181">
        <f>M18+M38+M48</f>
        <v>30906.269887382048</v>
      </c>
      <c r="N49" s="181"/>
      <c r="O49" s="196">
        <f>M49/$G49</f>
        <v>1.5944986032310159E-2</v>
      </c>
      <c r="Q49" s="638">
        <f>I49/$I$49</f>
        <v>1</v>
      </c>
      <c r="R49" s="638">
        <f>K49/$K$49</f>
        <v>1</v>
      </c>
    </row>
    <row r="50" spans="1:18" ht="9.75" customHeight="1" thickTop="1">
      <c r="C50" s="87"/>
      <c r="E50" s="157"/>
      <c r="G50" s="62"/>
      <c r="H50" s="60"/>
      <c r="I50" s="423"/>
      <c r="J50" s="60"/>
      <c r="K50" s="423"/>
      <c r="L50" s="183"/>
      <c r="M50" s="423"/>
      <c r="N50" s="423"/>
      <c r="O50" s="195"/>
    </row>
    <row r="51" spans="1:18">
      <c r="A51" s="630" t="s">
        <v>529</v>
      </c>
      <c r="B51" s="630"/>
      <c r="C51" s="630"/>
    </row>
    <row r="52" spans="1:18" ht="16.5">
      <c r="C52" s="637" t="s">
        <v>531</v>
      </c>
    </row>
    <row r="53" spans="1:18" ht="16.5">
      <c r="C53" s="637" t="s">
        <v>532</v>
      </c>
    </row>
    <row r="54" spans="1:18" ht="16.5">
      <c r="C54" s="637" t="s">
        <v>551</v>
      </c>
    </row>
    <row r="55" spans="1:18" s="146" customFormat="1">
      <c r="A55" s="144"/>
      <c r="B55" s="144"/>
      <c r="C55" s="144"/>
      <c r="E55" s="144"/>
      <c r="L55" s="180"/>
    </row>
    <row r="56" spans="1:18">
      <c r="E56" s="646"/>
      <c r="F56" s="571"/>
      <c r="G56" s="571"/>
      <c r="H56" s="571"/>
      <c r="I56" s="572" t="s">
        <v>515</v>
      </c>
      <c r="J56" s="572"/>
      <c r="K56" s="572" t="s">
        <v>516</v>
      </c>
      <c r="L56" s="572"/>
      <c r="M56" s="573" t="s">
        <v>152</v>
      </c>
      <c r="N56" s="623"/>
    </row>
    <row r="57" spans="1:18">
      <c r="E57" s="641"/>
      <c r="F57" s="258"/>
      <c r="G57" s="649" t="s">
        <v>534</v>
      </c>
      <c r="H57" s="258"/>
      <c r="I57" s="650">
        <f>Deferral!U53/1000</f>
        <v>28411.060442172515</v>
      </c>
      <c r="J57" s="650"/>
      <c r="K57" s="650">
        <f>Deferral!V53/1000</f>
        <v>2060.4047586306965</v>
      </c>
      <c r="L57" s="651"/>
      <c r="M57" s="652">
        <f>I57+K57</f>
        <v>30471.46520080321</v>
      </c>
      <c r="N57" s="567"/>
    </row>
    <row r="58" spans="1:18">
      <c r="E58" s="644"/>
      <c r="F58" s="259"/>
      <c r="G58" s="640" t="s">
        <v>552</v>
      </c>
      <c r="H58" s="259"/>
      <c r="I58" s="653">
        <f>Deferral!U54/1000</f>
        <v>434.80499826957123</v>
      </c>
      <c r="J58" s="653"/>
      <c r="K58" s="653"/>
      <c r="L58" s="654"/>
      <c r="M58" s="655"/>
      <c r="N58" s="624"/>
    </row>
    <row r="59" spans="1:18">
      <c r="E59" s="642"/>
      <c r="F59" s="257"/>
      <c r="G59" s="639" t="s">
        <v>517</v>
      </c>
      <c r="H59" s="257"/>
      <c r="I59" s="567">
        <f>SUM(I57:I58)</f>
        <v>28845.865440442085</v>
      </c>
      <c r="J59" s="647"/>
      <c r="K59" s="567">
        <f>SUM(K57:K58)</f>
        <v>2060.4047586306965</v>
      </c>
      <c r="L59" s="648"/>
      <c r="M59" s="569">
        <f>I59+K59</f>
        <v>30906.27019907278</v>
      </c>
      <c r="N59" s="625"/>
    </row>
    <row r="60" spans="1:18">
      <c r="E60" s="642"/>
      <c r="F60" s="257"/>
      <c r="G60" s="639" t="s">
        <v>26</v>
      </c>
      <c r="H60" s="257"/>
      <c r="I60" s="568">
        <v>0.97630052355437047</v>
      </c>
      <c r="J60" s="257"/>
      <c r="K60" s="568">
        <f>I60</f>
        <v>0.97630052355437047</v>
      </c>
      <c r="L60" s="643"/>
      <c r="M60" s="575">
        <f>ROUND(M59,3)-ROUND(M49,3)</f>
        <v>0</v>
      </c>
    </row>
    <row r="61" spans="1:18">
      <c r="E61" s="644"/>
      <c r="F61" s="259"/>
      <c r="G61" s="640" t="s">
        <v>287</v>
      </c>
      <c r="H61" s="259"/>
      <c r="I61" s="570">
        <f>I59/G49</f>
        <v>1.4881993951833303E-2</v>
      </c>
      <c r="J61" s="259"/>
      <c r="K61" s="570">
        <f>K59/G49</f>
        <v>1.0629922412825569E-3</v>
      </c>
      <c r="L61" s="645"/>
      <c r="M61" s="574">
        <f>M59/G49</f>
        <v>1.5944986193115858E-2</v>
      </c>
    </row>
    <row r="62" spans="1:18">
      <c r="L62" s="180"/>
    </row>
    <row r="63" spans="1:18">
      <c r="L63" s="454"/>
    </row>
    <row r="64" spans="1:18">
      <c r="L64" s="455"/>
    </row>
  </sheetData>
  <printOptions horizontalCentered="1"/>
  <pageMargins left="0.25" right="0.25" top="1" bottom="0.5" header="0.25" footer="0.25"/>
  <pageSetup scale="56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X514"/>
  <sheetViews>
    <sheetView view="pageBreakPreview" zoomScale="80" zoomScaleNormal="70" zoomScaleSheetLayoutView="80" workbookViewId="0">
      <selection activeCell="R81" sqref="R81"/>
    </sheetView>
  </sheetViews>
  <sheetFormatPr defaultColWidth="9" defaultRowHeight="15.75"/>
  <cols>
    <col min="1" max="1" width="33.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25" style="167" customWidth="1"/>
    <col min="7" max="7" width="14" style="168" bestFit="1" customWidth="1"/>
    <col min="8" max="8" width="1" style="5" customWidth="1"/>
    <col min="9" max="9" width="8.125" style="91" customWidth="1"/>
    <col min="10" max="10" width="2.125" style="5" customWidth="1"/>
    <col min="11" max="11" width="11.625" style="92" bestFit="1" customWidth="1"/>
    <col min="12" max="12" width="1" style="5" customWidth="1"/>
    <col min="13" max="13" width="8.125" style="91" customWidth="1"/>
    <col min="14" max="14" width="2.125" style="5" customWidth="1"/>
    <col min="15" max="15" width="11.625" style="92" bestFit="1" customWidth="1"/>
    <col min="16" max="16" width="2.25" style="159" customWidth="1"/>
    <col min="17" max="17" width="19.75" style="159" bestFit="1" customWidth="1"/>
    <col min="18" max="18" width="13.625" style="159" bestFit="1" customWidth="1"/>
    <col min="19" max="20" width="10.5" style="159" bestFit="1" customWidth="1"/>
    <col min="21" max="21" width="12.375" style="159" bestFit="1" customWidth="1"/>
    <col min="22" max="16384" width="9" style="159"/>
  </cols>
  <sheetData>
    <row r="1" spans="1:20" ht="18.75">
      <c r="A1" s="431" t="s">
        <v>444</v>
      </c>
      <c r="B1" s="424"/>
      <c r="C1" s="165"/>
      <c r="D1" s="166"/>
      <c r="E1" s="165"/>
      <c r="F1" s="166"/>
      <c r="G1" s="197"/>
      <c r="H1" s="1"/>
      <c r="I1" s="89"/>
      <c r="J1" s="1"/>
      <c r="K1" s="90"/>
      <c r="L1" s="1"/>
      <c r="M1" s="89"/>
      <c r="N1" s="1"/>
      <c r="O1" s="90"/>
    </row>
    <row r="2" spans="1:20" ht="18.75">
      <c r="A2" s="431" t="s">
        <v>0</v>
      </c>
      <c r="B2" s="424"/>
      <c r="C2" s="165"/>
      <c r="D2" s="166"/>
      <c r="E2" s="165"/>
      <c r="F2" s="166"/>
      <c r="G2" s="197"/>
      <c r="H2" s="1"/>
      <c r="I2" s="89"/>
      <c r="J2" s="1"/>
      <c r="K2" s="90"/>
      <c r="L2" s="1"/>
      <c r="M2" s="89"/>
      <c r="N2" s="1"/>
      <c r="O2" s="90"/>
    </row>
    <row r="3" spans="1:20" ht="18.75">
      <c r="A3" s="431" t="s">
        <v>441</v>
      </c>
      <c r="B3" s="424"/>
      <c r="C3" s="165"/>
      <c r="D3" s="166"/>
      <c r="E3" s="165"/>
      <c r="F3" s="166"/>
      <c r="G3" s="197"/>
      <c r="H3" s="1"/>
      <c r="I3" s="89"/>
      <c r="J3" s="1"/>
      <c r="K3" s="90"/>
      <c r="L3" s="1"/>
      <c r="M3" s="89"/>
      <c r="N3" s="1"/>
      <c r="O3" s="90"/>
    </row>
    <row r="4" spans="1:20" ht="18.75">
      <c r="A4" s="431" t="s">
        <v>442</v>
      </c>
      <c r="B4" s="424"/>
      <c r="C4" s="165"/>
      <c r="D4" s="166"/>
      <c r="E4" s="165"/>
      <c r="F4" s="166"/>
      <c r="G4" s="197"/>
      <c r="H4" s="1"/>
      <c r="I4" s="89"/>
      <c r="J4" s="1"/>
      <c r="K4" s="90"/>
      <c r="L4" s="1"/>
      <c r="M4" s="89"/>
      <c r="N4" s="1"/>
      <c r="O4" s="90"/>
    </row>
    <row r="5" spans="1:20" ht="18.75">
      <c r="A5" s="431" t="s">
        <v>443</v>
      </c>
      <c r="B5" s="424"/>
      <c r="C5" s="165"/>
      <c r="D5" s="166"/>
      <c r="E5" s="165"/>
      <c r="F5" s="166"/>
      <c r="G5" s="197"/>
      <c r="H5" s="1"/>
      <c r="I5" s="89"/>
      <c r="J5" s="1"/>
      <c r="K5" s="90"/>
      <c r="L5" s="1"/>
      <c r="M5" s="89"/>
      <c r="N5" s="1"/>
      <c r="O5" s="90"/>
    </row>
    <row r="6" spans="1:20">
      <c r="A6" s="160"/>
      <c r="B6" s="425"/>
      <c r="C6" s="4"/>
    </row>
    <row r="7" spans="1:20" ht="32.25" customHeight="1">
      <c r="A7" s="160"/>
      <c r="B7" s="425"/>
      <c r="C7" s="6"/>
      <c r="F7" s="198"/>
      <c r="G7" s="170"/>
      <c r="J7" s="93"/>
      <c r="K7" s="94"/>
      <c r="N7" s="93"/>
      <c r="O7" s="94"/>
    </row>
    <row r="8" spans="1:20">
      <c r="A8" s="160"/>
      <c r="B8" s="425"/>
      <c r="C8" s="7"/>
      <c r="E8" s="428" t="s">
        <v>445</v>
      </c>
      <c r="F8" s="428"/>
      <c r="G8" s="169"/>
      <c r="I8" s="96" t="s">
        <v>293</v>
      </c>
      <c r="J8" s="95"/>
      <c r="K8" s="97"/>
      <c r="M8" s="96" t="s">
        <v>291</v>
      </c>
      <c r="N8" s="95"/>
      <c r="O8" s="97"/>
    </row>
    <row r="9" spans="1:20">
      <c r="A9" s="160"/>
      <c r="B9" s="425"/>
      <c r="C9" s="9" t="s">
        <v>1</v>
      </c>
      <c r="E9" s="170" t="s">
        <v>311</v>
      </c>
      <c r="F9" s="198"/>
      <c r="G9" s="170" t="s">
        <v>2</v>
      </c>
      <c r="I9" s="98"/>
      <c r="J9" s="93"/>
      <c r="K9" s="170" t="s">
        <v>2</v>
      </c>
      <c r="M9" s="98"/>
      <c r="N9" s="93"/>
      <c r="O9" s="170" t="s">
        <v>2</v>
      </c>
    </row>
    <row r="10" spans="1:20">
      <c r="A10" s="160"/>
      <c r="B10" s="425"/>
      <c r="C10" s="10" t="s">
        <v>3</v>
      </c>
      <c r="E10" s="432" t="s">
        <v>4</v>
      </c>
      <c r="F10" s="198"/>
      <c r="G10" s="171" t="s">
        <v>5</v>
      </c>
      <c r="I10" s="99" t="s">
        <v>4</v>
      </c>
      <c r="J10" s="93"/>
      <c r="K10" s="171" t="s">
        <v>5</v>
      </c>
      <c r="M10" s="99" t="s">
        <v>4</v>
      </c>
      <c r="N10" s="93"/>
      <c r="O10" s="171" t="s">
        <v>5</v>
      </c>
    </row>
    <row r="11" spans="1:20">
      <c r="A11" s="429" t="s">
        <v>6</v>
      </c>
      <c r="B11" s="425"/>
      <c r="C11" s="433"/>
      <c r="K11" s="168"/>
      <c r="O11" s="168"/>
    </row>
    <row r="12" spans="1:20">
      <c r="A12" s="430" t="s">
        <v>296</v>
      </c>
      <c r="B12" s="425"/>
      <c r="C12" s="13">
        <v>8511800.0101599023</v>
      </c>
      <c r="E12" s="14"/>
      <c r="F12" s="100"/>
      <c r="G12" s="15"/>
      <c r="I12" s="31"/>
      <c r="J12" s="100"/>
      <c r="K12" s="15"/>
      <c r="M12" s="31"/>
      <c r="N12" s="100"/>
      <c r="O12" s="15"/>
      <c r="Q12" s="140" t="s">
        <v>288</v>
      </c>
      <c r="R12" s="141">
        <v>4</v>
      </c>
      <c r="S12" s="12"/>
      <c r="T12" s="12"/>
    </row>
    <row r="13" spans="1:20">
      <c r="A13" s="430" t="s">
        <v>8</v>
      </c>
      <c r="B13" s="425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I13" s="31"/>
      <c r="J13" s="100"/>
      <c r="K13" s="15"/>
      <c r="M13" s="31"/>
      <c r="N13" s="100"/>
      <c r="O13" s="15"/>
      <c r="Q13" s="8"/>
      <c r="R13" s="2"/>
      <c r="S13" s="12" t="s">
        <v>292</v>
      </c>
      <c r="T13" s="12" t="s">
        <v>292</v>
      </c>
    </row>
    <row r="14" spans="1:20">
      <c r="A14" s="430" t="s">
        <v>9</v>
      </c>
      <c r="B14" s="425"/>
      <c r="C14" s="16">
        <v>14094</v>
      </c>
      <c r="E14" s="14">
        <v>12</v>
      </c>
      <c r="F14" s="100"/>
      <c r="G14" s="15">
        <f t="shared" si="0"/>
        <v>169128</v>
      </c>
      <c r="I14" s="31"/>
      <c r="J14" s="100"/>
      <c r="K14" s="15"/>
      <c r="M14" s="31"/>
      <c r="N14" s="100"/>
      <c r="O14" s="15"/>
      <c r="S14" s="139"/>
      <c r="T14" s="139"/>
    </row>
    <row r="15" spans="1:20">
      <c r="A15" s="430" t="s">
        <v>448</v>
      </c>
      <c r="B15" s="425"/>
      <c r="C15" s="16">
        <v>23932</v>
      </c>
      <c r="E15" s="14"/>
      <c r="F15" s="100"/>
      <c r="G15" s="15"/>
      <c r="I15" s="31"/>
      <c r="J15" s="100"/>
      <c r="K15" s="15"/>
      <c r="M15" s="31"/>
      <c r="N15" s="100"/>
      <c r="O15" s="15"/>
      <c r="Q15" s="69" t="s">
        <v>12</v>
      </c>
      <c r="R15" s="77"/>
      <c r="S15" s="139"/>
      <c r="T15" s="139"/>
    </row>
    <row r="16" spans="1:20">
      <c r="A16" s="430" t="s">
        <v>10</v>
      </c>
      <c r="B16" s="425"/>
      <c r="C16" s="13">
        <v>1274636742</v>
      </c>
      <c r="E16" s="101">
        <v>8.8498000000000001</v>
      </c>
      <c r="F16" s="102" t="s">
        <v>11</v>
      </c>
      <c r="G16" s="15">
        <f>ROUND(E16*$C16/100,0)</f>
        <v>112802802</v>
      </c>
      <c r="I16" s="103">
        <v>2.1499999999999998E-2</v>
      </c>
      <c r="J16" s="102"/>
      <c r="K16" s="15">
        <f>$G16*I16</f>
        <v>2425260.2429999998</v>
      </c>
      <c r="M16" s="103">
        <f>$R$20</f>
        <v>1.4800000000000001E-2</v>
      </c>
      <c r="N16" s="102"/>
      <c r="O16" s="15">
        <f>$G16*M16</f>
        <v>1669481.4696000002</v>
      </c>
      <c r="Q16" s="71" t="s">
        <v>14</v>
      </c>
      <c r="R16" s="18">
        <f>O29+O49+O71</f>
        <v>9342455.7775999997</v>
      </c>
      <c r="S16" s="138">
        <f>G16*I16-K16</f>
        <v>0</v>
      </c>
      <c r="T16" s="139">
        <f>G16*M16-O16</f>
        <v>0</v>
      </c>
    </row>
    <row r="17" spans="1:20">
      <c r="A17" s="430" t="s">
        <v>13</v>
      </c>
      <c r="B17" s="425"/>
      <c r="C17" s="13">
        <v>1040456011</v>
      </c>
      <c r="E17" s="101">
        <v>11.542899999999999</v>
      </c>
      <c r="F17" s="102" t="s">
        <v>11</v>
      </c>
      <c r="G17" s="15">
        <f>ROUND(E17*$C17/100,0)</f>
        <v>120098797</v>
      </c>
      <c r="I17" s="103">
        <v>2.1499999999999998E-2</v>
      </c>
      <c r="J17" s="102"/>
      <c r="K17" s="15">
        <f t="shared" ref="K17:K18" si="1">$G17*I17</f>
        <v>2582124.1354999999</v>
      </c>
      <c r="M17" s="103">
        <f t="shared" ref="M17:M18" si="2">$R$20</f>
        <v>1.4800000000000001E-2</v>
      </c>
      <c r="N17" s="102"/>
      <c r="O17" s="15">
        <f t="shared" ref="O17:O18" si="3">$G17*M17</f>
        <v>1777462.1956</v>
      </c>
      <c r="Q17" s="71" t="s">
        <v>16</v>
      </c>
      <c r="R17" s="18">
        <f>'Exhibit-RMP(JRS-1) page 2'!M18*1000</f>
        <v>9372653.2640705835</v>
      </c>
      <c r="S17" s="138">
        <f t="shared" ref="S17:S20" si="4">G17*I17-K17</f>
        <v>0</v>
      </c>
      <c r="T17" s="139">
        <f t="shared" ref="T17:T20" si="5">G17*M17-O17</f>
        <v>0</v>
      </c>
    </row>
    <row r="18" spans="1:20">
      <c r="A18" s="430" t="s">
        <v>15</v>
      </c>
      <c r="B18" s="425"/>
      <c r="C18" s="13">
        <v>358873906</v>
      </c>
      <c r="E18" s="101">
        <v>14.450799999999999</v>
      </c>
      <c r="F18" s="102" t="s">
        <v>11</v>
      </c>
      <c r="G18" s="15">
        <f>ROUND(E18*$C18/100,0)</f>
        <v>51860150</v>
      </c>
      <c r="I18" s="103">
        <v>2.1499999999999998E-2</v>
      </c>
      <c r="J18" s="102"/>
      <c r="K18" s="15">
        <f t="shared" si="1"/>
        <v>1114993.2249999999</v>
      </c>
      <c r="M18" s="103">
        <f t="shared" si="2"/>
        <v>1.4800000000000001E-2</v>
      </c>
      <c r="N18" s="102"/>
      <c r="O18" s="15">
        <f t="shared" si="3"/>
        <v>767530.22000000009</v>
      </c>
      <c r="Q18" s="72" t="s">
        <v>18</v>
      </c>
      <c r="R18" s="19">
        <f>R17-R16</f>
        <v>30197.486470583826</v>
      </c>
      <c r="S18" s="138">
        <f t="shared" si="4"/>
        <v>0</v>
      </c>
      <c r="T18" s="139">
        <f t="shared" si="5"/>
        <v>0</v>
      </c>
    </row>
    <row r="19" spans="1:20">
      <c r="A19" s="430" t="s">
        <v>17</v>
      </c>
      <c r="B19" s="425"/>
      <c r="C19" s="13"/>
      <c r="E19" s="104"/>
      <c r="F19" s="102"/>
      <c r="G19" s="15"/>
      <c r="J19" s="102"/>
      <c r="K19" s="15"/>
      <c r="N19" s="102"/>
      <c r="O19" s="15"/>
      <c r="Q19" s="73"/>
      <c r="R19" s="74"/>
      <c r="S19" s="138"/>
      <c r="T19" s="139"/>
    </row>
    <row r="20" spans="1:20">
      <c r="A20" s="434" t="s">
        <v>297</v>
      </c>
      <c r="B20" s="435"/>
      <c r="C20" s="13">
        <v>1613094234</v>
      </c>
      <c r="D20" s="172"/>
      <c r="E20" s="104">
        <v>8.8498000000000001</v>
      </c>
      <c r="F20" s="102" t="s">
        <v>11</v>
      </c>
      <c r="G20" s="200">
        <f t="shared" ref="G20:G21" si="6">ROUND(E20*$C20/100,0)</f>
        <v>142755614</v>
      </c>
      <c r="I20" s="103">
        <v>2.1499999999999998E-2</v>
      </c>
      <c r="J20" s="102"/>
      <c r="K20" s="200">
        <f t="shared" ref="K20:K21" si="7">$G20*I20</f>
        <v>3069245.7009999999</v>
      </c>
      <c r="M20" s="103">
        <f t="shared" ref="M20:M21" si="8">$R$20</f>
        <v>1.4800000000000001E-2</v>
      </c>
      <c r="N20" s="102"/>
      <c r="O20" s="200">
        <f t="shared" ref="O20:O21" si="9">$G20*M20</f>
        <v>2112783.0872</v>
      </c>
      <c r="Q20" s="75" t="s">
        <v>21</v>
      </c>
      <c r="R20" s="76">
        <f>ROUND(R17/SUM(G16:G21,G36:G41,G58:G63),$R$12)</f>
        <v>1.4800000000000001E-2</v>
      </c>
      <c r="S20" s="138">
        <f t="shared" si="4"/>
        <v>0</v>
      </c>
      <c r="T20" s="139">
        <f t="shared" si="5"/>
        <v>0</v>
      </c>
    </row>
    <row r="21" spans="1:20">
      <c r="A21" s="434" t="s">
        <v>298</v>
      </c>
      <c r="B21" s="435"/>
      <c r="C21" s="13">
        <v>1704644903</v>
      </c>
      <c r="D21" s="172"/>
      <c r="E21" s="104">
        <v>10.7072</v>
      </c>
      <c r="F21" s="102" t="s">
        <v>11</v>
      </c>
      <c r="G21" s="200">
        <f t="shared" si="6"/>
        <v>182519739</v>
      </c>
      <c r="I21" s="103">
        <v>2.1499999999999998E-2</v>
      </c>
      <c r="J21" s="102"/>
      <c r="K21" s="200">
        <f t="shared" si="7"/>
        <v>3924174.3884999999</v>
      </c>
      <c r="M21" s="103">
        <f t="shared" si="8"/>
        <v>1.4800000000000001E-2</v>
      </c>
      <c r="N21" s="102"/>
      <c r="O21" s="200">
        <f t="shared" si="9"/>
        <v>2701292.1372000002</v>
      </c>
    </row>
    <row r="22" spans="1:20">
      <c r="A22" s="430" t="s">
        <v>19</v>
      </c>
      <c r="B22" s="425"/>
      <c r="C22" s="16">
        <v>98763</v>
      </c>
      <c r="E22" s="14">
        <v>8</v>
      </c>
      <c r="F22" s="100"/>
      <c r="G22" s="15">
        <f>ROUND(E22*$C22,0)</f>
        <v>790104</v>
      </c>
      <c r="I22" s="106"/>
      <c r="J22" s="20"/>
      <c r="K22" s="15"/>
      <c r="M22" s="106"/>
      <c r="N22" s="20"/>
      <c r="O22" s="15"/>
    </row>
    <row r="23" spans="1:20">
      <c r="A23" s="430" t="s">
        <v>20</v>
      </c>
      <c r="B23" s="425"/>
      <c r="C23" s="13">
        <v>166.01015990227461</v>
      </c>
      <c r="E23" s="14">
        <v>16</v>
      </c>
      <c r="F23" s="20"/>
      <c r="G23" s="15">
        <f>ROUND(E23*$C23,0)</f>
        <v>2656</v>
      </c>
      <c r="I23" s="31"/>
      <c r="J23" s="102"/>
      <c r="K23" s="15"/>
      <c r="M23" s="31"/>
      <c r="N23" s="102"/>
      <c r="O23" s="15"/>
    </row>
    <row r="24" spans="1:20">
      <c r="A24" s="430" t="s">
        <v>22</v>
      </c>
      <c r="B24" s="425"/>
      <c r="C24" s="13">
        <v>0</v>
      </c>
      <c r="E24" s="14">
        <v>96</v>
      </c>
      <c r="F24" s="20"/>
      <c r="G24" s="21">
        <f>ROUND(E24*$C24,0)</f>
        <v>0</v>
      </c>
      <c r="I24" s="31"/>
      <c r="J24" s="102"/>
      <c r="K24" s="21"/>
      <c r="M24" s="31"/>
      <c r="N24" s="102"/>
      <c r="O24" s="21"/>
    </row>
    <row r="25" spans="1:20">
      <c r="A25" s="436" t="s">
        <v>23</v>
      </c>
      <c r="B25" s="425"/>
      <c r="C25" s="16">
        <v>501472</v>
      </c>
      <c r="E25" s="104"/>
      <c r="F25" s="102"/>
      <c r="G25" s="21"/>
      <c r="I25" s="31"/>
      <c r="J25" s="102"/>
      <c r="K25" s="21"/>
      <c r="M25" s="31"/>
      <c r="N25" s="102"/>
      <c r="O25" s="21"/>
    </row>
    <row r="26" spans="1:20">
      <c r="A26" s="436" t="s">
        <v>299</v>
      </c>
      <c r="B26" s="426"/>
      <c r="C26" s="13">
        <v>223485</v>
      </c>
      <c r="E26" s="104"/>
      <c r="F26" s="102"/>
      <c r="G26" s="15"/>
      <c r="I26" s="31"/>
      <c r="J26" s="102"/>
      <c r="K26" s="15"/>
      <c r="M26" s="31"/>
      <c r="N26" s="102"/>
      <c r="O26" s="15"/>
    </row>
    <row r="27" spans="1:20">
      <c r="A27" s="436" t="s">
        <v>300</v>
      </c>
      <c r="B27" s="426"/>
      <c r="C27" s="13">
        <v>277987</v>
      </c>
      <c r="E27" s="104"/>
      <c r="F27" s="102"/>
      <c r="G27" s="15"/>
      <c r="I27" s="31"/>
      <c r="J27" s="102"/>
      <c r="K27" s="15"/>
      <c r="M27" s="31"/>
      <c r="N27" s="102"/>
      <c r="O27" s="15"/>
    </row>
    <row r="28" spans="1:20">
      <c r="A28" s="430" t="s">
        <v>24</v>
      </c>
      <c r="B28" s="425"/>
      <c r="C28" s="23">
        <v>0</v>
      </c>
      <c r="G28" s="24">
        <v>0</v>
      </c>
      <c r="K28" s="24"/>
      <c r="O28" s="24"/>
    </row>
    <row r="29" spans="1:20" s="161" customFormat="1" ht="16.5" thickBot="1">
      <c r="A29" s="430" t="s">
        <v>25</v>
      </c>
      <c r="B29" s="425"/>
      <c r="C29" s="25">
        <v>5992207268.7140274</v>
      </c>
      <c r="D29" s="167"/>
      <c r="E29" s="173"/>
      <c r="F29" s="167"/>
      <c r="G29" s="26">
        <f>SUM(G13:G28)</f>
        <v>661391652</v>
      </c>
      <c r="H29" s="5"/>
      <c r="I29" s="107"/>
      <c r="J29" s="5"/>
      <c r="K29" s="26">
        <f>SUM(K13:K28)</f>
        <v>13115797.692999998</v>
      </c>
      <c r="L29" s="5"/>
      <c r="M29" s="107"/>
      <c r="N29" s="5"/>
      <c r="O29" s="26">
        <f>SUM(O13:O28)</f>
        <v>9028549.1096000001</v>
      </c>
    </row>
    <row r="30" spans="1:20" ht="16.5" thickTop="1">
      <c r="A30" s="160"/>
      <c r="B30" s="425"/>
      <c r="C30" s="27"/>
      <c r="G30" s="92"/>
      <c r="I30" s="108"/>
      <c r="J30" s="109"/>
      <c r="M30" s="108"/>
      <c r="N30" s="109"/>
    </row>
    <row r="31" spans="1:20">
      <c r="A31" s="429" t="s">
        <v>446</v>
      </c>
      <c r="B31" s="425"/>
      <c r="C31" s="4"/>
      <c r="G31" s="92"/>
    </row>
    <row r="32" spans="1:20">
      <c r="A32" s="430" t="s">
        <v>296</v>
      </c>
      <c r="B32" s="425"/>
      <c r="C32" s="16">
        <v>370465</v>
      </c>
      <c r="E32" s="14"/>
      <c r="F32" s="100"/>
      <c r="G32" s="15"/>
      <c r="K32" s="15"/>
      <c r="O32" s="15"/>
    </row>
    <row r="33" spans="1:20">
      <c r="A33" s="430" t="s">
        <v>8</v>
      </c>
      <c r="B33" s="425"/>
      <c r="C33" s="16">
        <v>369457</v>
      </c>
      <c r="E33" s="14">
        <v>6</v>
      </c>
      <c r="F33" s="100"/>
      <c r="G33" s="15">
        <f t="shared" ref="G33:G34" si="10">ROUND(E33*$C33,0)</f>
        <v>2216742</v>
      </c>
      <c r="I33" s="31"/>
      <c r="J33" s="100"/>
      <c r="K33" s="15"/>
      <c r="M33" s="31"/>
      <c r="N33" s="100"/>
      <c r="O33" s="15"/>
    </row>
    <row r="34" spans="1:20">
      <c r="A34" s="430" t="s">
        <v>9</v>
      </c>
      <c r="B34" s="425"/>
      <c r="C34" s="16">
        <v>257</v>
      </c>
      <c r="E34" s="14">
        <v>12</v>
      </c>
      <c r="F34" s="100"/>
      <c r="G34" s="15">
        <f t="shared" si="10"/>
        <v>3084</v>
      </c>
      <c r="I34" s="31"/>
      <c r="J34" s="100"/>
      <c r="K34" s="15"/>
      <c r="M34" s="31"/>
      <c r="N34" s="100"/>
      <c r="O34" s="15"/>
    </row>
    <row r="35" spans="1:20">
      <c r="A35" s="430" t="s">
        <v>448</v>
      </c>
      <c r="B35" s="425"/>
      <c r="C35" s="16">
        <v>0</v>
      </c>
      <c r="E35" s="14"/>
      <c r="F35" s="100"/>
      <c r="G35" s="15"/>
      <c r="I35" s="31"/>
      <c r="J35" s="100"/>
      <c r="K35" s="15"/>
      <c r="M35" s="31"/>
      <c r="N35" s="100"/>
      <c r="O35" s="15"/>
    </row>
    <row r="36" spans="1:20">
      <c r="A36" s="430" t="s">
        <v>10</v>
      </c>
      <c r="B36" s="425"/>
      <c r="C36" s="13">
        <v>47435117</v>
      </c>
      <c r="E36" s="104">
        <v>8.8498000000000001</v>
      </c>
      <c r="F36" s="102" t="s">
        <v>11</v>
      </c>
      <c r="G36" s="15">
        <f>ROUND(E36*$C36/100,0)</f>
        <v>4197913</v>
      </c>
      <c r="I36" s="103">
        <v>2.1499999999999998E-2</v>
      </c>
      <c r="J36" s="102"/>
      <c r="K36" s="15">
        <f t="shared" ref="K36:K38" si="11">$G36*I36</f>
        <v>90255.129499999995</v>
      </c>
      <c r="M36" s="103">
        <f t="shared" ref="M36:M38" si="12">$R$20</f>
        <v>1.4800000000000001E-2</v>
      </c>
      <c r="N36" s="102"/>
      <c r="O36" s="15">
        <f t="shared" ref="O36:O38" si="13">$G36*M36</f>
        <v>62129.112400000005</v>
      </c>
      <c r="S36" s="138">
        <f t="shared" ref="S36:S41" si="14">G36*I36-K36</f>
        <v>0</v>
      </c>
      <c r="T36" s="139">
        <f t="shared" ref="T36:T41" si="15">G36*M36-O36</f>
        <v>0</v>
      </c>
    </row>
    <row r="37" spans="1:20">
      <c r="A37" s="430" t="s">
        <v>13</v>
      </c>
      <c r="B37" s="425"/>
      <c r="C37" s="13">
        <v>31907309</v>
      </c>
      <c r="E37" s="104">
        <v>11.542899999999999</v>
      </c>
      <c r="F37" s="102" t="s">
        <v>11</v>
      </c>
      <c r="G37" s="15">
        <f>ROUND(E37*$C37/100,0)</f>
        <v>3683029</v>
      </c>
      <c r="I37" s="103">
        <v>2.1499999999999998E-2</v>
      </c>
      <c r="J37" s="102"/>
      <c r="K37" s="15">
        <f t="shared" si="11"/>
        <v>79185.123499999987</v>
      </c>
      <c r="M37" s="103">
        <f t="shared" si="12"/>
        <v>1.4800000000000001E-2</v>
      </c>
      <c r="N37" s="102"/>
      <c r="O37" s="15">
        <f t="shared" si="13"/>
        <v>54508.8292</v>
      </c>
      <c r="S37" s="138">
        <f t="shared" si="14"/>
        <v>0</v>
      </c>
      <c r="T37" s="139">
        <f t="shared" si="15"/>
        <v>0</v>
      </c>
    </row>
    <row r="38" spans="1:20">
      <c r="A38" s="430" t="s">
        <v>15</v>
      </c>
      <c r="B38" s="425"/>
      <c r="C38" s="13">
        <v>10205740</v>
      </c>
      <c r="E38" s="104">
        <v>14.450799999999999</v>
      </c>
      <c r="F38" s="102" t="s">
        <v>11</v>
      </c>
      <c r="G38" s="15">
        <f>ROUND(E38*$C38/100,0)</f>
        <v>1474811</v>
      </c>
      <c r="I38" s="103">
        <v>2.1499999999999998E-2</v>
      </c>
      <c r="J38" s="102"/>
      <c r="K38" s="15">
        <f t="shared" si="11"/>
        <v>31708.436499999996</v>
      </c>
      <c r="M38" s="103">
        <f t="shared" si="12"/>
        <v>1.4800000000000001E-2</v>
      </c>
      <c r="N38" s="102"/>
      <c r="O38" s="15">
        <f t="shared" si="13"/>
        <v>21827.202800000003</v>
      </c>
      <c r="S38" s="138">
        <f t="shared" si="14"/>
        <v>0</v>
      </c>
      <c r="T38" s="139">
        <f t="shared" si="15"/>
        <v>0</v>
      </c>
    </row>
    <row r="39" spans="1:20">
      <c r="A39" s="430" t="s">
        <v>17</v>
      </c>
      <c r="B39" s="425"/>
      <c r="C39" s="13"/>
      <c r="E39" s="104"/>
      <c r="F39" s="102"/>
      <c r="G39" s="15"/>
      <c r="J39" s="102"/>
      <c r="K39" s="15"/>
      <c r="N39" s="102"/>
      <c r="O39" s="15"/>
      <c r="S39" s="138"/>
      <c r="T39" s="139"/>
    </row>
    <row r="40" spans="1:20" s="162" customFormat="1">
      <c r="A40" s="434" t="s">
        <v>297</v>
      </c>
      <c r="B40" s="435"/>
      <c r="C40" s="13">
        <v>64598419</v>
      </c>
      <c r="D40" s="172"/>
      <c r="E40" s="104">
        <v>8.8498000000000001</v>
      </c>
      <c r="F40" s="102" t="s">
        <v>11</v>
      </c>
      <c r="G40" s="200">
        <f t="shared" ref="G40:G41" si="16">ROUND(E40*$C40/100,0)</f>
        <v>5716831</v>
      </c>
      <c r="H40" s="5"/>
      <c r="I40" s="103">
        <v>2.1499999999999998E-2</v>
      </c>
      <c r="J40" s="102"/>
      <c r="K40" s="200">
        <f t="shared" ref="K40:K41" si="17">$G40*I40</f>
        <v>122911.86649999999</v>
      </c>
      <c r="L40" s="5"/>
      <c r="M40" s="103">
        <f t="shared" ref="M40:M41" si="18">$R$20</f>
        <v>1.4800000000000001E-2</v>
      </c>
      <c r="N40" s="102"/>
      <c r="O40" s="200">
        <f t="shared" ref="O40:O41" si="19">$G40*M40</f>
        <v>84609.098800000007</v>
      </c>
      <c r="S40" s="138">
        <f t="shared" si="14"/>
        <v>0</v>
      </c>
      <c r="T40" s="139">
        <f t="shared" si="15"/>
        <v>0</v>
      </c>
    </row>
    <row r="41" spans="1:20" s="162" customFormat="1">
      <c r="A41" s="434" t="s">
        <v>298</v>
      </c>
      <c r="B41" s="435"/>
      <c r="C41" s="13">
        <v>54308077</v>
      </c>
      <c r="D41" s="172"/>
      <c r="E41" s="104">
        <v>10.7072</v>
      </c>
      <c r="F41" s="102" t="s">
        <v>11</v>
      </c>
      <c r="G41" s="200">
        <f t="shared" si="16"/>
        <v>5814874</v>
      </c>
      <c r="H41" s="5"/>
      <c r="I41" s="103">
        <v>2.1499999999999998E-2</v>
      </c>
      <c r="J41" s="102"/>
      <c r="K41" s="200">
        <f t="shared" si="17"/>
        <v>125019.79099999998</v>
      </c>
      <c r="L41" s="5"/>
      <c r="M41" s="103">
        <f t="shared" si="18"/>
        <v>1.4800000000000001E-2</v>
      </c>
      <c r="N41" s="102"/>
      <c r="O41" s="200">
        <f t="shared" si="19"/>
        <v>86060.135200000004</v>
      </c>
      <c r="S41" s="138">
        <f t="shared" si="14"/>
        <v>0</v>
      </c>
      <c r="T41" s="139">
        <f t="shared" si="15"/>
        <v>0</v>
      </c>
    </row>
    <row r="42" spans="1:20">
      <c r="A42" s="430" t="s">
        <v>19</v>
      </c>
      <c r="B42" s="425"/>
      <c r="C42" s="16">
        <v>751</v>
      </c>
      <c r="E42" s="14">
        <v>8</v>
      </c>
      <c r="F42" s="100"/>
      <c r="G42" s="15">
        <f>ROUND(E42*$C42,0)</f>
        <v>6008</v>
      </c>
      <c r="I42" s="31"/>
      <c r="J42" s="100"/>
      <c r="K42" s="15"/>
      <c r="M42" s="31"/>
      <c r="N42" s="100"/>
      <c r="O42" s="15"/>
    </row>
    <row r="43" spans="1:20">
      <c r="A43" s="430" t="s">
        <v>20</v>
      </c>
      <c r="B43" s="425"/>
      <c r="C43" s="16">
        <v>0</v>
      </c>
      <c r="E43" s="14">
        <v>16</v>
      </c>
      <c r="F43" s="100"/>
      <c r="G43" s="15">
        <f>ROUND(E43*$C43,0)</f>
        <v>0</v>
      </c>
      <c r="I43" s="31"/>
      <c r="J43" s="100"/>
      <c r="K43" s="15"/>
      <c r="M43" s="31"/>
      <c r="N43" s="100"/>
      <c r="O43" s="15"/>
    </row>
    <row r="44" spans="1:20">
      <c r="A44" s="430" t="s">
        <v>22</v>
      </c>
      <c r="B44" s="425"/>
      <c r="C44" s="16">
        <v>0</v>
      </c>
      <c r="E44" s="14">
        <v>96</v>
      </c>
      <c r="F44" s="100"/>
      <c r="G44" s="21">
        <f>ROUND(E44*$C44,0)</f>
        <v>0</v>
      </c>
      <c r="I44" s="111"/>
      <c r="J44" s="102"/>
      <c r="K44" s="21"/>
      <c r="M44" s="111"/>
      <c r="N44" s="102"/>
      <c r="O44" s="21"/>
    </row>
    <row r="45" spans="1:20">
      <c r="A45" s="436" t="s">
        <v>23</v>
      </c>
      <c r="B45" s="426"/>
      <c r="C45" s="16">
        <v>4249</v>
      </c>
      <c r="E45" s="110"/>
      <c r="F45" s="102"/>
      <c r="G45" s="21"/>
      <c r="I45" s="111"/>
      <c r="J45" s="102"/>
      <c r="K45" s="21"/>
      <c r="M45" s="111"/>
      <c r="N45" s="102"/>
      <c r="O45" s="21"/>
    </row>
    <row r="46" spans="1:20" s="161" customFormat="1">
      <c r="A46" s="436" t="s">
        <v>299</v>
      </c>
      <c r="B46" s="426"/>
      <c r="C46" s="13">
        <v>2043</v>
      </c>
      <c r="D46" s="167"/>
      <c r="E46" s="110"/>
      <c r="F46" s="102"/>
      <c r="G46" s="15"/>
      <c r="H46" s="5"/>
      <c r="I46" s="111"/>
      <c r="J46" s="102"/>
      <c r="K46" s="15"/>
      <c r="L46" s="5"/>
      <c r="M46" s="111"/>
      <c r="N46" s="102"/>
      <c r="O46" s="15"/>
    </row>
    <row r="47" spans="1:20" s="161" customFormat="1">
      <c r="A47" s="436" t="s">
        <v>300</v>
      </c>
      <c r="B47" s="425"/>
      <c r="C47" s="13">
        <v>2206</v>
      </c>
      <c r="D47" s="167"/>
      <c r="E47" s="110"/>
      <c r="F47" s="102"/>
      <c r="G47" s="15"/>
      <c r="H47" s="5"/>
      <c r="I47" s="111"/>
      <c r="J47" s="102"/>
      <c r="K47" s="15"/>
      <c r="L47" s="5"/>
      <c r="M47" s="111"/>
      <c r="N47" s="102"/>
      <c r="O47" s="15"/>
    </row>
    <row r="48" spans="1:20">
      <c r="A48" s="430" t="s">
        <v>24</v>
      </c>
      <c r="B48" s="425"/>
      <c r="C48" s="23">
        <v>0</v>
      </c>
      <c r="G48" s="24">
        <v>0</v>
      </c>
      <c r="I48" s="111"/>
      <c r="J48" s="102"/>
      <c r="K48" s="24"/>
      <c r="M48" s="111"/>
      <c r="N48" s="102"/>
      <c r="O48" s="24"/>
    </row>
    <row r="49" spans="1:20" ht="16.5" thickBot="1">
      <c r="A49" s="430" t="s">
        <v>25</v>
      </c>
      <c r="B49" s="425"/>
      <c r="C49" s="25">
        <v>208458910.71085531</v>
      </c>
      <c r="E49" s="173"/>
      <c r="G49" s="26">
        <f>SUM(G33:G48)</f>
        <v>23113292</v>
      </c>
      <c r="I49" s="107"/>
      <c r="K49" s="26">
        <f>SUM(K33:K48)</f>
        <v>449080.34699999995</v>
      </c>
      <c r="M49" s="107"/>
      <c r="O49" s="26">
        <f>SUM(O33:O48)</f>
        <v>309134.37840000005</v>
      </c>
    </row>
    <row r="50" spans="1:20" ht="16.5" thickTop="1">
      <c r="A50" s="160"/>
      <c r="B50" s="425"/>
      <c r="C50" s="4"/>
      <c r="G50" s="92"/>
      <c r="I50" s="108"/>
      <c r="J50" s="109"/>
      <c r="M50" s="108"/>
      <c r="N50" s="109"/>
    </row>
    <row r="51" spans="1:20">
      <c r="A51" s="429" t="s">
        <v>447</v>
      </c>
      <c r="B51" s="425"/>
      <c r="C51" s="4"/>
      <c r="G51" s="92"/>
    </row>
    <row r="52" spans="1:20">
      <c r="A52" s="430" t="s">
        <v>296</v>
      </c>
      <c r="B52" s="425"/>
      <c r="C52" s="16">
        <v>5364</v>
      </c>
      <c r="E52" s="14"/>
      <c r="F52" s="100"/>
      <c r="G52" s="15"/>
      <c r="K52" s="15"/>
      <c r="O52" s="15"/>
    </row>
    <row r="53" spans="1:20">
      <c r="A53" s="430" t="s">
        <v>8</v>
      </c>
      <c r="B53" s="425"/>
      <c r="C53" s="16">
        <v>5243</v>
      </c>
      <c r="E53" s="14">
        <v>6</v>
      </c>
      <c r="F53" s="100"/>
      <c r="G53" s="15">
        <f t="shared" ref="G53:G54" si="20">ROUND(E53*$C53,0)</f>
        <v>31458</v>
      </c>
      <c r="K53" s="15"/>
      <c r="O53" s="15"/>
    </row>
    <row r="54" spans="1:20">
      <c r="A54" s="430" t="s">
        <v>9</v>
      </c>
      <c r="B54" s="425"/>
      <c r="C54" s="16">
        <v>0</v>
      </c>
      <c r="E54" s="14">
        <v>12</v>
      </c>
      <c r="F54" s="100"/>
      <c r="G54" s="15">
        <f t="shared" si="20"/>
        <v>0</v>
      </c>
      <c r="I54" s="31"/>
      <c r="J54" s="100"/>
      <c r="K54" s="15"/>
      <c r="M54" s="31"/>
      <c r="N54" s="100"/>
      <c r="O54" s="15"/>
    </row>
    <row r="55" spans="1:20">
      <c r="A55" s="430" t="s">
        <v>448</v>
      </c>
      <c r="B55" s="425"/>
      <c r="C55" s="16">
        <v>1185</v>
      </c>
      <c r="E55" s="14"/>
      <c r="F55" s="100"/>
      <c r="G55" s="15"/>
      <c r="I55" s="31"/>
      <c r="J55" s="100"/>
      <c r="K55" s="15"/>
      <c r="M55" s="31"/>
      <c r="N55" s="100"/>
      <c r="O55" s="15"/>
    </row>
    <row r="56" spans="1:20">
      <c r="A56" s="430" t="s">
        <v>27</v>
      </c>
      <c r="B56" s="425"/>
      <c r="C56" s="16">
        <v>280149</v>
      </c>
      <c r="E56" s="112">
        <v>4.3559999999999999</v>
      </c>
      <c r="F56" s="102" t="s">
        <v>11</v>
      </c>
      <c r="G56" s="15">
        <f t="shared" ref="G56:G60" si="21">ROUND(E56*$C56/100,0)</f>
        <v>12203</v>
      </c>
      <c r="I56" s="31"/>
      <c r="J56" s="100"/>
      <c r="K56" s="15"/>
      <c r="M56" s="31"/>
      <c r="N56" s="100"/>
      <c r="O56" s="15"/>
    </row>
    <row r="57" spans="1:20">
      <c r="A57" s="430" t="s">
        <v>28</v>
      </c>
      <c r="B57" s="425"/>
      <c r="C57" s="16">
        <v>954590</v>
      </c>
      <c r="E57" s="112">
        <v>-1.6334</v>
      </c>
      <c r="F57" s="102" t="s">
        <v>11</v>
      </c>
      <c r="G57" s="15">
        <f t="shared" si="21"/>
        <v>-15592</v>
      </c>
      <c r="I57" s="31"/>
      <c r="J57" s="100"/>
      <c r="K57" s="15"/>
      <c r="M57" s="31"/>
      <c r="N57" s="100"/>
      <c r="O57" s="15"/>
    </row>
    <row r="58" spans="1:20">
      <c r="A58" s="430" t="s">
        <v>10</v>
      </c>
      <c r="B58" s="425"/>
      <c r="C58" s="16">
        <v>675062</v>
      </c>
      <c r="E58" s="104">
        <v>8.8498000000000001</v>
      </c>
      <c r="F58" s="102" t="s">
        <v>11</v>
      </c>
      <c r="G58" s="15">
        <f t="shared" si="21"/>
        <v>59742</v>
      </c>
      <c r="I58" s="103">
        <v>2.1499999999999998E-2</v>
      </c>
      <c r="J58" s="102"/>
      <c r="K58" s="15">
        <f t="shared" ref="K58:K60" si="22">$G58*I58</f>
        <v>1284.453</v>
      </c>
      <c r="M58" s="103">
        <f t="shared" ref="M58:M60" si="23">$R$20</f>
        <v>1.4800000000000001E-2</v>
      </c>
      <c r="N58" s="102"/>
      <c r="O58" s="15">
        <f t="shared" ref="O58:O60" si="24">$G58*M58</f>
        <v>884.1816</v>
      </c>
      <c r="S58" s="138">
        <f t="shared" ref="S58:S63" si="25">G58*I58-K58</f>
        <v>0</v>
      </c>
      <c r="T58" s="139">
        <f t="shared" ref="T58:T63" si="26">G58*M58-O58</f>
        <v>0</v>
      </c>
    </row>
    <row r="59" spans="1:20">
      <c r="A59" s="430" t="s">
        <v>13</v>
      </c>
      <c r="B59" s="425"/>
      <c r="C59" s="16">
        <v>474415</v>
      </c>
      <c r="E59" s="104">
        <v>11.542899999999999</v>
      </c>
      <c r="F59" s="102" t="s">
        <v>11</v>
      </c>
      <c r="G59" s="15">
        <f t="shared" si="21"/>
        <v>54761</v>
      </c>
      <c r="I59" s="103">
        <v>2.1499999999999998E-2</v>
      </c>
      <c r="J59" s="102"/>
      <c r="K59" s="15">
        <f t="shared" si="22"/>
        <v>1177.3615</v>
      </c>
      <c r="M59" s="103">
        <f t="shared" si="23"/>
        <v>1.4800000000000001E-2</v>
      </c>
      <c r="N59" s="102"/>
      <c r="O59" s="15">
        <f t="shared" si="24"/>
        <v>810.46280000000002</v>
      </c>
      <c r="S59" s="138">
        <f t="shared" si="25"/>
        <v>0</v>
      </c>
      <c r="T59" s="139">
        <f t="shared" si="26"/>
        <v>0</v>
      </c>
    </row>
    <row r="60" spans="1:20">
      <c r="A60" s="430" t="s">
        <v>15</v>
      </c>
      <c r="B60" s="425"/>
      <c r="C60" s="16">
        <v>185128</v>
      </c>
      <c r="E60" s="104">
        <v>14.450799999999999</v>
      </c>
      <c r="F60" s="102" t="s">
        <v>11</v>
      </c>
      <c r="G60" s="15">
        <f t="shared" si="21"/>
        <v>26752</v>
      </c>
      <c r="I60" s="103">
        <v>2.1499999999999998E-2</v>
      </c>
      <c r="J60" s="102"/>
      <c r="K60" s="15">
        <f t="shared" si="22"/>
        <v>575.16800000000001</v>
      </c>
      <c r="M60" s="103">
        <f t="shared" si="23"/>
        <v>1.4800000000000001E-2</v>
      </c>
      <c r="N60" s="102"/>
      <c r="O60" s="15">
        <f t="shared" si="24"/>
        <v>395.92959999999999</v>
      </c>
      <c r="S60" s="138">
        <f t="shared" si="25"/>
        <v>0</v>
      </c>
      <c r="T60" s="139">
        <f t="shared" si="26"/>
        <v>0</v>
      </c>
    </row>
    <row r="61" spans="1:20">
      <c r="A61" s="430" t="s">
        <v>17</v>
      </c>
      <c r="B61" s="425"/>
      <c r="C61" s="16"/>
      <c r="E61" s="104"/>
      <c r="F61" s="102"/>
      <c r="G61" s="15"/>
      <c r="J61" s="102"/>
      <c r="K61" s="15"/>
      <c r="N61" s="102"/>
      <c r="O61" s="15"/>
      <c r="S61" s="138"/>
      <c r="T61" s="139"/>
    </row>
    <row r="62" spans="1:20">
      <c r="A62" s="434" t="s">
        <v>297</v>
      </c>
      <c r="B62" s="435"/>
      <c r="C62" s="16">
        <v>912816</v>
      </c>
      <c r="D62" s="172"/>
      <c r="E62" s="104">
        <v>8.8498000000000001</v>
      </c>
      <c r="F62" s="102" t="s">
        <v>11</v>
      </c>
      <c r="G62" s="200">
        <f t="shared" ref="G62:G63" si="27">ROUND(E62*$C62/100,0)</f>
        <v>80782</v>
      </c>
      <c r="I62" s="103">
        <v>2.1499999999999998E-2</v>
      </c>
      <c r="J62" s="102"/>
      <c r="K62" s="200">
        <f t="shared" ref="K62:K63" si="28">$G62*I62</f>
        <v>1736.8129999999999</v>
      </c>
      <c r="M62" s="103">
        <f t="shared" ref="M62:M63" si="29">$R$20</f>
        <v>1.4800000000000001E-2</v>
      </c>
      <c r="N62" s="102"/>
      <c r="O62" s="200">
        <f t="shared" ref="O62:O63" si="30">$G62*M62</f>
        <v>1195.5735999999999</v>
      </c>
      <c r="S62" s="138">
        <f t="shared" si="25"/>
        <v>0</v>
      </c>
      <c r="T62" s="139">
        <f t="shared" si="26"/>
        <v>0</v>
      </c>
    </row>
    <row r="63" spans="1:20">
      <c r="A63" s="434" t="s">
        <v>298</v>
      </c>
      <c r="B63" s="435"/>
      <c r="C63" s="16">
        <v>937823</v>
      </c>
      <c r="D63" s="172"/>
      <c r="E63" s="104">
        <v>10.7072</v>
      </c>
      <c r="F63" s="102" t="s">
        <v>11</v>
      </c>
      <c r="G63" s="200">
        <f t="shared" si="27"/>
        <v>100415</v>
      </c>
      <c r="I63" s="103">
        <v>2.1499999999999998E-2</v>
      </c>
      <c r="J63" s="102"/>
      <c r="K63" s="200">
        <f t="shared" si="28"/>
        <v>2158.9224999999997</v>
      </c>
      <c r="M63" s="103">
        <f t="shared" si="29"/>
        <v>1.4800000000000001E-2</v>
      </c>
      <c r="N63" s="102"/>
      <c r="O63" s="200">
        <f t="shared" si="30"/>
        <v>1486.1420000000001</v>
      </c>
      <c r="S63" s="138">
        <f t="shared" si="25"/>
        <v>0</v>
      </c>
      <c r="T63" s="139">
        <f t="shared" si="26"/>
        <v>0</v>
      </c>
    </row>
    <row r="64" spans="1:20">
      <c r="A64" s="430" t="s">
        <v>19</v>
      </c>
      <c r="B64" s="425"/>
      <c r="C64" s="16">
        <v>121</v>
      </c>
      <c r="E64" s="14">
        <v>8</v>
      </c>
      <c r="F64" s="100"/>
      <c r="G64" s="15">
        <f>ROUND(E64*$C64,0)</f>
        <v>968</v>
      </c>
      <c r="I64" s="31"/>
      <c r="J64" s="100"/>
      <c r="K64" s="15"/>
      <c r="M64" s="31"/>
      <c r="N64" s="100"/>
      <c r="O64" s="15"/>
    </row>
    <row r="65" spans="1:20" s="161" customFormat="1">
      <c r="A65" s="430" t="s">
        <v>20</v>
      </c>
      <c r="B65" s="425"/>
      <c r="C65" s="16">
        <v>0</v>
      </c>
      <c r="D65" s="167"/>
      <c r="E65" s="14">
        <v>16</v>
      </c>
      <c r="F65" s="100"/>
      <c r="G65" s="15">
        <f>ROUND(E65*$C65,0)</f>
        <v>0</v>
      </c>
      <c r="H65" s="5"/>
      <c r="I65" s="31"/>
      <c r="J65" s="100"/>
      <c r="K65" s="15"/>
      <c r="L65" s="5"/>
      <c r="M65" s="31"/>
      <c r="N65" s="100"/>
      <c r="O65" s="15"/>
    </row>
    <row r="66" spans="1:20" s="161" customFormat="1">
      <c r="A66" s="430" t="s">
        <v>22</v>
      </c>
      <c r="B66" s="425"/>
      <c r="C66" s="16">
        <v>0</v>
      </c>
      <c r="D66" s="167"/>
      <c r="E66" s="14">
        <v>96</v>
      </c>
      <c r="F66" s="100"/>
      <c r="G66" s="15">
        <f>ROUND(E66*$C66,0)</f>
        <v>0</v>
      </c>
      <c r="H66" s="5"/>
      <c r="I66" s="31"/>
      <c r="J66" s="100"/>
      <c r="K66" s="15"/>
      <c r="L66" s="5"/>
      <c r="M66" s="31"/>
      <c r="N66" s="100"/>
      <c r="O66" s="15"/>
    </row>
    <row r="67" spans="1:20" s="161" customFormat="1">
      <c r="A67" s="436" t="s">
        <v>23</v>
      </c>
      <c r="B67" s="426"/>
      <c r="C67" s="16">
        <v>428</v>
      </c>
      <c r="D67" s="167"/>
      <c r="E67" s="110"/>
      <c r="F67" s="102"/>
      <c r="G67" s="21"/>
      <c r="H67" s="5"/>
      <c r="I67" s="111"/>
      <c r="J67" s="102"/>
      <c r="K67" s="21"/>
      <c r="L67" s="5"/>
      <c r="M67" s="111"/>
      <c r="N67" s="102"/>
      <c r="O67" s="21"/>
    </row>
    <row r="68" spans="1:20">
      <c r="A68" s="436" t="s">
        <v>299</v>
      </c>
      <c r="B68" s="426"/>
      <c r="C68" s="16">
        <v>118</v>
      </c>
      <c r="E68" s="110"/>
      <c r="F68" s="102"/>
      <c r="G68" s="15"/>
      <c r="I68" s="111"/>
      <c r="J68" s="102"/>
      <c r="K68" s="15"/>
      <c r="M68" s="111"/>
      <c r="N68" s="102"/>
      <c r="O68" s="15"/>
    </row>
    <row r="69" spans="1:20">
      <c r="A69" s="436" t="s">
        <v>300</v>
      </c>
      <c r="B69" s="425"/>
      <c r="C69" s="16">
        <v>310</v>
      </c>
      <c r="E69" s="110"/>
      <c r="F69" s="102"/>
      <c r="G69" s="15"/>
      <c r="I69" s="111"/>
      <c r="J69" s="102"/>
      <c r="K69" s="15"/>
      <c r="M69" s="111"/>
      <c r="N69" s="102"/>
      <c r="O69" s="15"/>
    </row>
    <row r="70" spans="1:20">
      <c r="A70" s="430" t="s">
        <v>24</v>
      </c>
      <c r="B70" s="425"/>
      <c r="C70" s="23">
        <v>0</v>
      </c>
      <c r="G70" s="24">
        <v>0</v>
      </c>
      <c r="I70" s="111"/>
      <c r="J70" s="102"/>
      <c r="K70" s="24"/>
      <c r="M70" s="111"/>
      <c r="N70" s="102"/>
      <c r="O70" s="24"/>
    </row>
    <row r="71" spans="1:20" ht="16.5" thickBot="1">
      <c r="A71" s="430" t="s">
        <v>25</v>
      </c>
      <c r="B71" s="425"/>
      <c r="C71" s="25">
        <v>3185670.6103628851</v>
      </c>
      <c r="E71" s="174"/>
      <c r="G71" s="28">
        <f>SUM(G53:G70)</f>
        <v>351489</v>
      </c>
      <c r="I71" s="174"/>
      <c r="J71" s="102"/>
      <c r="K71" s="28">
        <f>SUM(K53:K70)</f>
        <v>6932.7179999999998</v>
      </c>
      <c r="M71" s="174"/>
      <c r="N71" s="102"/>
      <c r="O71" s="28">
        <f>SUM(O53:O70)</f>
        <v>4772.2896000000001</v>
      </c>
    </row>
    <row r="72" spans="1:20" ht="16.5" thickTop="1">
      <c r="C72" s="4"/>
      <c r="G72" s="92"/>
      <c r="I72" s="103"/>
      <c r="M72" s="103"/>
    </row>
    <row r="73" spans="1:20">
      <c r="A73" s="429" t="s">
        <v>42</v>
      </c>
      <c r="B73" s="425"/>
      <c r="C73" s="4"/>
      <c r="G73" s="92"/>
      <c r="I73" s="103"/>
      <c r="M73" s="103"/>
    </row>
    <row r="74" spans="1:20">
      <c r="A74" s="430" t="s">
        <v>7</v>
      </c>
      <c r="B74" s="425"/>
      <c r="C74" s="4">
        <v>156864.35241617297</v>
      </c>
      <c r="E74" s="14">
        <v>54</v>
      </c>
      <c r="F74" s="100"/>
      <c r="G74" s="15">
        <f>ROUND(E74*$C74,0)</f>
        <v>8470675</v>
      </c>
      <c r="I74" s="31"/>
      <c r="J74" s="109"/>
      <c r="K74" s="15"/>
      <c r="M74" s="31"/>
      <c r="N74" s="109"/>
      <c r="O74" s="15"/>
      <c r="Q74" s="79" t="s">
        <v>312</v>
      </c>
      <c r="R74" s="80"/>
      <c r="S74" s="138"/>
      <c r="T74" s="139"/>
    </row>
    <row r="75" spans="1:20">
      <c r="A75" s="430" t="s">
        <v>38</v>
      </c>
      <c r="B75" s="425"/>
      <c r="C75" s="4">
        <v>7568683</v>
      </c>
      <c r="E75" s="14"/>
      <c r="F75" s="100"/>
      <c r="G75" s="15"/>
      <c r="I75" s="31"/>
      <c r="J75" s="100"/>
      <c r="K75" s="15"/>
      <c r="M75" s="31"/>
      <c r="N75" s="100"/>
      <c r="O75" s="15"/>
      <c r="Q75" s="70" t="s">
        <v>14</v>
      </c>
      <c r="R75" s="17">
        <f>O86+O101</f>
        <v>7857119.1039000014</v>
      </c>
      <c r="S75" s="138"/>
      <c r="T75" s="139"/>
    </row>
    <row r="76" spans="1:20">
      <c r="A76" s="430" t="s">
        <v>39</v>
      </c>
      <c r="B76" s="425"/>
      <c r="C76" s="4">
        <v>9009450</v>
      </c>
      <c r="E76" s="14"/>
      <c r="F76" s="100"/>
      <c r="G76" s="15"/>
      <c r="I76" s="31"/>
      <c r="J76" s="100"/>
      <c r="K76" s="15"/>
      <c r="M76" s="31"/>
      <c r="N76" s="100"/>
      <c r="O76" s="15"/>
      <c r="Q76" s="71" t="s">
        <v>16</v>
      </c>
      <c r="R76" s="18">
        <f>('Exhibit-RMP(JRS-1) page 2'!M20+'Exhibit-RMP(JRS-1) page 2'!M22)*1000</f>
        <v>7844669.2023434648</v>
      </c>
      <c r="S76" s="138"/>
      <c r="T76" s="139"/>
    </row>
    <row r="77" spans="1:20">
      <c r="A77" s="430" t="s">
        <v>32</v>
      </c>
      <c r="B77" s="425"/>
      <c r="C77" s="4">
        <v>679134</v>
      </c>
      <c r="E77" s="14">
        <v>-0.96</v>
      </c>
      <c r="F77" s="100"/>
      <c r="G77" s="15">
        <f>ROUND(E77*$C77,0)</f>
        <v>-651969</v>
      </c>
      <c r="I77" s="31"/>
      <c r="J77" s="100"/>
      <c r="K77" s="15"/>
      <c r="M77" s="31"/>
      <c r="N77" s="100"/>
      <c r="O77" s="15"/>
      <c r="Q77" s="72" t="s">
        <v>18</v>
      </c>
      <c r="R77" s="19">
        <f>R76-R75</f>
        <v>-12449.901556536555</v>
      </c>
      <c r="S77" s="138"/>
      <c r="T77" s="139"/>
    </row>
    <row r="78" spans="1:20">
      <c r="A78" s="434" t="s">
        <v>87</v>
      </c>
      <c r="B78" s="435"/>
      <c r="C78" s="437">
        <v>16578133</v>
      </c>
      <c r="D78" s="172"/>
      <c r="E78" s="438">
        <v>4.04</v>
      </c>
      <c r="F78" s="439"/>
      <c r="G78" s="15">
        <f t="shared" ref="G78:G80" si="31">ROUND(E78*$C78,0)</f>
        <v>66975657</v>
      </c>
      <c r="I78" s="31"/>
      <c r="J78" s="100"/>
      <c r="K78" s="15"/>
      <c r="M78" s="31"/>
      <c r="N78" s="100"/>
      <c r="O78" s="15"/>
      <c r="Q78" s="75" t="s">
        <v>21</v>
      </c>
      <c r="R78" s="76">
        <f>ROUND(R76/SUM(G79:G80,G82:G83,G94:G95,G97:G98),$R$12)+R81</f>
        <v>1.8700000000000001E-2</v>
      </c>
      <c r="S78" s="138"/>
      <c r="T78" s="139"/>
    </row>
    <row r="79" spans="1:20">
      <c r="A79" s="434" t="s">
        <v>38</v>
      </c>
      <c r="B79" s="435"/>
      <c r="C79" s="437">
        <v>7568683</v>
      </c>
      <c r="D79" s="172"/>
      <c r="E79" s="438">
        <v>14.62</v>
      </c>
      <c r="F79" s="439"/>
      <c r="G79" s="15">
        <f t="shared" si="31"/>
        <v>110654145</v>
      </c>
      <c r="I79" s="31">
        <v>2.69E-2</v>
      </c>
      <c r="J79" s="100"/>
      <c r="K79" s="15">
        <f t="shared" ref="K79:K80" si="32">$G79*I79</f>
        <v>2976596.5005000001</v>
      </c>
      <c r="M79" s="31">
        <f>$R$78</f>
        <v>1.8700000000000001E-2</v>
      </c>
      <c r="N79" s="100"/>
      <c r="O79" s="15">
        <f t="shared" ref="O79:O80" si="33">$G79*M79</f>
        <v>2069232.5115000003</v>
      </c>
      <c r="Q79" s="32" t="s">
        <v>45</v>
      </c>
      <c r="R79" s="33">
        <f>'Exhibit-RMP(JRS-1) page 1'!S49</f>
        <v>30899.68293848991</v>
      </c>
      <c r="S79" s="138">
        <f t="shared" ref="S79:S80" si="34">G79*I79-K79</f>
        <v>0</v>
      </c>
      <c r="T79" s="139">
        <f t="shared" ref="T79:T80" si="35">G79*M79-O79</f>
        <v>0</v>
      </c>
    </row>
    <row r="80" spans="1:20">
      <c r="A80" s="434" t="s">
        <v>39</v>
      </c>
      <c r="B80" s="435"/>
      <c r="C80" s="437">
        <v>9009450</v>
      </c>
      <c r="D80" s="172"/>
      <c r="E80" s="438">
        <v>10.91</v>
      </c>
      <c r="F80" s="439"/>
      <c r="G80" s="15">
        <f t="shared" si="31"/>
        <v>98293100</v>
      </c>
      <c r="I80" s="31">
        <v>2.69E-2</v>
      </c>
      <c r="J80" s="100"/>
      <c r="K80" s="15">
        <f t="shared" si="32"/>
        <v>2644084.39</v>
      </c>
      <c r="M80" s="31">
        <f>$R$78</f>
        <v>1.8700000000000001E-2</v>
      </c>
      <c r="N80" s="100"/>
      <c r="O80" s="15">
        <f t="shared" si="33"/>
        <v>1838080.9700000002</v>
      </c>
      <c r="Q80" s="32" t="s">
        <v>46</v>
      </c>
      <c r="R80" s="33">
        <f>'Exhibit-RMP(JRS-1) page 2'!M49</f>
        <v>30906.269887382048</v>
      </c>
      <c r="S80" s="138">
        <f t="shared" si="34"/>
        <v>0</v>
      </c>
      <c r="T80" s="139">
        <f t="shared" si="35"/>
        <v>0</v>
      </c>
    </row>
    <row r="81" spans="1:20">
      <c r="A81" s="430" t="s">
        <v>29</v>
      </c>
      <c r="B81" s="425"/>
      <c r="C81" s="4">
        <v>5783806261.2344303</v>
      </c>
      <c r="E81" s="112"/>
      <c r="F81" s="102"/>
      <c r="G81" s="15"/>
      <c r="I81" s="31"/>
      <c r="J81" s="100"/>
      <c r="K81" s="15"/>
      <c r="M81" s="31"/>
      <c r="N81" s="100"/>
      <c r="O81" s="15"/>
      <c r="Q81" s="34" t="s">
        <v>26</v>
      </c>
      <c r="R81" s="35">
        <v>0</v>
      </c>
      <c r="S81" s="138"/>
      <c r="T81" s="139"/>
    </row>
    <row r="82" spans="1:20">
      <c r="A82" s="430" t="s">
        <v>43</v>
      </c>
      <c r="B82" s="425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I82" s="31">
        <v>2.69E-2</v>
      </c>
      <c r="J82" s="100"/>
      <c r="K82" s="15">
        <f t="shared" ref="K82:K83" si="36">$G82*I82</f>
        <v>2639502.6743999999</v>
      </c>
      <c r="M82" s="31">
        <f>$R$78</f>
        <v>1.8700000000000001E-2</v>
      </c>
      <c r="N82" s="100"/>
      <c r="O82" s="15">
        <f t="shared" ref="O82:O83" si="37">$G82*M82</f>
        <v>1834895.9112000002</v>
      </c>
      <c r="S82" s="138">
        <f>G82*I82-K82</f>
        <v>0</v>
      </c>
      <c r="T82" s="139">
        <f>G82*M82-O82</f>
        <v>0</v>
      </c>
    </row>
    <row r="83" spans="1:20">
      <c r="A83" s="430" t="s">
        <v>44</v>
      </c>
      <c r="B83" s="425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I83" s="31">
        <v>2.69E-2</v>
      </c>
      <c r="J83" s="100"/>
      <c r="K83" s="15">
        <f t="shared" si="36"/>
        <v>3034779.5057999999</v>
      </c>
      <c r="M83" s="31">
        <f>$R$78</f>
        <v>1.8700000000000001E-2</v>
      </c>
      <c r="N83" s="100"/>
      <c r="O83" s="15">
        <f t="shared" si="37"/>
        <v>2109679.4334</v>
      </c>
      <c r="S83" s="138">
        <f>G83*I83-K83</f>
        <v>0</v>
      </c>
      <c r="T83" s="139">
        <f>G83*M83-O83</f>
        <v>0</v>
      </c>
    </row>
    <row r="84" spans="1:20">
      <c r="A84" s="430" t="s">
        <v>37</v>
      </c>
      <c r="B84" s="425"/>
      <c r="C84" s="4">
        <v>0</v>
      </c>
      <c r="E84" s="14">
        <v>648</v>
      </c>
      <c r="F84" s="100"/>
      <c r="G84" s="15">
        <f>ROUND(E84*$C84,0)</f>
        <v>0</v>
      </c>
      <c r="I84" s="31"/>
      <c r="J84" s="100"/>
      <c r="K84" s="15"/>
      <c r="M84" s="31"/>
      <c r="N84" s="100"/>
      <c r="O84" s="15"/>
      <c r="S84" s="138"/>
      <c r="T84" s="139"/>
    </row>
    <row r="85" spans="1:20">
      <c r="A85" s="430" t="s">
        <v>24</v>
      </c>
      <c r="B85" s="425"/>
      <c r="C85" s="23">
        <v>0</v>
      </c>
      <c r="G85" s="24">
        <v>0</v>
      </c>
      <c r="K85" s="24"/>
      <c r="O85" s="24"/>
    </row>
    <row r="86" spans="1:20" ht="16.5" thickBot="1">
      <c r="A86" s="430" t="s">
        <v>25</v>
      </c>
      <c r="B86" s="425"/>
      <c r="C86" s="29">
        <v>5783806261.2344303</v>
      </c>
      <c r="E86" s="174"/>
      <c r="G86" s="28">
        <f>SUM(G74:G85)</f>
        <v>494681466</v>
      </c>
      <c r="I86" s="113"/>
      <c r="K86" s="28">
        <f>SUM(K74:K85)</f>
        <v>11294963.070699999</v>
      </c>
      <c r="M86" s="113"/>
      <c r="O86" s="28">
        <f>SUM(O74:O85)</f>
        <v>7851888.8261000011</v>
      </c>
    </row>
    <row r="87" spans="1:20" ht="16.5" thickTop="1">
      <c r="A87" s="160"/>
      <c r="B87" s="425"/>
      <c r="G87" s="92"/>
      <c r="I87" s="108"/>
      <c r="J87" s="109"/>
      <c r="M87" s="108"/>
      <c r="N87" s="109"/>
    </row>
    <row r="88" spans="1:20">
      <c r="A88" s="429" t="s">
        <v>301</v>
      </c>
      <c r="B88" s="425"/>
      <c r="C88" s="4"/>
      <c r="D88" s="20"/>
      <c r="G88" s="92"/>
      <c r="I88" s="106"/>
      <c r="J88" s="115"/>
      <c r="M88" s="106"/>
      <c r="N88" s="115"/>
    </row>
    <row r="89" spans="1:20">
      <c r="A89" s="430" t="s">
        <v>7</v>
      </c>
      <c r="B89" s="425"/>
      <c r="C89" s="4">
        <v>438</v>
      </c>
      <c r="E89" s="14">
        <v>54</v>
      </c>
      <c r="F89" s="100"/>
      <c r="G89" s="15">
        <f>ROUND(E89*$C89,0)</f>
        <v>23652</v>
      </c>
      <c r="K89" s="15"/>
      <c r="O89" s="15"/>
    </row>
    <row r="90" spans="1:20">
      <c r="A90" s="430" t="s">
        <v>47</v>
      </c>
      <c r="B90" s="425"/>
      <c r="C90" s="4">
        <v>6224</v>
      </c>
      <c r="E90" s="14"/>
      <c r="F90" s="100"/>
      <c r="G90" s="15"/>
      <c r="I90" s="31"/>
      <c r="J90" s="100"/>
      <c r="K90" s="15"/>
      <c r="M90" s="31"/>
      <c r="N90" s="100"/>
      <c r="O90" s="15"/>
    </row>
    <row r="91" spans="1:20">
      <c r="A91" s="430" t="s">
        <v>48</v>
      </c>
      <c r="B91" s="425"/>
      <c r="C91" s="4">
        <v>4264</v>
      </c>
      <c r="E91" s="14"/>
      <c r="F91" s="100"/>
      <c r="G91" s="15"/>
      <c r="I91" s="31"/>
      <c r="J91" s="100"/>
      <c r="K91" s="15"/>
      <c r="M91" s="31"/>
      <c r="N91" s="100"/>
      <c r="O91" s="15"/>
    </row>
    <row r="92" spans="1:20">
      <c r="A92" s="430" t="s">
        <v>32</v>
      </c>
      <c r="B92" s="425"/>
      <c r="C92" s="4">
        <v>0</v>
      </c>
      <c r="E92" s="14">
        <v>-0.96</v>
      </c>
      <c r="F92" s="100"/>
      <c r="G92" s="15">
        <f>ROUND(E92*$C92,0)</f>
        <v>0</v>
      </c>
      <c r="I92" s="31"/>
      <c r="J92" s="100"/>
      <c r="K92" s="15"/>
      <c r="M92" s="31"/>
      <c r="N92" s="100"/>
      <c r="O92" s="15"/>
    </row>
    <row r="93" spans="1:20">
      <c r="A93" s="434" t="s">
        <v>87</v>
      </c>
      <c r="B93" s="435"/>
      <c r="C93" s="437">
        <v>10488</v>
      </c>
      <c r="D93" s="172"/>
      <c r="E93" s="438">
        <v>4.04</v>
      </c>
      <c r="F93" s="439"/>
      <c r="G93" s="15">
        <f t="shared" ref="G93:G95" si="38">ROUND(E93*$C93,0)</f>
        <v>42372</v>
      </c>
      <c r="I93" s="31"/>
      <c r="J93" s="100"/>
      <c r="K93" s="15"/>
      <c r="M93" s="31"/>
      <c r="N93" s="100"/>
      <c r="O93" s="15"/>
    </row>
    <row r="94" spans="1:20">
      <c r="A94" s="434" t="s">
        <v>47</v>
      </c>
      <c r="B94" s="435"/>
      <c r="C94" s="437">
        <v>6224</v>
      </c>
      <c r="D94" s="172"/>
      <c r="E94" s="438">
        <v>14.62</v>
      </c>
      <c r="F94" s="439"/>
      <c r="G94" s="15">
        <f t="shared" si="38"/>
        <v>90995</v>
      </c>
      <c r="I94" s="31">
        <v>2.69E-2</v>
      </c>
      <c r="J94" s="100"/>
      <c r="K94" s="15">
        <f t="shared" ref="K94:K95" si="39">$G94*I94</f>
        <v>2447.7655</v>
      </c>
      <c r="M94" s="31">
        <f>$R$78</f>
        <v>1.8700000000000001E-2</v>
      </c>
      <c r="N94" s="100"/>
      <c r="O94" s="15">
        <f t="shared" ref="O94:O95" si="40">$G94*M94</f>
        <v>1701.6065000000001</v>
      </c>
      <c r="S94" s="138">
        <f>G94*I94-K94</f>
        <v>0</v>
      </c>
      <c r="T94" s="139">
        <f>G94*M94-O94</f>
        <v>0</v>
      </c>
    </row>
    <row r="95" spans="1:20">
      <c r="A95" s="434" t="s">
        <v>48</v>
      </c>
      <c r="B95" s="435"/>
      <c r="C95" s="437">
        <v>4264</v>
      </c>
      <c r="D95" s="172"/>
      <c r="E95" s="438">
        <v>10.91</v>
      </c>
      <c r="F95" s="439"/>
      <c r="G95" s="15">
        <f t="shared" si="38"/>
        <v>46520</v>
      </c>
      <c r="I95" s="31">
        <v>2.69E-2</v>
      </c>
      <c r="J95" s="100"/>
      <c r="K95" s="15">
        <f t="shared" si="39"/>
        <v>1251.3879999999999</v>
      </c>
      <c r="M95" s="31">
        <f>$R$78</f>
        <v>1.8700000000000001E-2</v>
      </c>
      <c r="N95" s="100"/>
      <c r="O95" s="15">
        <f t="shared" si="40"/>
        <v>869.92400000000009</v>
      </c>
      <c r="S95" s="138">
        <f>G95*I95-K95</f>
        <v>0</v>
      </c>
      <c r="T95" s="139">
        <f>G95*M95-O95</f>
        <v>0</v>
      </c>
    </row>
    <row r="96" spans="1:20">
      <c r="A96" s="430" t="s">
        <v>29</v>
      </c>
      <c r="B96" s="425"/>
      <c r="C96" s="4">
        <v>3907497</v>
      </c>
      <c r="E96" s="30"/>
      <c r="F96" s="102"/>
      <c r="G96" s="15"/>
      <c r="I96" s="31"/>
      <c r="J96" s="102"/>
      <c r="K96" s="15"/>
      <c r="M96" s="31"/>
      <c r="N96" s="102"/>
      <c r="O96" s="15"/>
    </row>
    <row r="97" spans="1:20">
      <c r="A97" s="430" t="s">
        <v>40</v>
      </c>
      <c r="B97" s="425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I97" s="31">
        <v>2.69E-2</v>
      </c>
      <c r="J97" s="100"/>
      <c r="K97" s="15">
        <f t="shared" ref="K97:K98" si="41">$G97*I97</f>
        <v>1669.8175000000001</v>
      </c>
      <c r="M97" s="31">
        <f>$R$78</f>
        <v>1.8700000000000001E-2</v>
      </c>
      <c r="N97" s="100"/>
      <c r="O97" s="15">
        <f t="shared" ref="O97:O98" si="42">$G97*M97</f>
        <v>1160.8025</v>
      </c>
      <c r="S97" s="138">
        <f>G97*I97-K97</f>
        <v>0</v>
      </c>
      <c r="T97" s="139">
        <f>G97*M97-O97</f>
        <v>0</v>
      </c>
    </row>
    <row r="98" spans="1:20">
      <c r="A98" s="430" t="s">
        <v>41</v>
      </c>
      <c r="B98" s="425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I98" s="31">
        <v>2.69E-2</v>
      </c>
      <c r="J98" s="100"/>
      <c r="K98" s="15">
        <f t="shared" si="41"/>
        <v>2154.7975999999999</v>
      </c>
      <c r="M98" s="31">
        <f>$R$78</f>
        <v>1.8700000000000001E-2</v>
      </c>
      <c r="N98" s="100"/>
      <c r="O98" s="15">
        <f t="shared" si="42"/>
        <v>1497.9448000000002</v>
      </c>
      <c r="S98" s="138">
        <f>G98*I98-K98</f>
        <v>0</v>
      </c>
      <c r="T98" s="139">
        <f>G98*M98-O98</f>
        <v>0</v>
      </c>
    </row>
    <row r="99" spans="1:20">
      <c r="A99" s="430" t="s">
        <v>37</v>
      </c>
      <c r="B99" s="425"/>
      <c r="C99" s="4">
        <v>0</v>
      </c>
      <c r="D99" s="20"/>
      <c r="E99" s="14">
        <v>648</v>
      </c>
      <c r="F99" s="100"/>
      <c r="G99" s="15">
        <f>ROUND(E99*$C99,0)</f>
        <v>0</v>
      </c>
      <c r="I99" s="31"/>
      <c r="J99" s="100"/>
      <c r="K99" s="15"/>
      <c r="M99" s="31"/>
      <c r="N99" s="100"/>
      <c r="O99" s="15"/>
    </row>
    <row r="100" spans="1:20">
      <c r="A100" s="430" t="s">
        <v>24</v>
      </c>
      <c r="B100" s="425"/>
      <c r="C100" s="23">
        <v>0</v>
      </c>
      <c r="G100" s="24">
        <v>0</v>
      </c>
      <c r="K100" s="24"/>
      <c r="O100" s="24"/>
    </row>
    <row r="101" spans="1:20" ht="16.5" thickBot="1">
      <c r="A101" s="430" t="s">
        <v>25</v>
      </c>
      <c r="B101" s="425"/>
      <c r="C101" s="29">
        <v>3907497</v>
      </c>
      <c r="E101" s="174"/>
      <c r="G101" s="28">
        <f>SUM(G89:G100)</f>
        <v>345718</v>
      </c>
      <c r="I101" s="113"/>
      <c r="K101" s="28">
        <f>SUM(K89:K100)</f>
        <v>7523.7685999999994</v>
      </c>
      <c r="M101" s="113"/>
      <c r="O101" s="28">
        <f>SUM(O89:O100)</f>
        <v>5230.2778000000008</v>
      </c>
    </row>
    <row r="102" spans="1:20" ht="16.5" thickTop="1">
      <c r="C102" s="4"/>
      <c r="G102" s="92"/>
    </row>
    <row r="103" spans="1:20">
      <c r="A103" s="429" t="s">
        <v>49</v>
      </c>
      <c r="B103" s="425"/>
      <c r="C103" s="4"/>
      <c r="E103" s="30"/>
      <c r="F103" s="115"/>
      <c r="G103" s="92"/>
      <c r="I103" s="31"/>
      <c r="M103" s="31"/>
    </row>
    <row r="104" spans="1:20">
      <c r="A104" s="430" t="s">
        <v>7</v>
      </c>
      <c r="B104" s="425"/>
      <c r="C104" s="4">
        <v>27307</v>
      </c>
      <c r="E104" s="14">
        <v>54</v>
      </c>
      <c r="F104" s="100"/>
      <c r="G104" s="15">
        <f>ROUND(E104*$C104,0)</f>
        <v>1474578</v>
      </c>
      <c r="I104" s="31"/>
      <c r="J104" s="100"/>
      <c r="K104" s="15"/>
      <c r="M104" s="31"/>
      <c r="N104" s="100"/>
      <c r="O104" s="15"/>
      <c r="Q104" s="70" t="s">
        <v>14</v>
      </c>
      <c r="R104" s="17">
        <f>O113</f>
        <v>541553.53259999992</v>
      </c>
      <c r="S104" s="138"/>
      <c r="T104" s="139"/>
    </row>
    <row r="105" spans="1:20">
      <c r="A105" s="430" t="s">
        <v>50</v>
      </c>
      <c r="B105" s="425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I105" s="31"/>
      <c r="J105" s="100"/>
      <c r="K105" s="15"/>
      <c r="M105" s="31"/>
      <c r="N105" s="100"/>
      <c r="O105" s="15"/>
      <c r="Q105" s="71" t="s">
        <v>16</v>
      </c>
      <c r="R105" s="18">
        <f>'Exhibit-RMP(JRS-1) page 2'!M21*1000</f>
        <v>542399.83320788201</v>
      </c>
      <c r="S105" s="138"/>
      <c r="T105" s="139"/>
    </row>
    <row r="106" spans="1:20">
      <c r="A106" s="430" t="s">
        <v>51</v>
      </c>
      <c r="B106" s="425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I106" s="31"/>
      <c r="J106" s="100"/>
      <c r="K106" s="15"/>
      <c r="M106" s="31"/>
      <c r="N106" s="100"/>
      <c r="O106" s="15"/>
      <c r="Q106" s="72" t="s">
        <v>18</v>
      </c>
      <c r="R106" s="19">
        <f>R105-R104</f>
        <v>846.30060788209084</v>
      </c>
      <c r="S106" s="138"/>
      <c r="T106" s="139"/>
    </row>
    <row r="107" spans="1:20">
      <c r="A107" s="430" t="s">
        <v>32</v>
      </c>
      <c r="B107" s="425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I107" s="31"/>
      <c r="J107" s="100"/>
      <c r="K107" s="15"/>
      <c r="M107" s="31"/>
      <c r="N107" s="100"/>
      <c r="O107" s="15"/>
      <c r="Q107" s="75" t="s">
        <v>21</v>
      </c>
      <c r="R107" s="76">
        <f>ROUND(R105/SUM(G108:G111),$R$12)</f>
        <v>2.58E-2</v>
      </c>
      <c r="S107" s="138"/>
      <c r="T107" s="139"/>
    </row>
    <row r="108" spans="1:20">
      <c r="A108" s="430" t="s">
        <v>27</v>
      </c>
      <c r="B108" s="425"/>
      <c r="C108" s="4">
        <v>62251233</v>
      </c>
      <c r="D108" s="20"/>
      <c r="E108" s="112">
        <v>11.926600000000001</v>
      </c>
      <c r="F108" s="102" t="s">
        <v>11</v>
      </c>
      <c r="G108" s="15">
        <f>ROUND(E108*$C108/100,0)</f>
        <v>7424456</v>
      </c>
      <c r="I108" s="31">
        <v>3.7499999999999999E-2</v>
      </c>
      <c r="J108" s="102"/>
      <c r="K108" s="15">
        <f t="shared" ref="K108" si="43">$G108*I108</f>
        <v>278417.09999999998</v>
      </c>
      <c r="M108" s="31">
        <f>$R$107</f>
        <v>2.58E-2</v>
      </c>
      <c r="N108" s="102"/>
      <c r="O108" s="15">
        <f t="shared" ref="O108:O111" si="44">$G108*M108</f>
        <v>191550.96479999999</v>
      </c>
      <c r="S108" s="138">
        <f>G108*I108-K108</f>
        <v>0</v>
      </c>
      <c r="T108" s="139">
        <f>G108*M108-O108</f>
        <v>0</v>
      </c>
    </row>
    <row r="109" spans="1:20">
      <c r="A109" s="430" t="s">
        <v>28</v>
      </c>
      <c r="B109" s="425"/>
      <c r="C109" s="4">
        <v>59556790.452555798</v>
      </c>
      <c r="D109" s="20"/>
      <c r="E109" s="112">
        <v>3.5908000000000002</v>
      </c>
      <c r="F109" s="102" t="s">
        <v>11</v>
      </c>
      <c r="G109" s="15">
        <f>ROUND(E109*$C109/100,0)</f>
        <v>2138565</v>
      </c>
      <c r="I109" s="31">
        <v>3.7499999999999999E-2</v>
      </c>
      <c r="J109" s="102"/>
      <c r="K109" s="15">
        <f t="shared" ref="K109:K111" si="45">$G109*I109</f>
        <v>80196.1875</v>
      </c>
      <c r="M109" s="31">
        <f>$R$107</f>
        <v>2.58E-2</v>
      </c>
      <c r="N109" s="102"/>
      <c r="O109" s="15">
        <f t="shared" si="44"/>
        <v>55174.976999999999</v>
      </c>
      <c r="S109" s="138">
        <f>G109*I109-K109</f>
        <v>0</v>
      </c>
      <c r="T109" s="139">
        <f>G109*M109-O109</f>
        <v>0</v>
      </c>
    </row>
    <row r="110" spans="1:20">
      <c r="A110" s="430" t="s">
        <v>52</v>
      </c>
      <c r="B110" s="425"/>
      <c r="C110" s="4">
        <v>90625426</v>
      </c>
      <c r="D110" s="20"/>
      <c r="E110" s="112">
        <v>9.9693000000000005</v>
      </c>
      <c r="F110" s="102" t="s">
        <v>11</v>
      </c>
      <c r="G110" s="15">
        <f>ROUND(E110*$C110/100,0)</f>
        <v>9034721</v>
      </c>
      <c r="I110" s="31">
        <v>3.7499999999999999E-2</v>
      </c>
      <c r="J110" s="102"/>
      <c r="K110" s="15">
        <f t="shared" si="45"/>
        <v>338802.03749999998</v>
      </c>
      <c r="M110" s="31">
        <f>$R$107</f>
        <v>2.58E-2</v>
      </c>
      <c r="N110" s="102"/>
      <c r="O110" s="15">
        <f t="shared" si="44"/>
        <v>233095.80179999999</v>
      </c>
      <c r="S110" s="138">
        <f>G110*I110-K110</f>
        <v>0</v>
      </c>
      <c r="T110" s="139">
        <f>G110*M110-O110</f>
        <v>0</v>
      </c>
    </row>
    <row r="111" spans="1:20">
      <c r="A111" s="430" t="s">
        <v>53</v>
      </c>
      <c r="B111" s="425"/>
      <c r="C111" s="4">
        <v>79597650.39760986</v>
      </c>
      <c r="D111" s="20"/>
      <c r="E111" s="112">
        <v>3.0059999999999998</v>
      </c>
      <c r="F111" s="102" t="s">
        <v>11</v>
      </c>
      <c r="G111" s="15">
        <f>ROUND(E111*$C111/100,0)</f>
        <v>2392705</v>
      </c>
      <c r="I111" s="31">
        <v>3.7499999999999999E-2</v>
      </c>
      <c r="J111" s="102"/>
      <c r="K111" s="15">
        <f t="shared" si="45"/>
        <v>89726.4375</v>
      </c>
      <c r="M111" s="31">
        <f>$R$107</f>
        <v>2.58E-2</v>
      </c>
      <c r="N111" s="102"/>
      <c r="O111" s="15">
        <f t="shared" si="44"/>
        <v>61731.788999999997</v>
      </c>
      <c r="S111" s="138">
        <f>G111*I111-K111</f>
        <v>0</v>
      </c>
      <c r="T111" s="139">
        <f>G111*M111-O111</f>
        <v>0</v>
      </c>
    </row>
    <row r="112" spans="1:20">
      <c r="A112" s="430" t="s">
        <v>24</v>
      </c>
      <c r="B112" s="425"/>
      <c r="C112" s="23">
        <v>0</v>
      </c>
      <c r="G112" s="24">
        <v>0</v>
      </c>
      <c r="K112" s="24"/>
      <c r="O112" s="24"/>
    </row>
    <row r="113" spans="1:20" ht="16.5" thickBot="1">
      <c r="A113" s="430" t="s">
        <v>25</v>
      </c>
      <c r="B113" s="425"/>
      <c r="C113" s="29">
        <v>292031099.85016567</v>
      </c>
      <c r="E113" s="174"/>
      <c r="G113" s="28">
        <f>SUM(G104:G112)</f>
        <v>34227404</v>
      </c>
      <c r="I113" s="113"/>
      <c r="K113" s="28">
        <f>SUM(K104:K112)</f>
        <v>787141.76249999995</v>
      </c>
      <c r="M113" s="113"/>
      <c r="O113" s="28">
        <f>SUM(O104:O112)</f>
        <v>541553.53259999992</v>
      </c>
    </row>
    <row r="114" spans="1:20" ht="16.5" thickTop="1">
      <c r="A114" s="160"/>
      <c r="B114" s="425"/>
      <c r="C114" s="4"/>
      <c r="G114" s="92"/>
      <c r="I114" s="108"/>
      <c r="J114" s="109"/>
      <c r="M114" s="108"/>
      <c r="N114" s="109"/>
    </row>
    <row r="115" spans="1:20">
      <c r="A115" s="429" t="s">
        <v>449</v>
      </c>
      <c r="B115" s="425"/>
      <c r="C115" s="4"/>
      <c r="G115" s="92"/>
    </row>
    <row r="116" spans="1:20">
      <c r="A116" s="434" t="s">
        <v>54</v>
      </c>
      <c r="B116" s="425"/>
      <c r="C116" s="4"/>
      <c r="G116" s="15"/>
      <c r="K116" s="15"/>
      <c r="O116" s="15"/>
    </row>
    <row r="117" spans="1:20">
      <c r="A117" s="430" t="s">
        <v>55</v>
      </c>
      <c r="B117" s="425">
        <v>29</v>
      </c>
      <c r="C117" s="4">
        <v>24</v>
      </c>
      <c r="E117" s="14">
        <v>5.68</v>
      </c>
      <c r="F117" s="100"/>
      <c r="G117" s="15">
        <f>ROUND(E117*$C117,0)</f>
        <v>136</v>
      </c>
      <c r="I117" s="31">
        <v>9.1999999999999998E-3</v>
      </c>
      <c r="J117" s="100"/>
      <c r="K117" s="15">
        <f t="shared" ref="K117" si="46">$G117*I117</f>
        <v>1.2511999999999999</v>
      </c>
      <c r="M117" s="31">
        <f>$R$121</f>
        <v>8.8000000000000005E-3</v>
      </c>
      <c r="N117" s="100"/>
      <c r="O117" s="15">
        <f t="shared" ref="O117:O120" si="47">$G117*M117</f>
        <v>1.1968000000000001</v>
      </c>
      <c r="Q117" s="81" t="s">
        <v>289</v>
      </c>
      <c r="R117" s="77"/>
      <c r="S117" s="138">
        <f>G117*I117-K117</f>
        <v>0</v>
      </c>
      <c r="T117" s="139">
        <f>G117*M117-O117</f>
        <v>0</v>
      </c>
    </row>
    <row r="118" spans="1:20">
      <c r="A118" s="430" t="s">
        <v>56</v>
      </c>
      <c r="B118" s="425">
        <v>1</v>
      </c>
      <c r="C118" s="4">
        <v>45001</v>
      </c>
      <c r="E118" s="14">
        <v>16.38</v>
      </c>
      <c r="F118" s="100"/>
      <c r="G118" s="15">
        <f>ROUND(E118*$C118,0)</f>
        <v>737116</v>
      </c>
      <c r="I118" s="31">
        <v>9.1999999999999998E-3</v>
      </c>
      <c r="J118" s="100"/>
      <c r="K118" s="15">
        <f t="shared" ref="K118:K120" si="48">$G118*I118</f>
        <v>6781.4672</v>
      </c>
      <c r="M118" s="31">
        <f>$R$121</f>
        <v>8.8000000000000005E-3</v>
      </c>
      <c r="N118" s="100"/>
      <c r="O118" s="15">
        <f t="shared" si="47"/>
        <v>6486.6208000000006</v>
      </c>
      <c r="Q118" s="71" t="s">
        <v>14</v>
      </c>
      <c r="R118" s="18">
        <f>O153+O268+O351</f>
        <v>106685.1896</v>
      </c>
      <c r="S118" s="138">
        <f>G118*I118-K118</f>
        <v>0</v>
      </c>
      <c r="T118" s="139">
        <f>G118*M118-O118</f>
        <v>0</v>
      </c>
    </row>
    <row r="119" spans="1:20">
      <c r="A119" s="430" t="s">
        <v>57</v>
      </c>
      <c r="B119" s="425">
        <v>28</v>
      </c>
      <c r="C119" s="4">
        <v>0</v>
      </c>
      <c r="E119" s="14">
        <v>8.0500000000000007</v>
      </c>
      <c r="F119" s="100"/>
      <c r="G119" s="15">
        <f>ROUND(E119*$C119,0)</f>
        <v>0</v>
      </c>
      <c r="I119" s="31">
        <v>9.1999999999999998E-3</v>
      </c>
      <c r="J119" s="100"/>
      <c r="K119" s="15">
        <f t="shared" si="48"/>
        <v>0</v>
      </c>
      <c r="M119" s="31">
        <f>$R$121</f>
        <v>8.8000000000000005E-3</v>
      </c>
      <c r="N119" s="100"/>
      <c r="O119" s="15">
        <f t="shared" si="47"/>
        <v>0</v>
      </c>
      <c r="Q119" s="71" t="s">
        <v>16</v>
      </c>
      <c r="R119" s="18">
        <f>SUM('Exhibit-RMP(JRS-1) page 2'!M40:M42)*1000</f>
        <v>107268.76013358419</v>
      </c>
      <c r="S119" s="138">
        <f>G119*I119-K119</f>
        <v>0</v>
      </c>
      <c r="T119" s="139">
        <f>G119*M119-O119</f>
        <v>0</v>
      </c>
    </row>
    <row r="120" spans="1:20">
      <c r="A120" s="430" t="s">
        <v>58</v>
      </c>
      <c r="B120" s="425">
        <v>2</v>
      </c>
      <c r="C120" s="4">
        <v>10830</v>
      </c>
      <c r="E120" s="14">
        <v>26.78</v>
      </c>
      <c r="F120" s="100"/>
      <c r="G120" s="15">
        <f>ROUND(E120*$C120,0)</f>
        <v>290027</v>
      </c>
      <c r="I120" s="31">
        <v>9.1999999999999998E-3</v>
      </c>
      <c r="J120" s="100"/>
      <c r="K120" s="15">
        <f t="shared" si="48"/>
        <v>2668.2483999999999</v>
      </c>
      <c r="M120" s="31">
        <f>$R$121</f>
        <v>8.8000000000000005E-3</v>
      </c>
      <c r="N120" s="100"/>
      <c r="O120" s="15">
        <f t="shared" si="47"/>
        <v>2552.2375999999999</v>
      </c>
      <c r="Q120" s="72" t="s">
        <v>18</v>
      </c>
      <c r="R120" s="19">
        <f>R119-R118</f>
        <v>583.57053358419216</v>
      </c>
      <c r="S120" s="138">
        <f>G120*I120-K120</f>
        <v>0</v>
      </c>
      <c r="T120" s="139">
        <f>G120*M120-O120</f>
        <v>0</v>
      </c>
    </row>
    <row r="121" spans="1:20">
      <c r="A121" s="434" t="s">
        <v>59</v>
      </c>
      <c r="B121" s="425"/>
      <c r="C121" s="4"/>
      <c r="G121" s="15"/>
      <c r="I121" s="31"/>
      <c r="J121" s="100"/>
      <c r="K121" s="15"/>
      <c r="M121" s="31"/>
      <c r="N121" s="100"/>
      <c r="O121" s="15"/>
      <c r="Q121" s="75" t="s">
        <v>21</v>
      </c>
      <c r="R121" s="76">
        <f>ROUND(R119/SUM(G149,G264,G348),$R$12)</f>
        <v>8.8000000000000005E-3</v>
      </c>
      <c r="S121" s="138"/>
      <c r="T121" s="139"/>
    </row>
    <row r="122" spans="1:20">
      <c r="A122" s="430" t="s">
        <v>60</v>
      </c>
      <c r="B122" s="425">
        <v>3</v>
      </c>
      <c r="C122" s="4">
        <v>3563</v>
      </c>
      <c r="E122" s="14">
        <v>14.6</v>
      </c>
      <c r="F122" s="100"/>
      <c r="G122" s="15">
        <f t="shared" ref="G122:G132" si="49">ROUND(E122*$C122,0)</f>
        <v>52020</v>
      </c>
      <c r="I122" s="31">
        <v>9.1999999999999998E-3</v>
      </c>
      <c r="J122" s="100"/>
      <c r="K122" s="15">
        <f t="shared" ref="K122:K132" si="50">$G122*I122</f>
        <v>478.584</v>
      </c>
      <c r="M122" s="31">
        <f t="shared" ref="M122:M132" si="51">$R$121</f>
        <v>8.8000000000000005E-3</v>
      </c>
      <c r="N122" s="100"/>
      <c r="O122" s="15">
        <f t="shared" ref="O122:O132" si="52">$G122*M122</f>
        <v>457.77600000000001</v>
      </c>
      <c r="S122" s="138">
        <f t="shared" ref="S122:S132" si="53">G122*I122-K122</f>
        <v>0</v>
      </c>
      <c r="T122" s="139">
        <f t="shared" ref="T122:T132" si="54">G122*M122-O122</f>
        <v>0</v>
      </c>
    </row>
    <row r="123" spans="1:20">
      <c r="A123" s="430" t="s">
        <v>61</v>
      </c>
      <c r="B123" s="425">
        <v>4</v>
      </c>
      <c r="C123" s="4">
        <v>1746</v>
      </c>
      <c r="E123" s="14">
        <v>12.23</v>
      </c>
      <c r="F123" s="100"/>
      <c r="G123" s="15">
        <f t="shared" si="49"/>
        <v>21354</v>
      </c>
      <c r="I123" s="31">
        <v>9.1999999999999998E-3</v>
      </c>
      <c r="J123" s="100"/>
      <c r="K123" s="15">
        <f t="shared" si="50"/>
        <v>196.45679999999999</v>
      </c>
      <c r="M123" s="31">
        <f t="shared" si="51"/>
        <v>8.8000000000000005E-3</v>
      </c>
      <c r="N123" s="100"/>
      <c r="O123" s="15">
        <f t="shared" si="52"/>
        <v>187.9152</v>
      </c>
      <c r="S123" s="138">
        <f t="shared" si="53"/>
        <v>0</v>
      </c>
      <c r="T123" s="139">
        <f t="shared" si="54"/>
        <v>0</v>
      </c>
    </row>
    <row r="124" spans="1:20">
      <c r="A124" s="430" t="s">
        <v>62</v>
      </c>
      <c r="B124" s="425">
        <v>5</v>
      </c>
      <c r="C124" s="4">
        <v>23403</v>
      </c>
      <c r="E124" s="14">
        <v>15.47</v>
      </c>
      <c r="F124" s="100"/>
      <c r="G124" s="15">
        <f t="shared" si="49"/>
        <v>362044</v>
      </c>
      <c r="I124" s="31">
        <v>9.1999999999999998E-3</v>
      </c>
      <c r="J124" s="100"/>
      <c r="K124" s="15">
        <f t="shared" si="50"/>
        <v>3330.8047999999999</v>
      </c>
      <c r="M124" s="31">
        <f t="shared" si="51"/>
        <v>8.8000000000000005E-3</v>
      </c>
      <c r="N124" s="100"/>
      <c r="O124" s="15">
        <f t="shared" si="52"/>
        <v>3185.9872</v>
      </c>
      <c r="S124" s="138">
        <f t="shared" si="53"/>
        <v>0</v>
      </c>
      <c r="T124" s="139">
        <f t="shared" si="54"/>
        <v>0</v>
      </c>
    </row>
    <row r="125" spans="1:20">
      <c r="A125" s="430" t="s">
        <v>63</v>
      </c>
      <c r="B125" s="425">
        <v>6</v>
      </c>
      <c r="C125" s="4">
        <v>23123</v>
      </c>
      <c r="E125" s="14">
        <v>13.31</v>
      </c>
      <c r="F125" s="100"/>
      <c r="G125" s="15">
        <f t="shared" si="49"/>
        <v>307767</v>
      </c>
      <c r="I125" s="31">
        <v>9.1999999999999998E-3</v>
      </c>
      <c r="J125" s="100"/>
      <c r="K125" s="15">
        <f t="shared" si="50"/>
        <v>2831.4564</v>
      </c>
      <c r="M125" s="31">
        <f t="shared" si="51"/>
        <v>8.8000000000000005E-3</v>
      </c>
      <c r="N125" s="100"/>
      <c r="O125" s="15">
        <f t="shared" si="52"/>
        <v>2708.3496</v>
      </c>
      <c r="S125" s="138">
        <f t="shared" si="53"/>
        <v>0</v>
      </c>
      <c r="T125" s="139">
        <f t="shared" si="54"/>
        <v>0</v>
      </c>
    </row>
    <row r="126" spans="1:20">
      <c r="A126" s="430" t="s">
        <v>64</v>
      </c>
      <c r="B126" s="425">
        <v>7</v>
      </c>
      <c r="C126" s="4">
        <v>2646</v>
      </c>
      <c r="E126" s="14">
        <v>19.46</v>
      </c>
      <c r="F126" s="100"/>
      <c r="G126" s="15">
        <f t="shared" si="49"/>
        <v>51491</v>
      </c>
      <c r="I126" s="31">
        <v>9.1999999999999998E-3</v>
      </c>
      <c r="J126" s="100"/>
      <c r="K126" s="15">
        <f t="shared" si="50"/>
        <v>473.71719999999999</v>
      </c>
      <c r="M126" s="31">
        <f t="shared" si="51"/>
        <v>8.8000000000000005E-3</v>
      </c>
      <c r="N126" s="100"/>
      <c r="O126" s="15">
        <f t="shared" si="52"/>
        <v>453.12080000000003</v>
      </c>
      <c r="S126" s="138">
        <f t="shared" si="53"/>
        <v>0</v>
      </c>
      <c r="T126" s="139">
        <f t="shared" si="54"/>
        <v>0</v>
      </c>
    </row>
    <row r="127" spans="1:20">
      <c r="A127" s="430" t="s">
        <v>65</v>
      </c>
      <c r="B127" s="425">
        <v>8</v>
      </c>
      <c r="C127" s="4">
        <v>2564</v>
      </c>
      <c r="E127" s="14">
        <v>17.13</v>
      </c>
      <c r="F127" s="100"/>
      <c r="G127" s="15">
        <f t="shared" si="49"/>
        <v>43921</v>
      </c>
      <c r="I127" s="31">
        <v>9.1999999999999998E-3</v>
      </c>
      <c r="J127" s="100"/>
      <c r="K127" s="15">
        <f t="shared" si="50"/>
        <v>404.07319999999999</v>
      </c>
      <c r="M127" s="31">
        <f t="shared" si="51"/>
        <v>8.8000000000000005E-3</v>
      </c>
      <c r="N127" s="100"/>
      <c r="O127" s="15">
        <f t="shared" si="52"/>
        <v>386.50480000000005</v>
      </c>
      <c r="S127" s="138">
        <f t="shared" si="53"/>
        <v>0</v>
      </c>
      <c r="T127" s="139">
        <f t="shared" si="54"/>
        <v>0</v>
      </c>
    </row>
    <row r="128" spans="1:20">
      <c r="A128" s="430" t="s">
        <v>66</v>
      </c>
      <c r="B128" s="425">
        <v>9</v>
      </c>
      <c r="C128" s="4">
        <v>114</v>
      </c>
      <c r="E128" s="14">
        <v>21.07</v>
      </c>
      <c r="F128" s="100"/>
      <c r="G128" s="15">
        <f t="shared" si="49"/>
        <v>2402</v>
      </c>
      <c r="I128" s="31">
        <v>9.1999999999999998E-3</v>
      </c>
      <c r="J128" s="100"/>
      <c r="K128" s="15">
        <f t="shared" si="50"/>
        <v>22.098399999999998</v>
      </c>
      <c r="M128" s="31">
        <f t="shared" si="51"/>
        <v>8.8000000000000005E-3</v>
      </c>
      <c r="N128" s="100"/>
      <c r="O128" s="15">
        <f t="shared" si="52"/>
        <v>21.137600000000003</v>
      </c>
      <c r="S128" s="138">
        <f t="shared" si="53"/>
        <v>0</v>
      </c>
      <c r="T128" s="139">
        <f t="shared" si="54"/>
        <v>0</v>
      </c>
    </row>
    <row r="129" spans="1:20">
      <c r="A129" s="430" t="s">
        <v>67</v>
      </c>
      <c r="B129" s="425">
        <v>10</v>
      </c>
      <c r="C129" s="4">
        <v>3134</v>
      </c>
      <c r="E129" s="14">
        <v>23.51</v>
      </c>
      <c r="F129" s="100"/>
      <c r="G129" s="15">
        <f t="shared" si="49"/>
        <v>73680</v>
      </c>
      <c r="I129" s="31">
        <v>9.1999999999999998E-3</v>
      </c>
      <c r="J129" s="100"/>
      <c r="K129" s="15">
        <f t="shared" si="50"/>
        <v>677.85599999999999</v>
      </c>
      <c r="M129" s="31">
        <f t="shared" si="51"/>
        <v>8.8000000000000005E-3</v>
      </c>
      <c r="N129" s="100"/>
      <c r="O129" s="15">
        <f t="shared" si="52"/>
        <v>648.38400000000001</v>
      </c>
      <c r="S129" s="138">
        <f t="shared" si="53"/>
        <v>0</v>
      </c>
      <c r="T129" s="139">
        <f t="shared" si="54"/>
        <v>0</v>
      </c>
    </row>
    <row r="130" spans="1:20">
      <c r="A130" s="430" t="s">
        <v>68</v>
      </c>
      <c r="B130" s="425">
        <v>11</v>
      </c>
      <c r="C130" s="4">
        <v>4178</v>
      </c>
      <c r="E130" s="14">
        <v>21.23</v>
      </c>
      <c r="F130" s="100"/>
      <c r="G130" s="15">
        <f t="shared" si="49"/>
        <v>88699</v>
      </c>
      <c r="I130" s="31">
        <v>9.1999999999999998E-3</v>
      </c>
      <c r="J130" s="100"/>
      <c r="K130" s="15">
        <f t="shared" si="50"/>
        <v>816.0308</v>
      </c>
      <c r="M130" s="31">
        <f t="shared" si="51"/>
        <v>8.8000000000000005E-3</v>
      </c>
      <c r="N130" s="100"/>
      <c r="O130" s="15">
        <f t="shared" si="52"/>
        <v>780.55119999999999</v>
      </c>
      <c r="S130" s="138">
        <f t="shared" si="53"/>
        <v>0</v>
      </c>
      <c r="T130" s="139">
        <f t="shared" si="54"/>
        <v>0</v>
      </c>
    </row>
    <row r="131" spans="1:20">
      <c r="A131" s="430" t="s">
        <v>69</v>
      </c>
      <c r="B131" s="425">
        <v>12</v>
      </c>
      <c r="C131" s="4">
        <v>1248</v>
      </c>
      <c r="E131" s="14">
        <v>28.3</v>
      </c>
      <c r="F131" s="100"/>
      <c r="G131" s="15">
        <f t="shared" si="49"/>
        <v>35318</v>
      </c>
      <c r="I131" s="31">
        <v>9.1999999999999998E-3</v>
      </c>
      <c r="J131" s="100"/>
      <c r="K131" s="15">
        <f t="shared" si="50"/>
        <v>324.92559999999997</v>
      </c>
      <c r="M131" s="31">
        <f t="shared" si="51"/>
        <v>8.8000000000000005E-3</v>
      </c>
      <c r="N131" s="100"/>
      <c r="O131" s="15">
        <f t="shared" si="52"/>
        <v>310.79840000000002</v>
      </c>
      <c r="S131" s="138">
        <f t="shared" si="53"/>
        <v>0</v>
      </c>
      <c r="T131" s="139">
        <f t="shared" si="54"/>
        <v>0</v>
      </c>
    </row>
    <row r="132" spans="1:20">
      <c r="A132" s="430" t="s">
        <v>70</v>
      </c>
      <c r="B132" s="425">
        <v>13</v>
      </c>
      <c r="C132" s="4">
        <v>2456</v>
      </c>
      <c r="E132" s="14">
        <v>25.99</v>
      </c>
      <c r="F132" s="100"/>
      <c r="G132" s="15">
        <f t="shared" si="49"/>
        <v>63831</v>
      </c>
      <c r="H132" s="20"/>
      <c r="I132" s="31">
        <v>9.1999999999999998E-3</v>
      </c>
      <c r="J132" s="100"/>
      <c r="K132" s="15">
        <f t="shared" si="50"/>
        <v>587.24519999999995</v>
      </c>
      <c r="L132" s="20"/>
      <c r="M132" s="31">
        <f t="shared" si="51"/>
        <v>8.8000000000000005E-3</v>
      </c>
      <c r="N132" s="100"/>
      <c r="O132" s="15">
        <f t="shared" si="52"/>
        <v>561.71280000000002</v>
      </c>
      <c r="S132" s="138">
        <f t="shared" si="53"/>
        <v>0</v>
      </c>
      <c r="T132" s="139">
        <f t="shared" si="54"/>
        <v>0</v>
      </c>
    </row>
    <row r="133" spans="1:20">
      <c r="A133" s="434" t="s">
        <v>71</v>
      </c>
      <c r="B133" s="425"/>
      <c r="C133" s="4"/>
      <c r="G133" s="15"/>
      <c r="K133" s="15"/>
      <c r="O133" s="15"/>
      <c r="S133" s="138"/>
      <c r="T133" s="139"/>
    </row>
    <row r="134" spans="1:20">
      <c r="A134" s="430" t="s">
        <v>64</v>
      </c>
      <c r="B134" s="425">
        <v>14</v>
      </c>
      <c r="C134" s="4">
        <v>4670</v>
      </c>
      <c r="E134" s="14">
        <v>19.46</v>
      </c>
      <c r="F134" s="100"/>
      <c r="G134" s="15">
        <f t="shared" ref="G134:G139" si="55">ROUND(E134*$C134,0)</f>
        <v>90878</v>
      </c>
      <c r="I134" s="31">
        <v>9.1999999999999998E-3</v>
      </c>
      <c r="J134" s="100"/>
      <c r="K134" s="15">
        <f t="shared" ref="K134:K139" si="56">$G134*I134</f>
        <v>836.07759999999996</v>
      </c>
      <c r="M134" s="31">
        <f t="shared" ref="M134:M139" si="57">$R$121</f>
        <v>8.8000000000000005E-3</v>
      </c>
      <c r="N134" s="100"/>
      <c r="O134" s="15">
        <f t="shared" ref="O134:O139" si="58">$G134*M134</f>
        <v>799.72640000000001</v>
      </c>
      <c r="S134" s="138">
        <f t="shared" ref="S134:S139" si="59">G134*I134-K134</f>
        <v>0</v>
      </c>
      <c r="T134" s="139">
        <f t="shared" ref="T134:T139" si="60">G134*M134-O134</f>
        <v>0</v>
      </c>
    </row>
    <row r="135" spans="1:20">
      <c r="A135" s="430" t="s">
        <v>65</v>
      </c>
      <c r="B135" s="425">
        <v>15</v>
      </c>
      <c r="C135" s="4">
        <v>4976</v>
      </c>
      <c r="E135" s="14">
        <v>17.13</v>
      </c>
      <c r="F135" s="100"/>
      <c r="G135" s="15">
        <f t="shared" si="55"/>
        <v>85239</v>
      </c>
      <c r="I135" s="31">
        <v>9.1999999999999998E-3</v>
      </c>
      <c r="J135" s="100"/>
      <c r="K135" s="15">
        <f t="shared" si="56"/>
        <v>784.19880000000001</v>
      </c>
      <c r="M135" s="31">
        <f t="shared" si="57"/>
        <v>8.8000000000000005E-3</v>
      </c>
      <c r="N135" s="100"/>
      <c r="O135" s="15">
        <f t="shared" si="58"/>
        <v>750.10320000000002</v>
      </c>
      <c r="S135" s="138">
        <f t="shared" si="59"/>
        <v>0</v>
      </c>
      <c r="T135" s="139">
        <f t="shared" si="60"/>
        <v>0</v>
      </c>
    </row>
    <row r="136" spans="1:20">
      <c r="A136" s="430" t="s">
        <v>67</v>
      </c>
      <c r="B136" s="425">
        <v>16</v>
      </c>
      <c r="C136" s="4">
        <v>1102</v>
      </c>
      <c r="E136" s="14">
        <v>23.51</v>
      </c>
      <c r="F136" s="100"/>
      <c r="G136" s="15">
        <f t="shared" si="55"/>
        <v>25908</v>
      </c>
      <c r="I136" s="31">
        <v>9.1999999999999998E-3</v>
      </c>
      <c r="J136" s="100"/>
      <c r="K136" s="15">
        <f t="shared" si="56"/>
        <v>238.3536</v>
      </c>
      <c r="M136" s="31">
        <f t="shared" si="57"/>
        <v>8.8000000000000005E-3</v>
      </c>
      <c r="N136" s="100"/>
      <c r="O136" s="15">
        <f t="shared" si="58"/>
        <v>227.99040000000002</v>
      </c>
      <c r="S136" s="138">
        <f t="shared" si="59"/>
        <v>0</v>
      </c>
      <c r="T136" s="139">
        <f t="shared" si="60"/>
        <v>0</v>
      </c>
    </row>
    <row r="137" spans="1:20">
      <c r="A137" s="430" t="s">
        <v>68</v>
      </c>
      <c r="B137" s="425">
        <v>17</v>
      </c>
      <c r="C137" s="4">
        <v>1570</v>
      </c>
      <c r="E137" s="14">
        <v>21.23</v>
      </c>
      <c r="F137" s="100"/>
      <c r="G137" s="15">
        <f t="shared" si="55"/>
        <v>33331</v>
      </c>
      <c r="I137" s="31">
        <v>9.1999999999999998E-3</v>
      </c>
      <c r="J137" s="100"/>
      <c r="K137" s="15">
        <f t="shared" si="56"/>
        <v>306.64519999999999</v>
      </c>
      <c r="M137" s="31">
        <f t="shared" si="57"/>
        <v>8.8000000000000005E-3</v>
      </c>
      <c r="N137" s="100"/>
      <c r="O137" s="15">
        <f t="shared" si="58"/>
        <v>293.31280000000004</v>
      </c>
      <c r="S137" s="138">
        <f t="shared" si="59"/>
        <v>0</v>
      </c>
      <c r="T137" s="139">
        <f t="shared" si="60"/>
        <v>0</v>
      </c>
    </row>
    <row r="138" spans="1:20">
      <c r="A138" s="430" t="s">
        <v>69</v>
      </c>
      <c r="B138" s="425">
        <v>18</v>
      </c>
      <c r="C138" s="4">
        <v>9734</v>
      </c>
      <c r="E138" s="14">
        <v>28.3</v>
      </c>
      <c r="F138" s="100"/>
      <c r="G138" s="15">
        <f t="shared" si="55"/>
        <v>275472</v>
      </c>
      <c r="I138" s="31">
        <v>9.1999999999999998E-3</v>
      </c>
      <c r="J138" s="100"/>
      <c r="K138" s="15">
        <f t="shared" si="56"/>
        <v>2534.3424</v>
      </c>
      <c r="M138" s="31">
        <f t="shared" si="57"/>
        <v>8.8000000000000005E-3</v>
      </c>
      <c r="N138" s="100"/>
      <c r="O138" s="15">
        <f t="shared" si="58"/>
        <v>2424.1536000000001</v>
      </c>
      <c r="S138" s="138">
        <f t="shared" si="59"/>
        <v>0</v>
      </c>
      <c r="T138" s="139">
        <f t="shared" si="60"/>
        <v>0</v>
      </c>
    </row>
    <row r="139" spans="1:20">
      <c r="A139" s="430" t="s">
        <v>70</v>
      </c>
      <c r="B139" s="425">
        <v>19</v>
      </c>
      <c r="C139" s="4">
        <v>11772</v>
      </c>
      <c r="E139" s="14">
        <v>25.99</v>
      </c>
      <c r="F139" s="100"/>
      <c r="G139" s="15">
        <f t="shared" si="55"/>
        <v>305954</v>
      </c>
      <c r="I139" s="31">
        <v>9.1999999999999998E-3</v>
      </c>
      <c r="J139" s="100"/>
      <c r="K139" s="15">
        <f t="shared" si="56"/>
        <v>2814.7768000000001</v>
      </c>
      <c r="M139" s="31">
        <f t="shared" si="57"/>
        <v>8.8000000000000005E-3</v>
      </c>
      <c r="N139" s="100"/>
      <c r="O139" s="15">
        <f t="shared" si="58"/>
        <v>2692.3952000000004</v>
      </c>
      <c r="S139" s="138">
        <f t="shared" si="59"/>
        <v>0</v>
      </c>
      <c r="T139" s="139">
        <f t="shared" si="60"/>
        <v>0</v>
      </c>
    </row>
    <row r="140" spans="1:20">
      <c r="A140" s="434" t="s">
        <v>72</v>
      </c>
      <c r="B140" s="425"/>
      <c r="C140" s="4"/>
      <c r="G140" s="92"/>
      <c r="H140" s="20"/>
      <c r="L140" s="20"/>
      <c r="S140" s="138"/>
      <c r="T140" s="139"/>
    </row>
    <row r="141" spans="1:20">
      <c r="A141" s="430" t="s">
        <v>73</v>
      </c>
      <c r="B141" s="425">
        <v>20</v>
      </c>
      <c r="C141" s="4">
        <v>0</v>
      </c>
      <c r="E141" s="14">
        <v>29.4</v>
      </c>
      <c r="F141" s="100"/>
      <c r="G141" s="15">
        <f t="shared" ref="G141:G148" si="61">ROUND(E141*$C141,0)</f>
        <v>0</v>
      </c>
      <c r="I141" s="31">
        <v>9.1999999999999998E-3</v>
      </c>
      <c r="J141" s="100"/>
      <c r="K141" s="15">
        <f t="shared" ref="K141:K148" si="62">$G141*I141</f>
        <v>0</v>
      </c>
      <c r="M141" s="31">
        <f t="shared" ref="M141:M148" si="63">$R$121</f>
        <v>8.8000000000000005E-3</v>
      </c>
      <c r="N141" s="100"/>
      <c r="O141" s="15">
        <f t="shared" ref="O141:O148" si="64">$G141*M141</f>
        <v>0</v>
      </c>
      <c r="S141" s="138">
        <f t="shared" ref="S141:S148" si="65">G141*I141-K141</f>
        <v>0</v>
      </c>
      <c r="T141" s="139">
        <f t="shared" ref="T141:T148" si="66">G141*M141-O141</f>
        <v>0</v>
      </c>
    </row>
    <row r="142" spans="1:20">
      <c r="A142" s="430" t="s">
        <v>74</v>
      </c>
      <c r="B142" s="425">
        <v>21</v>
      </c>
      <c r="C142" s="4">
        <v>265</v>
      </c>
      <c r="E142" s="14">
        <v>21.79</v>
      </c>
      <c r="F142" s="100"/>
      <c r="G142" s="15">
        <f t="shared" si="61"/>
        <v>5774</v>
      </c>
      <c r="I142" s="31">
        <v>9.1999999999999998E-3</v>
      </c>
      <c r="J142" s="100"/>
      <c r="K142" s="15">
        <f t="shared" si="62"/>
        <v>53.120799999999996</v>
      </c>
      <c r="M142" s="31">
        <f t="shared" si="63"/>
        <v>8.8000000000000005E-3</v>
      </c>
      <c r="N142" s="100"/>
      <c r="O142" s="15">
        <f t="shared" si="64"/>
        <v>50.811200000000007</v>
      </c>
      <c r="S142" s="138">
        <f t="shared" si="65"/>
        <v>0</v>
      </c>
      <c r="T142" s="139">
        <f t="shared" si="66"/>
        <v>0</v>
      </c>
    </row>
    <row r="143" spans="1:20">
      <c r="A143" s="430" t="s">
        <v>75</v>
      </c>
      <c r="B143" s="425">
        <v>22</v>
      </c>
      <c r="C143" s="4">
        <v>110</v>
      </c>
      <c r="E143" s="14">
        <v>34.340000000000003</v>
      </c>
      <c r="F143" s="100"/>
      <c r="G143" s="15">
        <f t="shared" si="61"/>
        <v>3777</v>
      </c>
      <c r="I143" s="31">
        <v>9.1999999999999998E-3</v>
      </c>
      <c r="J143" s="100"/>
      <c r="K143" s="15">
        <f t="shared" si="62"/>
        <v>34.748399999999997</v>
      </c>
      <c r="M143" s="31">
        <f t="shared" si="63"/>
        <v>8.8000000000000005E-3</v>
      </c>
      <c r="N143" s="100"/>
      <c r="O143" s="15">
        <f t="shared" si="64"/>
        <v>33.2376</v>
      </c>
      <c r="S143" s="138">
        <f t="shared" si="65"/>
        <v>0</v>
      </c>
      <c r="T143" s="139">
        <f t="shared" si="66"/>
        <v>0</v>
      </c>
    </row>
    <row r="144" spans="1:20">
      <c r="A144" s="430" t="s">
        <v>76</v>
      </c>
      <c r="B144" s="425">
        <v>23</v>
      </c>
      <c r="C144" s="4">
        <v>97</v>
      </c>
      <c r="E144" s="14">
        <v>27.43</v>
      </c>
      <c r="F144" s="100"/>
      <c r="G144" s="15">
        <f t="shared" si="61"/>
        <v>2661</v>
      </c>
      <c r="I144" s="31">
        <v>9.1999999999999998E-3</v>
      </c>
      <c r="J144" s="100"/>
      <c r="K144" s="15">
        <f t="shared" si="62"/>
        <v>24.481200000000001</v>
      </c>
      <c r="M144" s="31">
        <f t="shared" si="63"/>
        <v>8.8000000000000005E-3</v>
      </c>
      <c r="N144" s="100"/>
      <c r="O144" s="15">
        <f t="shared" si="64"/>
        <v>23.416800000000002</v>
      </c>
      <c r="S144" s="138">
        <f t="shared" si="65"/>
        <v>0</v>
      </c>
      <c r="T144" s="139">
        <f t="shared" si="66"/>
        <v>0</v>
      </c>
    </row>
    <row r="145" spans="1:20" s="163" customFormat="1">
      <c r="A145" s="430" t="s">
        <v>77</v>
      </c>
      <c r="B145" s="425">
        <v>24</v>
      </c>
      <c r="C145" s="4">
        <v>469</v>
      </c>
      <c r="D145" s="167"/>
      <c r="E145" s="14">
        <v>36.69</v>
      </c>
      <c r="F145" s="100"/>
      <c r="G145" s="15">
        <f t="shared" si="61"/>
        <v>17208</v>
      </c>
      <c r="H145" s="5"/>
      <c r="I145" s="31">
        <v>9.1999999999999998E-3</v>
      </c>
      <c r="J145" s="100"/>
      <c r="K145" s="15">
        <f t="shared" si="62"/>
        <v>158.31360000000001</v>
      </c>
      <c r="L145" s="5"/>
      <c r="M145" s="31">
        <f t="shared" si="63"/>
        <v>8.8000000000000005E-3</v>
      </c>
      <c r="N145" s="100"/>
      <c r="O145" s="15">
        <f t="shared" si="64"/>
        <v>151.43040000000002</v>
      </c>
      <c r="S145" s="138">
        <f t="shared" si="65"/>
        <v>0</v>
      </c>
      <c r="T145" s="139">
        <f t="shared" si="66"/>
        <v>0</v>
      </c>
    </row>
    <row r="146" spans="1:20">
      <c r="A146" s="430" t="s">
        <v>78</v>
      </c>
      <c r="B146" s="425">
        <v>25</v>
      </c>
      <c r="C146" s="4">
        <v>630</v>
      </c>
      <c r="E146" s="14">
        <v>29.72</v>
      </c>
      <c r="F146" s="100"/>
      <c r="G146" s="15">
        <f t="shared" si="61"/>
        <v>18724</v>
      </c>
      <c r="I146" s="31">
        <v>9.1999999999999998E-3</v>
      </c>
      <c r="J146" s="100"/>
      <c r="K146" s="15">
        <f t="shared" si="62"/>
        <v>172.26079999999999</v>
      </c>
      <c r="M146" s="31">
        <f t="shared" si="63"/>
        <v>8.8000000000000005E-3</v>
      </c>
      <c r="N146" s="100"/>
      <c r="O146" s="15">
        <f t="shared" si="64"/>
        <v>164.77120000000002</v>
      </c>
      <c r="S146" s="138">
        <f t="shared" si="65"/>
        <v>0</v>
      </c>
      <c r="T146" s="139">
        <f t="shared" si="66"/>
        <v>0</v>
      </c>
    </row>
    <row r="147" spans="1:20">
      <c r="A147" s="430" t="s">
        <v>79</v>
      </c>
      <c r="B147" s="425">
        <v>26</v>
      </c>
      <c r="C147" s="4">
        <v>24</v>
      </c>
      <c r="E147" s="14">
        <v>57.58</v>
      </c>
      <c r="F147" s="100"/>
      <c r="G147" s="15">
        <f t="shared" si="61"/>
        <v>1382</v>
      </c>
      <c r="I147" s="31">
        <v>9.1999999999999998E-3</v>
      </c>
      <c r="J147" s="100"/>
      <c r="K147" s="15">
        <f t="shared" si="62"/>
        <v>12.714399999999999</v>
      </c>
      <c r="M147" s="31">
        <f t="shared" si="63"/>
        <v>8.8000000000000005E-3</v>
      </c>
      <c r="N147" s="100"/>
      <c r="O147" s="15">
        <f t="shared" si="64"/>
        <v>12.1616</v>
      </c>
      <c r="S147" s="138">
        <f t="shared" si="65"/>
        <v>0</v>
      </c>
      <c r="T147" s="139">
        <f t="shared" si="66"/>
        <v>0</v>
      </c>
    </row>
    <row r="148" spans="1:20">
      <c r="A148" s="430" t="s">
        <v>80</v>
      </c>
      <c r="B148" s="425">
        <v>27</v>
      </c>
      <c r="C148" s="4">
        <v>60</v>
      </c>
      <c r="E148" s="14">
        <v>49.1</v>
      </c>
      <c r="F148" s="100"/>
      <c r="G148" s="37">
        <f t="shared" si="61"/>
        <v>2946</v>
      </c>
      <c r="I148" s="31">
        <v>9.1999999999999998E-3</v>
      </c>
      <c r="J148" s="100"/>
      <c r="K148" s="37">
        <f t="shared" si="62"/>
        <v>27.103200000000001</v>
      </c>
      <c r="M148" s="31">
        <f t="shared" si="63"/>
        <v>8.8000000000000005E-3</v>
      </c>
      <c r="N148" s="100"/>
      <c r="O148" s="37">
        <f t="shared" si="64"/>
        <v>25.924800000000001</v>
      </c>
      <c r="S148" s="138">
        <f t="shared" si="65"/>
        <v>0</v>
      </c>
      <c r="T148" s="139">
        <f t="shared" si="66"/>
        <v>0</v>
      </c>
    </row>
    <row r="149" spans="1:20">
      <c r="A149" s="430" t="s">
        <v>81</v>
      </c>
      <c r="B149" s="427"/>
      <c r="C149" s="4">
        <v>159509</v>
      </c>
      <c r="G149" s="15">
        <f>SUM(G117:G148)</f>
        <v>2999060</v>
      </c>
      <c r="K149" s="15">
        <f>SUM(K117:K148)</f>
        <v>27591.351999999999</v>
      </c>
      <c r="O149" s="15">
        <f>SUM(O117:O148)</f>
        <v>26391.728000000003</v>
      </c>
    </row>
    <row r="150" spans="1:20">
      <c r="A150" s="430" t="s">
        <v>82</v>
      </c>
      <c r="B150" s="425"/>
      <c r="C150" s="13">
        <v>12440930.563737754</v>
      </c>
      <c r="G150" s="15"/>
      <c r="K150" s="15"/>
      <c r="O150" s="15"/>
    </row>
    <row r="151" spans="1:20">
      <c r="A151" s="430" t="s">
        <v>83</v>
      </c>
      <c r="B151" s="425"/>
      <c r="C151" s="36">
        <v>0</v>
      </c>
      <c r="E151" s="175"/>
      <c r="G151" s="37">
        <v>0</v>
      </c>
      <c r="I151" s="116"/>
      <c r="K151" s="37"/>
      <c r="M151" s="116"/>
      <c r="O151" s="37"/>
    </row>
    <row r="152" spans="1:20">
      <c r="A152" s="430" t="s">
        <v>84</v>
      </c>
      <c r="B152" s="425"/>
      <c r="C152" s="4">
        <v>8046</v>
      </c>
      <c r="G152" s="92"/>
    </row>
    <row r="153" spans="1:20" ht="16.5" thickBot="1">
      <c r="A153" s="430" t="s">
        <v>85</v>
      </c>
      <c r="B153" s="425"/>
      <c r="C153" s="38">
        <v>12440930.563737754</v>
      </c>
      <c r="E153" s="173"/>
      <c r="G153" s="26">
        <f>G151+G149</f>
        <v>2999060</v>
      </c>
      <c r="H153" s="20"/>
      <c r="I153" s="107"/>
      <c r="K153" s="26">
        <f>K151+K149</f>
        <v>27591.351999999999</v>
      </c>
      <c r="L153" s="20"/>
      <c r="M153" s="107"/>
      <c r="O153" s="26">
        <f>O151+O149</f>
        <v>26391.728000000003</v>
      </c>
    </row>
    <row r="154" spans="1:20" ht="16.5" thickTop="1">
      <c r="A154" s="160"/>
      <c r="B154" s="425"/>
      <c r="D154" s="20"/>
      <c r="G154" s="92"/>
    </row>
    <row r="155" spans="1:20">
      <c r="A155" s="429" t="s">
        <v>86</v>
      </c>
      <c r="B155" s="425"/>
      <c r="C155" s="4"/>
      <c r="G155" s="92"/>
      <c r="I155" s="108"/>
      <c r="J155" s="109"/>
      <c r="M155" s="108"/>
      <c r="N155" s="109"/>
    </row>
    <row r="156" spans="1:20">
      <c r="A156" s="430" t="s">
        <v>7</v>
      </c>
      <c r="B156" s="425"/>
      <c r="C156" s="4">
        <v>3282</v>
      </c>
      <c r="E156" s="14">
        <v>70</v>
      </c>
      <c r="F156" s="100"/>
      <c r="G156" s="15">
        <f>ROUND(E156*$C156,0)</f>
        <v>229740</v>
      </c>
      <c r="K156" s="15"/>
      <c r="O156" s="15"/>
      <c r="Q156" s="78" t="s">
        <v>290</v>
      </c>
      <c r="R156" s="11"/>
      <c r="S156" s="138"/>
      <c r="T156" s="139"/>
    </row>
    <row r="157" spans="1:20">
      <c r="A157" s="430" t="s">
        <v>87</v>
      </c>
      <c r="B157" s="425"/>
      <c r="C157" s="4">
        <v>5010201</v>
      </c>
      <c r="E157" s="14">
        <v>4.76</v>
      </c>
      <c r="F157" s="100"/>
      <c r="G157" s="15">
        <f>ROUND(E157*$C157,0)</f>
        <v>23848557</v>
      </c>
      <c r="K157" s="15"/>
      <c r="O157" s="15"/>
      <c r="Q157" s="70" t="s">
        <v>14</v>
      </c>
      <c r="R157" s="17">
        <f>O165+SUM(O441:O447)</f>
        <v>2821741.3495000005</v>
      </c>
      <c r="S157" s="138"/>
      <c r="T157" s="139"/>
    </row>
    <row r="158" spans="1:20">
      <c r="A158" s="430" t="s">
        <v>88</v>
      </c>
      <c r="B158" s="425"/>
      <c r="C158" s="4">
        <v>2097818</v>
      </c>
      <c r="E158" s="14">
        <v>15.56</v>
      </c>
      <c r="F158" s="100"/>
      <c r="G158" s="15">
        <f>ROUND(E158*$C158,0)</f>
        <v>32642048</v>
      </c>
      <c r="I158" s="31">
        <v>2.93E-2</v>
      </c>
      <c r="J158" s="100"/>
      <c r="K158" s="15">
        <f t="shared" ref="K158" si="67">$G158*I158</f>
        <v>956412.00639999995</v>
      </c>
      <c r="M158" s="31">
        <f>$R$160</f>
        <v>1.9300000000000001E-2</v>
      </c>
      <c r="N158" s="100"/>
      <c r="O158" s="15">
        <f t="shared" ref="O158:O159" si="68">$G158*M158</f>
        <v>629991.52640000009</v>
      </c>
      <c r="Q158" s="71" t="s">
        <v>16</v>
      </c>
      <c r="R158" s="18">
        <f>('Exhibit-RMP(JRS-1) page 2'!M24+'Exhibit-RMP(JRS-1) page 2'!M33*SUM('Exhibit-RMP(JRS-2)'!G442:G443,'Exhibit-RMP(JRS-2)'!G445:G447)/SUM('Exhibit-RMP(JRS-2)'!G442:G443,'Exhibit-RMP(JRS-2)'!G445:G447,'Exhibit-RMP(JRS-2)'!G450:G454))*1000</f>
        <v>2820630.471385953</v>
      </c>
      <c r="S158" s="138">
        <f>G158*I158-K158</f>
        <v>0</v>
      </c>
      <c r="T158" s="139">
        <f>G158*M158-O158</f>
        <v>0</v>
      </c>
    </row>
    <row r="159" spans="1:20">
      <c r="A159" s="430" t="s">
        <v>89</v>
      </c>
      <c r="B159" s="425"/>
      <c r="C159" s="4">
        <v>2761958</v>
      </c>
      <c r="E159" s="14">
        <v>11.19</v>
      </c>
      <c r="F159" s="100"/>
      <c r="G159" s="15">
        <f>ROUND(E159*$C159,0)</f>
        <v>30906310</v>
      </c>
      <c r="I159" s="31">
        <v>2.93E-2</v>
      </c>
      <c r="J159" s="100"/>
      <c r="K159" s="15">
        <f t="shared" ref="K159" si="69">$G159*I159</f>
        <v>905554.88300000003</v>
      </c>
      <c r="M159" s="31">
        <f>$R$160</f>
        <v>1.9300000000000001E-2</v>
      </c>
      <c r="N159" s="100"/>
      <c r="O159" s="15">
        <f t="shared" si="68"/>
        <v>596491.78300000005</v>
      </c>
      <c r="Q159" s="72" t="s">
        <v>18</v>
      </c>
      <c r="R159" s="19">
        <f>R158-R157</f>
        <v>-1110.8781140474603</v>
      </c>
      <c r="S159" s="138">
        <f>G159*I159-K159</f>
        <v>0</v>
      </c>
      <c r="T159" s="139">
        <f>G159*M159-O159</f>
        <v>0</v>
      </c>
    </row>
    <row r="160" spans="1:20">
      <c r="A160" s="430" t="s">
        <v>32</v>
      </c>
      <c r="B160" s="425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20"/>
      <c r="I160" s="31"/>
      <c r="J160" s="100"/>
      <c r="K160" s="15"/>
      <c r="L160" s="20"/>
      <c r="M160" s="31"/>
      <c r="N160" s="100"/>
      <c r="O160" s="15"/>
      <c r="Q160" s="75" t="s">
        <v>21</v>
      </c>
      <c r="R160" s="76">
        <f>ROUND(R158/SUM(G158:G159,G161:G163,G442:G443,G445:G447),$R$12)</f>
        <v>1.9300000000000001E-2</v>
      </c>
      <c r="S160" s="138"/>
      <c r="T160" s="139"/>
    </row>
    <row r="161" spans="1:20">
      <c r="A161" s="430" t="s">
        <v>27</v>
      </c>
      <c r="B161" s="425"/>
      <c r="C161" s="4">
        <v>260094535</v>
      </c>
      <c r="E161" s="117">
        <v>5.0473999999999997</v>
      </c>
      <c r="F161" s="102" t="s">
        <v>11</v>
      </c>
      <c r="G161" s="15">
        <f>ROUND(E161*$C161/100,0)</f>
        <v>13128012</v>
      </c>
      <c r="H161" s="20"/>
      <c r="I161" s="31">
        <v>2.93E-2</v>
      </c>
      <c r="J161" s="100"/>
      <c r="K161" s="15">
        <f t="shared" ref="K161:K163" si="70">$G161*I161</f>
        <v>384650.75160000002</v>
      </c>
      <c r="L161" s="20"/>
      <c r="M161" s="31">
        <f>$R$160</f>
        <v>1.9300000000000001E-2</v>
      </c>
      <c r="N161" s="100"/>
      <c r="O161" s="15">
        <f t="shared" ref="O161:O163" si="71">$G161*M161</f>
        <v>253370.63160000002</v>
      </c>
      <c r="S161" s="138">
        <f>G161*I161-K161</f>
        <v>0</v>
      </c>
      <c r="T161" s="139">
        <f>G161*M161-O161</f>
        <v>0</v>
      </c>
    </row>
    <row r="162" spans="1:20">
      <c r="A162" s="430" t="s">
        <v>52</v>
      </c>
      <c r="B162" s="425"/>
      <c r="C162" s="4">
        <v>625992212</v>
      </c>
      <c r="E162" s="117">
        <v>3.9510999999999998</v>
      </c>
      <c r="F162" s="102" t="s">
        <v>11</v>
      </c>
      <c r="G162" s="15">
        <f>ROUND(E162*$C162/100,0)</f>
        <v>24733578</v>
      </c>
      <c r="H162" s="20"/>
      <c r="I162" s="31">
        <v>2.93E-2</v>
      </c>
      <c r="J162" s="100"/>
      <c r="K162" s="15">
        <f t="shared" si="70"/>
        <v>724693.83539999998</v>
      </c>
      <c r="L162" s="20"/>
      <c r="M162" s="31">
        <f>$R$160</f>
        <v>1.9300000000000001E-2</v>
      </c>
      <c r="N162" s="100"/>
      <c r="O162" s="15">
        <f t="shared" si="71"/>
        <v>477358.05540000001</v>
      </c>
      <c r="S162" s="138">
        <f>G162*I162-K162</f>
        <v>0</v>
      </c>
      <c r="T162" s="139">
        <f>G162*M162-O162</f>
        <v>0</v>
      </c>
    </row>
    <row r="163" spans="1:20">
      <c r="A163" s="430" t="s">
        <v>90</v>
      </c>
      <c r="B163" s="425"/>
      <c r="C163" s="4">
        <v>1300960578.5884075</v>
      </c>
      <c r="E163" s="117">
        <v>3.4001999999999999</v>
      </c>
      <c r="F163" s="102" t="s">
        <v>11</v>
      </c>
      <c r="G163" s="15">
        <f>ROUND(E163*$C163/100,0)</f>
        <v>44235262</v>
      </c>
      <c r="H163" s="20"/>
      <c r="I163" s="31">
        <v>2.93E-2</v>
      </c>
      <c r="J163" s="100"/>
      <c r="K163" s="15">
        <f t="shared" si="70"/>
        <v>1296093.1765999999</v>
      </c>
      <c r="L163" s="20"/>
      <c r="M163" s="31">
        <f>$R$160</f>
        <v>1.9300000000000001E-2</v>
      </c>
      <c r="N163" s="100"/>
      <c r="O163" s="15">
        <f t="shared" si="71"/>
        <v>853740.55660000001</v>
      </c>
      <c r="S163" s="138">
        <f>G163*I163-K163</f>
        <v>0</v>
      </c>
      <c r="T163" s="139">
        <f>G163*M163-O163</f>
        <v>0</v>
      </c>
    </row>
    <row r="164" spans="1:20">
      <c r="A164" s="430" t="s">
        <v>24</v>
      </c>
      <c r="B164" s="425"/>
      <c r="C164" s="23">
        <v>0</v>
      </c>
      <c r="G164" s="24">
        <v>0</v>
      </c>
      <c r="H164" s="20"/>
      <c r="K164" s="24"/>
      <c r="L164" s="20"/>
      <c r="O164" s="24"/>
    </row>
    <row r="165" spans="1:20" ht="16.5" thickBot="1">
      <c r="A165" s="430" t="s">
        <v>25</v>
      </c>
      <c r="B165" s="425"/>
      <c r="C165" s="29">
        <v>2187047325.5884075</v>
      </c>
      <c r="E165" s="174"/>
      <c r="G165" s="28">
        <f>SUM(G156:G164)</f>
        <v>167313409</v>
      </c>
      <c r="H165" s="20"/>
      <c r="I165" s="113"/>
      <c r="K165" s="28">
        <f>SUM(K156:K164)</f>
        <v>4267404.6529999999</v>
      </c>
      <c r="L165" s="20"/>
      <c r="M165" s="113"/>
      <c r="O165" s="28">
        <f>SUM(O156:O164)</f>
        <v>2810952.5530000003</v>
      </c>
    </row>
    <row r="166" spans="1:20" ht="16.5" thickTop="1">
      <c r="A166" s="160"/>
      <c r="B166" s="425"/>
      <c r="G166" s="92"/>
      <c r="H166" s="20"/>
      <c r="I166" s="108"/>
      <c r="J166" s="109"/>
      <c r="L166" s="20"/>
      <c r="M166" s="108"/>
      <c r="N166" s="109"/>
    </row>
    <row r="167" spans="1:20">
      <c r="A167" s="429" t="s">
        <v>91</v>
      </c>
      <c r="B167" s="425"/>
      <c r="C167" s="4"/>
      <c r="G167" s="92"/>
    </row>
    <row r="168" spans="1:20">
      <c r="A168" s="430" t="s">
        <v>7</v>
      </c>
      <c r="B168" s="425"/>
      <c r="C168" s="4">
        <v>1791</v>
      </c>
      <c r="E168" s="14">
        <v>259</v>
      </c>
      <c r="F168" s="100"/>
      <c r="G168" s="15">
        <f>ROUND(E168*$C168,0)</f>
        <v>463869</v>
      </c>
      <c r="K168" s="15"/>
      <c r="O168" s="15"/>
      <c r="Q168" s="11" t="s">
        <v>313</v>
      </c>
      <c r="R168" s="12"/>
      <c r="S168" s="138"/>
      <c r="T168" s="139"/>
    </row>
    <row r="169" spans="1:20">
      <c r="A169" s="430" t="s">
        <v>87</v>
      </c>
      <c r="B169" s="425"/>
      <c r="C169" s="4">
        <v>9053509</v>
      </c>
      <c r="E169" s="14">
        <v>2.2200000000000002</v>
      </c>
      <c r="F169" s="100"/>
      <c r="G169" s="15">
        <f>ROUND(E169*$C169,0)</f>
        <v>20098790</v>
      </c>
      <c r="I169" s="31"/>
      <c r="J169" s="100"/>
      <c r="K169" s="15"/>
      <c r="M169" s="31"/>
      <c r="N169" s="100"/>
      <c r="O169" s="15"/>
      <c r="Q169" s="70" t="s">
        <v>14</v>
      </c>
      <c r="R169" s="17">
        <f>O176+SUM(O450:O454,O492)</f>
        <v>6564343.1126000006</v>
      </c>
      <c r="S169" s="138"/>
      <c r="T169" s="139"/>
    </row>
    <row r="170" spans="1:20">
      <c r="A170" s="430" t="s">
        <v>88</v>
      </c>
      <c r="B170" s="425"/>
      <c r="C170" s="4">
        <v>3715246</v>
      </c>
      <c r="E170" s="14">
        <v>13.96</v>
      </c>
      <c r="F170" s="100"/>
      <c r="G170" s="15">
        <f>ROUND(E170*$C170,0)</f>
        <v>51864834</v>
      </c>
      <c r="I170" s="31">
        <v>3.4299999999999997E-2</v>
      </c>
      <c r="J170" s="100"/>
      <c r="K170" s="15">
        <f t="shared" ref="K170" si="72">$G170*I170</f>
        <v>1778963.8061999998</v>
      </c>
      <c r="M170" s="31">
        <f>$R$172</f>
        <v>2.23E-2</v>
      </c>
      <c r="N170" s="100"/>
      <c r="O170" s="15">
        <f t="shared" ref="O170:O174" si="73">$G170*M170</f>
        <v>1156585.7982000001</v>
      </c>
      <c r="Q170" s="71" t="s">
        <v>16</v>
      </c>
      <c r="R170" s="18">
        <f>('Exhibit-RMP(JRS-1) page 2'!M25+'Exhibit-RMP(JRS-1) page 2'!M36+'Exhibit-RMP(JRS-1) page 2'!M33*SUM('Exhibit-RMP(JRS-2)'!G450:G454)/SUM('Exhibit-RMP(JRS-2)'!G442:G443,'Exhibit-RMP(JRS-2)'!G445:G447,'Exhibit-RMP(JRS-2)'!G450:G454))*1000</f>
        <v>6557205.367487398</v>
      </c>
      <c r="S170" s="138">
        <f>G170*I170-K170</f>
        <v>0</v>
      </c>
      <c r="T170" s="139">
        <f>G170*M170-O170</f>
        <v>0</v>
      </c>
    </row>
    <row r="171" spans="1:20">
      <c r="A171" s="430" t="s">
        <v>89</v>
      </c>
      <c r="B171" s="425"/>
      <c r="C171" s="4">
        <v>5150021</v>
      </c>
      <c r="E171" s="14">
        <v>9.4700000000000006</v>
      </c>
      <c r="F171" s="100"/>
      <c r="G171" s="15">
        <f>ROUND(E171*$C171,0)</f>
        <v>48770699</v>
      </c>
      <c r="I171" s="31">
        <v>3.4299999999999997E-2</v>
      </c>
      <c r="J171" s="100"/>
      <c r="K171" s="15">
        <f t="shared" ref="K171:K174" si="74">$G171*I171</f>
        <v>1672834.9756999998</v>
      </c>
      <c r="M171" s="31">
        <f>$R$172</f>
        <v>2.23E-2</v>
      </c>
      <c r="N171" s="100"/>
      <c r="O171" s="15">
        <f t="shared" si="73"/>
        <v>1087586.5877</v>
      </c>
      <c r="Q171" s="72" t="s">
        <v>18</v>
      </c>
      <c r="R171" s="19">
        <f>R170-R169</f>
        <v>-7137.745112602599</v>
      </c>
      <c r="S171" s="138">
        <f>G171*I171-K171</f>
        <v>0</v>
      </c>
      <c r="T171" s="139">
        <f>G171*M171-O171</f>
        <v>0</v>
      </c>
    </row>
    <row r="172" spans="1:20">
      <c r="A172" s="430" t="s">
        <v>92</v>
      </c>
      <c r="B172" s="425"/>
      <c r="C172" s="4">
        <v>507349132</v>
      </c>
      <c r="E172" s="118">
        <v>4.6531000000000002</v>
      </c>
      <c r="F172" s="102" t="s">
        <v>11</v>
      </c>
      <c r="G172" s="15">
        <f>ROUND(E172*$C172/100,0)</f>
        <v>23607462</v>
      </c>
      <c r="I172" s="31">
        <v>3.4299999999999997E-2</v>
      </c>
      <c r="J172" s="100"/>
      <c r="K172" s="15">
        <f t="shared" si="74"/>
        <v>809735.94659999991</v>
      </c>
      <c r="M172" s="31">
        <f>$R$172</f>
        <v>2.23E-2</v>
      </c>
      <c r="N172" s="100"/>
      <c r="O172" s="15">
        <f t="shared" si="73"/>
        <v>526446.40260000003</v>
      </c>
      <c r="Q172" s="75" t="s">
        <v>21</v>
      </c>
      <c r="R172" s="82">
        <f>ROUND(R170/SUM(G170:G174,G450:G454,G486:G491),$R$12)+R175</f>
        <v>2.23E-2</v>
      </c>
      <c r="S172" s="138">
        <f>G172*I172-K172</f>
        <v>0</v>
      </c>
      <c r="T172" s="139">
        <f>G172*M172-O172</f>
        <v>0</v>
      </c>
    </row>
    <row r="173" spans="1:20">
      <c r="A173" s="430" t="s">
        <v>93</v>
      </c>
      <c r="B173" s="425"/>
      <c r="C173" s="4">
        <v>1382941034</v>
      </c>
      <c r="E173" s="118">
        <v>3.4988999999999999</v>
      </c>
      <c r="F173" s="102" t="s">
        <v>11</v>
      </c>
      <c r="G173" s="15">
        <f>ROUND(E173*$C173/100,0)</f>
        <v>48387724</v>
      </c>
      <c r="I173" s="31">
        <v>3.4299999999999997E-2</v>
      </c>
      <c r="J173" s="100"/>
      <c r="K173" s="15">
        <f t="shared" si="74"/>
        <v>1659698.9331999999</v>
      </c>
      <c r="M173" s="31">
        <f>$R$172</f>
        <v>2.23E-2</v>
      </c>
      <c r="N173" s="100"/>
      <c r="O173" s="15">
        <f t="shared" si="73"/>
        <v>1079046.2452</v>
      </c>
      <c r="Q173" s="32" t="s">
        <v>45</v>
      </c>
      <c r="R173" s="33">
        <f>'Exhibit-RMP(JRS-1) page 1'!S49</f>
        <v>30899.68293848991</v>
      </c>
      <c r="S173" s="138">
        <f>G173*I173-K173</f>
        <v>0</v>
      </c>
      <c r="T173" s="139">
        <f>G173*M173-O173</f>
        <v>0</v>
      </c>
    </row>
    <row r="174" spans="1:20">
      <c r="A174" s="430" t="s">
        <v>90</v>
      </c>
      <c r="B174" s="425"/>
      <c r="C174" s="4">
        <v>3137145374.7653074</v>
      </c>
      <c r="E174" s="440">
        <v>2.9224999999999999</v>
      </c>
      <c r="F174" s="102" t="s">
        <v>11</v>
      </c>
      <c r="G174" s="15">
        <f>ROUND(E174*$C174/100,0)</f>
        <v>91683074</v>
      </c>
      <c r="I174" s="31">
        <v>3.4299999999999997E-2</v>
      </c>
      <c r="J174" s="100"/>
      <c r="K174" s="15">
        <f t="shared" si="74"/>
        <v>3144729.4381999997</v>
      </c>
      <c r="M174" s="31">
        <f>$R$172</f>
        <v>2.23E-2</v>
      </c>
      <c r="N174" s="100"/>
      <c r="O174" s="15">
        <f t="shared" si="73"/>
        <v>2044532.5501999999</v>
      </c>
      <c r="Q174" s="32" t="s">
        <v>46</v>
      </c>
      <c r="R174" s="33">
        <f>'Exhibit-RMP(JRS-1) page 2'!M49</f>
        <v>30906.269887382048</v>
      </c>
      <c r="S174" s="138">
        <f>G174*I174-K174</f>
        <v>0</v>
      </c>
      <c r="T174" s="139">
        <f>G174*M174-O174</f>
        <v>0</v>
      </c>
    </row>
    <row r="175" spans="1:20">
      <c r="A175" s="430" t="s">
        <v>24</v>
      </c>
      <c r="B175" s="425"/>
      <c r="C175" s="23">
        <v>0</v>
      </c>
      <c r="G175" s="24">
        <v>0</v>
      </c>
      <c r="K175" s="24"/>
      <c r="O175" s="24"/>
      <c r="Q175" s="34" t="s">
        <v>26</v>
      </c>
      <c r="R175" s="39">
        <v>0</v>
      </c>
      <c r="S175" s="138"/>
      <c r="T175" s="139"/>
    </row>
    <row r="176" spans="1:20" ht="16.5" thickBot="1">
      <c r="A176" s="430" t="s">
        <v>25</v>
      </c>
      <c r="B176" s="425"/>
      <c r="C176" s="29">
        <v>5027435540.7653065</v>
      </c>
      <c r="E176" s="174"/>
      <c r="G176" s="28">
        <f>SUM(G168:G175)</f>
        <v>284876452</v>
      </c>
      <c r="I176" s="113"/>
      <c r="K176" s="28">
        <f>SUM(K168:K175)</f>
        <v>9065963.0998999998</v>
      </c>
      <c r="M176" s="113"/>
      <c r="O176" s="28">
        <f>SUM(O168:O175)</f>
        <v>5894197.5839000009</v>
      </c>
      <c r="S176" s="138"/>
      <c r="T176" s="139"/>
    </row>
    <row r="177" spans="1:20" ht="16.5" thickTop="1">
      <c r="A177" s="160"/>
      <c r="B177" s="425"/>
      <c r="C177" s="4"/>
      <c r="G177" s="92"/>
    </row>
    <row r="178" spans="1:20">
      <c r="A178" s="429" t="s">
        <v>302</v>
      </c>
      <c r="B178" s="425"/>
      <c r="C178" s="4"/>
      <c r="E178" s="30"/>
      <c r="F178" s="115"/>
      <c r="G178" s="92"/>
      <c r="I178" s="108"/>
      <c r="J178" s="109"/>
      <c r="M178" s="108"/>
      <c r="N178" s="109"/>
    </row>
    <row r="179" spans="1:20">
      <c r="A179" s="430" t="s">
        <v>7</v>
      </c>
      <c r="B179" s="425"/>
      <c r="C179" s="4">
        <v>108</v>
      </c>
      <c r="E179" s="14">
        <v>259</v>
      </c>
      <c r="F179" s="100"/>
      <c r="G179" s="15">
        <f>ROUND(E179*$C179,0)</f>
        <v>27972</v>
      </c>
      <c r="K179" s="15"/>
      <c r="O179" s="15"/>
      <c r="Q179" s="70" t="s">
        <v>14</v>
      </c>
      <c r="R179" s="17">
        <f>O184</f>
        <v>67743.455000000002</v>
      </c>
      <c r="S179" s="138"/>
      <c r="T179" s="139"/>
    </row>
    <row r="180" spans="1:20">
      <c r="A180" s="430" t="s">
        <v>94</v>
      </c>
      <c r="B180" s="425"/>
      <c r="C180" s="4">
        <v>235118</v>
      </c>
      <c r="E180" s="14">
        <v>2.2200000000000002</v>
      </c>
      <c r="F180" s="100"/>
      <c r="G180" s="15">
        <f>ROUND(E180*$C180,0)</f>
        <v>521962</v>
      </c>
      <c r="I180" s="106"/>
      <c r="J180" s="115"/>
      <c r="K180" s="15"/>
      <c r="M180" s="106"/>
      <c r="N180" s="115"/>
      <c r="O180" s="15"/>
      <c r="Q180" s="71" t="s">
        <v>16</v>
      </c>
      <c r="R180" s="18">
        <f>'Exhibit-RMP(JRS-1) page 2'!M26*1000</f>
        <v>67743.213106668001</v>
      </c>
      <c r="S180" s="138"/>
      <c r="T180" s="139"/>
    </row>
    <row r="181" spans="1:20">
      <c r="A181" s="430" t="s">
        <v>95</v>
      </c>
      <c r="B181" s="425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I181" s="31">
        <v>3.8399999999999997E-2</v>
      </c>
      <c r="J181" s="102"/>
      <c r="K181" s="15">
        <f t="shared" ref="K181" si="75">$G181*I181</f>
        <v>78640.972799999989</v>
      </c>
      <c r="M181" s="31">
        <f>$R$182</f>
        <v>2.47E-2</v>
      </c>
      <c r="N181" s="102"/>
      <c r="O181" s="15">
        <f t="shared" ref="O181:O182" si="76">$G181*M181</f>
        <v>50584.167399999998</v>
      </c>
      <c r="Q181" s="72" t="s">
        <v>18</v>
      </c>
      <c r="R181" s="19">
        <f>R180-R179</f>
        <v>-0.24189333200047258</v>
      </c>
      <c r="S181" s="138">
        <f>G181*I181-K181</f>
        <v>0</v>
      </c>
      <c r="T181" s="139">
        <f>G181*M181-O181</f>
        <v>0</v>
      </c>
    </row>
    <row r="182" spans="1:20">
      <c r="A182" s="430" t="s">
        <v>90</v>
      </c>
      <c r="B182" s="425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I182" s="31">
        <v>3.8399999999999997E-2</v>
      </c>
      <c r="J182" s="102"/>
      <c r="K182" s="15">
        <f t="shared" ref="K182" si="77">$G182*I182</f>
        <v>26676.787199999999</v>
      </c>
      <c r="M182" s="31">
        <f>$R$182</f>
        <v>2.47E-2</v>
      </c>
      <c r="N182" s="102"/>
      <c r="O182" s="15">
        <f t="shared" si="76"/>
        <v>17159.2876</v>
      </c>
      <c r="Q182" s="75" t="s">
        <v>21</v>
      </c>
      <c r="R182" s="76">
        <f>ROUND(R180/SUM(G181:G182),$R$12)</f>
        <v>2.47E-2</v>
      </c>
      <c r="S182" s="138">
        <f>G182*I182-K182</f>
        <v>0</v>
      </c>
      <c r="T182" s="139">
        <f>G182*M182-O182</f>
        <v>0</v>
      </c>
    </row>
    <row r="183" spans="1:20">
      <c r="A183" s="430" t="s">
        <v>24</v>
      </c>
      <c r="B183" s="425"/>
      <c r="C183" s="23">
        <v>0</v>
      </c>
      <c r="G183" s="24">
        <v>0</v>
      </c>
      <c r="K183" s="24"/>
      <c r="O183" s="24"/>
      <c r="S183" s="138"/>
      <c r="T183" s="139"/>
    </row>
    <row r="184" spans="1:20" ht="16.5" thickBot="1">
      <c r="A184" s="430" t="s">
        <v>25</v>
      </c>
      <c r="B184" s="425"/>
      <c r="C184" s="29">
        <v>42590781.425473027</v>
      </c>
      <c r="E184" s="174"/>
      <c r="G184" s="28">
        <f>SUM(G179:G183)</f>
        <v>3292584</v>
      </c>
      <c r="I184" s="113"/>
      <c r="K184" s="28">
        <f>SUM(K179:K183)</f>
        <v>105317.75999999998</v>
      </c>
      <c r="M184" s="113"/>
      <c r="O184" s="28">
        <f>SUM(O179:O183)</f>
        <v>67743.455000000002</v>
      </c>
    </row>
    <row r="185" spans="1:20" ht="16.5" thickTop="1">
      <c r="A185" s="160"/>
      <c r="B185" s="425"/>
      <c r="C185" s="4"/>
      <c r="G185" s="92"/>
    </row>
    <row r="186" spans="1:20">
      <c r="A186" s="429" t="s">
        <v>96</v>
      </c>
      <c r="B186" s="425"/>
      <c r="G186" s="92"/>
    </row>
    <row r="187" spans="1:20">
      <c r="A187" s="430" t="s">
        <v>97</v>
      </c>
      <c r="B187" s="425"/>
      <c r="C187" s="4">
        <v>6</v>
      </c>
      <c r="E187" s="105">
        <v>125</v>
      </c>
      <c r="F187" s="20"/>
      <c r="G187" s="15">
        <f>ROUND(E187*$C187,0)</f>
        <v>750</v>
      </c>
      <c r="I187" s="106"/>
      <c r="J187" s="20"/>
      <c r="K187" s="15"/>
      <c r="M187" s="106"/>
      <c r="N187" s="20"/>
      <c r="O187" s="15"/>
      <c r="Q187" s="70" t="s">
        <v>14</v>
      </c>
      <c r="R187" s="17">
        <f>O200+O216</f>
        <v>252737.1526</v>
      </c>
      <c r="S187" s="138"/>
      <c r="T187" s="139"/>
    </row>
    <row r="188" spans="1:20">
      <c r="A188" s="430" t="s">
        <v>98</v>
      </c>
      <c r="B188" s="425"/>
      <c r="C188" s="4">
        <v>2778.3333333333335</v>
      </c>
      <c r="E188" s="105">
        <v>38</v>
      </c>
      <c r="F188" s="20"/>
      <c r="G188" s="15">
        <f>ROUND(E188*$C188,0)</f>
        <v>105577</v>
      </c>
      <c r="I188" s="106"/>
      <c r="J188" s="20"/>
      <c r="K188" s="15"/>
      <c r="M188" s="106"/>
      <c r="N188" s="20"/>
      <c r="O188" s="15"/>
      <c r="Q188" s="71" t="s">
        <v>16</v>
      </c>
      <c r="R188" s="18">
        <f>'Exhibit-RMP(JRS-1) page 2'!M30*1000</f>
        <v>253288.70885189448</v>
      </c>
      <c r="S188" s="138"/>
      <c r="T188" s="139"/>
    </row>
    <row r="189" spans="1:20">
      <c r="A189" s="430" t="s">
        <v>99</v>
      </c>
      <c r="B189" s="425"/>
      <c r="C189" s="4">
        <v>12565</v>
      </c>
      <c r="E189" s="105">
        <v>14</v>
      </c>
      <c r="F189" s="20"/>
      <c r="G189" s="15">
        <f>ROUND(E189*$C189,0)</f>
        <v>175910</v>
      </c>
      <c r="I189" s="106"/>
      <c r="J189" s="20"/>
      <c r="K189" s="15"/>
      <c r="M189" s="106"/>
      <c r="N189" s="20"/>
      <c r="O189" s="15"/>
      <c r="Q189" s="72" t="s">
        <v>18</v>
      </c>
      <c r="R189" s="19">
        <f>R188-R187</f>
        <v>551.55625189447892</v>
      </c>
      <c r="S189" s="138"/>
      <c r="T189" s="139"/>
    </row>
    <row r="190" spans="1:20">
      <c r="A190" s="430" t="s">
        <v>100</v>
      </c>
      <c r="B190" s="425"/>
      <c r="C190" s="4">
        <v>323633</v>
      </c>
      <c r="E190" s="105">
        <v>7.33</v>
      </c>
      <c r="F190" s="20"/>
      <c r="G190" s="15">
        <f>ROUND(E190*$C190,0)</f>
        <v>2372230</v>
      </c>
      <c r="I190" s="106">
        <v>2.4899999999999999E-2</v>
      </c>
      <c r="J190" s="20"/>
      <c r="K190" s="15">
        <f t="shared" ref="K190" si="78">$G190*I190</f>
        <v>59068.526999999995</v>
      </c>
      <c r="M190" s="106">
        <f>$R$190</f>
        <v>1.7899999999999999E-2</v>
      </c>
      <c r="N190" s="20"/>
      <c r="O190" s="15">
        <f t="shared" ref="O190" si="79">$G190*M190</f>
        <v>42462.917000000001</v>
      </c>
      <c r="Q190" s="75" t="s">
        <v>21</v>
      </c>
      <c r="R190" s="76">
        <f>ROUND(R188/SUM(G190,G192:G193,G197,G206,G208:G209,G213),$R$12)</f>
        <v>1.7899999999999999E-2</v>
      </c>
      <c r="S190" s="138">
        <f>G190*I190-K190</f>
        <v>0</v>
      </c>
      <c r="T190" s="139">
        <f>G190*M190-O190</f>
        <v>0</v>
      </c>
    </row>
    <row r="191" spans="1:20">
      <c r="A191" s="430" t="s">
        <v>32</v>
      </c>
      <c r="B191" s="425"/>
      <c r="C191" s="4">
        <v>10067</v>
      </c>
      <c r="E191" s="105">
        <v>-2.0499999999999998</v>
      </c>
      <c r="F191" s="20"/>
      <c r="G191" s="15">
        <f>ROUND(E191*$C191,0)</f>
        <v>-20637</v>
      </c>
      <c r="I191" s="106"/>
      <c r="J191" s="20"/>
      <c r="K191" s="15"/>
      <c r="M191" s="106"/>
      <c r="N191" s="20"/>
      <c r="O191" s="15"/>
      <c r="S191" s="138">
        <f>G191*I191-K191</f>
        <v>0</v>
      </c>
      <c r="T191" s="139">
        <f>G191*M191-O191</f>
        <v>0</v>
      </c>
    </row>
    <row r="192" spans="1:20">
      <c r="A192" s="430" t="s">
        <v>101</v>
      </c>
      <c r="B192" s="425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I192" s="106">
        <v>2.4899999999999999E-2</v>
      </c>
      <c r="J192" s="102"/>
      <c r="K192" s="15">
        <f t="shared" ref="K192:K193" si="80">$G192*I192</f>
        <v>129241.95599999999</v>
      </c>
      <c r="M192" s="106">
        <f>$R$190</f>
        <v>1.7899999999999999E-2</v>
      </c>
      <c r="N192" s="102"/>
      <c r="O192" s="15">
        <f t="shared" ref="O192:O193" si="81">$G192*M192</f>
        <v>92908.875999999989</v>
      </c>
      <c r="S192" s="138"/>
      <c r="T192" s="139"/>
    </row>
    <row r="193" spans="1:20">
      <c r="A193" s="430" t="s">
        <v>102</v>
      </c>
      <c r="B193" s="425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I193" s="106">
        <v>2.4899999999999999E-2</v>
      </c>
      <c r="J193" s="102"/>
      <c r="K193" s="24">
        <f t="shared" si="80"/>
        <v>69608.597399999999</v>
      </c>
      <c r="M193" s="106">
        <f>$R$190</f>
        <v>1.7899999999999999E-2</v>
      </c>
      <c r="N193" s="102"/>
      <c r="O193" s="24">
        <f t="shared" si="81"/>
        <v>50039.915399999998</v>
      </c>
      <c r="S193" s="138"/>
      <c r="T193" s="139"/>
    </row>
    <row r="194" spans="1:20">
      <c r="A194" s="430" t="s">
        <v>103</v>
      </c>
      <c r="B194" s="425"/>
      <c r="C194" s="40">
        <v>122960614</v>
      </c>
      <c r="E194" s="176"/>
      <c r="G194" s="24">
        <f>SUM(G187:G193)</f>
        <v>10619796</v>
      </c>
      <c r="I194" s="126"/>
      <c r="K194" s="24">
        <f>SUM(K187:K193)</f>
        <v>257919.08039999998</v>
      </c>
      <c r="M194" s="126"/>
      <c r="O194" s="24">
        <f>SUM(O187:O193)</f>
        <v>185411.7084</v>
      </c>
    </row>
    <row r="195" spans="1:20">
      <c r="A195" s="430" t="s">
        <v>104</v>
      </c>
      <c r="B195" s="425"/>
      <c r="C195" s="4"/>
      <c r="G195" s="92"/>
      <c r="I195" s="126"/>
      <c r="M195" s="126"/>
    </row>
    <row r="196" spans="1:20">
      <c r="A196" s="430" t="s">
        <v>450</v>
      </c>
      <c r="B196" s="425"/>
      <c r="C196" s="16">
        <v>5886</v>
      </c>
      <c r="E196" s="20">
        <v>14</v>
      </c>
      <c r="F196" s="20"/>
      <c r="G196" s="21">
        <f>ROUND(E196*$C196,0)</f>
        <v>82404</v>
      </c>
      <c r="I196" s="121"/>
      <c r="J196" s="20"/>
      <c r="K196" s="21"/>
      <c r="M196" s="121"/>
      <c r="N196" s="20"/>
      <c r="O196" s="21"/>
    </row>
    <row r="197" spans="1:20">
      <c r="A197" s="430" t="s">
        <v>105</v>
      </c>
      <c r="B197" s="425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I197" s="121">
        <v>2.4899999999999999E-2</v>
      </c>
      <c r="J197" s="102"/>
      <c r="K197" s="24">
        <f t="shared" ref="K197" si="82">$G197*I197</f>
        <v>62443.871399999996</v>
      </c>
      <c r="M197" s="106">
        <f>$R$190</f>
        <v>1.7899999999999999E-2</v>
      </c>
      <c r="N197" s="102"/>
      <c r="O197" s="24">
        <f t="shared" ref="O197" si="83">$G197*M197</f>
        <v>44889.369399999996</v>
      </c>
      <c r="S197" s="138">
        <f>G197*I197-K197</f>
        <v>0</v>
      </c>
      <c r="T197" s="139">
        <f>G197*M197-O197</f>
        <v>0</v>
      </c>
    </row>
    <row r="198" spans="1:20">
      <c r="A198" s="430" t="s">
        <v>106</v>
      </c>
      <c r="B198" s="425"/>
      <c r="C198" s="23">
        <v>50172778</v>
      </c>
      <c r="E198" s="176"/>
      <c r="G198" s="24">
        <f>G196+G197</f>
        <v>2590190</v>
      </c>
      <c r="I198" s="126"/>
      <c r="K198" s="24">
        <f>K196+K197</f>
        <v>62443.871399999996</v>
      </c>
      <c r="M198" s="126"/>
      <c r="O198" s="24">
        <f>O196+O197</f>
        <v>44889.369399999996</v>
      </c>
    </row>
    <row r="199" spans="1:20">
      <c r="A199" s="430" t="s">
        <v>24</v>
      </c>
      <c r="B199" s="425"/>
      <c r="C199" s="23">
        <v>0</v>
      </c>
      <c r="G199" s="24">
        <v>0</v>
      </c>
      <c r="I199" s="126"/>
      <c r="K199" s="24"/>
      <c r="M199" s="126"/>
      <c r="O199" s="24"/>
    </row>
    <row r="200" spans="1:20" ht="16.5" thickBot="1">
      <c r="A200" s="430" t="s">
        <v>107</v>
      </c>
      <c r="B200" s="425"/>
      <c r="C200" s="29">
        <v>173133392</v>
      </c>
      <c r="E200" s="174"/>
      <c r="G200" s="28">
        <f>G198+G194+G199</f>
        <v>13209986</v>
      </c>
      <c r="I200" s="113"/>
      <c r="K200" s="28">
        <f>K198+K194+K199</f>
        <v>320362.95179999998</v>
      </c>
      <c r="M200" s="113"/>
      <c r="O200" s="28">
        <f>O198+O194+O199</f>
        <v>230301.0778</v>
      </c>
    </row>
    <row r="201" spans="1:20" ht="16.5" thickTop="1">
      <c r="A201" s="160"/>
      <c r="B201" s="425"/>
      <c r="C201" s="4"/>
      <c r="G201" s="92"/>
      <c r="I201" s="108"/>
      <c r="J201" s="109"/>
      <c r="M201" s="108"/>
      <c r="N201" s="109"/>
    </row>
    <row r="202" spans="1:20">
      <c r="A202" s="429" t="s">
        <v>108</v>
      </c>
      <c r="B202" s="425"/>
      <c r="C202" s="4"/>
      <c r="G202" s="92"/>
    </row>
    <row r="203" spans="1:20">
      <c r="A203" s="430" t="s">
        <v>97</v>
      </c>
      <c r="B203" s="425"/>
      <c r="C203" s="4">
        <v>5</v>
      </c>
      <c r="E203" s="105">
        <v>125</v>
      </c>
      <c r="F203" s="20"/>
      <c r="G203" s="15">
        <f>ROUND(E203*$C203,0)</f>
        <v>625</v>
      </c>
      <c r="K203" s="15"/>
      <c r="O203" s="15"/>
    </row>
    <row r="204" spans="1:20">
      <c r="A204" s="430" t="s">
        <v>98</v>
      </c>
      <c r="B204" s="425"/>
      <c r="C204" s="4">
        <v>256</v>
      </c>
      <c r="E204" s="105">
        <v>38</v>
      </c>
      <c r="F204" s="20"/>
      <c r="G204" s="15">
        <f>ROUND(E204*$C204,0)</f>
        <v>9728</v>
      </c>
      <c r="I204" s="106"/>
      <c r="J204" s="20"/>
      <c r="K204" s="15"/>
      <c r="M204" s="106"/>
      <c r="N204" s="20"/>
      <c r="O204" s="15"/>
    </row>
    <row r="205" spans="1:20">
      <c r="A205" s="430" t="s">
        <v>109</v>
      </c>
      <c r="B205" s="425"/>
      <c r="C205" s="16">
        <v>1143</v>
      </c>
      <c r="E205" s="105">
        <v>14</v>
      </c>
      <c r="F205" s="20"/>
      <c r="G205" s="15">
        <f>ROUND(E205*$C205,0)</f>
        <v>16002</v>
      </c>
      <c r="I205" s="106"/>
      <c r="J205" s="20"/>
      <c r="K205" s="15"/>
      <c r="M205" s="106"/>
      <c r="N205" s="20"/>
      <c r="O205" s="15"/>
    </row>
    <row r="206" spans="1:20">
      <c r="A206" s="430" t="s">
        <v>100</v>
      </c>
      <c r="B206" s="425"/>
      <c r="C206" s="16">
        <v>37541</v>
      </c>
      <c r="E206" s="105">
        <v>7.33</v>
      </c>
      <c r="F206" s="20"/>
      <c r="G206" s="15">
        <f>ROUND(E206*$C206,0)</f>
        <v>275176</v>
      </c>
      <c r="I206" s="106">
        <v>2.4899999999999999E-2</v>
      </c>
      <c r="J206" s="20"/>
      <c r="K206" s="15">
        <f t="shared" ref="K206" si="84">$G206*I206</f>
        <v>6851.8823999999995</v>
      </c>
      <c r="M206" s="106">
        <f>$R$190</f>
        <v>1.7899999999999999E-2</v>
      </c>
      <c r="N206" s="20"/>
      <c r="O206" s="15">
        <f t="shared" ref="O206" si="85">$G206*M206</f>
        <v>4925.6503999999995</v>
      </c>
      <c r="S206" s="138">
        <f>G206*I206-K206</f>
        <v>0</v>
      </c>
      <c r="T206" s="139">
        <f>G206*M206-O206</f>
        <v>0</v>
      </c>
    </row>
    <row r="207" spans="1:20">
      <c r="A207" s="430" t="s">
        <v>110</v>
      </c>
      <c r="B207" s="425"/>
      <c r="C207" s="16">
        <v>1037</v>
      </c>
      <c r="E207" s="105">
        <v>-2.0499999999999998</v>
      </c>
      <c r="F207" s="20"/>
      <c r="G207" s="15">
        <f>ROUND(E207*$C207,0)</f>
        <v>-2126</v>
      </c>
      <c r="I207" s="106"/>
      <c r="J207" s="20"/>
      <c r="K207" s="15"/>
      <c r="M207" s="106"/>
      <c r="N207" s="20"/>
      <c r="O207" s="15"/>
      <c r="S207" s="138"/>
      <c r="T207" s="139"/>
    </row>
    <row r="208" spans="1:20">
      <c r="A208" s="430" t="s">
        <v>95</v>
      </c>
      <c r="B208" s="425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I208" s="106">
        <v>2.4899999999999999E-2</v>
      </c>
      <c r="J208" s="102"/>
      <c r="K208" s="15">
        <f t="shared" ref="K208:K209" si="86">$G208*I208</f>
        <v>8120.9357999999993</v>
      </c>
      <c r="M208" s="106">
        <f>$R$190</f>
        <v>1.7899999999999999E-2</v>
      </c>
      <c r="N208" s="102"/>
      <c r="O208" s="15">
        <f t="shared" ref="O208:O209" si="87">$G208*M208</f>
        <v>5837.9417999999996</v>
      </c>
      <c r="S208" s="138">
        <f>G208*I208-K208</f>
        <v>0</v>
      </c>
      <c r="T208" s="139">
        <f>G208*M208-O208</f>
        <v>0</v>
      </c>
    </row>
    <row r="209" spans="1:20">
      <c r="A209" s="430" t="s">
        <v>90</v>
      </c>
      <c r="B209" s="425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I209" s="106">
        <v>2.4899999999999999E-2</v>
      </c>
      <c r="J209" s="102"/>
      <c r="K209" s="24">
        <f t="shared" si="86"/>
        <v>8869.1309999999994</v>
      </c>
      <c r="M209" s="106">
        <f>$R$190</f>
        <v>1.7899999999999999E-2</v>
      </c>
      <c r="N209" s="102"/>
      <c r="O209" s="24">
        <f t="shared" si="87"/>
        <v>6375.8009999999995</v>
      </c>
      <c r="S209" s="138">
        <f>G209*I209-K209</f>
        <v>0</v>
      </c>
      <c r="T209" s="139">
        <f>G209*M209-O209</f>
        <v>0</v>
      </c>
    </row>
    <row r="210" spans="1:20">
      <c r="A210" s="430" t="s">
        <v>103</v>
      </c>
      <c r="B210" s="425"/>
      <c r="C210" s="23">
        <v>10836514</v>
      </c>
      <c r="E210" s="176"/>
      <c r="G210" s="24">
        <f>SUM(G203:G209)</f>
        <v>981737</v>
      </c>
      <c r="I210" s="126"/>
      <c r="K210" s="24">
        <f>SUM(K203:K209)</f>
        <v>23841.949199999995</v>
      </c>
      <c r="M210" s="126"/>
      <c r="O210" s="24">
        <f>SUM(O203:O209)</f>
        <v>17139.393199999999</v>
      </c>
    </row>
    <row r="211" spans="1:20">
      <c r="A211" s="430" t="s">
        <v>104</v>
      </c>
      <c r="B211" s="425"/>
      <c r="C211" s="4"/>
      <c r="G211" s="92"/>
      <c r="I211" s="126"/>
      <c r="M211" s="126"/>
    </row>
    <row r="212" spans="1:20">
      <c r="A212" s="430" t="s">
        <v>450</v>
      </c>
      <c r="B212" s="425"/>
      <c r="C212" s="16">
        <v>570</v>
      </c>
      <c r="E212" s="20">
        <v>14</v>
      </c>
      <c r="F212" s="20"/>
      <c r="G212" s="21">
        <f>ROUND(E212*$C212,0)</f>
        <v>7980</v>
      </c>
      <c r="I212" s="121"/>
      <c r="J212" s="20"/>
      <c r="K212" s="21"/>
      <c r="M212" s="121"/>
      <c r="N212" s="20"/>
      <c r="O212" s="21"/>
    </row>
    <row r="213" spans="1:20">
      <c r="A213" s="430" t="s">
        <v>105</v>
      </c>
      <c r="B213" s="425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I213" s="121">
        <v>2.4899999999999999E-2</v>
      </c>
      <c r="J213" s="102"/>
      <c r="K213" s="24">
        <f t="shared" ref="K213" si="88">$G213*I213</f>
        <v>7368.0095999999994</v>
      </c>
      <c r="M213" s="106">
        <f>$R$190</f>
        <v>1.7899999999999999E-2</v>
      </c>
      <c r="N213" s="102"/>
      <c r="O213" s="24">
        <f t="shared" ref="O213" si="89">$G213*M213</f>
        <v>5296.6815999999999</v>
      </c>
      <c r="S213" s="138">
        <f>G213*I213-K213</f>
        <v>0</v>
      </c>
      <c r="T213" s="139">
        <f>G213*M213-O213</f>
        <v>0</v>
      </c>
    </row>
    <row r="214" spans="1:20">
      <c r="A214" s="430" t="s">
        <v>106</v>
      </c>
      <c r="B214" s="425"/>
      <c r="C214" s="23">
        <v>5920094</v>
      </c>
      <c r="E214" s="176"/>
      <c r="G214" s="24">
        <f>G212+G213</f>
        <v>303884</v>
      </c>
      <c r="I214" s="126"/>
      <c r="K214" s="24">
        <f>K212+K213</f>
        <v>7368.0095999999994</v>
      </c>
      <c r="M214" s="126"/>
      <c r="O214" s="24">
        <f>O212+O213</f>
        <v>5296.6815999999999</v>
      </c>
    </row>
    <row r="215" spans="1:20">
      <c r="A215" s="430" t="s">
        <v>24</v>
      </c>
      <c r="B215" s="425"/>
      <c r="C215" s="23">
        <v>0</v>
      </c>
      <c r="G215" s="24">
        <v>0</v>
      </c>
      <c r="I215" s="126"/>
      <c r="K215" s="24"/>
      <c r="M215" s="126"/>
      <c r="O215" s="24"/>
    </row>
    <row r="216" spans="1:20" ht="16.5" thickBot="1">
      <c r="A216" s="430" t="s">
        <v>111</v>
      </c>
      <c r="B216" s="425"/>
      <c r="C216" s="29">
        <v>16756608</v>
      </c>
      <c r="E216" s="174"/>
      <c r="G216" s="28">
        <f>G214+G210+G215</f>
        <v>1285621</v>
      </c>
      <c r="I216" s="113"/>
      <c r="K216" s="28">
        <f>K214+K210+K215</f>
        <v>31209.958799999993</v>
      </c>
      <c r="M216" s="113"/>
      <c r="O216" s="28">
        <f>O214+O210+O215</f>
        <v>22436.074799999999</v>
      </c>
    </row>
    <row r="217" spans="1:20" ht="16.5" thickTop="1">
      <c r="A217" s="160"/>
      <c r="B217" s="425"/>
      <c r="C217" s="4"/>
      <c r="G217" s="92"/>
    </row>
    <row r="218" spans="1:20">
      <c r="A218" s="429" t="s">
        <v>112</v>
      </c>
      <c r="B218" s="160"/>
      <c r="C218" s="4"/>
      <c r="G218" s="92"/>
      <c r="I218" s="108"/>
      <c r="J218" s="109"/>
      <c r="M218" s="108"/>
      <c r="N218" s="109"/>
    </row>
    <row r="219" spans="1:20">
      <c r="A219" s="434" t="s">
        <v>303</v>
      </c>
      <c r="B219" s="160"/>
      <c r="C219" s="16"/>
      <c r="E219" s="100"/>
      <c r="F219" s="100"/>
      <c r="G219" s="21"/>
      <c r="K219" s="21"/>
      <c r="O219" s="21"/>
    </row>
    <row r="220" spans="1:20">
      <c r="A220" s="430" t="s">
        <v>114</v>
      </c>
      <c r="B220" s="160"/>
      <c r="C220" s="4">
        <v>34757</v>
      </c>
      <c r="E220" s="14">
        <v>11.8</v>
      </c>
      <c r="F220" s="100"/>
      <c r="G220" s="15">
        <f t="shared" ref="G220:G234" si="90">ROUND(C220*E220,0)</f>
        <v>410133</v>
      </c>
      <c r="I220" s="31">
        <v>9.1999999999999998E-3</v>
      </c>
      <c r="J220" s="100"/>
      <c r="K220" s="15">
        <f t="shared" ref="K220:K234" si="91">$G220*I220</f>
        <v>3773.2235999999998</v>
      </c>
      <c r="M220" s="31">
        <f t="shared" ref="M220:M234" si="92">$R$121</f>
        <v>8.8000000000000005E-3</v>
      </c>
      <c r="N220" s="100"/>
      <c r="O220" s="15">
        <f t="shared" ref="O220:O234" si="93">$G220*M220</f>
        <v>3609.1704000000004</v>
      </c>
      <c r="S220" s="138">
        <f t="shared" ref="S220:S234" si="94">G220*I220-K220</f>
        <v>0</v>
      </c>
      <c r="T220" s="139">
        <f t="shared" ref="T220:T234" si="95">G220*M220-O220</f>
        <v>0</v>
      </c>
    </row>
    <row r="221" spans="1:20" s="164" customFormat="1">
      <c r="A221" s="430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90"/>
        <v>2795472</v>
      </c>
      <c r="H221" s="5"/>
      <c r="I221" s="31">
        <v>9.1999999999999998E-3</v>
      </c>
      <c r="J221" s="100"/>
      <c r="K221" s="15">
        <f t="shared" si="91"/>
        <v>25718.342400000001</v>
      </c>
      <c r="L221" s="5"/>
      <c r="M221" s="31">
        <f t="shared" si="92"/>
        <v>8.8000000000000005E-3</v>
      </c>
      <c r="N221" s="100"/>
      <c r="O221" s="15">
        <f t="shared" si="93"/>
        <v>24600.153600000001</v>
      </c>
      <c r="S221" s="138">
        <f t="shared" si="94"/>
        <v>0</v>
      </c>
      <c r="T221" s="139">
        <f t="shared" si="95"/>
        <v>0</v>
      </c>
    </row>
    <row r="222" spans="1:20" s="164" customFormat="1">
      <c r="A222" s="430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90"/>
        <v>1518</v>
      </c>
      <c r="H222" s="5"/>
      <c r="I222" s="31">
        <v>9.1999999999999998E-3</v>
      </c>
      <c r="J222" s="100"/>
      <c r="K222" s="15">
        <f t="shared" si="91"/>
        <v>13.9656</v>
      </c>
      <c r="L222" s="5"/>
      <c r="M222" s="31">
        <f t="shared" si="92"/>
        <v>8.8000000000000005E-3</v>
      </c>
      <c r="N222" s="100"/>
      <c r="O222" s="15">
        <f t="shared" si="93"/>
        <v>13.358400000000001</v>
      </c>
      <c r="S222" s="138">
        <f t="shared" si="94"/>
        <v>0</v>
      </c>
      <c r="T222" s="139">
        <f t="shared" si="95"/>
        <v>0</v>
      </c>
    </row>
    <row r="223" spans="1:20" s="164" customFormat="1">
      <c r="A223" s="430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90"/>
        <v>19035</v>
      </c>
      <c r="H223" s="5"/>
      <c r="I223" s="31">
        <v>9.1999999999999998E-3</v>
      </c>
      <c r="J223" s="100"/>
      <c r="K223" s="15">
        <f t="shared" si="91"/>
        <v>175.12199999999999</v>
      </c>
      <c r="L223" s="5"/>
      <c r="M223" s="31">
        <f t="shared" si="92"/>
        <v>8.8000000000000005E-3</v>
      </c>
      <c r="N223" s="100"/>
      <c r="O223" s="15">
        <f t="shared" si="93"/>
        <v>167.50800000000001</v>
      </c>
      <c r="S223" s="138">
        <f t="shared" si="94"/>
        <v>0</v>
      </c>
      <c r="T223" s="139">
        <f t="shared" si="95"/>
        <v>0</v>
      </c>
    </row>
    <row r="224" spans="1:20" s="164" customFormat="1">
      <c r="A224" s="430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90"/>
        <v>2283</v>
      </c>
      <c r="H224" s="5"/>
      <c r="I224" s="31">
        <v>9.1999999999999998E-3</v>
      </c>
      <c r="J224" s="100"/>
      <c r="K224" s="15">
        <f t="shared" si="91"/>
        <v>21.003599999999999</v>
      </c>
      <c r="L224" s="5"/>
      <c r="M224" s="31">
        <f t="shared" si="92"/>
        <v>8.8000000000000005E-3</v>
      </c>
      <c r="N224" s="100"/>
      <c r="O224" s="15">
        <f t="shared" si="93"/>
        <v>20.090400000000002</v>
      </c>
      <c r="S224" s="138">
        <f t="shared" si="94"/>
        <v>0</v>
      </c>
      <c r="T224" s="139">
        <f t="shared" si="95"/>
        <v>0</v>
      </c>
    </row>
    <row r="225" spans="1:20" s="164" customFormat="1">
      <c r="A225" s="430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90"/>
        <v>358417</v>
      </c>
      <c r="H225" s="5"/>
      <c r="I225" s="31">
        <v>9.1999999999999998E-3</v>
      </c>
      <c r="J225" s="100"/>
      <c r="K225" s="15">
        <f t="shared" si="91"/>
        <v>3297.4364</v>
      </c>
      <c r="L225" s="5"/>
      <c r="M225" s="31">
        <f t="shared" si="92"/>
        <v>8.8000000000000005E-3</v>
      </c>
      <c r="N225" s="100"/>
      <c r="O225" s="15">
        <f t="shared" si="93"/>
        <v>3154.0696000000003</v>
      </c>
      <c r="S225" s="138">
        <f t="shared" si="94"/>
        <v>0</v>
      </c>
      <c r="T225" s="139">
        <f t="shared" si="95"/>
        <v>0</v>
      </c>
    </row>
    <row r="226" spans="1:20" s="164" customFormat="1">
      <c r="A226" s="430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90"/>
        <v>1464</v>
      </c>
      <c r="H226" s="5"/>
      <c r="I226" s="31">
        <v>9.1999999999999998E-3</v>
      </c>
      <c r="J226" s="100"/>
      <c r="K226" s="15">
        <f t="shared" si="91"/>
        <v>13.4688</v>
      </c>
      <c r="L226" s="5"/>
      <c r="M226" s="31">
        <f t="shared" si="92"/>
        <v>8.8000000000000005E-3</v>
      </c>
      <c r="N226" s="100"/>
      <c r="O226" s="15">
        <f t="shared" si="93"/>
        <v>12.8832</v>
      </c>
      <c r="S226" s="138">
        <f t="shared" si="94"/>
        <v>0</v>
      </c>
      <c r="T226" s="139">
        <f t="shared" si="95"/>
        <v>0</v>
      </c>
    </row>
    <row r="227" spans="1:20" s="164" customFormat="1">
      <c r="A227" s="430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90"/>
        <v>115796</v>
      </c>
      <c r="H227" s="5"/>
      <c r="I227" s="31">
        <v>9.1999999999999998E-3</v>
      </c>
      <c r="J227" s="100"/>
      <c r="K227" s="15">
        <f t="shared" si="91"/>
        <v>1065.3232</v>
      </c>
      <c r="L227" s="5"/>
      <c r="M227" s="31">
        <f t="shared" si="92"/>
        <v>8.8000000000000005E-3</v>
      </c>
      <c r="N227" s="100"/>
      <c r="O227" s="15">
        <f t="shared" si="93"/>
        <v>1019.0048</v>
      </c>
      <c r="S227" s="138">
        <f t="shared" si="94"/>
        <v>0</v>
      </c>
      <c r="T227" s="139">
        <f t="shared" si="95"/>
        <v>0</v>
      </c>
    </row>
    <row r="228" spans="1:20" s="164" customFormat="1">
      <c r="A228" s="430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90"/>
        <v>34855</v>
      </c>
      <c r="H228" s="5"/>
      <c r="I228" s="31">
        <v>9.1999999999999998E-3</v>
      </c>
      <c r="J228" s="100"/>
      <c r="K228" s="15">
        <f t="shared" si="91"/>
        <v>320.666</v>
      </c>
      <c r="L228" s="5"/>
      <c r="M228" s="31">
        <f t="shared" si="92"/>
        <v>8.8000000000000005E-3</v>
      </c>
      <c r="N228" s="100"/>
      <c r="O228" s="15">
        <f t="shared" si="93"/>
        <v>306.72400000000005</v>
      </c>
      <c r="S228" s="138">
        <f t="shared" si="94"/>
        <v>0</v>
      </c>
      <c r="T228" s="139">
        <f t="shared" si="95"/>
        <v>0</v>
      </c>
    </row>
    <row r="229" spans="1:20" s="164" customFormat="1">
      <c r="A229" s="430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90"/>
        <v>553403</v>
      </c>
      <c r="H229" s="5"/>
      <c r="I229" s="31">
        <v>9.1999999999999998E-3</v>
      </c>
      <c r="J229" s="100"/>
      <c r="K229" s="15">
        <f t="shared" si="91"/>
        <v>5091.3076000000001</v>
      </c>
      <c r="L229" s="5"/>
      <c r="M229" s="31">
        <f t="shared" si="92"/>
        <v>8.8000000000000005E-3</v>
      </c>
      <c r="N229" s="100"/>
      <c r="O229" s="15">
        <f t="shared" si="93"/>
        <v>4869.9464000000007</v>
      </c>
      <c r="S229" s="138">
        <f t="shared" si="94"/>
        <v>0</v>
      </c>
      <c r="T229" s="139">
        <f t="shared" si="95"/>
        <v>0</v>
      </c>
    </row>
    <row r="230" spans="1:20" s="164" customFormat="1">
      <c r="A230" s="430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90"/>
        <v>228</v>
      </c>
      <c r="H230" s="5"/>
      <c r="I230" s="31">
        <v>9.1999999999999998E-3</v>
      </c>
      <c r="J230" s="100"/>
      <c r="K230" s="15">
        <f t="shared" si="91"/>
        <v>2.0975999999999999</v>
      </c>
      <c r="L230" s="5"/>
      <c r="M230" s="31">
        <f t="shared" si="92"/>
        <v>8.8000000000000005E-3</v>
      </c>
      <c r="N230" s="100"/>
      <c r="O230" s="15">
        <f t="shared" si="93"/>
        <v>2.0064000000000002</v>
      </c>
      <c r="S230" s="138">
        <f t="shared" si="94"/>
        <v>0</v>
      </c>
      <c r="T230" s="139">
        <f t="shared" si="95"/>
        <v>0</v>
      </c>
    </row>
    <row r="231" spans="1:20" s="164" customFormat="1">
      <c r="A231" s="430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90"/>
        <v>64504</v>
      </c>
      <c r="H231" s="5"/>
      <c r="I231" s="31">
        <v>9.1999999999999998E-3</v>
      </c>
      <c r="J231" s="100"/>
      <c r="K231" s="15">
        <f t="shared" si="91"/>
        <v>593.43679999999995</v>
      </c>
      <c r="L231" s="5"/>
      <c r="M231" s="31">
        <f t="shared" si="92"/>
        <v>8.8000000000000005E-3</v>
      </c>
      <c r="N231" s="100"/>
      <c r="O231" s="15">
        <f t="shared" si="93"/>
        <v>567.63520000000005</v>
      </c>
      <c r="S231" s="138">
        <f t="shared" si="94"/>
        <v>0</v>
      </c>
      <c r="T231" s="139">
        <f t="shared" si="95"/>
        <v>0</v>
      </c>
    </row>
    <row r="232" spans="1:20" s="164" customFormat="1">
      <c r="A232" s="430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90"/>
        <v>0</v>
      </c>
      <c r="H232" s="5"/>
      <c r="I232" s="31">
        <v>9.1999999999999998E-3</v>
      </c>
      <c r="J232" s="100"/>
      <c r="K232" s="15">
        <f t="shared" si="91"/>
        <v>0</v>
      </c>
      <c r="L232" s="5"/>
      <c r="M232" s="31">
        <f t="shared" si="92"/>
        <v>8.8000000000000005E-3</v>
      </c>
      <c r="N232" s="100"/>
      <c r="O232" s="15">
        <f t="shared" si="93"/>
        <v>0</v>
      </c>
      <c r="S232" s="138">
        <f t="shared" si="94"/>
        <v>0</v>
      </c>
      <c r="T232" s="139">
        <f t="shared" si="95"/>
        <v>0</v>
      </c>
    </row>
    <row r="233" spans="1:20" s="164" customFormat="1">
      <c r="A233" s="430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90"/>
        <v>296784</v>
      </c>
      <c r="H233" s="5"/>
      <c r="I233" s="31">
        <v>9.1999999999999998E-3</v>
      </c>
      <c r="J233" s="100"/>
      <c r="K233" s="15">
        <f t="shared" si="91"/>
        <v>2730.4128000000001</v>
      </c>
      <c r="L233" s="5"/>
      <c r="M233" s="31">
        <f t="shared" si="92"/>
        <v>8.8000000000000005E-3</v>
      </c>
      <c r="N233" s="100"/>
      <c r="O233" s="15">
        <f t="shared" si="93"/>
        <v>2611.6992</v>
      </c>
      <c r="S233" s="138">
        <f t="shared" si="94"/>
        <v>0</v>
      </c>
      <c r="T233" s="139">
        <f t="shared" si="95"/>
        <v>0</v>
      </c>
    </row>
    <row r="234" spans="1:20" s="164" customFormat="1">
      <c r="A234" s="430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90"/>
        <v>0</v>
      </c>
      <c r="H234" s="5"/>
      <c r="I234" s="31">
        <v>9.1999999999999998E-3</v>
      </c>
      <c r="J234" s="100"/>
      <c r="K234" s="15">
        <f t="shared" si="91"/>
        <v>0</v>
      </c>
      <c r="L234" s="5"/>
      <c r="M234" s="31">
        <f t="shared" si="92"/>
        <v>8.8000000000000005E-3</v>
      </c>
      <c r="N234" s="100"/>
      <c r="O234" s="15">
        <f t="shared" si="93"/>
        <v>0</v>
      </c>
      <c r="S234" s="138">
        <f t="shared" si="94"/>
        <v>0</v>
      </c>
      <c r="T234" s="139">
        <f t="shared" si="95"/>
        <v>0</v>
      </c>
    </row>
    <row r="235" spans="1:20" s="164" customFormat="1">
      <c r="A235" s="434" t="s">
        <v>304</v>
      </c>
      <c r="B235" s="160"/>
      <c r="C235" s="4"/>
      <c r="D235" s="167"/>
      <c r="E235" s="105"/>
      <c r="F235" s="20"/>
      <c r="G235" s="15"/>
      <c r="H235" s="5"/>
      <c r="I235" s="106"/>
      <c r="J235" s="20"/>
      <c r="K235" s="15"/>
      <c r="L235" s="5"/>
      <c r="M235" s="106"/>
      <c r="N235" s="20"/>
      <c r="O235" s="15"/>
      <c r="S235" s="138"/>
      <c r="T235" s="139"/>
    </row>
    <row r="236" spans="1:20" s="160" customFormat="1">
      <c r="A236" s="430" t="s">
        <v>130</v>
      </c>
      <c r="C236" s="4">
        <v>36</v>
      </c>
      <c r="D236" s="167"/>
      <c r="E236" s="14">
        <v>48.74</v>
      </c>
      <c r="F236" s="100"/>
      <c r="G236" s="15">
        <f t="shared" ref="G236:G246" si="96">ROUND(C236*E236,0)</f>
        <v>1755</v>
      </c>
      <c r="H236" s="5"/>
      <c r="I236" s="31">
        <v>9.1999999999999998E-3</v>
      </c>
      <c r="J236" s="100"/>
      <c r="K236" s="15">
        <f t="shared" ref="K236:K246" si="97">$G236*I236</f>
        <v>16.146000000000001</v>
      </c>
      <c r="L236" s="5"/>
      <c r="M236" s="31">
        <f t="shared" ref="M236:M246" si="98">$R$121</f>
        <v>8.8000000000000005E-3</v>
      </c>
      <c r="N236" s="100"/>
      <c r="O236" s="15">
        <f t="shared" ref="O236:O246" si="99">$G236*M236</f>
        <v>15.444000000000001</v>
      </c>
      <c r="S236" s="138">
        <f t="shared" ref="S236:S246" si="100">G236*I236-K236</f>
        <v>0</v>
      </c>
      <c r="T236" s="139">
        <f t="shared" ref="T236:T246" si="101">G236*M236-O236</f>
        <v>0</v>
      </c>
    </row>
    <row r="237" spans="1:20" s="164" customFormat="1">
      <c r="A237" s="430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96"/>
        <v>24243</v>
      </c>
      <c r="H237" s="5"/>
      <c r="I237" s="31">
        <v>9.1999999999999998E-3</v>
      </c>
      <c r="J237" s="100"/>
      <c r="K237" s="15">
        <f t="shared" si="97"/>
        <v>223.03559999999999</v>
      </c>
      <c r="L237" s="5"/>
      <c r="M237" s="31">
        <f t="shared" si="98"/>
        <v>8.8000000000000005E-3</v>
      </c>
      <c r="N237" s="100"/>
      <c r="O237" s="15">
        <f t="shared" si="99"/>
        <v>213.33840000000001</v>
      </c>
      <c r="S237" s="138">
        <f t="shared" si="100"/>
        <v>0</v>
      </c>
      <c r="T237" s="139">
        <f t="shared" si="101"/>
        <v>0</v>
      </c>
    </row>
    <row r="238" spans="1:20" s="164" customFormat="1">
      <c r="A238" s="430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96"/>
        <v>2557</v>
      </c>
      <c r="H238" s="5"/>
      <c r="I238" s="31">
        <v>9.1999999999999998E-3</v>
      </c>
      <c r="J238" s="100"/>
      <c r="K238" s="15">
        <f t="shared" si="97"/>
        <v>23.5244</v>
      </c>
      <c r="L238" s="5"/>
      <c r="M238" s="31">
        <f t="shared" si="98"/>
        <v>8.8000000000000005E-3</v>
      </c>
      <c r="N238" s="100"/>
      <c r="O238" s="15">
        <f t="shared" si="99"/>
        <v>22.5016</v>
      </c>
      <c r="S238" s="138">
        <f t="shared" si="100"/>
        <v>0</v>
      </c>
      <c r="T238" s="139">
        <f t="shared" si="101"/>
        <v>0</v>
      </c>
    </row>
    <row r="239" spans="1:20" s="164" customFormat="1">
      <c r="A239" s="430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96"/>
        <v>0</v>
      </c>
      <c r="H239" s="5"/>
      <c r="I239" s="31">
        <v>9.1999999999999998E-3</v>
      </c>
      <c r="J239" s="100"/>
      <c r="K239" s="15">
        <f t="shared" si="97"/>
        <v>0</v>
      </c>
      <c r="L239" s="5"/>
      <c r="M239" s="31">
        <f t="shared" si="98"/>
        <v>8.8000000000000005E-3</v>
      </c>
      <c r="N239" s="100"/>
      <c r="O239" s="15">
        <f t="shared" si="99"/>
        <v>0</v>
      </c>
      <c r="S239" s="138">
        <f t="shared" si="100"/>
        <v>0</v>
      </c>
      <c r="T239" s="139">
        <f t="shared" si="101"/>
        <v>0</v>
      </c>
    </row>
    <row r="240" spans="1:20" s="164" customFormat="1">
      <c r="A240" s="430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96"/>
        <v>67388</v>
      </c>
      <c r="H240" s="5"/>
      <c r="I240" s="31">
        <v>9.1999999999999998E-3</v>
      </c>
      <c r="J240" s="100"/>
      <c r="K240" s="15">
        <f t="shared" si="97"/>
        <v>619.96960000000001</v>
      </c>
      <c r="L240" s="5"/>
      <c r="M240" s="31">
        <f t="shared" si="98"/>
        <v>8.8000000000000005E-3</v>
      </c>
      <c r="N240" s="100"/>
      <c r="O240" s="15">
        <f t="shared" si="99"/>
        <v>593.01440000000002</v>
      </c>
      <c r="S240" s="138">
        <f t="shared" si="100"/>
        <v>0</v>
      </c>
      <c r="T240" s="139">
        <f t="shared" si="101"/>
        <v>0</v>
      </c>
    </row>
    <row r="241" spans="1:20" s="160" customFormat="1">
      <c r="A241" s="430" t="s">
        <v>135</v>
      </c>
      <c r="C241" s="4">
        <v>386</v>
      </c>
      <c r="D241" s="167"/>
      <c r="E241" s="14">
        <v>22.13</v>
      </c>
      <c r="F241" s="100"/>
      <c r="G241" s="15">
        <f t="shared" si="96"/>
        <v>8542</v>
      </c>
      <c r="H241" s="5"/>
      <c r="I241" s="31">
        <v>9.1999999999999998E-3</v>
      </c>
      <c r="J241" s="100"/>
      <c r="K241" s="15">
        <f t="shared" si="97"/>
        <v>78.586399999999998</v>
      </c>
      <c r="L241" s="5"/>
      <c r="M241" s="31">
        <f t="shared" si="98"/>
        <v>8.8000000000000005E-3</v>
      </c>
      <c r="N241" s="100"/>
      <c r="O241" s="15">
        <f t="shared" si="99"/>
        <v>75.169600000000003</v>
      </c>
      <c r="S241" s="138">
        <f t="shared" si="100"/>
        <v>0</v>
      </c>
      <c r="T241" s="139">
        <f t="shared" si="101"/>
        <v>0</v>
      </c>
    </row>
    <row r="242" spans="1:20" s="164" customFormat="1">
      <c r="A242" s="430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96"/>
        <v>2201</v>
      </c>
      <c r="H242" s="5"/>
      <c r="I242" s="31">
        <v>9.1999999999999998E-3</v>
      </c>
      <c r="J242" s="100"/>
      <c r="K242" s="15">
        <f t="shared" si="97"/>
        <v>20.249199999999998</v>
      </c>
      <c r="L242" s="5"/>
      <c r="M242" s="31">
        <f t="shared" si="98"/>
        <v>8.8000000000000005E-3</v>
      </c>
      <c r="N242" s="100"/>
      <c r="O242" s="15">
        <f t="shared" si="99"/>
        <v>19.3688</v>
      </c>
      <c r="S242" s="138">
        <f t="shared" si="100"/>
        <v>0</v>
      </c>
      <c r="T242" s="139">
        <f t="shared" si="101"/>
        <v>0</v>
      </c>
    </row>
    <row r="243" spans="1:20" s="164" customFormat="1">
      <c r="A243" s="430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96"/>
        <v>16498</v>
      </c>
      <c r="H243" s="5"/>
      <c r="I243" s="31">
        <v>9.1999999999999998E-3</v>
      </c>
      <c r="J243" s="100"/>
      <c r="K243" s="15">
        <f t="shared" si="97"/>
        <v>151.7816</v>
      </c>
      <c r="L243" s="5"/>
      <c r="M243" s="31">
        <f t="shared" si="98"/>
        <v>8.8000000000000005E-3</v>
      </c>
      <c r="N243" s="100"/>
      <c r="O243" s="15">
        <f t="shared" si="99"/>
        <v>145.1824</v>
      </c>
      <c r="S243" s="138">
        <f t="shared" si="100"/>
        <v>0</v>
      </c>
      <c r="T243" s="139">
        <f t="shared" si="101"/>
        <v>0</v>
      </c>
    </row>
    <row r="244" spans="1:20" s="160" customFormat="1">
      <c r="A244" s="430" t="s">
        <v>138</v>
      </c>
      <c r="C244" s="4">
        <v>61</v>
      </c>
      <c r="D244" s="167"/>
      <c r="E244" s="100">
        <v>25.78</v>
      </c>
      <c r="F244" s="100"/>
      <c r="G244" s="15">
        <f t="shared" si="96"/>
        <v>1573</v>
      </c>
      <c r="H244" s="5"/>
      <c r="I244" s="31">
        <v>9.1999999999999998E-3</v>
      </c>
      <c r="J244" s="100"/>
      <c r="K244" s="15">
        <f t="shared" si="97"/>
        <v>14.4716</v>
      </c>
      <c r="L244" s="5"/>
      <c r="M244" s="31">
        <f t="shared" si="98"/>
        <v>8.8000000000000005E-3</v>
      </c>
      <c r="N244" s="100"/>
      <c r="O244" s="15">
        <f t="shared" si="99"/>
        <v>13.842400000000001</v>
      </c>
      <c r="S244" s="138">
        <f t="shared" si="100"/>
        <v>0</v>
      </c>
      <c r="T244" s="139">
        <f t="shared" si="101"/>
        <v>0</v>
      </c>
    </row>
    <row r="245" spans="1:20" s="164" customFormat="1">
      <c r="A245" s="430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96"/>
        <v>0</v>
      </c>
      <c r="H245" s="5"/>
      <c r="I245" s="31">
        <v>9.1999999999999998E-3</v>
      </c>
      <c r="J245" s="100"/>
      <c r="K245" s="15">
        <f t="shared" si="97"/>
        <v>0</v>
      </c>
      <c r="L245" s="5"/>
      <c r="M245" s="31">
        <f t="shared" si="98"/>
        <v>8.8000000000000005E-3</v>
      </c>
      <c r="N245" s="100"/>
      <c r="O245" s="15">
        <f t="shared" si="99"/>
        <v>0</v>
      </c>
      <c r="S245" s="138">
        <f t="shared" si="100"/>
        <v>0</v>
      </c>
      <c r="T245" s="139">
        <f t="shared" si="101"/>
        <v>0</v>
      </c>
    </row>
    <row r="246" spans="1:20" s="164" customFormat="1">
      <c r="A246" s="430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96"/>
        <v>0</v>
      </c>
      <c r="H246" s="5"/>
      <c r="I246" s="31">
        <v>9.1999999999999998E-3</v>
      </c>
      <c r="J246" s="100"/>
      <c r="K246" s="15">
        <f t="shared" si="97"/>
        <v>0</v>
      </c>
      <c r="L246" s="5"/>
      <c r="M246" s="31">
        <f t="shared" si="98"/>
        <v>8.8000000000000005E-3</v>
      </c>
      <c r="N246" s="100"/>
      <c r="O246" s="15">
        <f t="shared" si="99"/>
        <v>0</v>
      </c>
      <c r="S246" s="138">
        <f t="shared" si="100"/>
        <v>0</v>
      </c>
      <c r="T246" s="139">
        <f t="shared" si="101"/>
        <v>0</v>
      </c>
    </row>
    <row r="247" spans="1:20" s="160" customFormat="1">
      <c r="A247" s="434" t="s">
        <v>305</v>
      </c>
      <c r="C247" s="16"/>
      <c r="D247" s="167"/>
      <c r="E247" s="100"/>
      <c r="F247" s="100"/>
      <c r="G247" s="21"/>
      <c r="H247" s="5"/>
      <c r="I247" s="111"/>
      <c r="J247" s="100"/>
      <c r="K247" s="21"/>
      <c r="L247" s="5"/>
      <c r="M247" s="111"/>
      <c r="N247" s="100"/>
      <c r="O247" s="21"/>
      <c r="S247" s="138"/>
      <c r="T247" s="139"/>
    </row>
    <row r="248" spans="1:20" s="164" customFormat="1">
      <c r="A248" s="430" t="s">
        <v>141</v>
      </c>
      <c r="B248" s="160"/>
      <c r="C248" s="4">
        <v>3279</v>
      </c>
      <c r="D248" s="167"/>
      <c r="E248" s="14">
        <v>11.09</v>
      </c>
      <c r="F248" s="100"/>
      <c r="G248" s="15">
        <f>ROUND(C248*E248,0)</f>
        <v>36364</v>
      </c>
      <c r="H248" s="5"/>
      <c r="I248" s="31">
        <v>9.1999999999999998E-3</v>
      </c>
      <c r="J248" s="100"/>
      <c r="K248" s="15">
        <f t="shared" ref="K248:K252" si="102">$G248*I248</f>
        <v>334.54879999999997</v>
      </c>
      <c r="L248" s="5"/>
      <c r="M248" s="31">
        <f>$R$121</f>
        <v>8.8000000000000005E-3</v>
      </c>
      <c r="N248" s="100"/>
      <c r="O248" s="15">
        <f t="shared" ref="O248:O252" si="103">$G248*M248</f>
        <v>320.00319999999999</v>
      </c>
      <c r="S248" s="138">
        <f>G248*I248-K248</f>
        <v>0</v>
      </c>
      <c r="T248" s="139">
        <f>G248*M248-O248</f>
        <v>0</v>
      </c>
    </row>
    <row r="249" spans="1:20" s="164" customFormat="1">
      <c r="A249" s="430" t="s">
        <v>56</v>
      </c>
      <c r="B249" s="160"/>
      <c r="C249" s="4">
        <v>9152</v>
      </c>
      <c r="D249" s="167"/>
      <c r="E249" s="14">
        <v>13.83</v>
      </c>
      <c r="F249" s="100"/>
      <c r="G249" s="15">
        <f>ROUND(C249*E249,0)</f>
        <v>126572</v>
      </c>
      <c r="H249" s="5"/>
      <c r="I249" s="31">
        <v>9.1999999999999998E-3</v>
      </c>
      <c r="J249" s="100"/>
      <c r="K249" s="15">
        <f t="shared" si="102"/>
        <v>1164.4623999999999</v>
      </c>
      <c r="L249" s="5"/>
      <c r="M249" s="31">
        <f>$R$121</f>
        <v>8.8000000000000005E-3</v>
      </c>
      <c r="N249" s="100"/>
      <c r="O249" s="15">
        <f t="shared" si="103"/>
        <v>1113.8336000000002</v>
      </c>
      <c r="S249" s="138">
        <f>G249*I249-K249</f>
        <v>0</v>
      </c>
      <c r="T249" s="139">
        <f>G249*M249-O249</f>
        <v>0</v>
      </c>
    </row>
    <row r="250" spans="1:20" s="164" customFormat="1">
      <c r="A250" s="430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>ROUND(C250*E250,0)</f>
        <v>3608</v>
      </c>
      <c r="H250" s="5"/>
      <c r="I250" s="31">
        <v>9.1999999999999998E-3</v>
      </c>
      <c r="J250" s="100"/>
      <c r="K250" s="15">
        <f t="shared" si="102"/>
        <v>33.193599999999996</v>
      </c>
      <c r="L250" s="5"/>
      <c r="M250" s="31">
        <f>$R$121</f>
        <v>8.8000000000000005E-3</v>
      </c>
      <c r="N250" s="100"/>
      <c r="O250" s="15">
        <f t="shared" si="103"/>
        <v>31.750400000000003</v>
      </c>
      <c r="S250" s="138">
        <f>G250*I250-K250</f>
        <v>0</v>
      </c>
      <c r="T250" s="139">
        <f>G250*M250-O250</f>
        <v>0</v>
      </c>
    </row>
    <row r="251" spans="1:20" s="164" customFormat="1">
      <c r="A251" s="430" t="s">
        <v>143</v>
      </c>
      <c r="B251" s="160"/>
      <c r="C251" s="4">
        <v>0</v>
      </c>
      <c r="D251" s="167"/>
      <c r="E251" s="14">
        <v>17.46</v>
      </c>
      <c r="F251" s="100"/>
      <c r="G251" s="15">
        <f>ROUND(C251*E251,0)</f>
        <v>0</v>
      </c>
      <c r="H251" s="5"/>
      <c r="I251" s="31">
        <v>9.1999999999999998E-3</v>
      </c>
      <c r="J251" s="100"/>
      <c r="K251" s="15">
        <f t="shared" si="102"/>
        <v>0</v>
      </c>
      <c r="L251" s="5"/>
      <c r="M251" s="31">
        <f>$R$121</f>
        <v>8.8000000000000005E-3</v>
      </c>
      <c r="N251" s="100"/>
      <c r="O251" s="15">
        <f t="shared" si="103"/>
        <v>0</v>
      </c>
      <c r="S251" s="138">
        <f>G251*I251-K251</f>
        <v>0</v>
      </c>
      <c r="T251" s="139">
        <f>G251*M251-O251</f>
        <v>0</v>
      </c>
    </row>
    <row r="252" spans="1:20" s="164" customFormat="1">
      <c r="A252" s="430" t="s">
        <v>58</v>
      </c>
      <c r="B252" s="160"/>
      <c r="C252" s="4">
        <v>996</v>
      </c>
      <c r="D252" s="167"/>
      <c r="E252" s="14">
        <v>24.43</v>
      </c>
      <c r="F252" s="100"/>
      <c r="G252" s="15">
        <f>ROUND(C252*E252,0)</f>
        <v>24332</v>
      </c>
      <c r="H252" s="5"/>
      <c r="I252" s="31">
        <v>9.1999999999999998E-3</v>
      </c>
      <c r="J252" s="100"/>
      <c r="K252" s="15">
        <f t="shared" si="102"/>
        <v>223.8544</v>
      </c>
      <c r="L252" s="5"/>
      <c r="M252" s="31">
        <f>$R$121</f>
        <v>8.8000000000000005E-3</v>
      </c>
      <c r="N252" s="100"/>
      <c r="O252" s="15">
        <f t="shared" si="103"/>
        <v>214.1216</v>
      </c>
      <c r="S252" s="138">
        <f>G252*I252-K252</f>
        <v>0</v>
      </c>
      <c r="T252" s="139">
        <f>G252*M252-O252</f>
        <v>0</v>
      </c>
    </row>
    <row r="253" spans="1:20" s="164" customFormat="1">
      <c r="A253" s="434" t="s">
        <v>306</v>
      </c>
      <c r="B253" s="160"/>
      <c r="C253" s="4"/>
      <c r="D253" s="167"/>
      <c r="E253" s="168"/>
      <c r="F253" s="167"/>
      <c r="G253" s="15"/>
      <c r="H253" s="5"/>
      <c r="I253" s="91"/>
      <c r="J253" s="5"/>
      <c r="K253" s="15"/>
      <c r="L253" s="5"/>
      <c r="M253" s="91"/>
      <c r="N253" s="5"/>
      <c r="O253" s="15"/>
      <c r="S253" s="138"/>
      <c r="T253" s="139"/>
    </row>
    <row r="254" spans="1:20" s="164" customFormat="1">
      <c r="A254" s="430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104">ROUND(C254*E254,0)</f>
        <v>0</v>
      </c>
      <c r="H254" s="5"/>
      <c r="I254" s="31">
        <v>9.1999999999999998E-3</v>
      </c>
      <c r="J254" s="100"/>
      <c r="K254" s="15">
        <f t="shared" ref="K254:K259" si="105">$G254*I254</f>
        <v>0</v>
      </c>
      <c r="L254" s="5"/>
      <c r="M254" s="31">
        <f t="shared" ref="M254:M259" si="106">$R$121</f>
        <v>8.8000000000000005E-3</v>
      </c>
      <c r="N254" s="100"/>
      <c r="O254" s="15">
        <f t="shared" ref="O254:O259" si="107">$G254*M254</f>
        <v>0</v>
      </c>
      <c r="S254" s="138">
        <f t="shared" ref="S254:S263" si="108">G254*I254-K254</f>
        <v>0</v>
      </c>
      <c r="T254" s="139">
        <f t="shared" ref="T254:T263" si="109">G254*M254-O254</f>
        <v>0</v>
      </c>
    </row>
    <row r="255" spans="1:20" s="164" customFormat="1">
      <c r="A255" s="430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104"/>
        <v>615</v>
      </c>
      <c r="H255" s="5"/>
      <c r="I255" s="31">
        <v>9.1999999999999998E-3</v>
      </c>
      <c r="J255" s="100"/>
      <c r="K255" s="15">
        <f t="shared" si="105"/>
        <v>5.6579999999999995</v>
      </c>
      <c r="L255" s="5"/>
      <c r="M255" s="31">
        <f t="shared" si="106"/>
        <v>8.8000000000000005E-3</v>
      </c>
      <c r="N255" s="100"/>
      <c r="O255" s="15">
        <f t="shared" si="107"/>
        <v>5.4119999999999999</v>
      </c>
      <c r="S255" s="138">
        <f t="shared" si="108"/>
        <v>0</v>
      </c>
      <c r="T255" s="139">
        <f t="shared" si="109"/>
        <v>0</v>
      </c>
    </row>
    <row r="256" spans="1:20" s="164" customFormat="1">
      <c r="A256" s="430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104"/>
        <v>548</v>
      </c>
      <c r="H256" s="5"/>
      <c r="I256" s="31">
        <v>9.1999999999999998E-3</v>
      </c>
      <c r="J256" s="100"/>
      <c r="K256" s="15">
        <f t="shared" si="105"/>
        <v>5.0415999999999999</v>
      </c>
      <c r="L256" s="5"/>
      <c r="M256" s="31">
        <f t="shared" si="106"/>
        <v>8.8000000000000005E-3</v>
      </c>
      <c r="N256" s="100"/>
      <c r="O256" s="15">
        <f t="shared" si="107"/>
        <v>4.8224</v>
      </c>
      <c r="S256" s="138">
        <f t="shared" si="108"/>
        <v>0</v>
      </c>
      <c r="T256" s="139">
        <f t="shared" si="109"/>
        <v>0</v>
      </c>
    </row>
    <row r="257" spans="1:20" s="164" customFormat="1">
      <c r="A257" s="430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104"/>
        <v>3310</v>
      </c>
      <c r="H257" s="5"/>
      <c r="I257" s="31">
        <v>9.1999999999999998E-3</v>
      </c>
      <c r="J257" s="100"/>
      <c r="K257" s="15">
        <f t="shared" si="105"/>
        <v>30.451999999999998</v>
      </c>
      <c r="L257" s="5"/>
      <c r="M257" s="31">
        <f t="shared" si="106"/>
        <v>8.8000000000000005E-3</v>
      </c>
      <c r="N257" s="100"/>
      <c r="O257" s="15">
        <f t="shared" si="107"/>
        <v>29.128</v>
      </c>
      <c r="S257" s="138">
        <f t="shared" si="108"/>
        <v>0</v>
      </c>
      <c r="T257" s="139">
        <f t="shared" si="109"/>
        <v>0</v>
      </c>
    </row>
    <row r="258" spans="1:20" s="164" customFormat="1">
      <c r="A258" s="430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104"/>
        <v>3835</v>
      </c>
      <c r="H258" s="5"/>
      <c r="I258" s="31">
        <v>9.1999999999999998E-3</v>
      </c>
      <c r="J258" s="100"/>
      <c r="K258" s="15">
        <f t="shared" si="105"/>
        <v>35.281999999999996</v>
      </c>
      <c r="L258" s="5"/>
      <c r="M258" s="31">
        <f t="shared" si="106"/>
        <v>8.8000000000000005E-3</v>
      </c>
      <c r="N258" s="100"/>
      <c r="O258" s="15">
        <f t="shared" si="107"/>
        <v>33.748000000000005</v>
      </c>
      <c r="S258" s="138">
        <f t="shared" si="108"/>
        <v>0</v>
      </c>
      <c r="T258" s="139">
        <f t="shared" si="109"/>
        <v>0</v>
      </c>
    </row>
    <row r="259" spans="1:20" s="164" customFormat="1">
      <c r="A259" s="430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104"/>
        <v>755</v>
      </c>
      <c r="H259" s="5"/>
      <c r="I259" s="31">
        <v>9.1999999999999998E-3</v>
      </c>
      <c r="J259" s="100"/>
      <c r="K259" s="15">
        <f t="shared" si="105"/>
        <v>6.9459999999999997</v>
      </c>
      <c r="L259" s="5"/>
      <c r="M259" s="31">
        <f t="shared" si="106"/>
        <v>8.8000000000000005E-3</v>
      </c>
      <c r="N259" s="100"/>
      <c r="O259" s="15">
        <f t="shared" si="107"/>
        <v>6.6440000000000001</v>
      </c>
      <c r="S259" s="138">
        <f t="shared" si="108"/>
        <v>0</v>
      </c>
      <c r="T259" s="139">
        <f t="shared" si="109"/>
        <v>0</v>
      </c>
    </row>
    <row r="260" spans="1:20" s="164" customFormat="1">
      <c r="A260" s="434" t="s">
        <v>307</v>
      </c>
      <c r="B260" s="160"/>
      <c r="C260" s="16"/>
      <c r="D260" s="167"/>
      <c r="E260" s="100"/>
      <c r="F260" s="100"/>
      <c r="G260" s="21"/>
      <c r="H260" s="5"/>
      <c r="I260" s="111"/>
      <c r="J260" s="100"/>
      <c r="K260" s="21"/>
      <c r="L260" s="5"/>
      <c r="M260" s="111"/>
      <c r="N260" s="100"/>
      <c r="O260" s="21"/>
      <c r="S260" s="138">
        <f t="shared" si="108"/>
        <v>0</v>
      </c>
      <c r="T260" s="139">
        <f t="shared" si="109"/>
        <v>0</v>
      </c>
    </row>
    <row r="261" spans="1:20" s="164" customFormat="1">
      <c r="A261" s="430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5"/>
      <c r="I261" s="31">
        <v>9.1999999999999998E-3</v>
      </c>
      <c r="J261" s="100"/>
      <c r="K261" s="15">
        <f t="shared" ref="K261" si="110">$G261*I261</f>
        <v>3.0728</v>
      </c>
      <c r="L261" s="5"/>
      <c r="M261" s="31">
        <f>$R$121</f>
        <v>8.8000000000000005E-3</v>
      </c>
      <c r="N261" s="100"/>
      <c r="O261" s="15">
        <f t="shared" ref="O261" si="111">$G261*M261</f>
        <v>2.9392</v>
      </c>
      <c r="S261" s="138">
        <f t="shared" si="108"/>
        <v>0</v>
      </c>
      <c r="T261" s="139">
        <f t="shared" si="109"/>
        <v>0</v>
      </c>
    </row>
    <row r="262" spans="1:20" s="164" customFormat="1">
      <c r="A262" s="434" t="s">
        <v>149</v>
      </c>
      <c r="B262" s="160"/>
      <c r="C262" s="4"/>
      <c r="D262" s="167"/>
      <c r="E262" s="14"/>
      <c r="F262" s="100"/>
      <c r="G262" s="15"/>
      <c r="H262" s="5"/>
      <c r="I262" s="31"/>
      <c r="J262" s="100"/>
      <c r="K262" s="15"/>
      <c r="L262" s="5"/>
      <c r="M262" s="31"/>
      <c r="N262" s="100"/>
      <c r="O262" s="15"/>
      <c r="S262" s="138">
        <f t="shared" si="108"/>
        <v>0</v>
      </c>
      <c r="T262" s="139">
        <f t="shared" si="109"/>
        <v>0</v>
      </c>
    </row>
    <row r="263" spans="1:20" s="164" customFormat="1">
      <c r="A263" s="430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5"/>
      <c r="I263" s="31">
        <v>9.1999999999999998E-3</v>
      </c>
      <c r="J263" s="100"/>
      <c r="K263" s="37">
        <f t="shared" ref="K263" si="112">$G263*I263</f>
        <v>4.3056000000000001</v>
      </c>
      <c r="L263" s="5"/>
      <c r="M263" s="31">
        <f>$R$121</f>
        <v>8.8000000000000005E-3</v>
      </c>
      <c r="N263" s="100"/>
      <c r="O263" s="37">
        <f t="shared" ref="O263" si="113">$G263*M263</f>
        <v>4.1184000000000003</v>
      </c>
      <c r="S263" s="138">
        <f t="shared" si="108"/>
        <v>0</v>
      </c>
      <c r="T263" s="139">
        <f t="shared" si="109"/>
        <v>0</v>
      </c>
    </row>
    <row r="264" spans="1:20" s="164" customFormat="1">
      <c r="A264" s="430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5"/>
      <c r="I264" s="120"/>
      <c r="J264" s="5"/>
      <c r="K264" s="24">
        <f>SUM(K220:K263)</f>
        <v>45810.387999999992</v>
      </c>
      <c r="L264" s="5"/>
      <c r="M264" s="120"/>
      <c r="N264" s="5"/>
      <c r="O264" s="24">
        <f>SUM(O220:O263)</f>
        <v>43818.631999999991</v>
      </c>
    </row>
    <row r="265" spans="1:20" s="164" customFormat="1" ht="16.5" thickBot="1">
      <c r="A265" s="430" t="s">
        <v>82</v>
      </c>
      <c r="B265" s="160"/>
      <c r="C265" s="43">
        <v>16496197.391013095</v>
      </c>
      <c r="D265" s="167"/>
      <c r="E265" s="174"/>
      <c r="F265" s="167"/>
      <c r="G265" s="658"/>
      <c r="H265" s="5"/>
      <c r="I265" s="113"/>
      <c r="J265" s="5"/>
      <c r="K265" s="658"/>
      <c r="L265" s="5"/>
      <c r="M265" s="113"/>
      <c r="N265" s="5"/>
      <c r="O265" s="658"/>
    </row>
    <row r="266" spans="1:20" s="164" customFormat="1" ht="16.5" thickTop="1">
      <c r="A266" s="430" t="s">
        <v>84</v>
      </c>
      <c r="B266" s="160"/>
      <c r="C266" s="13">
        <v>809.41666666666663</v>
      </c>
      <c r="D266" s="167"/>
      <c r="E266" s="168"/>
      <c r="F266" s="167"/>
      <c r="G266" s="92"/>
      <c r="H266" s="5"/>
      <c r="I266" s="91"/>
      <c r="J266" s="5"/>
      <c r="K266" s="92"/>
      <c r="L266" s="5"/>
      <c r="M266" s="91"/>
      <c r="N266" s="5"/>
      <c r="O266" s="92"/>
    </row>
    <row r="267" spans="1:20" s="164" customFormat="1">
      <c r="A267" s="430" t="s">
        <v>83</v>
      </c>
      <c r="B267" s="160"/>
      <c r="C267" s="45">
        <v>0</v>
      </c>
      <c r="D267" s="167"/>
      <c r="E267" s="176"/>
      <c r="F267" s="167"/>
      <c r="G267" s="24">
        <v>0</v>
      </c>
      <c r="H267" s="5"/>
      <c r="I267" s="120"/>
      <c r="J267" s="5"/>
      <c r="K267" s="24"/>
      <c r="L267" s="5"/>
      <c r="M267" s="120"/>
      <c r="N267" s="5"/>
      <c r="O267" s="24"/>
    </row>
    <row r="268" spans="1:20" s="164" customFormat="1" ht="16.5" thickBot="1">
      <c r="A268" s="430" t="s">
        <v>152</v>
      </c>
      <c r="B268" s="160"/>
      <c r="C268" s="43">
        <v>16496197.391013095</v>
      </c>
      <c r="D268" s="167"/>
      <c r="E268" s="46"/>
      <c r="F268" s="122"/>
      <c r="G268" s="659">
        <f>G267+G264</f>
        <v>4979390</v>
      </c>
      <c r="H268" s="5"/>
      <c r="I268" s="123"/>
      <c r="J268" s="122"/>
      <c r="K268" s="659">
        <f>K267+K264</f>
        <v>45810.387999999992</v>
      </c>
      <c r="L268" s="5"/>
      <c r="M268" s="123"/>
      <c r="N268" s="122"/>
      <c r="O268" s="659">
        <f>O267+O264</f>
        <v>43818.631999999991</v>
      </c>
    </row>
    <row r="269" spans="1:20" s="164" customFormat="1" ht="16.5" thickTop="1">
      <c r="A269" s="168"/>
      <c r="B269" s="168"/>
      <c r="C269" s="4"/>
      <c r="D269" s="167"/>
      <c r="E269" s="168"/>
      <c r="F269" s="167"/>
      <c r="G269" s="92"/>
      <c r="H269" s="5"/>
      <c r="I269" s="202"/>
      <c r="J269" s="202"/>
      <c r="K269" s="92"/>
      <c r="L269" s="5"/>
      <c r="M269" s="202"/>
      <c r="N269" s="202"/>
      <c r="O269" s="92"/>
    </row>
    <row r="270" spans="1:20" s="164" customFormat="1">
      <c r="A270" s="429" t="s">
        <v>153</v>
      </c>
      <c r="B270" s="160"/>
      <c r="C270" s="4"/>
      <c r="D270" s="167"/>
      <c r="E270" s="168"/>
      <c r="F270" s="167"/>
      <c r="G270" s="92"/>
      <c r="H270" s="5"/>
      <c r="I270" s="202"/>
      <c r="J270" s="202"/>
      <c r="K270" s="92"/>
      <c r="L270" s="5"/>
      <c r="M270" s="202"/>
      <c r="N270" s="202"/>
      <c r="O270" s="92"/>
    </row>
    <row r="271" spans="1:20" s="164" customFormat="1">
      <c r="A271" s="441" t="s">
        <v>154</v>
      </c>
      <c r="B271" s="160"/>
      <c r="C271" s="4"/>
      <c r="D271" s="167"/>
      <c r="E271" s="168"/>
      <c r="F271" s="167"/>
      <c r="G271" s="15"/>
      <c r="H271" s="5"/>
      <c r="I271" s="108"/>
      <c r="J271" s="109"/>
      <c r="K271" s="15"/>
      <c r="L271" s="5"/>
      <c r="M271" s="108"/>
      <c r="N271" s="109"/>
      <c r="O271" s="15"/>
    </row>
    <row r="272" spans="1:20" s="164" customFormat="1">
      <c r="A272" s="434" t="s">
        <v>155</v>
      </c>
      <c r="B272" s="160"/>
      <c r="C272" s="4"/>
      <c r="D272" s="167"/>
      <c r="E272" s="168"/>
      <c r="F272" s="167"/>
      <c r="G272" s="15"/>
      <c r="H272" s="5"/>
      <c r="I272" s="91"/>
      <c r="J272" s="5"/>
      <c r="K272" s="15"/>
      <c r="L272" s="5"/>
      <c r="M272" s="91"/>
      <c r="N272" s="5"/>
      <c r="O272" s="15"/>
    </row>
    <row r="273" spans="1:20" s="164" customFormat="1">
      <c r="A273" s="430" t="s">
        <v>156</v>
      </c>
      <c r="B273" s="160"/>
      <c r="C273" s="4">
        <v>103438</v>
      </c>
      <c r="D273" s="167"/>
      <c r="E273" s="14">
        <v>1.83</v>
      </c>
      <c r="F273" s="100"/>
      <c r="G273" s="15">
        <f>ROUND(C273*E273,0)</f>
        <v>189292</v>
      </c>
      <c r="H273" s="5"/>
      <c r="I273" s="31">
        <v>9.1999999999999998E-3</v>
      </c>
      <c r="J273" s="100"/>
      <c r="K273" s="15">
        <f t="shared" ref="K273:K277" si="114">$G273*I273</f>
        <v>1741.4864</v>
      </c>
      <c r="L273" s="5"/>
      <c r="M273" s="31">
        <f>$R$121</f>
        <v>8.8000000000000005E-3</v>
      </c>
      <c r="N273" s="100"/>
      <c r="O273" s="15">
        <f t="shared" ref="O273:O277" si="115">$G273*M273</f>
        <v>1665.7696000000001</v>
      </c>
      <c r="S273" s="138">
        <f>G273*I273-K273</f>
        <v>0</v>
      </c>
      <c r="T273" s="139">
        <f>G273*M273-O273</f>
        <v>0</v>
      </c>
    </row>
    <row r="274" spans="1:20" s="164" customFormat="1">
      <c r="A274" s="430" t="s">
        <v>157</v>
      </c>
      <c r="B274" s="160"/>
      <c r="C274" s="4">
        <v>159006</v>
      </c>
      <c r="D274" s="167"/>
      <c r="E274" s="14">
        <v>2.5</v>
      </c>
      <c r="F274" s="100"/>
      <c r="G274" s="15">
        <f>ROUND(C274*E274,0)</f>
        <v>397515</v>
      </c>
      <c r="H274" s="5"/>
      <c r="I274" s="31">
        <v>9.1999999999999998E-3</v>
      </c>
      <c r="J274" s="100"/>
      <c r="K274" s="15">
        <f t="shared" si="114"/>
        <v>3657.1379999999999</v>
      </c>
      <c r="L274" s="5"/>
      <c r="M274" s="31">
        <f>$R$121</f>
        <v>8.8000000000000005E-3</v>
      </c>
      <c r="N274" s="100"/>
      <c r="O274" s="15">
        <f t="shared" si="115"/>
        <v>3498.1320000000001</v>
      </c>
      <c r="S274" s="138">
        <f>G274*I274-K274</f>
        <v>0</v>
      </c>
      <c r="T274" s="139">
        <f>G274*M274-O274</f>
        <v>0</v>
      </c>
    </row>
    <row r="275" spans="1:20" s="164" customFormat="1">
      <c r="A275" s="430" t="s">
        <v>158</v>
      </c>
      <c r="B275" s="160"/>
      <c r="C275" s="4">
        <v>134332</v>
      </c>
      <c r="D275" s="167"/>
      <c r="E275" s="14">
        <v>3.66</v>
      </c>
      <c r="F275" s="100"/>
      <c r="G275" s="15">
        <f>ROUND(C275*E275,0)</f>
        <v>491655</v>
      </c>
      <c r="H275" s="5"/>
      <c r="I275" s="31">
        <v>9.1999999999999998E-3</v>
      </c>
      <c r="J275" s="100"/>
      <c r="K275" s="15">
        <f t="shared" si="114"/>
        <v>4523.2259999999997</v>
      </c>
      <c r="L275" s="5"/>
      <c r="M275" s="31">
        <f>$R$121</f>
        <v>8.8000000000000005E-3</v>
      </c>
      <c r="N275" s="100"/>
      <c r="O275" s="15">
        <f t="shared" si="115"/>
        <v>4326.5640000000003</v>
      </c>
      <c r="S275" s="138">
        <f>G275*I275-K275</f>
        <v>0</v>
      </c>
      <c r="T275" s="139">
        <f>G275*M275-O275</f>
        <v>0</v>
      </c>
    </row>
    <row r="276" spans="1:20" s="164" customFormat="1">
      <c r="A276" s="430" t="s">
        <v>159</v>
      </c>
      <c r="B276" s="160"/>
      <c r="C276" s="4">
        <v>48293</v>
      </c>
      <c r="D276" s="167"/>
      <c r="E276" s="14">
        <v>6.52</v>
      </c>
      <c r="F276" s="100"/>
      <c r="G276" s="15">
        <f>ROUND(C276*E276,0)</f>
        <v>314870</v>
      </c>
      <c r="H276" s="5"/>
      <c r="I276" s="31">
        <v>9.1999999999999998E-3</v>
      </c>
      <c r="J276" s="100"/>
      <c r="K276" s="15">
        <f t="shared" si="114"/>
        <v>2896.8040000000001</v>
      </c>
      <c r="L276" s="5"/>
      <c r="M276" s="31">
        <f>$R$121</f>
        <v>8.8000000000000005E-3</v>
      </c>
      <c r="N276" s="100"/>
      <c r="O276" s="15">
        <f t="shared" si="115"/>
        <v>2770.8560000000002</v>
      </c>
      <c r="S276" s="138">
        <f>G276*I276-K276</f>
        <v>0</v>
      </c>
      <c r="T276" s="139">
        <f>G276*M276-O276</f>
        <v>0</v>
      </c>
    </row>
    <row r="277" spans="1:20" s="164" customFormat="1">
      <c r="A277" s="430" t="s">
        <v>160</v>
      </c>
      <c r="B277" s="160"/>
      <c r="C277" s="4">
        <v>65553</v>
      </c>
      <c r="D277" s="167"/>
      <c r="E277" s="14">
        <v>10.02</v>
      </c>
      <c r="F277" s="100"/>
      <c r="G277" s="15">
        <f>ROUND(C277*E277,0)</f>
        <v>656841</v>
      </c>
      <c r="H277" s="5"/>
      <c r="I277" s="31">
        <v>9.1999999999999998E-3</v>
      </c>
      <c r="J277" s="100"/>
      <c r="K277" s="15">
        <f t="shared" si="114"/>
        <v>6042.9372000000003</v>
      </c>
      <c r="L277" s="5"/>
      <c r="M277" s="31">
        <f>$R$121</f>
        <v>8.8000000000000005E-3</v>
      </c>
      <c r="N277" s="100"/>
      <c r="O277" s="15">
        <f t="shared" si="115"/>
        <v>5780.2008000000005</v>
      </c>
      <c r="S277" s="138">
        <f>G277*I277-K277</f>
        <v>0</v>
      </c>
      <c r="T277" s="139">
        <f>G277*M277-O277</f>
        <v>0</v>
      </c>
    </row>
    <row r="278" spans="1:20" s="164" customFormat="1">
      <c r="A278" s="434" t="s">
        <v>129</v>
      </c>
      <c r="B278" s="160"/>
      <c r="C278" s="4"/>
      <c r="D278" s="167"/>
      <c r="E278" s="105"/>
      <c r="F278" s="20"/>
      <c r="G278" s="15"/>
      <c r="H278" s="5"/>
      <c r="I278" s="106"/>
      <c r="J278" s="20"/>
      <c r="K278" s="15"/>
      <c r="L278" s="5"/>
      <c r="M278" s="106"/>
      <c r="N278" s="20"/>
      <c r="O278" s="15"/>
      <c r="S278" s="138"/>
      <c r="T278" s="139"/>
    </row>
    <row r="279" spans="1:20" s="164" customFormat="1">
      <c r="A279" s="430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>ROUND(C279*E279,0)</f>
        <v>16787</v>
      </c>
      <c r="H279" s="5"/>
      <c r="I279" s="31">
        <v>9.1999999999999998E-3</v>
      </c>
      <c r="J279" s="100"/>
      <c r="K279" s="15">
        <f t="shared" ref="K279:K283" si="116">$G279*I279</f>
        <v>154.44040000000001</v>
      </c>
      <c r="L279" s="5"/>
      <c r="M279" s="31">
        <f>$R$121</f>
        <v>8.8000000000000005E-3</v>
      </c>
      <c r="N279" s="100"/>
      <c r="O279" s="15">
        <f t="shared" ref="O279:O283" si="117">$G279*M279</f>
        <v>147.72560000000001</v>
      </c>
      <c r="S279" s="138">
        <f>G279*I279-K279</f>
        <v>0</v>
      </c>
      <c r="T279" s="139">
        <f>G279*M279-O279</f>
        <v>0</v>
      </c>
    </row>
    <row r="280" spans="1:20" s="164" customFormat="1">
      <c r="A280" s="430" t="s">
        <v>162</v>
      </c>
      <c r="B280" s="160"/>
      <c r="C280" s="4">
        <v>18818</v>
      </c>
      <c r="D280" s="167"/>
      <c r="E280" s="14">
        <v>4.46</v>
      </c>
      <c r="F280" s="100"/>
      <c r="G280" s="15">
        <f>ROUND(C280*E280,0)</f>
        <v>83928</v>
      </c>
      <c r="H280" s="5"/>
      <c r="I280" s="31">
        <v>9.1999999999999998E-3</v>
      </c>
      <c r="J280" s="100"/>
      <c r="K280" s="15">
        <f t="shared" si="116"/>
        <v>772.13760000000002</v>
      </c>
      <c r="L280" s="5"/>
      <c r="M280" s="31">
        <f>$R$121</f>
        <v>8.8000000000000005E-3</v>
      </c>
      <c r="N280" s="100"/>
      <c r="O280" s="15">
        <f t="shared" si="117"/>
        <v>738.56640000000004</v>
      </c>
      <c r="S280" s="138">
        <f>G280*I280-K280</f>
        <v>0</v>
      </c>
      <c r="T280" s="139">
        <f>G280*M280-O280</f>
        <v>0</v>
      </c>
    </row>
    <row r="281" spans="1:20" s="164" customFormat="1">
      <c r="A281" s="430" t="s">
        <v>163</v>
      </c>
      <c r="B281" s="160"/>
      <c r="C281" s="4">
        <v>28281</v>
      </c>
      <c r="D281" s="167"/>
      <c r="E281" s="14">
        <v>6.17</v>
      </c>
      <c r="F281" s="100"/>
      <c r="G281" s="15">
        <f>ROUND(C281*E281,0)</f>
        <v>174494</v>
      </c>
      <c r="H281" s="5"/>
      <c r="I281" s="31">
        <v>9.1999999999999998E-3</v>
      </c>
      <c r="J281" s="100"/>
      <c r="K281" s="15">
        <f t="shared" si="116"/>
        <v>1605.3448000000001</v>
      </c>
      <c r="L281" s="5"/>
      <c r="M281" s="31">
        <f>$R$121</f>
        <v>8.8000000000000005E-3</v>
      </c>
      <c r="N281" s="100"/>
      <c r="O281" s="15">
        <f t="shared" si="117"/>
        <v>1535.5472000000002</v>
      </c>
      <c r="S281" s="138">
        <f>G281*I281-K281</f>
        <v>0</v>
      </c>
      <c r="T281" s="139">
        <f>G281*M281-O281</f>
        <v>0</v>
      </c>
    </row>
    <row r="282" spans="1:20" s="164" customFormat="1">
      <c r="A282" s="430" t="s">
        <v>164</v>
      </c>
      <c r="B282" s="160"/>
      <c r="C282" s="4">
        <v>27914</v>
      </c>
      <c r="D282" s="167"/>
      <c r="E282" s="100">
        <v>9.77</v>
      </c>
      <c r="F282" s="100"/>
      <c r="G282" s="15">
        <f>ROUND(C282*E282,0)</f>
        <v>272720</v>
      </c>
      <c r="H282" s="5"/>
      <c r="I282" s="31">
        <v>9.1999999999999998E-3</v>
      </c>
      <c r="J282" s="100"/>
      <c r="K282" s="15">
        <f t="shared" si="116"/>
        <v>2509.0239999999999</v>
      </c>
      <c r="L282" s="5"/>
      <c r="M282" s="31">
        <f>$R$121</f>
        <v>8.8000000000000005E-3</v>
      </c>
      <c r="N282" s="100"/>
      <c r="O282" s="15">
        <f t="shared" si="117"/>
        <v>2399.9360000000001</v>
      </c>
      <c r="S282" s="138">
        <f>G282*I282-K282</f>
        <v>0</v>
      </c>
      <c r="T282" s="139">
        <f>G282*M282-O282</f>
        <v>0</v>
      </c>
    </row>
    <row r="283" spans="1:20" s="164" customFormat="1">
      <c r="A283" s="434" t="s">
        <v>165</v>
      </c>
      <c r="B283" s="160"/>
      <c r="C283" s="48">
        <v>10059553</v>
      </c>
      <c r="D283" s="167"/>
      <c r="E283" s="452">
        <v>6.5278999999999998</v>
      </c>
      <c r="F283" s="102" t="s">
        <v>11</v>
      </c>
      <c r="G283" s="37">
        <f>ROUND(C283*E283/100,0)</f>
        <v>656678</v>
      </c>
      <c r="H283" s="5"/>
      <c r="I283" s="31">
        <v>9.1999999999999998E-3</v>
      </c>
      <c r="J283" s="100"/>
      <c r="K283" s="37">
        <f t="shared" si="116"/>
        <v>6041.4376000000002</v>
      </c>
      <c r="L283" s="5"/>
      <c r="M283" s="31">
        <f>$R$121</f>
        <v>8.8000000000000005E-3</v>
      </c>
      <c r="N283" s="100"/>
      <c r="O283" s="37">
        <f t="shared" si="117"/>
        <v>5778.7664000000004</v>
      </c>
      <c r="S283" s="138">
        <f>G283*I283-K283</f>
        <v>0</v>
      </c>
      <c r="T283" s="139">
        <f>G283*M283-O283</f>
        <v>0</v>
      </c>
    </row>
    <row r="284" spans="1:20" s="164" customFormat="1">
      <c r="A284" s="434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5"/>
      <c r="I284" s="125"/>
      <c r="J284" s="100"/>
      <c r="K284" s="21">
        <f>SUM(K273:K283)</f>
        <v>29943.976000000002</v>
      </c>
      <c r="L284" s="5"/>
      <c r="M284" s="125"/>
      <c r="N284" s="100"/>
      <c r="O284" s="21">
        <f>SUM(O273:O283)</f>
        <v>28642.064000000006</v>
      </c>
    </row>
    <row r="285" spans="1:20" s="164" customFormat="1">
      <c r="A285" s="434" t="s">
        <v>83</v>
      </c>
      <c r="B285" s="160"/>
      <c r="C285" s="16"/>
      <c r="D285" s="167"/>
      <c r="E285" s="124"/>
      <c r="F285" s="102"/>
      <c r="G285" s="21"/>
      <c r="H285" s="5"/>
      <c r="I285" s="125"/>
      <c r="J285" s="100"/>
      <c r="K285" s="21"/>
      <c r="L285" s="5"/>
      <c r="M285" s="125"/>
      <c r="N285" s="100"/>
      <c r="O285" s="21"/>
    </row>
    <row r="286" spans="1:20" s="164" customFormat="1">
      <c r="A286" s="434" t="s">
        <v>152</v>
      </c>
      <c r="B286" s="160"/>
      <c r="C286" s="48">
        <v>49653569.797972836</v>
      </c>
      <c r="D286" s="167"/>
      <c r="E286" s="452"/>
      <c r="F286" s="102"/>
      <c r="G286" s="37">
        <f>SUM(G284:G285)</f>
        <v>3254780</v>
      </c>
      <c r="H286" s="5"/>
      <c r="I286" s="125"/>
      <c r="J286" s="100"/>
      <c r="K286" s="37">
        <f>SUM(K284:K285)</f>
        <v>29943.976000000002</v>
      </c>
      <c r="L286" s="5"/>
      <c r="M286" s="125"/>
      <c r="N286" s="100"/>
      <c r="O286" s="37">
        <f>SUM(O284:O285)</f>
        <v>28642.064000000006</v>
      </c>
    </row>
    <row r="287" spans="1:20" s="164" customFormat="1">
      <c r="A287" s="434" t="s">
        <v>308</v>
      </c>
      <c r="B287" s="160"/>
      <c r="C287" s="16">
        <v>519</v>
      </c>
      <c r="D287" s="167"/>
      <c r="E287" s="167"/>
      <c r="F287" s="167"/>
      <c r="G287" s="21"/>
      <c r="H287" s="5"/>
      <c r="I287" s="91"/>
      <c r="J287" s="5"/>
      <c r="K287" s="21"/>
      <c r="L287" s="5"/>
      <c r="M287" s="91"/>
      <c r="N287" s="5"/>
      <c r="O287" s="21"/>
    </row>
    <row r="288" spans="1:20" s="164" customFormat="1">
      <c r="A288" s="442" t="s">
        <v>167</v>
      </c>
      <c r="B288" s="160"/>
      <c r="C288" s="4"/>
      <c r="D288" s="167"/>
      <c r="E288" s="168"/>
      <c r="F288" s="167"/>
      <c r="G288" s="92"/>
      <c r="H288" s="5"/>
      <c r="I288" s="91"/>
      <c r="J288" s="5"/>
      <c r="K288" s="92"/>
      <c r="L288" s="5"/>
      <c r="M288" s="91"/>
      <c r="N288" s="5"/>
      <c r="O288" s="92"/>
    </row>
    <row r="289" spans="1:20" s="164" customFormat="1">
      <c r="A289" s="434" t="s">
        <v>168</v>
      </c>
      <c r="B289" s="160"/>
      <c r="C289" s="4"/>
      <c r="D289" s="167"/>
      <c r="E289" s="168"/>
      <c r="F289" s="167"/>
      <c r="G289" s="15"/>
      <c r="H289" s="5"/>
      <c r="I289" s="202"/>
      <c r="J289" s="202"/>
      <c r="K289" s="15"/>
      <c r="L289" s="5"/>
      <c r="M289" s="202"/>
      <c r="N289" s="202"/>
      <c r="O289" s="15"/>
    </row>
    <row r="290" spans="1:20" s="164" customFormat="1">
      <c r="A290" s="430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5"/>
      <c r="I290" s="31">
        <v>9.1999999999999998E-3</v>
      </c>
      <c r="J290" s="100"/>
      <c r="K290" s="15">
        <f t="shared" ref="K290:K291" si="118">$G290*I290</f>
        <v>6.2652000000000001</v>
      </c>
      <c r="L290" s="5"/>
      <c r="M290" s="31">
        <f>$R$121</f>
        <v>8.8000000000000005E-3</v>
      </c>
      <c r="N290" s="100"/>
      <c r="O290" s="15">
        <f t="shared" ref="O290:O291" si="119">$G290*M290</f>
        <v>5.9928000000000008</v>
      </c>
      <c r="S290" s="138">
        <f>G290*I290-K290</f>
        <v>0</v>
      </c>
      <c r="T290" s="139">
        <f>G290*M290-O290</f>
        <v>0</v>
      </c>
    </row>
    <row r="291" spans="1:20" s="164" customFormat="1">
      <c r="A291" s="430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5"/>
      <c r="I291" s="31">
        <v>9.1999999999999998E-3</v>
      </c>
      <c r="J291" s="100"/>
      <c r="K291" s="15">
        <f t="shared" si="118"/>
        <v>10.2028</v>
      </c>
      <c r="L291" s="5"/>
      <c r="M291" s="31">
        <f>$R$121</f>
        <v>8.8000000000000005E-3</v>
      </c>
      <c r="N291" s="100"/>
      <c r="O291" s="15">
        <f t="shared" si="119"/>
        <v>9.7591999999999999</v>
      </c>
      <c r="S291" s="138">
        <f>G291*I291-K291</f>
        <v>0</v>
      </c>
      <c r="T291" s="139">
        <f>G291*M291-O291</f>
        <v>0</v>
      </c>
    </row>
    <row r="292" spans="1:20" s="164" customFormat="1">
      <c r="A292" s="434" t="s">
        <v>170</v>
      </c>
      <c r="B292" s="160"/>
      <c r="C292" s="4"/>
      <c r="D292" s="167"/>
      <c r="E292" s="14"/>
      <c r="F292" s="100"/>
      <c r="G292" s="15"/>
      <c r="H292" s="5"/>
      <c r="I292" s="31"/>
      <c r="J292" s="100"/>
      <c r="K292" s="15"/>
      <c r="L292" s="5"/>
      <c r="M292" s="31"/>
      <c r="N292" s="100"/>
      <c r="O292" s="15"/>
      <c r="S292" s="138">
        <f>G292*I292-K292</f>
        <v>0</v>
      </c>
      <c r="T292" s="139">
        <f>G292*M292-O292</f>
        <v>0</v>
      </c>
    </row>
    <row r="293" spans="1:20" s="164" customFormat="1">
      <c r="A293" s="430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>ROUND(C293*E293,0)</f>
        <v>218</v>
      </c>
      <c r="H293" s="5"/>
      <c r="I293" s="31">
        <v>9.1999999999999998E-3</v>
      </c>
      <c r="J293" s="100"/>
      <c r="K293" s="15">
        <f t="shared" ref="K293" si="120">$G293*I293</f>
        <v>2.0055999999999998</v>
      </c>
      <c r="L293" s="5"/>
      <c r="M293" s="31">
        <f>$R$121</f>
        <v>8.8000000000000005E-3</v>
      </c>
      <c r="N293" s="100"/>
      <c r="O293" s="15">
        <f t="shared" ref="O293" si="121">$G293*M293</f>
        <v>1.9184000000000001</v>
      </c>
      <c r="S293" s="138"/>
      <c r="T293" s="139"/>
    </row>
    <row r="294" spans="1:20" s="164" customFormat="1">
      <c r="A294" s="430" t="s">
        <v>56</v>
      </c>
      <c r="B294" s="160"/>
      <c r="C294" s="16">
        <v>546</v>
      </c>
      <c r="D294" s="167"/>
      <c r="E294" s="14">
        <v>7</v>
      </c>
      <c r="F294" s="167"/>
      <c r="G294" s="15">
        <f>ROUND(C294*E294,0)</f>
        <v>3822</v>
      </c>
      <c r="H294" s="5"/>
      <c r="I294" s="31">
        <v>9.1999999999999998E-3</v>
      </c>
      <c r="J294" s="100"/>
      <c r="K294" s="15">
        <f t="shared" ref="K294:K298" si="122">$G294*I294</f>
        <v>35.162399999999998</v>
      </c>
      <c r="L294" s="5"/>
      <c r="M294" s="31">
        <f>$R$121</f>
        <v>8.8000000000000005E-3</v>
      </c>
      <c r="N294" s="100"/>
      <c r="O294" s="15">
        <f t="shared" ref="O294:O298" si="123">$G294*M294</f>
        <v>33.633600000000001</v>
      </c>
      <c r="S294" s="138">
        <f>G294*I294-K294</f>
        <v>0</v>
      </c>
      <c r="T294" s="139">
        <f>G294*M294-O294</f>
        <v>0</v>
      </c>
    </row>
    <row r="295" spans="1:20" s="164" customFormat="1">
      <c r="A295" s="430" t="s">
        <v>58</v>
      </c>
      <c r="B295" s="160"/>
      <c r="C295" s="4">
        <v>140</v>
      </c>
      <c r="D295" s="167"/>
      <c r="E295" s="14">
        <v>13.33</v>
      </c>
      <c r="F295" s="100"/>
      <c r="G295" s="15">
        <f>ROUND(C295*E295,0)</f>
        <v>1866</v>
      </c>
      <c r="H295" s="5"/>
      <c r="I295" s="31">
        <v>9.1999999999999998E-3</v>
      </c>
      <c r="J295" s="100"/>
      <c r="K295" s="15">
        <f t="shared" si="122"/>
        <v>17.167200000000001</v>
      </c>
      <c r="L295" s="5"/>
      <c r="M295" s="31">
        <f>$R$121</f>
        <v>8.8000000000000005E-3</v>
      </c>
      <c r="N295" s="100"/>
      <c r="O295" s="15">
        <f t="shared" si="123"/>
        <v>16.4208</v>
      </c>
      <c r="S295" s="138">
        <f>G295*I295-K295</f>
        <v>0</v>
      </c>
      <c r="T295" s="139">
        <f>G295*M295-O295</f>
        <v>0</v>
      </c>
    </row>
    <row r="296" spans="1:20" s="164" customFormat="1">
      <c r="A296" s="430" t="s">
        <v>171</v>
      </c>
      <c r="B296" s="160"/>
      <c r="C296" s="4">
        <v>0</v>
      </c>
      <c r="D296" s="167"/>
      <c r="E296" s="14">
        <v>28.38</v>
      </c>
      <c r="F296" s="100"/>
      <c r="G296" s="15">
        <f>ROUND(C296*E296,0)</f>
        <v>0</v>
      </c>
      <c r="H296" s="5"/>
      <c r="I296" s="31">
        <v>9.1999999999999998E-3</v>
      </c>
      <c r="J296" s="100"/>
      <c r="K296" s="15">
        <f t="shared" si="122"/>
        <v>0</v>
      </c>
      <c r="L296" s="5"/>
      <c r="M296" s="31">
        <f>$R$121</f>
        <v>8.8000000000000005E-3</v>
      </c>
      <c r="N296" s="100"/>
      <c r="O296" s="15">
        <f t="shared" si="123"/>
        <v>0</v>
      </c>
      <c r="S296" s="138">
        <f>G296*I296-K296</f>
        <v>0</v>
      </c>
      <c r="T296" s="139">
        <f>G296*M296-O296</f>
        <v>0</v>
      </c>
    </row>
    <row r="297" spans="1:20" s="164" customFormat="1">
      <c r="A297" s="434" t="s">
        <v>172</v>
      </c>
      <c r="B297" s="160"/>
      <c r="C297" s="4"/>
      <c r="D297" s="167"/>
      <c r="E297" s="14"/>
      <c r="F297" s="100"/>
      <c r="G297" s="15"/>
      <c r="H297" s="5"/>
      <c r="I297" s="31"/>
      <c r="J297" s="100"/>
      <c r="K297" s="15"/>
      <c r="L297" s="5"/>
      <c r="M297" s="31"/>
      <c r="N297" s="100"/>
      <c r="O297" s="15"/>
      <c r="S297" s="138">
        <f>G297*I297-K297</f>
        <v>0</v>
      </c>
      <c r="T297" s="139">
        <f>G297*M297-O297</f>
        <v>0</v>
      </c>
    </row>
    <row r="298" spans="1:20" s="164" customFormat="1">
      <c r="A298" s="430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5"/>
      <c r="I298" s="31">
        <v>9.1999999999999998E-3</v>
      </c>
      <c r="J298" s="100"/>
      <c r="K298" s="15">
        <f t="shared" si="122"/>
        <v>1299.086</v>
      </c>
      <c r="L298" s="5"/>
      <c r="M298" s="31">
        <f t="shared" ref="M298:M307" si="124">$R$121</f>
        <v>8.8000000000000005E-3</v>
      </c>
      <c r="N298" s="100"/>
      <c r="O298" s="15">
        <f t="shared" si="123"/>
        <v>1242.604</v>
      </c>
      <c r="S298" s="138">
        <f>G298*I298-K298</f>
        <v>0</v>
      </c>
      <c r="T298" s="139">
        <f>G298*M298-O298</f>
        <v>0</v>
      </c>
    </row>
    <row r="299" spans="1:20" s="164" customFormat="1">
      <c r="A299" s="430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5"/>
      <c r="I299" s="31">
        <v>9.1999999999999998E-3</v>
      </c>
      <c r="J299" s="100"/>
      <c r="K299" s="15">
        <f t="shared" ref="K299" si="125">$G299*I299</f>
        <v>772.28480000000002</v>
      </c>
      <c r="L299" s="5"/>
      <c r="M299" s="31">
        <f t="shared" si="124"/>
        <v>8.8000000000000005E-3</v>
      </c>
      <c r="N299" s="100"/>
      <c r="O299" s="15">
        <f t="shared" ref="O299" si="126">$G299*M299</f>
        <v>738.70720000000006</v>
      </c>
      <c r="S299" s="138"/>
      <c r="T299" s="139"/>
    </row>
    <row r="300" spans="1:20" s="164" customFormat="1">
      <c r="A300" s="430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127">ROUND(C300*E300,0)</f>
        <v>61366</v>
      </c>
      <c r="H300" s="5"/>
      <c r="I300" s="31">
        <v>9.1999999999999998E-3</v>
      </c>
      <c r="J300" s="100"/>
      <c r="K300" s="15">
        <f t="shared" ref="K300:K312" si="128">$G300*I300</f>
        <v>564.56719999999996</v>
      </c>
      <c r="L300" s="5"/>
      <c r="M300" s="31">
        <f t="shared" si="124"/>
        <v>8.8000000000000005E-3</v>
      </c>
      <c r="N300" s="100"/>
      <c r="O300" s="15">
        <f t="shared" ref="O300:O312" si="129">$G300*M300</f>
        <v>540.02080000000001</v>
      </c>
      <c r="S300" s="138">
        <f t="shared" ref="S300:S312" si="130">G300*I300-K300</f>
        <v>0</v>
      </c>
      <c r="T300" s="139">
        <f t="shared" ref="T300:T312" si="131">G300*M300-O300</f>
        <v>0</v>
      </c>
    </row>
    <row r="301" spans="1:20" s="164" customFormat="1">
      <c r="A301" s="430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127"/>
        <v>16613</v>
      </c>
      <c r="H301" s="5"/>
      <c r="I301" s="31">
        <v>9.1999999999999998E-3</v>
      </c>
      <c r="J301" s="100"/>
      <c r="K301" s="15">
        <f t="shared" si="128"/>
        <v>152.83959999999999</v>
      </c>
      <c r="L301" s="5"/>
      <c r="M301" s="31">
        <f t="shared" si="124"/>
        <v>8.8000000000000005E-3</v>
      </c>
      <c r="N301" s="100"/>
      <c r="O301" s="15">
        <f t="shared" si="129"/>
        <v>146.1944</v>
      </c>
      <c r="S301" s="138">
        <f t="shared" si="130"/>
        <v>0</v>
      </c>
      <c r="T301" s="139">
        <f t="shared" si="131"/>
        <v>0</v>
      </c>
    </row>
    <row r="302" spans="1:20" s="164" customFormat="1">
      <c r="A302" s="430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127"/>
        <v>6608</v>
      </c>
      <c r="H302" s="5"/>
      <c r="I302" s="31">
        <v>9.1999999999999998E-3</v>
      </c>
      <c r="J302" s="100"/>
      <c r="K302" s="15">
        <f t="shared" si="128"/>
        <v>60.793599999999998</v>
      </c>
      <c r="L302" s="5"/>
      <c r="M302" s="31">
        <f t="shared" si="124"/>
        <v>8.8000000000000005E-3</v>
      </c>
      <c r="N302" s="100"/>
      <c r="O302" s="15">
        <f t="shared" si="129"/>
        <v>58.150400000000005</v>
      </c>
      <c r="S302" s="138">
        <f t="shared" si="130"/>
        <v>0</v>
      </c>
      <c r="T302" s="139">
        <f t="shared" si="131"/>
        <v>0</v>
      </c>
    </row>
    <row r="303" spans="1:20" s="164" customFormat="1">
      <c r="A303" s="430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127"/>
        <v>0</v>
      </c>
      <c r="H303" s="5"/>
      <c r="I303" s="31">
        <v>9.1999999999999998E-3</v>
      </c>
      <c r="J303" s="100"/>
      <c r="K303" s="15">
        <f t="shared" si="128"/>
        <v>0</v>
      </c>
      <c r="L303" s="5"/>
      <c r="M303" s="31">
        <f t="shared" si="124"/>
        <v>8.8000000000000005E-3</v>
      </c>
      <c r="N303" s="100"/>
      <c r="O303" s="15">
        <f t="shared" si="129"/>
        <v>0</v>
      </c>
      <c r="S303" s="138">
        <f t="shared" si="130"/>
        <v>0</v>
      </c>
      <c r="T303" s="139">
        <f t="shared" si="131"/>
        <v>0</v>
      </c>
    </row>
    <row r="304" spans="1:20" s="164" customFormat="1">
      <c r="A304" s="430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127"/>
        <v>53714</v>
      </c>
      <c r="H304" s="5"/>
      <c r="I304" s="31">
        <v>9.1999999999999998E-3</v>
      </c>
      <c r="J304" s="100"/>
      <c r="K304" s="15">
        <f t="shared" si="128"/>
        <v>494.16879999999998</v>
      </c>
      <c r="L304" s="5"/>
      <c r="M304" s="31">
        <f t="shared" si="124"/>
        <v>8.8000000000000005E-3</v>
      </c>
      <c r="N304" s="100"/>
      <c r="O304" s="15">
        <f t="shared" si="129"/>
        <v>472.68320000000006</v>
      </c>
      <c r="S304" s="138">
        <f t="shared" si="130"/>
        <v>0</v>
      </c>
      <c r="T304" s="139">
        <f t="shared" si="131"/>
        <v>0</v>
      </c>
    </row>
    <row r="305" spans="1:20" s="164" customFormat="1">
      <c r="A305" s="430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127"/>
        <v>1706</v>
      </c>
      <c r="H305" s="5"/>
      <c r="I305" s="31">
        <v>9.1999999999999998E-3</v>
      </c>
      <c r="J305" s="100"/>
      <c r="K305" s="15">
        <f t="shared" si="128"/>
        <v>15.6952</v>
      </c>
      <c r="L305" s="5"/>
      <c r="M305" s="31">
        <f t="shared" si="124"/>
        <v>8.8000000000000005E-3</v>
      </c>
      <c r="N305" s="100"/>
      <c r="O305" s="15">
        <f t="shared" si="129"/>
        <v>15.0128</v>
      </c>
      <c r="S305" s="138">
        <f t="shared" si="130"/>
        <v>0</v>
      </c>
      <c r="T305" s="139">
        <f t="shared" si="131"/>
        <v>0</v>
      </c>
    </row>
    <row r="306" spans="1:20" s="164" customFormat="1">
      <c r="A306" s="430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127"/>
        <v>141862</v>
      </c>
      <c r="H306" s="5"/>
      <c r="I306" s="31">
        <v>9.1999999999999998E-3</v>
      </c>
      <c r="J306" s="100"/>
      <c r="K306" s="15">
        <f t="shared" si="128"/>
        <v>1305.1304</v>
      </c>
      <c r="L306" s="5"/>
      <c r="M306" s="31">
        <f t="shared" si="124"/>
        <v>8.8000000000000005E-3</v>
      </c>
      <c r="N306" s="100"/>
      <c r="O306" s="15">
        <f t="shared" si="129"/>
        <v>1248.3856000000001</v>
      </c>
      <c r="S306" s="138">
        <f t="shared" si="130"/>
        <v>0</v>
      </c>
      <c r="T306" s="139">
        <f t="shared" si="131"/>
        <v>0</v>
      </c>
    </row>
    <row r="307" spans="1:20" s="164" customFormat="1">
      <c r="A307" s="430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127"/>
        <v>2443</v>
      </c>
      <c r="H307" s="5"/>
      <c r="I307" s="31">
        <v>9.1999999999999998E-3</v>
      </c>
      <c r="J307" s="100"/>
      <c r="K307" s="15">
        <f t="shared" si="128"/>
        <v>22.4756</v>
      </c>
      <c r="L307" s="5"/>
      <c r="M307" s="31">
        <f t="shared" si="124"/>
        <v>8.8000000000000005E-3</v>
      </c>
      <c r="N307" s="100"/>
      <c r="O307" s="15">
        <f t="shared" si="129"/>
        <v>21.4984</v>
      </c>
      <c r="S307" s="138">
        <f t="shared" si="130"/>
        <v>0</v>
      </c>
      <c r="T307" s="139">
        <f t="shared" si="131"/>
        <v>0</v>
      </c>
    </row>
    <row r="308" spans="1:20" s="164" customFormat="1">
      <c r="A308" s="434" t="s">
        <v>129</v>
      </c>
      <c r="B308" s="160"/>
      <c r="C308" s="4"/>
      <c r="D308" s="167"/>
      <c r="E308" s="14"/>
      <c r="F308" s="100"/>
      <c r="G308" s="15"/>
      <c r="H308" s="5"/>
      <c r="I308" s="31"/>
      <c r="J308" s="100"/>
      <c r="K308" s="15"/>
      <c r="L308" s="5"/>
      <c r="M308" s="31"/>
      <c r="N308" s="100"/>
      <c r="O308" s="15"/>
      <c r="S308" s="138">
        <f t="shared" si="130"/>
        <v>0</v>
      </c>
      <c r="T308" s="139">
        <f t="shared" si="131"/>
        <v>0</v>
      </c>
    </row>
    <row r="309" spans="1:20" s="164" customFormat="1">
      <c r="A309" s="430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127"/>
        <v>6451</v>
      </c>
      <c r="H309" s="5"/>
      <c r="I309" s="31">
        <v>9.1999999999999998E-3</v>
      </c>
      <c r="J309" s="100"/>
      <c r="K309" s="15">
        <f t="shared" si="128"/>
        <v>59.349199999999996</v>
      </c>
      <c r="L309" s="5"/>
      <c r="M309" s="31">
        <f t="shared" ref="M309:M315" si="132">$R$121</f>
        <v>8.8000000000000005E-3</v>
      </c>
      <c r="N309" s="100"/>
      <c r="O309" s="15">
        <f t="shared" si="129"/>
        <v>56.768800000000006</v>
      </c>
      <c r="S309" s="138">
        <f t="shared" si="130"/>
        <v>0</v>
      </c>
      <c r="T309" s="139">
        <f t="shared" si="131"/>
        <v>0</v>
      </c>
    </row>
    <row r="310" spans="1:20" s="164" customFormat="1">
      <c r="A310" s="430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127"/>
        <v>21943</v>
      </c>
      <c r="H310" s="5"/>
      <c r="I310" s="31">
        <v>9.1999999999999998E-3</v>
      </c>
      <c r="J310" s="100"/>
      <c r="K310" s="15">
        <f t="shared" si="128"/>
        <v>201.87559999999999</v>
      </c>
      <c r="L310" s="5"/>
      <c r="M310" s="31">
        <f t="shared" si="132"/>
        <v>8.8000000000000005E-3</v>
      </c>
      <c r="N310" s="100"/>
      <c r="O310" s="15">
        <f t="shared" si="129"/>
        <v>193.0984</v>
      </c>
      <c r="S310" s="138">
        <f t="shared" si="130"/>
        <v>0</v>
      </c>
      <c r="T310" s="139">
        <f t="shared" si="131"/>
        <v>0</v>
      </c>
    </row>
    <row r="311" spans="1:20" s="164" customFormat="1">
      <c r="A311" s="430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127"/>
        <v>2495</v>
      </c>
      <c r="H311" s="5"/>
      <c r="I311" s="31">
        <v>9.1999999999999998E-3</v>
      </c>
      <c r="J311" s="100"/>
      <c r="K311" s="15">
        <f t="shared" si="128"/>
        <v>22.954000000000001</v>
      </c>
      <c r="L311" s="5"/>
      <c r="M311" s="31">
        <f t="shared" si="132"/>
        <v>8.8000000000000005E-3</v>
      </c>
      <c r="N311" s="100"/>
      <c r="O311" s="15">
        <f t="shared" si="129"/>
        <v>21.956000000000003</v>
      </c>
      <c r="S311" s="138">
        <f t="shared" si="130"/>
        <v>0</v>
      </c>
      <c r="T311" s="139">
        <f t="shared" si="131"/>
        <v>0</v>
      </c>
    </row>
    <row r="312" spans="1:20" s="164" customFormat="1">
      <c r="A312" s="430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127"/>
        <v>7102</v>
      </c>
      <c r="H312" s="5"/>
      <c r="I312" s="31">
        <v>9.1999999999999998E-3</v>
      </c>
      <c r="J312" s="100"/>
      <c r="K312" s="21">
        <f t="shared" si="128"/>
        <v>65.338399999999993</v>
      </c>
      <c r="L312" s="5"/>
      <c r="M312" s="31">
        <f t="shared" si="132"/>
        <v>8.8000000000000005E-3</v>
      </c>
      <c r="N312" s="100"/>
      <c r="O312" s="21">
        <f t="shared" si="129"/>
        <v>62.497600000000006</v>
      </c>
      <c r="S312" s="138">
        <f t="shared" si="130"/>
        <v>0</v>
      </c>
      <c r="T312" s="139">
        <f t="shared" si="131"/>
        <v>0</v>
      </c>
    </row>
    <row r="313" spans="1:20" s="164" customFormat="1">
      <c r="A313" s="430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33">ROUND(C313*E313,0)</f>
        <v>85260</v>
      </c>
      <c r="H313" s="5"/>
      <c r="I313" s="31">
        <v>9.1999999999999998E-3</v>
      </c>
      <c r="J313" s="100"/>
      <c r="K313" s="15">
        <f t="shared" ref="K313:K315" si="134">$G313*I313</f>
        <v>784.39199999999994</v>
      </c>
      <c r="L313" s="5"/>
      <c r="M313" s="31">
        <f t="shared" si="132"/>
        <v>8.8000000000000005E-3</v>
      </c>
      <c r="N313" s="100"/>
      <c r="O313" s="15">
        <f t="shared" ref="O313:O315" si="135">$G313*M313</f>
        <v>750.28800000000001</v>
      </c>
      <c r="S313" s="138">
        <f t="shared" ref="S313:S315" si="136">G313*I313-K313</f>
        <v>0</v>
      </c>
      <c r="T313" s="139">
        <f t="shared" ref="T313:T315" si="137">G313*M313-O313</f>
        <v>0</v>
      </c>
    </row>
    <row r="314" spans="1:20" s="164" customFormat="1">
      <c r="A314" s="430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33"/>
        <v>7932</v>
      </c>
      <c r="H314" s="5"/>
      <c r="I314" s="31">
        <v>9.1999999999999998E-3</v>
      </c>
      <c r="J314" s="100"/>
      <c r="K314" s="15">
        <f t="shared" si="134"/>
        <v>72.974400000000003</v>
      </c>
      <c r="L314" s="5"/>
      <c r="M314" s="31">
        <f t="shared" si="132"/>
        <v>8.8000000000000005E-3</v>
      </c>
      <c r="N314" s="100"/>
      <c r="O314" s="15">
        <f t="shared" si="135"/>
        <v>69.801600000000008</v>
      </c>
      <c r="S314" s="138">
        <f t="shared" si="136"/>
        <v>0</v>
      </c>
      <c r="T314" s="139">
        <f t="shared" si="137"/>
        <v>0</v>
      </c>
    </row>
    <row r="315" spans="1:20" s="164" customFormat="1">
      <c r="A315" s="430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33"/>
        <v>10564</v>
      </c>
      <c r="H315" s="5"/>
      <c r="I315" s="31">
        <v>9.1999999999999998E-3</v>
      </c>
      <c r="J315" s="100"/>
      <c r="K315" s="21">
        <f t="shared" si="134"/>
        <v>97.188800000000001</v>
      </c>
      <c r="L315" s="5"/>
      <c r="M315" s="31">
        <f t="shared" si="132"/>
        <v>8.8000000000000005E-3</v>
      </c>
      <c r="N315" s="100"/>
      <c r="O315" s="21">
        <f t="shared" si="135"/>
        <v>92.963200000000001</v>
      </c>
      <c r="S315" s="138">
        <f t="shared" si="136"/>
        <v>0</v>
      </c>
      <c r="T315" s="139">
        <f t="shared" si="137"/>
        <v>0</v>
      </c>
    </row>
    <row r="316" spans="1:20" s="164" customFormat="1">
      <c r="A316" s="434" t="s">
        <v>182</v>
      </c>
      <c r="B316" s="160"/>
      <c r="C316" s="4"/>
      <c r="D316" s="167"/>
      <c r="E316" s="14"/>
      <c r="F316" s="100"/>
      <c r="G316" s="15"/>
      <c r="H316" s="5"/>
      <c r="I316" s="31"/>
      <c r="J316" s="100"/>
      <c r="K316" s="15"/>
      <c r="L316" s="5"/>
      <c r="M316" s="31"/>
      <c r="N316" s="100"/>
      <c r="O316" s="15"/>
      <c r="S316" s="138"/>
      <c r="T316" s="139"/>
    </row>
    <row r="317" spans="1:20" s="164" customFormat="1">
      <c r="A317" s="430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5"/>
      <c r="I317" s="31">
        <v>9.1999999999999998E-3</v>
      </c>
      <c r="J317" s="100"/>
      <c r="K317" s="15">
        <f t="shared" ref="K317:K318" si="138">$G317*I317</f>
        <v>0</v>
      </c>
      <c r="L317" s="5"/>
      <c r="M317" s="31">
        <f>$R$121</f>
        <v>8.8000000000000005E-3</v>
      </c>
      <c r="N317" s="100"/>
      <c r="O317" s="15">
        <f t="shared" ref="O317:O318" si="139">$G317*M317</f>
        <v>0</v>
      </c>
      <c r="S317" s="138">
        <f>G317*I317-K317</f>
        <v>0</v>
      </c>
      <c r="T317" s="139">
        <f>G317*M317-O317</f>
        <v>0</v>
      </c>
    </row>
    <row r="318" spans="1:20" s="164" customFormat="1">
      <c r="A318" s="430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5"/>
      <c r="I318" s="111">
        <v>9.1999999999999998E-3</v>
      </c>
      <c r="J318" s="100"/>
      <c r="K318" s="21">
        <f t="shared" si="138"/>
        <v>10.625999999999999</v>
      </c>
      <c r="L318" s="5"/>
      <c r="M318" s="111">
        <f>$R$121</f>
        <v>8.8000000000000005E-3</v>
      </c>
      <c r="N318" s="100"/>
      <c r="O318" s="21">
        <f t="shared" si="139"/>
        <v>10.164000000000001</v>
      </c>
      <c r="S318" s="138">
        <f>G318*I318-K318</f>
        <v>0</v>
      </c>
      <c r="T318" s="139">
        <f>G318*M318-O318</f>
        <v>0</v>
      </c>
    </row>
    <row r="319" spans="1:20" s="164" customFormat="1">
      <c r="A319" s="434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5"/>
      <c r="I319" s="31"/>
      <c r="J319" s="100"/>
      <c r="K319" s="37">
        <f>SUM(K290:K318)</f>
        <v>6072.5427999999993</v>
      </c>
      <c r="L319" s="5"/>
      <c r="M319" s="31"/>
      <c r="N319" s="100"/>
      <c r="O319" s="37">
        <f>SUM(O290:O318)</f>
        <v>5808.5192000000006</v>
      </c>
    </row>
    <row r="320" spans="1:20" s="164" customFormat="1">
      <c r="A320" s="434" t="s">
        <v>83</v>
      </c>
      <c r="B320" s="160"/>
      <c r="C320" s="16"/>
      <c r="D320" s="167"/>
      <c r="E320" s="14"/>
      <c r="F320" s="102"/>
      <c r="G320" s="21"/>
      <c r="H320" s="5"/>
      <c r="I320" s="125"/>
      <c r="J320" s="100"/>
      <c r="K320" s="21"/>
      <c r="L320" s="5"/>
      <c r="M320" s="125"/>
      <c r="N320" s="100"/>
      <c r="O320" s="21"/>
    </row>
    <row r="321" spans="1:20" s="164" customFormat="1">
      <c r="A321" s="434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5"/>
      <c r="I321" s="125"/>
      <c r="J321" s="100"/>
      <c r="K321" s="37">
        <f>SUM(K319:K320)</f>
        <v>6072.5427999999993</v>
      </c>
      <c r="L321" s="5"/>
      <c r="M321" s="125"/>
      <c r="N321" s="100"/>
      <c r="O321" s="37">
        <f>SUM(O319:O320)</f>
        <v>5808.5192000000006</v>
      </c>
    </row>
    <row r="322" spans="1:20" s="164" customFormat="1">
      <c r="A322" s="434" t="s">
        <v>308</v>
      </c>
      <c r="B322" s="160"/>
      <c r="C322" s="16">
        <v>221</v>
      </c>
      <c r="D322" s="167"/>
      <c r="E322" s="167"/>
      <c r="F322" s="167"/>
      <c r="G322" s="21"/>
      <c r="H322" s="5"/>
      <c r="I322" s="31"/>
      <c r="J322" s="100"/>
      <c r="K322" s="21"/>
      <c r="L322" s="5"/>
      <c r="M322" s="31"/>
      <c r="N322" s="100"/>
      <c r="O322" s="21"/>
    </row>
    <row r="323" spans="1:20" s="164" customFormat="1">
      <c r="A323" s="442" t="s">
        <v>185</v>
      </c>
      <c r="B323" s="160"/>
      <c r="C323" s="4"/>
      <c r="D323" s="167"/>
      <c r="E323" s="14"/>
      <c r="F323" s="100"/>
      <c r="G323" s="92"/>
      <c r="H323" s="5"/>
      <c r="I323" s="202"/>
      <c r="J323" s="202"/>
      <c r="K323" s="92"/>
      <c r="L323" s="5"/>
      <c r="M323" s="202"/>
      <c r="N323" s="202"/>
      <c r="O323" s="92"/>
    </row>
    <row r="324" spans="1:20" s="164" customFormat="1">
      <c r="A324" s="434" t="s">
        <v>168</v>
      </c>
      <c r="B324" s="160"/>
      <c r="C324" s="4"/>
      <c r="D324" s="167"/>
      <c r="E324" s="14"/>
      <c r="F324" s="100"/>
      <c r="G324" s="15"/>
      <c r="H324" s="5"/>
      <c r="I324" s="202"/>
      <c r="J324" s="202"/>
      <c r="K324" s="15"/>
      <c r="L324" s="5"/>
      <c r="M324" s="202"/>
      <c r="N324" s="202"/>
      <c r="O324" s="15"/>
    </row>
    <row r="325" spans="1:20" s="164" customFormat="1">
      <c r="A325" s="430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5"/>
      <c r="I325" s="31">
        <v>9.1999999999999998E-3</v>
      </c>
      <c r="J325" s="100"/>
      <c r="K325" s="15">
        <f t="shared" ref="K325:K326" si="140">$G325*I325</f>
        <v>5.8696000000000002</v>
      </c>
      <c r="L325" s="5"/>
      <c r="M325" s="31">
        <f>$R$121</f>
        <v>8.8000000000000005E-3</v>
      </c>
      <c r="N325" s="100"/>
      <c r="O325" s="15">
        <f t="shared" ref="O325:O326" si="141">$G325*M325</f>
        <v>5.6144000000000007</v>
      </c>
      <c r="S325" s="138">
        <f>G325*I325-K325</f>
        <v>0</v>
      </c>
      <c r="T325" s="139">
        <f>G325*M325-O325</f>
        <v>0</v>
      </c>
    </row>
    <row r="326" spans="1:20" s="164" customFormat="1">
      <c r="A326" s="430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5"/>
      <c r="I326" s="31">
        <v>9.1999999999999998E-3</v>
      </c>
      <c r="J326" s="100"/>
      <c r="K326" s="15">
        <f t="shared" si="140"/>
        <v>2.5851999999999999</v>
      </c>
      <c r="L326" s="5"/>
      <c r="M326" s="31">
        <f>$R$121</f>
        <v>8.8000000000000005E-3</v>
      </c>
      <c r="N326" s="100"/>
      <c r="O326" s="15">
        <f t="shared" si="141"/>
        <v>2.4728000000000003</v>
      </c>
      <c r="S326" s="138">
        <f>G326*I326-K326</f>
        <v>0</v>
      </c>
      <c r="T326" s="139">
        <f>G326*M326-O326</f>
        <v>0</v>
      </c>
    </row>
    <row r="327" spans="1:20" s="164" customFormat="1">
      <c r="A327" s="434" t="s">
        <v>170</v>
      </c>
      <c r="B327" s="160"/>
      <c r="C327" s="4"/>
      <c r="D327" s="167"/>
      <c r="E327" s="168"/>
      <c r="F327" s="167"/>
      <c r="G327" s="92"/>
      <c r="H327" s="5"/>
      <c r="I327" s="91"/>
      <c r="J327" s="5"/>
      <c r="K327" s="92"/>
      <c r="L327" s="5"/>
      <c r="M327" s="91"/>
      <c r="N327" s="5"/>
      <c r="O327" s="92"/>
      <c r="S327" s="138"/>
      <c r="T327" s="139"/>
    </row>
    <row r="328" spans="1:20" s="164" customFormat="1">
      <c r="A328" s="430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>ROUND(C328*E328,0)</f>
        <v>337</v>
      </c>
      <c r="H328" s="5"/>
      <c r="I328" s="31">
        <v>9.1999999999999998E-3</v>
      </c>
      <c r="J328" s="100"/>
      <c r="K328" s="15">
        <f t="shared" ref="K328:K330" si="142">$G328*I328</f>
        <v>3.1004</v>
      </c>
      <c r="L328" s="5"/>
      <c r="M328" s="31">
        <f>$R$121</f>
        <v>8.8000000000000005E-3</v>
      </c>
      <c r="N328" s="100"/>
      <c r="O328" s="15">
        <f t="shared" ref="O328:O330" si="143">$G328*M328</f>
        <v>2.9656000000000002</v>
      </c>
      <c r="S328" s="138">
        <f>G328*I328-K328</f>
        <v>0</v>
      </c>
      <c r="T328" s="139">
        <f>G328*M328-O328</f>
        <v>0</v>
      </c>
    </row>
    <row r="329" spans="1:20" s="164" customFormat="1">
      <c r="A329" s="430" t="s">
        <v>58</v>
      </c>
      <c r="B329" s="160"/>
      <c r="C329" s="4">
        <v>0</v>
      </c>
      <c r="D329" s="167"/>
      <c r="E329" s="14">
        <v>15.3</v>
      </c>
      <c r="F329" s="100"/>
      <c r="G329" s="15">
        <f>ROUND(C329*E329,0)</f>
        <v>0</v>
      </c>
      <c r="H329" s="5"/>
      <c r="I329" s="31">
        <v>9.1999999999999998E-3</v>
      </c>
      <c r="J329" s="100"/>
      <c r="K329" s="15">
        <f t="shared" si="142"/>
        <v>0</v>
      </c>
      <c r="L329" s="5"/>
      <c r="M329" s="31">
        <f>$R$121</f>
        <v>8.8000000000000005E-3</v>
      </c>
      <c r="N329" s="100"/>
      <c r="O329" s="15">
        <f t="shared" si="143"/>
        <v>0</v>
      </c>
      <c r="S329" s="138">
        <f>G329*I329-K329</f>
        <v>0</v>
      </c>
      <c r="T329" s="139">
        <f>G329*M329-O329</f>
        <v>0</v>
      </c>
    </row>
    <row r="330" spans="1:20" s="164" customFormat="1">
      <c r="A330" s="430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>ROUND(C330*E330,0)</f>
        <v>3118</v>
      </c>
      <c r="H330" s="5"/>
      <c r="I330" s="31">
        <v>9.1999999999999998E-3</v>
      </c>
      <c r="J330" s="100"/>
      <c r="K330" s="21">
        <f t="shared" si="142"/>
        <v>28.685600000000001</v>
      </c>
      <c r="L330" s="5"/>
      <c r="M330" s="31">
        <f>$R$121</f>
        <v>8.8000000000000005E-3</v>
      </c>
      <c r="N330" s="100"/>
      <c r="O330" s="21">
        <f t="shared" si="143"/>
        <v>27.438400000000001</v>
      </c>
      <c r="S330" s="138">
        <f>G330*I330-K330</f>
        <v>0</v>
      </c>
      <c r="T330" s="139">
        <f>G330*M330-O330</f>
        <v>0</v>
      </c>
    </row>
    <row r="331" spans="1:20" s="164" customFormat="1" ht="14.25" customHeight="1">
      <c r="A331" s="434" t="s">
        <v>113</v>
      </c>
      <c r="B331" s="160"/>
      <c r="C331" s="4"/>
      <c r="D331" s="167"/>
      <c r="E331" s="105"/>
      <c r="F331" s="20"/>
      <c r="G331" s="15"/>
      <c r="H331" s="5"/>
      <c r="I331" s="106"/>
      <c r="J331" s="20"/>
      <c r="K331" s="15"/>
      <c r="L331" s="5"/>
      <c r="M331" s="106"/>
      <c r="N331" s="20"/>
      <c r="O331" s="15"/>
      <c r="S331" s="138"/>
      <c r="T331" s="139"/>
    </row>
    <row r="332" spans="1:20" s="164" customFormat="1">
      <c r="A332" s="430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44">ROUND(C332*E332,0)</f>
        <v>20007</v>
      </c>
      <c r="H332" s="5"/>
      <c r="I332" s="31">
        <v>9.1999999999999998E-3</v>
      </c>
      <c r="J332" s="100"/>
      <c r="K332" s="15">
        <f t="shared" ref="K332:K337" si="145">$G332*I332</f>
        <v>184.06440000000001</v>
      </c>
      <c r="L332" s="5"/>
      <c r="M332" s="31">
        <f t="shared" ref="M332:M337" si="146">$R$121</f>
        <v>8.8000000000000005E-3</v>
      </c>
      <c r="N332" s="100"/>
      <c r="O332" s="15">
        <f t="shared" ref="O332:O337" si="147">$G332*M332</f>
        <v>176.0616</v>
      </c>
      <c r="S332" s="138">
        <f t="shared" ref="S332:S337" si="148">G332*I332-K332</f>
        <v>0</v>
      </c>
      <c r="T332" s="139">
        <f t="shared" ref="T332:T337" si="149">G332*M332-O332</f>
        <v>0</v>
      </c>
    </row>
    <row r="333" spans="1:20" s="164" customFormat="1">
      <c r="A333" s="430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44"/>
        <v>90466</v>
      </c>
      <c r="H333" s="5"/>
      <c r="I333" s="31">
        <v>9.1999999999999998E-3</v>
      </c>
      <c r="J333" s="100"/>
      <c r="K333" s="15">
        <f t="shared" si="145"/>
        <v>832.28719999999998</v>
      </c>
      <c r="L333" s="5"/>
      <c r="M333" s="31">
        <f t="shared" si="146"/>
        <v>8.8000000000000005E-3</v>
      </c>
      <c r="N333" s="100"/>
      <c r="O333" s="15">
        <f t="shared" si="147"/>
        <v>796.10080000000005</v>
      </c>
      <c r="S333" s="138">
        <f t="shared" si="148"/>
        <v>0</v>
      </c>
      <c r="T333" s="139">
        <f t="shared" si="149"/>
        <v>0</v>
      </c>
    </row>
    <row r="334" spans="1:20" s="164" customFormat="1">
      <c r="A334" s="430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44"/>
        <v>9405</v>
      </c>
      <c r="H334" s="5"/>
      <c r="I334" s="31">
        <v>9.1999999999999998E-3</v>
      </c>
      <c r="J334" s="100"/>
      <c r="K334" s="15">
        <f t="shared" si="145"/>
        <v>86.525999999999996</v>
      </c>
      <c r="L334" s="5"/>
      <c r="M334" s="31">
        <f t="shared" si="146"/>
        <v>8.8000000000000005E-3</v>
      </c>
      <c r="N334" s="100"/>
      <c r="O334" s="15">
        <f t="shared" si="147"/>
        <v>82.76400000000001</v>
      </c>
      <c r="S334" s="138">
        <f t="shared" si="148"/>
        <v>0</v>
      </c>
      <c r="T334" s="139">
        <f t="shared" si="149"/>
        <v>0</v>
      </c>
    </row>
    <row r="335" spans="1:20" s="164" customFormat="1">
      <c r="A335" s="430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44"/>
        <v>0</v>
      </c>
      <c r="H335" s="5"/>
      <c r="I335" s="31">
        <v>9.1999999999999998E-3</v>
      </c>
      <c r="J335" s="100"/>
      <c r="K335" s="15">
        <f t="shared" si="145"/>
        <v>0</v>
      </c>
      <c r="L335" s="5"/>
      <c r="M335" s="31">
        <f t="shared" si="146"/>
        <v>8.8000000000000005E-3</v>
      </c>
      <c r="N335" s="100"/>
      <c r="O335" s="15">
        <f t="shared" si="147"/>
        <v>0</v>
      </c>
      <c r="S335" s="138">
        <f t="shared" si="148"/>
        <v>0</v>
      </c>
      <c r="T335" s="139">
        <f t="shared" si="149"/>
        <v>0</v>
      </c>
    </row>
    <row r="336" spans="1:20" s="164" customFormat="1">
      <c r="A336" s="430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44"/>
        <v>26464</v>
      </c>
      <c r="H336" s="5"/>
      <c r="I336" s="31">
        <v>9.1999999999999998E-3</v>
      </c>
      <c r="J336" s="100"/>
      <c r="K336" s="15">
        <f t="shared" si="145"/>
        <v>243.46879999999999</v>
      </c>
      <c r="L336" s="5"/>
      <c r="M336" s="31">
        <f t="shared" si="146"/>
        <v>8.8000000000000005E-3</v>
      </c>
      <c r="N336" s="100"/>
      <c r="O336" s="15">
        <f t="shared" si="147"/>
        <v>232.88320000000002</v>
      </c>
      <c r="S336" s="138">
        <f t="shared" si="148"/>
        <v>0</v>
      </c>
      <c r="T336" s="139">
        <f t="shared" si="149"/>
        <v>0</v>
      </c>
    </row>
    <row r="337" spans="1:20" s="164" customFormat="1">
      <c r="A337" s="430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44"/>
        <v>31511</v>
      </c>
      <c r="H337" s="5"/>
      <c r="I337" s="31">
        <v>9.1999999999999998E-3</v>
      </c>
      <c r="J337" s="100"/>
      <c r="K337" s="21">
        <f t="shared" si="145"/>
        <v>289.90120000000002</v>
      </c>
      <c r="L337" s="5"/>
      <c r="M337" s="31">
        <f t="shared" si="146"/>
        <v>8.8000000000000005E-3</v>
      </c>
      <c r="N337" s="100"/>
      <c r="O337" s="21">
        <f t="shared" si="147"/>
        <v>277.29680000000002</v>
      </c>
      <c r="S337" s="138">
        <f t="shared" si="148"/>
        <v>0</v>
      </c>
      <c r="T337" s="139">
        <f t="shared" si="149"/>
        <v>0</v>
      </c>
    </row>
    <row r="338" spans="1:20" s="164" customFormat="1">
      <c r="A338" s="434" t="s">
        <v>129</v>
      </c>
      <c r="B338" s="160"/>
      <c r="C338" s="4"/>
      <c r="D338" s="167"/>
      <c r="E338" s="168"/>
      <c r="F338" s="167"/>
      <c r="G338" s="92"/>
      <c r="H338" s="5"/>
      <c r="I338" s="91"/>
      <c r="J338" s="5"/>
      <c r="K338" s="92"/>
      <c r="L338" s="5"/>
      <c r="M338" s="91"/>
      <c r="N338" s="5"/>
      <c r="O338" s="92"/>
      <c r="S338" s="138"/>
      <c r="T338" s="139"/>
    </row>
    <row r="339" spans="1:20" s="164" customFormat="1">
      <c r="A339" s="430" t="s">
        <v>162</v>
      </c>
      <c r="B339" s="160"/>
      <c r="C339" s="4">
        <v>1188</v>
      </c>
      <c r="D339" s="167"/>
      <c r="E339" s="14">
        <v>15.58</v>
      </c>
      <c r="F339" s="100"/>
      <c r="G339" s="15">
        <f>ROUND(C339*E339,0)</f>
        <v>18509</v>
      </c>
      <c r="H339" s="5"/>
      <c r="I339" s="31">
        <v>9.1999999999999998E-3</v>
      </c>
      <c r="J339" s="100"/>
      <c r="K339" s="15">
        <f t="shared" ref="K339:K342" si="150">$G339*I339</f>
        <v>170.28280000000001</v>
      </c>
      <c r="L339" s="5"/>
      <c r="M339" s="31">
        <f>$R$121</f>
        <v>8.8000000000000005E-3</v>
      </c>
      <c r="N339" s="100"/>
      <c r="O339" s="15">
        <f t="shared" ref="O339:O342" si="151">$G339*M339</f>
        <v>162.8792</v>
      </c>
      <c r="S339" s="138">
        <f>G339*I339-K339</f>
        <v>0</v>
      </c>
      <c r="T339" s="139">
        <f>G339*M339-O339</f>
        <v>0</v>
      </c>
    </row>
    <row r="340" spans="1:20" s="164" customFormat="1">
      <c r="A340" s="430" t="s">
        <v>163</v>
      </c>
      <c r="B340" s="160"/>
      <c r="C340" s="4">
        <v>724</v>
      </c>
      <c r="D340" s="167"/>
      <c r="E340" s="14">
        <v>15.73</v>
      </c>
      <c r="F340" s="100"/>
      <c r="G340" s="15">
        <f>ROUND(C340*E340,0)</f>
        <v>11389</v>
      </c>
      <c r="H340" s="5"/>
      <c r="I340" s="31">
        <v>9.1999999999999998E-3</v>
      </c>
      <c r="J340" s="100"/>
      <c r="K340" s="15">
        <f t="shared" si="150"/>
        <v>104.7788</v>
      </c>
      <c r="L340" s="5"/>
      <c r="M340" s="31">
        <f>$R$121</f>
        <v>8.8000000000000005E-3</v>
      </c>
      <c r="N340" s="100"/>
      <c r="O340" s="15">
        <f t="shared" si="151"/>
        <v>100.22320000000001</v>
      </c>
      <c r="S340" s="138">
        <f>G340*I340-K340</f>
        <v>0</v>
      </c>
      <c r="T340" s="139">
        <f>G340*M340-O340</f>
        <v>0</v>
      </c>
    </row>
    <row r="341" spans="1:20" s="164" customFormat="1">
      <c r="A341" s="430" t="s">
        <v>164</v>
      </c>
      <c r="B341" s="160"/>
      <c r="C341" s="4">
        <v>881</v>
      </c>
      <c r="D341" s="167"/>
      <c r="E341" s="14">
        <v>16.72</v>
      </c>
      <c r="F341" s="100"/>
      <c r="G341" s="15">
        <f>ROUND(C341*E341,0)</f>
        <v>14730</v>
      </c>
      <c r="H341" s="5"/>
      <c r="I341" s="31">
        <v>9.1999999999999998E-3</v>
      </c>
      <c r="J341" s="100"/>
      <c r="K341" s="15">
        <f t="shared" si="150"/>
        <v>135.51599999999999</v>
      </c>
      <c r="L341" s="5"/>
      <c r="M341" s="31">
        <f>$R$121</f>
        <v>8.8000000000000005E-3</v>
      </c>
      <c r="N341" s="100"/>
      <c r="O341" s="15">
        <f t="shared" si="151"/>
        <v>129.624</v>
      </c>
      <c r="S341" s="138">
        <f>G341*I341-K341</f>
        <v>0</v>
      </c>
      <c r="T341" s="139">
        <f>G341*M341-O341</f>
        <v>0</v>
      </c>
    </row>
    <row r="342" spans="1:20" s="164" customFormat="1">
      <c r="A342" s="430" t="s">
        <v>186</v>
      </c>
      <c r="B342" s="160"/>
      <c r="C342" s="48">
        <v>96</v>
      </c>
      <c r="D342" s="167"/>
      <c r="E342" s="453">
        <v>33.049999999999997</v>
      </c>
      <c r="F342" s="100"/>
      <c r="G342" s="24">
        <f>ROUND(C342*E342,0)</f>
        <v>3173</v>
      </c>
      <c r="H342" s="5"/>
      <c r="I342" s="31">
        <v>9.1999999999999998E-3</v>
      </c>
      <c r="J342" s="100"/>
      <c r="K342" s="24">
        <f t="shared" si="150"/>
        <v>29.191600000000001</v>
      </c>
      <c r="L342" s="5"/>
      <c r="M342" s="31">
        <f>$R$121</f>
        <v>8.8000000000000005E-3</v>
      </c>
      <c r="N342" s="100"/>
      <c r="O342" s="24">
        <f t="shared" si="151"/>
        <v>27.922400000000003</v>
      </c>
      <c r="S342" s="138">
        <f>G342*I342-K342</f>
        <v>0</v>
      </c>
      <c r="T342" s="139">
        <f>G342*M342-O342</f>
        <v>0</v>
      </c>
    </row>
    <row r="343" spans="1:20" s="164" customFormat="1">
      <c r="A343" s="434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5"/>
      <c r="I343" s="125"/>
      <c r="J343" s="100"/>
      <c r="K343" s="21">
        <f>SUM(K325:K342)</f>
        <v>2116.2575999999999</v>
      </c>
      <c r="L343" s="5"/>
      <c r="M343" s="125"/>
      <c r="N343" s="100"/>
      <c r="O343" s="21">
        <f>SUM(O325:O342)</f>
        <v>2024.2464000000002</v>
      </c>
    </row>
    <row r="344" spans="1:20" s="164" customFormat="1">
      <c r="A344" s="434" t="s">
        <v>83</v>
      </c>
      <c r="B344" s="160"/>
      <c r="C344" s="16"/>
      <c r="D344" s="167"/>
      <c r="E344" s="100"/>
      <c r="F344" s="102"/>
      <c r="G344" s="21"/>
      <c r="H344" s="5"/>
      <c r="I344" s="125"/>
      <c r="J344" s="100"/>
      <c r="K344" s="21"/>
      <c r="L344" s="5"/>
      <c r="M344" s="125"/>
      <c r="N344" s="100"/>
      <c r="O344" s="21"/>
    </row>
    <row r="345" spans="1:20" s="164" customFormat="1">
      <c r="A345" s="434" t="s">
        <v>152</v>
      </c>
      <c r="B345" s="160"/>
      <c r="C345" s="48">
        <v>1644139.7735008644</v>
      </c>
      <c r="D345" s="167"/>
      <c r="E345" s="453"/>
      <c r="F345" s="102"/>
      <c r="G345" s="37">
        <f>SUM(G343:G344)</f>
        <v>230028</v>
      </c>
      <c r="H345" s="5"/>
      <c r="I345" s="125"/>
      <c r="J345" s="100"/>
      <c r="K345" s="37">
        <f>SUM(K343:K344)</f>
        <v>2116.2575999999999</v>
      </c>
      <c r="L345" s="5"/>
      <c r="M345" s="125"/>
      <c r="N345" s="100"/>
      <c r="O345" s="37">
        <f>SUM(O343:O344)</f>
        <v>2024.2464000000002</v>
      </c>
    </row>
    <row r="346" spans="1:20" s="164" customFormat="1">
      <c r="A346" s="434" t="s">
        <v>308</v>
      </c>
      <c r="B346" s="160"/>
      <c r="C346" s="16">
        <v>99</v>
      </c>
      <c r="D346" s="167"/>
      <c r="E346" s="167"/>
      <c r="F346" s="167"/>
      <c r="G346" s="21"/>
      <c r="H346" s="5"/>
      <c r="I346" s="203"/>
      <c r="J346" s="202"/>
      <c r="K346" s="21"/>
      <c r="L346" s="5"/>
      <c r="M346" s="203"/>
      <c r="N346" s="202"/>
      <c r="O346" s="21"/>
    </row>
    <row r="347" spans="1:20" s="164" customFormat="1">
      <c r="A347" s="430"/>
      <c r="B347" s="160"/>
      <c r="C347" s="48"/>
      <c r="D347" s="167"/>
      <c r="E347" s="100"/>
      <c r="F347" s="100"/>
      <c r="G347" s="24"/>
      <c r="H347" s="5"/>
      <c r="I347" s="111"/>
      <c r="J347" s="100"/>
      <c r="K347" s="24"/>
      <c r="L347" s="5"/>
      <c r="M347" s="111"/>
      <c r="N347" s="100"/>
      <c r="O347" s="24"/>
    </row>
    <row r="348" spans="1:20" s="164" customFormat="1">
      <c r="A348" s="430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5"/>
      <c r="I348" s="126"/>
      <c r="J348" s="5"/>
      <c r="K348" s="24">
        <f>K284+K319+K343</f>
        <v>38132.776400000002</v>
      </c>
      <c r="L348" s="5"/>
      <c r="M348" s="126"/>
      <c r="N348" s="5"/>
      <c r="O348" s="24">
        <f>O284+O319+O343</f>
        <v>36474.829600000012</v>
      </c>
    </row>
    <row r="349" spans="1:20" s="164" customFormat="1">
      <c r="A349" s="430" t="s">
        <v>84</v>
      </c>
      <c r="B349" s="160"/>
      <c r="C349" s="13">
        <v>839</v>
      </c>
      <c r="D349" s="167"/>
      <c r="E349" s="168"/>
      <c r="F349" s="167"/>
      <c r="G349" s="92"/>
      <c r="H349" s="5"/>
      <c r="I349" s="126"/>
      <c r="J349" s="5"/>
      <c r="K349" s="92"/>
      <c r="L349" s="5"/>
      <c r="M349" s="126"/>
      <c r="N349" s="5"/>
      <c r="O349" s="92"/>
    </row>
    <row r="350" spans="1:20" s="164" customFormat="1">
      <c r="A350" s="430" t="s">
        <v>83</v>
      </c>
      <c r="B350" s="160"/>
      <c r="C350" s="45"/>
      <c r="D350" s="167"/>
      <c r="E350" s="176"/>
      <c r="F350" s="167"/>
      <c r="G350" s="24">
        <v>0</v>
      </c>
      <c r="H350" s="5"/>
      <c r="I350" s="126"/>
      <c r="J350" s="5"/>
      <c r="K350" s="24"/>
      <c r="L350" s="5"/>
      <c r="M350" s="126"/>
      <c r="N350" s="5"/>
      <c r="O350" s="24"/>
    </row>
    <row r="351" spans="1:20" s="164" customFormat="1" ht="16.5" thickBot="1">
      <c r="A351" s="430" t="s">
        <v>152</v>
      </c>
      <c r="B351" s="160"/>
      <c r="C351" s="43">
        <v>56516774.129293256</v>
      </c>
      <c r="D351" s="167"/>
      <c r="E351" s="46"/>
      <c r="F351" s="122"/>
      <c r="G351" s="659">
        <f>G350+G348</f>
        <v>4144867</v>
      </c>
      <c r="H351" s="5"/>
      <c r="I351" s="123"/>
      <c r="J351" s="122"/>
      <c r="K351" s="659">
        <f>K350+K348</f>
        <v>38132.776400000002</v>
      </c>
      <c r="L351" s="5"/>
      <c r="M351" s="123"/>
      <c r="N351" s="122"/>
      <c r="O351" s="659">
        <f>O350+O348</f>
        <v>36474.829600000012</v>
      </c>
    </row>
    <row r="352" spans="1:20" s="164" customFormat="1" ht="16.5" thickTop="1">
      <c r="A352" s="199"/>
      <c r="B352" s="168"/>
      <c r="C352" s="47"/>
      <c r="D352" s="167"/>
      <c r="E352" s="167"/>
      <c r="F352" s="167"/>
      <c r="G352" s="21"/>
      <c r="H352" s="5"/>
      <c r="I352" s="108"/>
      <c r="J352" s="109"/>
      <c r="K352" s="21"/>
      <c r="L352" s="5"/>
      <c r="M352" s="108"/>
      <c r="N352" s="109"/>
      <c r="O352" s="21"/>
    </row>
    <row r="353" spans="1:20" s="164" customFormat="1">
      <c r="A353" s="442" t="s">
        <v>451</v>
      </c>
      <c r="B353" s="160"/>
      <c r="C353" s="4"/>
      <c r="D353" s="167"/>
      <c r="E353" s="168"/>
      <c r="F353" s="167"/>
      <c r="G353" s="92"/>
      <c r="H353" s="5"/>
      <c r="I353" s="126"/>
      <c r="J353" s="5"/>
      <c r="K353" s="92"/>
      <c r="L353" s="5"/>
      <c r="M353" s="126"/>
      <c r="N353" s="5"/>
      <c r="O353" s="92"/>
    </row>
    <row r="354" spans="1:20" s="164" customFormat="1">
      <c r="A354" s="430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5"/>
      <c r="I354" s="91"/>
      <c r="J354" s="5"/>
      <c r="K354" s="15"/>
      <c r="L354" s="5"/>
      <c r="M354" s="91"/>
      <c r="N354" s="5"/>
      <c r="O354" s="15"/>
      <c r="Q354" s="70" t="s">
        <v>14</v>
      </c>
      <c r="R354" s="17">
        <f>O360</f>
        <v>19960.123499999998</v>
      </c>
      <c r="S354" s="138"/>
      <c r="T354" s="139"/>
    </row>
    <row r="355" spans="1:20" s="164" customFormat="1">
      <c r="A355" s="430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5"/>
      <c r="I355" s="31"/>
      <c r="J355" s="100"/>
      <c r="K355" s="15"/>
      <c r="L355" s="5"/>
      <c r="M355" s="31"/>
      <c r="N355" s="100"/>
      <c r="O355" s="15"/>
      <c r="Q355" s="71" t="s">
        <v>16</v>
      </c>
      <c r="R355" s="18">
        <f>'Exhibit-RMP(JRS-1) page 2'!M43*1000</f>
        <v>20005.567398079354</v>
      </c>
      <c r="S355" s="138"/>
      <c r="T355" s="139"/>
    </row>
    <row r="356" spans="1:20" s="164" customFormat="1">
      <c r="A356" s="430" t="s">
        <v>190</v>
      </c>
      <c r="B356" s="160"/>
      <c r="C356" s="443">
        <v>0</v>
      </c>
      <c r="D356" s="167"/>
      <c r="E356" s="14">
        <v>127.5</v>
      </c>
      <c r="F356" s="100"/>
      <c r="G356" s="15">
        <f>ROUND(C356*E356,0)</f>
        <v>0</v>
      </c>
      <c r="H356" s="5"/>
      <c r="I356" s="31"/>
      <c r="J356" s="100"/>
      <c r="K356" s="15"/>
      <c r="L356" s="5"/>
      <c r="M356" s="31"/>
      <c r="N356" s="100"/>
      <c r="O356" s="15"/>
      <c r="Q356" s="72" t="s">
        <v>18</v>
      </c>
      <c r="R356" s="19">
        <f>R355-R354</f>
        <v>45.443898079356586</v>
      </c>
      <c r="S356" s="138"/>
      <c r="T356" s="139"/>
    </row>
    <row r="357" spans="1:20" s="164" customFormat="1">
      <c r="A357" s="430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5"/>
      <c r="I357" s="31"/>
      <c r="J357" s="100"/>
      <c r="K357" s="15"/>
      <c r="L357" s="5"/>
      <c r="M357" s="31"/>
      <c r="N357" s="100"/>
      <c r="O357" s="15"/>
      <c r="Q357" s="75" t="s">
        <v>21</v>
      </c>
      <c r="R357" s="76">
        <f>ROUND(R355/SUM(G358),$R$12)</f>
        <v>2.1299999999999999E-2</v>
      </c>
      <c r="S357" s="138"/>
      <c r="T357" s="139"/>
    </row>
    <row r="358" spans="1:20" s="164" customFormat="1">
      <c r="A358" s="430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5"/>
      <c r="I358" s="31">
        <v>2.47E-2</v>
      </c>
      <c r="J358" s="102"/>
      <c r="K358" s="15">
        <f t="shared" ref="K358" si="152">$G358*I358</f>
        <v>23146.246500000001</v>
      </c>
      <c r="L358" s="5"/>
      <c r="M358" s="31">
        <f>R357</f>
        <v>2.1299999999999999E-2</v>
      </c>
      <c r="N358" s="102"/>
      <c r="O358" s="15">
        <f t="shared" ref="O358" si="153">$G358*M358</f>
        <v>19960.123499999998</v>
      </c>
      <c r="S358" s="138">
        <f>G358*I358-K358</f>
        <v>0</v>
      </c>
      <c r="T358" s="139">
        <f>G358*M358-O358</f>
        <v>0</v>
      </c>
    </row>
    <row r="359" spans="1:20" s="164" customFormat="1">
      <c r="A359" s="430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5"/>
      <c r="I359" s="91"/>
      <c r="J359" s="5"/>
      <c r="K359" s="24"/>
      <c r="L359" s="5"/>
      <c r="M359" s="91"/>
      <c r="N359" s="5"/>
      <c r="O359" s="24"/>
      <c r="Q359" s="41"/>
      <c r="R359" s="42"/>
      <c r="S359" s="138"/>
      <c r="T359" s="139"/>
    </row>
    <row r="360" spans="1:20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5"/>
      <c r="I360" s="113"/>
      <c r="J360" s="5"/>
      <c r="K360" s="28">
        <f>SUM(K354:K359)</f>
        <v>23146.246500000001</v>
      </c>
      <c r="L360" s="5"/>
      <c r="M360" s="113"/>
      <c r="N360" s="5"/>
      <c r="O360" s="28">
        <f>SUM(O354:O359)</f>
        <v>19960.123499999998</v>
      </c>
      <c r="Q360" s="41"/>
      <c r="R360" s="42"/>
      <c r="S360" s="138"/>
      <c r="T360" s="139"/>
    </row>
    <row r="361" spans="1:20" s="164" customFormat="1" ht="16.5" thickTop="1">
      <c r="A361" s="430"/>
      <c r="B361" s="160"/>
      <c r="C361" s="47"/>
      <c r="D361" s="167"/>
      <c r="E361" s="167"/>
      <c r="F361" s="167"/>
      <c r="G361" s="92"/>
      <c r="H361" s="5"/>
      <c r="I361" s="108"/>
      <c r="J361" s="109"/>
      <c r="K361" s="92"/>
      <c r="L361" s="5"/>
      <c r="M361" s="108"/>
      <c r="N361" s="109"/>
      <c r="O361" s="92"/>
      <c r="Q361" s="41"/>
      <c r="R361" s="42"/>
      <c r="S361" s="138"/>
      <c r="T361" s="139"/>
    </row>
    <row r="362" spans="1:20" s="164" customFormat="1">
      <c r="A362" s="442" t="s">
        <v>452</v>
      </c>
      <c r="B362" s="160"/>
      <c r="C362" s="4"/>
      <c r="D362" s="167"/>
      <c r="E362" s="167"/>
      <c r="F362" s="167"/>
      <c r="G362" s="21"/>
      <c r="H362" s="5"/>
      <c r="I362" s="91"/>
      <c r="J362" s="5"/>
      <c r="K362" s="21"/>
      <c r="L362" s="5"/>
      <c r="M362" s="91"/>
      <c r="N362" s="5"/>
      <c r="O362" s="21"/>
      <c r="Q362" s="70" t="s">
        <v>14</v>
      </c>
      <c r="R362" s="17">
        <f>O366</f>
        <v>7632.9749999999995</v>
      </c>
      <c r="S362" s="138"/>
      <c r="T362" s="139"/>
    </row>
    <row r="363" spans="1:20" s="164" customFormat="1">
      <c r="A363" s="430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5"/>
      <c r="I363" s="126"/>
      <c r="J363" s="5"/>
      <c r="K363" s="15"/>
      <c r="L363" s="5"/>
      <c r="M363" s="126"/>
      <c r="N363" s="5"/>
      <c r="O363" s="15"/>
      <c r="Q363" s="71" t="s">
        <v>16</v>
      </c>
      <c r="R363" s="18">
        <f>'Exhibit-RMP(JRS-1) page 2'!M44*1000</f>
        <v>7617.6559286363181</v>
      </c>
      <c r="S363" s="138"/>
      <c r="T363" s="139"/>
    </row>
    <row r="364" spans="1:20" s="164" customFormat="1">
      <c r="A364" s="430" t="s">
        <v>192</v>
      </c>
      <c r="B364" s="160"/>
      <c r="C364" s="4">
        <v>6177947.158763391</v>
      </c>
      <c r="D364" s="167"/>
      <c r="E364" s="440">
        <v>8.4048999999999996</v>
      </c>
      <c r="F364" s="102" t="s">
        <v>11</v>
      </c>
      <c r="G364" s="15">
        <f>ROUND(C364*E364/100,0)</f>
        <v>519250</v>
      </c>
      <c r="H364" s="5"/>
      <c r="I364" s="31">
        <v>2.4500000000000001E-2</v>
      </c>
      <c r="J364" s="102"/>
      <c r="K364" s="15">
        <f t="shared" ref="K364" si="154">$G364*I364</f>
        <v>12721.625</v>
      </c>
      <c r="L364" s="5"/>
      <c r="M364" s="31">
        <f>R365</f>
        <v>1.47E-2</v>
      </c>
      <c r="N364" s="102"/>
      <c r="O364" s="15">
        <f t="shared" ref="O364" si="155">$G364*M364</f>
        <v>7632.9749999999995</v>
      </c>
      <c r="Q364" s="72" t="s">
        <v>18</v>
      </c>
      <c r="R364" s="19">
        <f>R363-R362</f>
        <v>-15.31907136368136</v>
      </c>
      <c r="S364" s="138">
        <f>G364*I364-K364</f>
        <v>0</v>
      </c>
      <c r="T364" s="139">
        <f>G364*M364-O364</f>
        <v>0</v>
      </c>
    </row>
    <row r="365" spans="1:20" s="164" customFormat="1">
      <c r="A365" s="430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5"/>
      <c r="I365" s="91"/>
      <c r="J365" s="5"/>
      <c r="K365" s="24"/>
      <c r="L365" s="5"/>
      <c r="M365" s="91"/>
      <c r="N365" s="5"/>
      <c r="O365" s="24"/>
      <c r="Q365" s="75" t="s">
        <v>21</v>
      </c>
      <c r="R365" s="76">
        <f>ROUND(R363/SUM(G364),$R$12)</f>
        <v>1.47E-2</v>
      </c>
      <c r="S365" s="138"/>
      <c r="T365" s="139"/>
    </row>
    <row r="366" spans="1:20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5"/>
      <c r="I366" s="113"/>
      <c r="J366" s="5"/>
      <c r="K366" s="28">
        <f>SUM(K363:K365)</f>
        <v>12721.625</v>
      </c>
      <c r="L366" s="5"/>
      <c r="M366" s="113"/>
      <c r="N366" s="5"/>
      <c r="O366" s="28">
        <f>SUM(O363:O365)</f>
        <v>7632.9749999999995</v>
      </c>
      <c r="S366" s="138"/>
      <c r="T366" s="139"/>
    </row>
    <row r="367" spans="1:20" s="164" customFormat="1" ht="16.5" thickTop="1">
      <c r="A367" s="160"/>
      <c r="B367" s="160"/>
      <c r="C367" s="4"/>
      <c r="D367" s="167"/>
      <c r="E367" s="168"/>
      <c r="F367" s="167"/>
      <c r="G367" s="21"/>
      <c r="H367" s="5"/>
      <c r="I367" s="202"/>
      <c r="J367" s="202"/>
      <c r="K367" s="21"/>
      <c r="L367" s="5"/>
      <c r="M367" s="202"/>
      <c r="N367" s="202"/>
      <c r="O367" s="21"/>
    </row>
    <row r="368" spans="1:20" s="164" customFormat="1">
      <c r="A368" s="429" t="s">
        <v>195</v>
      </c>
      <c r="B368" s="425"/>
      <c r="C368" s="4"/>
      <c r="D368" s="167"/>
      <c r="E368" s="168"/>
      <c r="F368" s="167"/>
      <c r="G368" s="92"/>
      <c r="H368" s="5"/>
      <c r="I368" s="202"/>
      <c r="J368" s="202"/>
      <c r="K368" s="92"/>
      <c r="L368" s="5"/>
      <c r="M368" s="202"/>
      <c r="N368" s="202"/>
      <c r="O368" s="92"/>
    </row>
    <row r="369" spans="1:20" s="164" customFormat="1">
      <c r="A369" s="444" t="s">
        <v>196</v>
      </c>
      <c r="B369" s="425"/>
      <c r="C369" s="4"/>
      <c r="D369" s="167"/>
      <c r="E369" s="168"/>
      <c r="F369" s="167"/>
      <c r="G369" s="92"/>
      <c r="H369" s="5"/>
      <c r="I369" s="108"/>
      <c r="J369" s="109"/>
      <c r="K369" s="92"/>
      <c r="L369" s="5"/>
      <c r="M369" s="108"/>
      <c r="N369" s="109"/>
      <c r="O369" s="92"/>
      <c r="Q369" s="41"/>
      <c r="R369" s="41"/>
      <c r="S369" s="138"/>
      <c r="T369" s="139"/>
    </row>
    <row r="370" spans="1:20" s="164" customFormat="1">
      <c r="A370" s="430" t="s">
        <v>7</v>
      </c>
      <c r="B370" s="425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5"/>
      <c r="I370" s="108"/>
      <c r="J370" s="109"/>
      <c r="K370" s="15"/>
      <c r="L370" s="5"/>
      <c r="M370" s="108"/>
      <c r="N370" s="109"/>
      <c r="O370" s="15"/>
      <c r="Q370" s="41"/>
      <c r="R370" s="2"/>
      <c r="S370" s="138"/>
      <c r="T370" s="139"/>
    </row>
    <row r="371" spans="1:20">
      <c r="A371" s="430" t="s">
        <v>197</v>
      </c>
      <c r="B371" s="425"/>
      <c r="C371" s="16">
        <v>10893</v>
      </c>
      <c r="E371" s="14">
        <v>4.3</v>
      </c>
      <c r="F371" s="100"/>
      <c r="G371" s="15">
        <f>ROUND(E371*$C371,0)</f>
        <v>46840</v>
      </c>
      <c r="K371" s="15"/>
      <c r="O371" s="15"/>
      <c r="Q371" s="44"/>
      <c r="R371" s="2"/>
      <c r="S371" s="138"/>
      <c r="T371" s="139"/>
    </row>
    <row r="372" spans="1:20">
      <c r="A372" s="430" t="s">
        <v>198</v>
      </c>
      <c r="B372" s="425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I372" s="128">
        <v>6.7000000000000004E-2</v>
      </c>
      <c r="J372" s="102"/>
      <c r="K372" s="15">
        <f t="shared" ref="K372" si="156">$G372*I372</f>
        <v>1943.67</v>
      </c>
      <c r="M372" s="128">
        <f>$R$375</f>
        <v>4.4999999999999998E-2</v>
      </c>
      <c r="N372" s="102"/>
      <c r="O372" s="15">
        <f t="shared" ref="O372:O373" si="157">$G372*M372</f>
        <v>1305.45</v>
      </c>
      <c r="Q372" s="70" t="s">
        <v>14</v>
      </c>
      <c r="R372" s="17">
        <f>O383</f>
        <v>9799.6949999999997</v>
      </c>
      <c r="S372" s="138">
        <f>G372*I372-K372</f>
        <v>0</v>
      </c>
      <c r="T372" s="139">
        <f>G372*M372-O372</f>
        <v>0</v>
      </c>
    </row>
    <row r="373" spans="1:20">
      <c r="A373" s="430" t="s">
        <v>102</v>
      </c>
      <c r="B373" s="425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I373" s="128">
        <v>6.7000000000000004E-2</v>
      </c>
      <c r="J373" s="102"/>
      <c r="K373" s="15">
        <f t="shared" ref="K373" si="158">$G373*I373</f>
        <v>0</v>
      </c>
      <c r="M373" s="128">
        <f>$R$375</f>
        <v>4.4999999999999998E-2</v>
      </c>
      <c r="N373" s="102"/>
      <c r="O373" s="15">
        <f t="shared" si="157"/>
        <v>0</v>
      </c>
      <c r="Q373" s="71" t="s">
        <v>16</v>
      </c>
      <c r="R373" s="18">
        <f>'Exhibit-RMP(JRS-1) page 2'!M31*1000</f>
        <v>9791.9313344790298</v>
      </c>
      <c r="S373" s="138">
        <f>G373*I373-K373</f>
        <v>0</v>
      </c>
      <c r="T373" s="139">
        <f>G373*M373-O373</f>
        <v>0</v>
      </c>
    </row>
    <row r="374" spans="1:20">
      <c r="A374" s="430" t="s">
        <v>24</v>
      </c>
      <c r="B374" s="425"/>
      <c r="C374" s="23">
        <v>0</v>
      </c>
      <c r="E374" s="127"/>
      <c r="F374" s="124"/>
      <c r="G374" s="24">
        <v>0</v>
      </c>
      <c r="I374" s="128"/>
      <c r="J374" s="124"/>
      <c r="K374" s="24"/>
      <c r="M374" s="128"/>
      <c r="N374" s="124"/>
      <c r="O374" s="24"/>
      <c r="Q374" s="72" t="s">
        <v>18</v>
      </c>
      <c r="R374" s="19">
        <f>R373-R372</f>
        <v>-7.7636655209698802</v>
      </c>
      <c r="S374" s="138"/>
      <c r="T374" s="139"/>
    </row>
    <row r="375" spans="1:20">
      <c r="A375" s="430" t="s">
        <v>199</v>
      </c>
      <c r="B375" s="425"/>
      <c r="C375" s="4">
        <v>423833</v>
      </c>
      <c r="E375" s="30"/>
      <c r="F375" s="115"/>
      <c r="G375" s="15">
        <f>SUM(G370:G374)</f>
        <v>80422</v>
      </c>
      <c r="I375" s="106"/>
      <c r="J375" s="115"/>
      <c r="K375" s="15">
        <f>SUM(K370:K374)</f>
        <v>1943.67</v>
      </c>
      <c r="M375" s="106"/>
      <c r="N375" s="115"/>
      <c r="O375" s="15">
        <f>SUM(O370:O374)</f>
        <v>1305.45</v>
      </c>
      <c r="Q375" s="75" t="s">
        <v>21</v>
      </c>
      <c r="R375" s="76">
        <f>ROUND(R373/SUM(G372:G373,G379:G380),$R$12)</f>
        <v>4.4999999999999998E-2</v>
      </c>
      <c r="S375" s="138"/>
      <c r="T375" s="139"/>
    </row>
    <row r="376" spans="1:20">
      <c r="A376" s="444" t="s">
        <v>200</v>
      </c>
      <c r="B376" s="425"/>
      <c r="C376" s="16"/>
      <c r="E376" s="30"/>
      <c r="F376" s="115"/>
      <c r="G376" s="92"/>
      <c r="I376" s="106"/>
      <c r="J376" s="115"/>
      <c r="M376" s="106"/>
      <c r="N376" s="115"/>
      <c r="S376" s="138"/>
      <c r="T376" s="139"/>
    </row>
    <row r="377" spans="1:20">
      <c r="A377" s="430" t="s">
        <v>7</v>
      </c>
      <c r="B377" s="425"/>
      <c r="C377" s="16">
        <v>24</v>
      </c>
      <c r="E377" s="14">
        <v>127</v>
      </c>
      <c r="F377" s="100"/>
      <c r="G377" s="15">
        <f>ROUND(E377*$C377,0)</f>
        <v>3048</v>
      </c>
      <c r="I377" s="31"/>
      <c r="J377" s="100"/>
      <c r="K377" s="15"/>
      <c r="M377" s="31"/>
      <c r="N377" s="100"/>
      <c r="O377" s="15"/>
      <c r="Q377" s="8"/>
      <c r="R377" s="22"/>
      <c r="S377" s="138"/>
      <c r="T377" s="139"/>
    </row>
    <row r="378" spans="1:20">
      <c r="A378" s="430" t="s">
        <v>197</v>
      </c>
      <c r="B378" s="425"/>
      <c r="C378" s="16">
        <v>47371</v>
      </c>
      <c r="E378" s="14">
        <v>4.3</v>
      </c>
      <c r="F378" s="100"/>
      <c r="G378" s="15">
        <f>ROUND(E378*$C378,0)</f>
        <v>203695</v>
      </c>
      <c r="I378" s="31"/>
      <c r="J378" s="100"/>
      <c r="K378" s="15"/>
      <c r="M378" s="31"/>
      <c r="N378" s="100"/>
      <c r="O378" s="15"/>
      <c r="Q378" s="8"/>
      <c r="R378" s="2"/>
      <c r="S378" s="138"/>
      <c r="T378" s="139"/>
    </row>
    <row r="379" spans="1:20">
      <c r="A379" s="430" t="s">
        <v>198</v>
      </c>
      <c r="B379" s="425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I379" s="128">
        <v>6.7000000000000004E-2</v>
      </c>
      <c r="J379" s="102"/>
      <c r="K379" s="15">
        <f t="shared" ref="K379:K380" si="159">$G379*I379</f>
        <v>9600.5640000000003</v>
      </c>
      <c r="M379" s="128">
        <f>$R$375</f>
        <v>4.4999999999999998E-2</v>
      </c>
      <c r="N379" s="102"/>
      <c r="O379" s="15">
        <f t="shared" ref="O379:O380" si="160">$G379*M379</f>
        <v>6448.1399999999994</v>
      </c>
      <c r="Q379" s="3"/>
      <c r="R379" s="2"/>
      <c r="S379" s="138">
        <f>G379*I379-K379</f>
        <v>0</v>
      </c>
      <c r="T379" s="139">
        <f>G379*M379-O379</f>
        <v>0</v>
      </c>
    </row>
    <row r="380" spans="1:20">
      <c r="A380" s="430" t="s">
        <v>102</v>
      </c>
      <c r="B380" s="425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I380" s="128">
        <v>6.7000000000000004E-2</v>
      </c>
      <c r="J380" s="102"/>
      <c r="K380" s="15">
        <f t="shared" si="159"/>
        <v>3046.4230000000002</v>
      </c>
      <c r="M380" s="128">
        <f>$R$375</f>
        <v>4.4999999999999998E-2</v>
      </c>
      <c r="N380" s="102"/>
      <c r="O380" s="15">
        <f t="shared" si="160"/>
        <v>2046.105</v>
      </c>
      <c r="Q380" s="3"/>
      <c r="R380" s="2"/>
      <c r="S380" s="138">
        <f>G380*I380-K380</f>
        <v>0</v>
      </c>
      <c r="T380" s="139">
        <f>G380*M380-O380</f>
        <v>0</v>
      </c>
    </row>
    <row r="381" spans="1:20">
      <c r="A381" s="430" t="s">
        <v>24</v>
      </c>
      <c r="B381" s="425"/>
      <c r="C381" s="23">
        <v>0</v>
      </c>
      <c r="E381" s="127"/>
      <c r="F381" s="124"/>
      <c r="G381" s="24">
        <v>0</v>
      </c>
      <c r="I381" s="128"/>
      <c r="J381" s="124"/>
      <c r="K381" s="24"/>
      <c r="M381" s="128"/>
      <c r="N381" s="124"/>
      <c r="O381" s="24"/>
      <c r="Q381" s="3"/>
      <c r="R381" s="2"/>
      <c r="S381" s="138"/>
      <c r="T381" s="139"/>
    </row>
    <row r="382" spans="1:20">
      <c r="A382" s="430" t="s">
        <v>199</v>
      </c>
      <c r="B382" s="425"/>
      <c r="C382" s="4">
        <v>3624867.3377015879</v>
      </c>
      <c r="E382" s="30"/>
      <c r="F382" s="115"/>
      <c r="G382" s="15">
        <f>SUM(G377:G381)</f>
        <v>395504</v>
      </c>
      <c r="I382" s="106"/>
      <c r="J382" s="115"/>
      <c r="K382" s="15">
        <f>SUM(K377:K381)</f>
        <v>12646.987000000001</v>
      </c>
      <c r="M382" s="106"/>
      <c r="N382" s="115"/>
      <c r="O382" s="15">
        <f>SUM(O377:O381)</f>
        <v>8494.244999999999</v>
      </c>
      <c r="Q382" s="3"/>
      <c r="R382" s="2"/>
      <c r="S382" s="138"/>
      <c r="T382" s="139"/>
    </row>
    <row r="383" spans="1:20" ht="16.5" thickBot="1">
      <c r="A383" s="430" t="s">
        <v>25</v>
      </c>
      <c r="B383" s="425"/>
      <c r="C383" s="29">
        <v>4048700.3377015879</v>
      </c>
      <c r="E383" s="174"/>
      <c r="G383" s="28">
        <f>G382+G375</f>
        <v>475926</v>
      </c>
      <c r="I383" s="113"/>
      <c r="K383" s="28">
        <f>K382+K375</f>
        <v>14590.657000000001</v>
      </c>
      <c r="M383" s="113"/>
      <c r="O383" s="28">
        <f>O382+O375</f>
        <v>9799.6949999999997</v>
      </c>
      <c r="Q383" s="3"/>
      <c r="R383" s="2"/>
      <c r="S383" s="138"/>
      <c r="T383" s="139"/>
    </row>
    <row r="384" spans="1:20" ht="16.5" thickTop="1">
      <c r="A384" s="160"/>
      <c r="B384" s="425"/>
      <c r="C384" s="4"/>
      <c r="G384" s="92"/>
      <c r="Q384" s="3"/>
      <c r="R384" s="49"/>
      <c r="S384" s="138"/>
      <c r="T384" s="139"/>
    </row>
    <row r="385" spans="1:20">
      <c r="A385" s="429" t="s">
        <v>453</v>
      </c>
      <c r="B385" s="425"/>
      <c r="C385" s="445"/>
      <c r="G385" s="92"/>
      <c r="Q385" s="3"/>
      <c r="R385" s="50"/>
      <c r="S385" s="138"/>
      <c r="T385" s="139"/>
    </row>
    <row r="386" spans="1:20">
      <c r="A386" s="430" t="s">
        <v>7</v>
      </c>
      <c r="B386" s="425"/>
      <c r="C386" s="4">
        <v>992017.98512850888</v>
      </c>
      <c r="E386" s="14">
        <v>10</v>
      </c>
      <c r="F386" s="100"/>
      <c r="G386" s="15">
        <f>ROUND(E386*$C386,0)</f>
        <v>9920180</v>
      </c>
      <c r="K386" s="15"/>
      <c r="O386" s="15"/>
      <c r="Q386" s="70" t="s">
        <v>14</v>
      </c>
      <c r="R386" s="17">
        <f>O396</f>
        <v>1989465.0930000003</v>
      </c>
      <c r="S386" s="138"/>
      <c r="T386" s="139"/>
    </row>
    <row r="387" spans="1:20">
      <c r="A387" s="430" t="s">
        <v>30</v>
      </c>
      <c r="B387" s="425"/>
      <c r="C387" s="4">
        <v>387746</v>
      </c>
      <c r="E387" s="14">
        <v>8.65</v>
      </c>
      <c r="F387" s="100"/>
      <c r="G387" s="15">
        <f>ROUND(E387*$C387,0)</f>
        <v>3354003</v>
      </c>
      <c r="I387" s="31">
        <v>2.1700000000000001E-2</v>
      </c>
      <c r="J387" s="100"/>
      <c r="K387" s="15">
        <f t="shared" ref="K387" si="161">$G387*I387</f>
        <v>72781.865099999995</v>
      </c>
      <c r="M387" s="31">
        <f>$R$389</f>
        <v>1.54E-2</v>
      </c>
      <c r="N387" s="100"/>
      <c r="O387" s="15">
        <f t="shared" ref="O387:O388" si="162">$G387*M387</f>
        <v>51651.646200000003</v>
      </c>
      <c r="Q387" s="71" t="s">
        <v>16</v>
      </c>
      <c r="R387" s="18">
        <f>'Exhibit-RMP(JRS-1) page 2'!M32*1000</f>
        <v>1985038.1635937865</v>
      </c>
      <c r="S387" s="138">
        <f>G387*I387-K387</f>
        <v>0</v>
      </c>
      <c r="T387" s="139">
        <f>G387*M387-O387</f>
        <v>0</v>
      </c>
    </row>
    <row r="388" spans="1:20">
      <c r="A388" s="430" t="s">
        <v>31</v>
      </c>
      <c r="B388" s="425"/>
      <c r="C388" s="4">
        <v>347761</v>
      </c>
      <c r="E388" s="14">
        <v>8.7000000000000011</v>
      </c>
      <c r="F388" s="100"/>
      <c r="G388" s="15">
        <f>ROUND(E388*$C388,0)</f>
        <v>3025521</v>
      </c>
      <c r="I388" s="31">
        <v>2.1700000000000001E-2</v>
      </c>
      <c r="J388" s="100"/>
      <c r="K388" s="15">
        <f t="shared" ref="K388" si="163">$G388*I388</f>
        <v>65653.805699999997</v>
      </c>
      <c r="M388" s="31">
        <f>$R$389</f>
        <v>1.54E-2</v>
      </c>
      <c r="N388" s="100"/>
      <c r="O388" s="15">
        <f t="shared" si="162"/>
        <v>46593.023399999998</v>
      </c>
      <c r="Q388" s="72" t="s">
        <v>18</v>
      </c>
      <c r="R388" s="19">
        <f>R387-R386</f>
        <v>-4426.9294062138069</v>
      </c>
      <c r="S388" s="138">
        <f>G388*I388-K388</f>
        <v>0</v>
      </c>
      <c r="T388" s="139">
        <f>G388*M388-O388</f>
        <v>0</v>
      </c>
    </row>
    <row r="389" spans="1:20">
      <c r="A389" s="430" t="s">
        <v>32</v>
      </c>
      <c r="B389" s="425"/>
      <c r="C389" s="4">
        <v>7029</v>
      </c>
      <c r="E389" s="14">
        <v>-0.48</v>
      </c>
      <c r="F389" s="100"/>
      <c r="G389" s="15">
        <f>ROUND(E389*$C389,0)</f>
        <v>-3374</v>
      </c>
      <c r="I389" s="31"/>
      <c r="J389" s="100"/>
      <c r="K389" s="15"/>
      <c r="M389" s="31"/>
      <c r="N389" s="100"/>
      <c r="O389" s="15"/>
      <c r="Q389" s="75" t="s">
        <v>21</v>
      </c>
      <c r="R389" s="76">
        <f>ROUND(R387/SUM(G387:G388,G390:G393),$R$12)+R392</f>
        <v>1.54E-2</v>
      </c>
      <c r="S389" s="138"/>
      <c r="T389" s="139"/>
    </row>
    <row r="390" spans="1:20">
      <c r="A390" s="430" t="s">
        <v>33</v>
      </c>
      <c r="B390" s="425"/>
      <c r="C390" s="4">
        <v>295977608</v>
      </c>
      <c r="E390" s="104">
        <v>11.733599999999999</v>
      </c>
      <c r="F390" s="102" t="s">
        <v>11</v>
      </c>
      <c r="G390" s="15">
        <f>ROUND(E390*$C390/100,0)</f>
        <v>34728829</v>
      </c>
      <c r="I390" s="31">
        <v>2.1700000000000001E-2</v>
      </c>
      <c r="J390" s="100"/>
      <c r="K390" s="15">
        <f t="shared" ref="K390:K393" si="164">$G390*I390</f>
        <v>753615.58929999999</v>
      </c>
      <c r="M390" s="31">
        <f>$R$389</f>
        <v>1.54E-2</v>
      </c>
      <c r="N390" s="100"/>
      <c r="O390" s="15">
        <f t="shared" ref="O390:O393" si="165">$G390*M390</f>
        <v>534823.96660000004</v>
      </c>
      <c r="Q390" s="32" t="s">
        <v>45</v>
      </c>
      <c r="R390" s="33">
        <f>'Exhibit-RMP(JRS-1) page 1'!S49</f>
        <v>30899.68293848991</v>
      </c>
      <c r="S390" s="138">
        <f>G390*I390-K390</f>
        <v>0</v>
      </c>
      <c r="T390" s="139">
        <f>G390*M390-O390</f>
        <v>0</v>
      </c>
    </row>
    <row r="391" spans="1:20">
      <c r="A391" s="430" t="s">
        <v>34</v>
      </c>
      <c r="B391" s="425"/>
      <c r="C391" s="4">
        <v>309000007.78318173</v>
      </c>
      <c r="E391" s="104">
        <v>6.5782999999999996</v>
      </c>
      <c r="F391" s="102" t="s">
        <v>11</v>
      </c>
      <c r="G391" s="15">
        <f>ROUND(E391*$C391/100,0)</f>
        <v>20326948</v>
      </c>
      <c r="I391" s="31">
        <v>2.1700000000000001E-2</v>
      </c>
      <c r="J391" s="100"/>
      <c r="K391" s="15">
        <f t="shared" si="164"/>
        <v>441094.77160000004</v>
      </c>
      <c r="M391" s="31">
        <f>$R$389</f>
        <v>1.54E-2</v>
      </c>
      <c r="N391" s="100"/>
      <c r="O391" s="15">
        <f t="shared" si="165"/>
        <v>313034.99920000002</v>
      </c>
      <c r="Q391" s="32" t="s">
        <v>46</v>
      </c>
      <c r="R391" s="33">
        <f>'Exhibit-RMP(JRS-1) page 2'!M49</f>
        <v>30906.269887382048</v>
      </c>
      <c r="S391" s="138">
        <f>G391*I391-K391</f>
        <v>0</v>
      </c>
      <c r="T391" s="139">
        <f>G391*M391-O391</f>
        <v>0</v>
      </c>
    </row>
    <row r="392" spans="1:20">
      <c r="A392" s="430" t="s">
        <v>35</v>
      </c>
      <c r="B392" s="425"/>
      <c r="C392" s="4">
        <v>424820226</v>
      </c>
      <c r="E392" s="104">
        <v>10.8</v>
      </c>
      <c r="F392" s="102" t="s">
        <v>11</v>
      </c>
      <c r="G392" s="15">
        <f>ROUND(E392*$C392/100,0)</f>
        <v>45880584</v>
      </c>
      <c r="I392" s="31">
        <v>2.1700000000000001E-2</v>
      </c>
      <c r="J392" s="100"/>
      <c r="K392" s="15">
        <f t="shared" si="164"/>
        <v>995608.67280000006</v>
      </c>
      <c r="M392" s="31">
        <f>$R$389</f>
        <v>1.54E-2</v>
      </c>
      <c r="N392" s="100"/>
      <c r="O392" s="15">
        <f t="shared" si="165"/>
        <v>706560.99360000005</v>
      </c>
      <c r="Q392" s="34" t="s">
        <v>26</v>
      </c>
      <c r="R392" s="35">
        <v>0</v>
      </c>
      <c r="S392" s="138">
        <f>G392*I392-K392</f>
        <v>0</v>
      </c>
      <c r="T392" s="139">
        <f>G392*M392-O392</f>
        <v>0</v>
      </c>
    </row>
    <row r="393" spans="1:20">
      <c r="A393" s="430" t="s">
        <v>36</v>
      </c>
      <c r="B393" s="425"/>
      <c r="C393" s="4">
        <v>361090368.97025329</v>
      </c>
      <c r="E393" s="104">
        <v>6.0567000000000002</v>
      </c>
      <c r="F393" s="102" t="s">
        <v>11</v>
      </c>
      <c r="G393" s="15">
        <f>ROUND(E393*$C393/100,0)</f>
        <v>21870160</v>
      </c>
      <c r="I393" s="31">
        <v>2.1700000000000001E-2</v>
      </c>
      <c r="J393" s="100"/>
      <c r="K393" s="15">
        <f t="shared" si="164"/>
        <v>474582.47200000001</v>
      </c>
      <c r="M393" s="31">
        <f>$R$389</f>
        <v>1.54E-2</v>
      </c>
      <c r="N393" s="100"/>
      <c r="O393" s="15">
        <f t="shared" si="165"/>
        <v>336800.46400000004</v>
      </c>
      <c r="S393" s="138">
        <f>G393*I393-K393</f>
        <v>0</v>
      </c>
      <c r="T393" s="139">
        <f>G393*M393-O393</f>
        <v>0</v>
      </c>
    </row>
    <row r="394" spans="1:20">
      <c r="A394" s="430" t="s">
        <v>37</v>
      </c>
      <c r="B394" s="425"/>
      <c r="C394" s="4">
        <v>0</v>
      </c>
      <c r="E394" s="14">
        <v>120</v>
      </c>
      <c r="F394" s="100"/>
      <c r="G394" s="15">
        <f>ROUND(E394*$C394,0)</f>
        <v>0</v>
      </c>
      <c r="I394" s="31"/>
      <c r="J394" s="100"/>
      <c r="K394" s="15"/>
      <c r="M394" s="31"/>
      <c r="N394" s="100"/>
      <c r="O394" s="15"/>
    </row>
    <row r="395" spans="1:20">
      <c r="A395" s="430" t="s">
        <v>24</v>
      </c>
      <c r="B395" s="425"/>
      <c r="C395" s="23">
        <v>0</v>
      </c>
      <c r="G395" s="24">
        <v>0</v>
      </c>
      <c r="K395" s="24"/>
      <c r="O395" s="24"/>
    </row>
    <row r="396" spans="1:20" ht="16.5" thickBot="1">
      <c r="A396" s="430" t="s">
        <v>25</v>
      </c>
      <c r="B396" s="425"/>
      <c r="C396" s="29">
        <v>1390888210.7534347</v>
      </c>
      <c r="E396" s="174"/>
      <c r="G396" s="28">
        <f>SUM(G386:G395)</f>
        <v>139102851</v>
      </c>
      <c r="I396" s="113"/>
      <c r="K396" s="28">
        <f>SUM(K386:K395)</f>
        <v>2803337.1765000001</v>
      </c>
      <c r="M396" s="113"/>
      <c r="O396" s="28">
        <f>SUM(O386:O395)</f>
        <v>1989465.0930000003</v>
      </c>
    </row>
    <row r="397" spans="1:20" ht="16.5" thickTop="1">
      <c r="C397" s="4"/>
      <c r="G397" s="92"/>
    </row>
    <row r="398" spans="1:20">
      <c r="A398" s="429" t="s">
        <v>454</v>
      </c>
      <c r="B398" s="425"/>
      <c r="C398" s="4"/>
      <c r="E398" s="30"/>
      <c r="F398" s="115"/>
      <c r="G398" s="92"/>
    </row>
    <row r="399" spans="1:20">
      <c r="A399" s="444" t="s">
        <v>201</v>
      </c>
      <c r="B399" s="425"/>
      <c r="C399" s="4"/>
      <c r="G399" s="92"/>
    </row>
    <row r="400" spans="1:20">
      <c r="A400" s="430" t="s">
        <v>202</v>
      </c>
      <c r="B400" s="430"/>
      <c r="C400" s="4">
        <v>0</v>
      </c>
      <c r="E400" s="14">
        <v>133</v>
      </c>
      <c r="F400" s="100"/>
      <c r="G400" s="15">
        <f>ROUND(E400*$C400,0)</f>
        <v>0</v>
      </c>
      <c r="I400" s="111"/>
      <c r="J400" s="100"/>
      <c r="K400" s="15"/>
      <c r="M400" s="111"/>
      <c r="N400" s="100"/>
      <c r="O400" s="15"/>
    </row>
    <row r="401" spans="1:15">
      <c r="A401" s="430" t="s">
        <v>203</v>
      </c>
      <c r="B401" s="430"/>
      <c r="C401" s="4">
        <v>0</v>
      </c>
      <c r="E401" s="14">
        <v>5.6</v>
      </c>
      <c r="F401" s="100"/>
      <c r="G401" s="15">
        <f>ROUND(E401*$C401,0)</f>
        <v>0</v>
      </c>
      <c r="I401" s="111"/>
      <c r="J401" s="100"/>
      <c r="K401" s="15"/>
      <c r="M401" s="111"/>
      <c r="N401" s="100"/>
      <c r="O401" s="15"/>
    </row>
    <row r="402" spans="1:15">
      <c r="A402" s="430" t="s">
        <v>204</v>
      </c>
      <c r="B402" s="430"/>
      <c r="C402" s="4"/>
      <c r="E402" s="105"/>
      <c r="F402" s="20"/>
      <c r="G402" s="15"/>
      <c r="I402" s="111"/>
      <c r="J402" s="100"/>
      <c r="K402" s="15"/>
      <c r="M402" s="111"/>
      <c r="N402" s="100"/>
      <c r="O402" s="15"/>
    </row>
    <row r="403" spans="1:15">
      <c r="A403" s="430" t="s">
        <v>205</v>
      </c>
      <c r="B403" s="430"/>
      <c r="C403" s="4">
        <v>0</v>
      </c>
      <c r="E403" s="129"/>
      <c r="F403" s="130"/>
      <c r="G403" s="15"/>
      <c r="I403" s="111"/>
      <c r="J403" s="100"/>
      <c r="K403" s="15"/>
      <c r="M403" s="111"/>
      <c r="N403" s="100"/>
      <c r="O403" s="15"/>
    </row>
    <row r="404" spans="1:15">
      <c r="A404" s="430" t="s">
        <v>455</v>
      </c>
      <c r="B404" s="430"/>
      <c r="C404" s="4">
        <v>0</v>
      </c>
      <c r="E404" s="14">
        <v>0.88</v>
      </c>
      <c r="F404" s="130"/>
      <c r="G404" s="15">
        <f>ROUND(E404*$C404,0)</f>
        <v>0</v>
      </c>
      <c r="I404" s="111"/>
      <c r="J404" s="100"/>
      <c r="K404" s="15"/>
      <c r="M404" s="111"/>
      <c r="N404" s="100"/>
      <c r="O404" s="15"/>
    </row>
    <row r="405" spans="1:15">
      <c r="A405" s="430" t="s">
        <v>456</v>
      </c>
      <c r="B405" s="430"/>
      <c r="C405" s="4">
        <v>0</v>
      </c>
      <c r="E405" s="14">
        <v>0.62</v>
      </c>
      <c r="F405" s="130"/>
      <c r="G405" s="15">
        <f>ROUND(E405*$C405,0)</f>
        <v>0</v>
      </c>
      <c r="I405" s="111"/>
      <c r="J405" s="100"/>
      <c r="K405" s="15"/>
      <c r="M405" s="111"/>
      <c r="N405" s="100"/>
      <c r="O405" s="15"/>
    </row>
    <row r="406" spans="1:15">
      <c r="A406" s="430" t="s">
        <v>206</v>
      </c>
      <c r="B406" s="430"/>
      <c r="C406" s="4">
        <v>0</v>
      </c>
      <c r="E406" s="129"/>
      <c r="F406" s="131"/>
      <c r="G406" s="92"/>
      <c r="I406" s="111"/>
      <c r="J406" s="100"/>
      <c r="M406" s="111"/>
      <c r="N406" s="100"/>
    </row>
    <row r="407" spans="1:15">
      <c r="A407" s="430" t="s">
        <v>455</v>
      </c>
      <c r="B407" s="430"/>
      <c r="C407" s="4">
        <v>0</v>
      </c>
      <c r="E407" s="446">
        <v>0.44</v>
      </c>
      <c r="F407" s="131"/>
      <c r="G407" s="15">
        <f>ROUND(E407*$C407,0)</f>
        <v>0</v>
      </c>
      <c r="I407" s="111"/>
      <c r="J407" s="20"/>
      <c r="K407" s="15"/>
      <c r="M407" s="111"/>
      <c r="N407" s="20"/>
      <c r="O407" s="15"/>
    </row>
    <row r="408" spans="1:15">
      <c r="A408" s="430" t="s">
        <v>456</v>
      </c>
      <c r="B408" s="430"/>
      <c r="C408" s="4">
        <v>0</v>
      </c>
      <c r="E408" s="446">
        <v>0.31</v>
      </c>
      <c r="F408" s="131"/>
      <c r="G408" s="15">
        <f>ROUND(E408*$C408,0)</f>
        <v>0</v>
      </c>
      <c r="I408" s="126"/>
      <c r="K408" s="15"/>
      <c r="M408" s="126"/>
      <c r="O408" s="15"/>
    </row>
    <row r="409" spans="1:15">
      <c r="A409" s="430" t="s">
        <v>207</v>
      </c>
      <c r="B409" s="430"/>
      <c r="C409" s="4">
        <v>0</v>
      </c>
      <c r="E409" s="129"/>
      <c r="F409" s="100"/>
      <c r="G409" s="15"/>
      <c r="I409" s="111"/>
      <c r="J409" s="100"/>
      <c r="K409" s="15"/>
      <c r="M409" s="111"/>
      <c r="N409" s="100"/>
      <c r="O409" s="15"/>
    </row>
    <row r="410" spans="1:15">
      <c r="A410" s="430" t="s">
        <v>455</v>
      </c>
      <c r="B410" s="430"/>
      <c r="C410" s="4">
        <v>0</v>
      </c>
      <c r="E410" s="14">
        <v>40.81</v>
      </c>
      <c r="F410" s="100"/>
      <c r="G410" s="15">
        <f>ROUND(E410*$C410,0)</f>
        <v>0</v>
      </c>
      <c r="I410" s="111"/>
      <c r="J410" s="100"/>
      <c r="K410" s="15"/>
      <c r="M410" s="111"/>
      <c r="N410" s="100"/>
      <c r="O410" s="15"/>
    </row>
    <row r="411" spans="1:15">
      <c r="A411" s="430" t="s">
        <v>456</v>
      </c>
      <c r="B411" s="430"/>
      <c r="C411" s="4">
        <v>0</v>
      </c>
      <c r="E411" s="14">
        <v>32.04</v>
      </c>
      <c r="F411" s="100"/>
      <c r="G411" s="15">
        <f>ROUND(E411*$C411,0)</f>
        <v>0</v>
      </c>
      <c r="I411" s="111"/>
      <c r="J411" s="100"/>
      <c r="K411" s="15"/>
      <c r="M411" s="111"/>
      <c r="N411" s="100"/>
      <c r="O411" s="15"/>
    </row>
    <row r="412" spans="1:15">
      <c r="A412" s="444" t="s">
        <v>208</v>
      </c>
      <c r="B412" s="425"/>
      <c r="C412" s="4"/>
      <c r="G412" s="15"/>
      <c r="I412" s="111"/>
      <c r="J412" s="100"/>
      <c r="K412" s="15"/>
      <c r="M412" s="111"/>
      <c r="N412" s="100"/>
      <c r="O412" s="15"/>
    </row>
    <row r="413" spans="1:15">
      <c r="A413" s="430" t="s">
        <v>202</v>
      </c>
      <c r="B413" s="425"/>
      <c r="C413" s="4">
        <v>24</v>
      </c>
      <c r="E413" s="14">
        <v>605</v>
      </c>
      <c r="F413" s="100"/>
      <c r="G413" s="15">
        <f>ROUND(E413*$C413,0)</f>
        <v>14520</v>
      </c>
      <c r="I413" s="125"/>
      <c r="J413" s="100"/>
      <c r="M413" s="125"/>
      <c r="N413" s="100"/>
    </row>
    <row r="414" spans="1:15">
      <c r="A414" s="430" t="s">
        <v>203</v>
      </c>
      <c r="B414" s="425"/>
      <c r="C414" s="4">
        <v>38791</v>
      </c>
      <c r="E414" s="14">
        <v>4.46</v>
      </c>
      <c r="F414" s="100"/>
      <c r="G414" s="15">
        <f>ROUND(E414*$C414,0)</f>
        <v>173008</v>
      </c>
      <c r="I414" s="125"/>
      <c r="J414" s="100"/>
      <c r="K414" s="15"/>
      <c r="M414" s="125"/>
      <c r="N414" s="100"/>
      <c r="O414" s="15"/>
    </row>
    <row r="415" spans="1:15">
      <c r="A415" s="430" t="s">
        <v>204</v>
      </c>
      <c r="B415" s="425"/>
      <c r="C415" s="4"/>
      <c r="E415" s="105"/>
      <c r="F415" s="100"/>
      <c r="G415" s="15"/>
      <c r="I415" s="125"/>
      <c r="J415" s="100"/>
      <c r="K415" s="15"/>
      <c r="M415" s="125"/>
      <c r="N415" s="100"/>
      <c r="O415" s="15"/>
    </row>
    <row r="416" spans="1:15">
      <c r="A416" s="430" t="s">
        <v>205</v>
      </c>
      <c r="B416" s="425"/>
      <c r="C416" s="4">
        <v>195683</v>
      </c>
      <c r="E416" s="129"/>
      <c r="F416" s="130"/>
      <c r="G416" s="15"/>
      <c r="I416" s="111"/>
      <c r="J416" s="100"/>
      <c r="K416" s="15"/>
      <c r="M416" s="111"/>
      <c r="N416" s="100"/>
      <c r="O416" s="15"/>
    </row>
    <row r="417" spans="1:15">
      <c r="A417" s="430" t="s">
        <v>455</v>
      </c>
      <c r="B417" s="425"/>
      <c r="C417" s="4">
        <v>79030</v>
      </c>
      <c r="E417" s="14">
        <v>0.86</v>
      </c>
      <c r="F417" s="130"/>
      <c r="G417" s="15">
        <f>ROUND(E417*$C417,0)</f>
        <v>67966</v>
      </c>
      <c r="I417" s="126"/>
      <c r="K417" s="15"/>
      <c r="M417" s="126"/>
      <c r="O417" s="15"/>
    </row>
    <row r="418" spans="1:15">
      <c r="A418" s="430" t="s">
        <v>456</v>
      </c>
      <c r="B418" s="425"/>
      <c r="C418" s="4">
        <v>116653</v>
      </c>
      <c r="E418" s="14">
        <v>0.6</v>
      </c>
      <c r="F418" s="130"/>
      <c r="G418" s="15">
        <f>ROUND(E418*$C418,0)</f>
        <v>69992</v>
      </c>
      <c r="I418" s="111"/>
      <c r="J418" s="100"/>
      <c r="K418" s="15"/>
      <c r="M418" s="111"/>
      <c r="N418" s="100"/>
      <c r="O418" s="15"/>
    </row>
    <row r="419" spans="1:15">
      <c r="A419" s="430" t="s">
        <v>206</v>
      </c>
      <c r="B419" s="425"/>
      <c r="C419" s="4">
        <v>24254</v>
      </c>
      <c r="E419" s="129"/>
      <c r="F419" s="131"/>
      <c r="G419" s="15"/>
      <c r="I419" s="111"/>
      <c r="J419" s="100"/>
      <c r="K419" s="15"/>
      <c r="M419" s="111"/>
      <c r="N419" s="100"/>
      <c r="O419" s="15"/>
    </row>
    <row r="420" spans="1:15">
      <c r="A420" s="430" t="s">
        <v>455</v>
      </c>
      <c r="B420" s="425"/>
      <c r="C420" s="4">
        <v>24254</v>
      </c>
      <c r="E420" s="446">
        <v>0.43</v>
      </c>
      <c r="F420" s="131"/>
      <c r="G420" s="15">
        <f>ROUND(E420*$C420,0)</f>
        <v>10429</v>
      </c>
      <c r="I420" s="111"/>
      <c r="J420" s="100"/>
      <c r="K420" s="15"/>
      <c r="M420" s="111"/>
      <c r="N420" s="100"/>
      <c r="O420" s="15"/>
    </row>
    <row r="421" spans="1:15">
      <c r="A421" s="430" t="s">
        <v>456</v>
      </c>
      <c r="B421" s="425"/>
      <c r="C421" s="4">
        <v>0</v>
      </c>
      <c r="E421" s="446">
        <v>0.3</v>
      </c>
      <c r="F421" s="131"/>
      <c r="G421" s="15">
        <f>ROUND(E421*$C421,0)</f>
        <v>0</v>
      </c>
      <c r="I421" s="111"/>
      <c r="J421" s="100"/>
      <c r="K421" s="15"/>
      <c r="M421" s="111"/>
      <c r="N421" s="100"/>
      <c r="O421" s="15"/>
    </row>
    <row r="422" spans="1:15">
      <c r="A422" s="430" t="s">
        <v>207</v>
      </c>
      <c r="B422" s="425"/>
      <c r="C422" s="4">
        <v>30</v>
      </c>
      <c r="E422" s="129"/>
      <c r="F422" s="100"/>
      <c r="G422" s="15"/>
      <c r="I422" s="111"/>
      <c r="J422" s="100"/>
      <c r="K422" s="15"/>
      <c r="M422" s="111"/>
      <c r="N422" s="100"/>
      <c r="O422" s="15"/>
    </row>
    <row r="423" spans="1:15">
      <c r="A423" s="430" t="s">
        <v>455</v>
      </c>
      <c r="B423" s="425"/>
      <c r="C423" s="4">
        <v>0</v>
      </c>
      <c r="E423" s="14">
        <v>38.54</v>
      </c>
      <c r="F423" s="100"/>
      <c r="G423" s="15">
        <f>ROUND(E423*$C423,0)</f>
        <v>0</v>
      </c>
      <c r="I423" s="111"/>
      <c r="J423" s="100"/>
      <c r="K423" s="15"/>
      <c r="M423" s="111"/>
      <c r="N423" s="100"/>
      <c r="O423" s="15"/>
    </row>
    <row r="424" spans="1:15">
      <c r="A424" s="430" t="s">
        <v>456</v>
      </c>
      <c r="B424" s="425"/>
      <c r="C424" s="4">
        <v>30</v>
      </c>
      <c r="E424" s="14">
        <v>29.77</v>
      </c>
      <c r="F424" s="100"/>
      <c r="G424" s="15">
        <f>ROUND(E424*$C424,0)</f>
        <v>893</v>
      </c>
      <c r="I424" s="111"/>
      <c r="J424" s="100"/>
      <c r="M424" s="111"/>
      <c r="N424" s="100"/>
    </row>
    <row r="425" spans="1:15">
      <c r="A425" s="444" t="s">
        <v>209</v>
      </c>
      <c r="B425" s="425"/>
      <c r="C425" s="4"/>
      <c r="G425" s="15"/>
      <c r="I425" s="111"/>
      <c r="J425" s="20"/>
      <c r="K425" s="15"/>
      <c r="M425" s="111"/>
      <c r="N425" s="20"/>
      <c r="O425" s="15"/>
    </row>
    <row r="426" spans="1:15">
      <c r="A426" s="430" t="s">
        <v>202</v>
      </c>
      <c r="B426" s="425"/>
      <c r="C426" s="4">
        <v>24</v>
      </c>
      <c r="E426" s="14">
        <v>678</v>
      </c>
      <c r="F426" s="100"/>
      <c r="G426" s="15">
        <f>ROUND(E426*$C426,0)</f>
        <v>16272</v>
      </c>
      <c r="I426" s="126"/>
      <c r="K426" s="15"/>
      <c r="M426" s="126"/>
      <c r="O426" s="15"/>
    </row>
    <row r="427" spans="1:15">
      <c r="A427" s="430" t="s">
        <v>203</v>
      </c>
      <c r="B427" s="425"/>
      <c r="C427" s="4">
        <v>153429</v>
      </c>
      <c r="E427" s="14">
        <v>2.63</v>
      </c>
      <c r="F427" s="100"/>
      <c r="G427" s="15">
        <f>ROUND(E427*$C427,0)</f>
        <v>403518</v>
      </c>
      <c r="I427" s="111"/>
      <c r="J427" s="100"/>
      <c r="K427" s="15"/>
      <c r="M427" s="111"/>
      <c r="N427" s="100"/>
      <c r="O427" s="15"/>
    </row>
    <row r="428" spans="1:15">
      <c r="A428" s="430" t="s">
        <v>204</v>
      </c>
      <c r="B428" s="425"/>
      <c r="C428" s="4"/>
      <c r="E428" s="105"/>
      <c r="F428" s="20"/>
      <c r="G428" s="15"/>
      <c r="I428" s="111"/>
      <c r="J428" s="100"/>
      <c r="K428" s="15"/>
      <c r="M428" s="111"/>
      <c r="N428" s="100"/>
      <c r="O428" s="15"/>
    </row>
    <row r="429" spans="1:15">
      <c r="A429" s="430" t="s">
        <v>205</v>
      </c>
      <c r="B429" s="425"/>
      <c r="C429" s="4">
        <v>391585</v>
      </c>
      <c r="E429" s="129"/>
      <c r="F429" s="130"/>
      <c r="G429" s="15"/>
      <c r="I429" s="111"/>
      <c r="J429" s="100"/>
      <c r="K429" s="15"/>
      <c r="M429" s="111"/>
      <c r="N429" s="100"/>
      <c r="O429" s="15"/>
    </row>
    <row r="430" spans="1:15">
      <c r="A430" s="430" t="s">
        <v>455</v>
      </c>
      <c r="B430" s="425"/>
      <c r="C430" s="4">
        <v>239920</v>
      </c>
      <c r="E430" s="14">
        <v>0.76</v>
      </c>
      <c r="F430" s="130"/>
      <c r="G430" s="15">
        <f>ROUND(E430*$C430,0)</f>
        <v>182339</v>
      </c>
      <c r="I430" s="111"/>
      <c r="J430" s="100"/>
      <c r="K430" s="15"/>
      <c r="M430" s="111"/>
      <c r="N430" s="100"/>
      <c r="O430" s="15"/>
    </row>
    <row r="431" spans="1:15">
      <c r="A431" s="430" t="s">
        <v>456</v>
      </c>
      <c r="B431" s="425"/>
      <c r="C431" s="4">
        <v>151665</v>
      </c>
      <c r="E431" s="14">
        <v>0.51</v>
      </c>
      <c r="F431" s="130"/>
      <c r="G431" s="15">
        <f>ROUND(E431*$C431,0)</f>
        <v>77349</v>
      </c>
      <c r="I431" s="125"/>
      <c r="J431" s="100"/>
      <c r="M431" s="125"/>
      <c r="N431" s="100"/>
    </row>
    <row r="432" spans="1:15">
      <c r="A432" s="430" t="s">
        <v>206</v>
      </c>
      <c r="B432" s="425"/>
      <c r="C432" s="4">
        <v>0</v>
      </c>
      <c r="E432" s="129"/>
      <c r="F432" s="131"/>
      <c r="G432" s="15"/>
      <c r="I432" s="125"/>
      <c r="J432" s="100"/>
      <c r="K432" s="15"/>
      <c r="M432" s="125"/>
      <c r="N432" s="100"/>
      <c r="O432" s="15"/>
    </row>
    <row r="433" spans="1:20">
      <c r="A433" s="430" t="s">
        <v>455</v>
      </c>
      <c r="B433" s="425"/>
      <c r="C433" s="4">
        <v>0</v>
      </c>
      <c r="E433" s="446">
        <v>0.38</v>
      </c>
      <c r="F433" s="131"/>
      <c r="G433" s="15">
        <f>ROUND(E433*$C433,0)</f>
        <v>0</v>
      </c>
      <c r="I433" s="125"/>
      <c r="J433" s="100"/>
      <c r="K433" s="15"/>
      <c r="M433" s="125"/>
      <c r="N433" s="100"/>
      <c r="O433" s="15"/>
    </row>
    <row r="434" spans="1:20">
      <c r="A434" s="430" t="s">
        <v>456</v>
      </c>
      <c r="B434" s="425"/>
      <c r="C434" s="4">
        <v>0</v>
      </c>
      <c r="E434" s="446">
        <v>0.255</v>
      </c>
      <c r="F434" s="131"/>
      <c r="G434" s="15">
        <f>ROUND(E434*$C434,0)</f>
        <v>0</v>
      </c>
      <c r="I434" s="111"/>
      <c r="J434" s="100"/>
      <c r="K434" s="15"/>
      <c r="M434" s="111"/>
      <c r="N434" s="100"/>
      <c r="O434" s="15"/>
    </row>
    <row r="435" spans="1:20">
      <c r="A435" s="430" t="s">
        <v>207</v>
      </c>
      <c r="B435" s="425"/>
      <c r="C435" s="4">
        <v>0</v>
      </c>
      <c r="E435" s="129"/>
      <c r="F435" s="100"/>
      <c r="G435" s="15"/>
      <c r="I435" s="126"/>
      <c r="K435" s="15"/>
      <c r="M435" s="126"/>
      <c r="O435" s="15"/>
    </row>
    <row r="436" spans="1:20">
      <c r="A436" s="430" t="s">
        <v>455</v>
      </c>
      <c r="B436" s="425"/>
      <c r="C436" s="4">
        <v>0</v>
      </c>
      <c r="E436" s="14">
        <v>32.35</v>
      </c>
      <c r="F436" s="100"/>
      <c r="G436" s="15">
        <f>ROUND(E436*$C436,0)</f>
        <v>0</v>
      </c>
      <c r="I436" s="126"/>
      <c r="K436" s="15"/>
      <c r="M436" s="126"/>
      <c r="O436" s="15"/>
    </row>
    <row r="437" spans="1:20">
      <c r="A437" s="430" t="s">
        <v>456</v>
      </c>
      <c r="B437" s="425"/>
      <c r="C437" s="4">
        <v>0</v>
      </c>
      <c r="E437" s="14">
        <v>23.36</v>
      </c>
      <c r="F437" s="100"/>
      <c r="G437" s="37">
        <f>ROUND(E437*$C437,0)</f>
        <v>0</v>
      </c>
      <c r="I437" s="126"/>
      <c r="K437" s="37"/>
      <c r="M437" s="126"/>
      <c r="O437" s="37"/>
    </row>
    <row r="438" spans="1:20">
      <c r="A438" s="430" t="s">
        <v>199</v>
      </c>
      <c r="B438" s="425"/>
      <c r="C438" s="45"/>
      <c r="E438" s="30"/>
      <c r="F438" s="115"/>
      <c r="G438" s="24">
        <f>SUM(G400:G437)</f>
        <v>1016286</v>
      </c>
      <c r="I438" s="178"/>
      <c r="J438" s="122"/>
      <c r="K438" s="24">
        <f>SUM(K400:K437)</f>
        <v>0</v>
      </c>
      <c r="M438" s="178"/>
      <c r="N438" s="122"/>
      <c r="O438" s="24">
        <f>SUM(O400:O437)</f>
        <v>0</v>
      </c>
    </row>
    <row r="439" spans="1:20">
      <c r="A439" s="444" t="s">
        <v>210</v>
      </c>
      <c r="B439" s="425"/>
      <c r="G439" s="92"/>
    </row>
    <row r="440" spans="1:20">
      <c r="A440" s="429" t="s">
        <v>211</v>
      </c>
      <c r="B440" s="425"/>
      <c r="C440" s="4"/>
      <c r="E440" s="105"/>
      <c r="F440" s="20"/>
      <c r="G440" s="15"/>
      <c r="I440" s="108"/>
      <c r="J440" s="109"/>
      <c r="K440" s="15"/>
      <c r="M440" s="108"/>
      <c r="N440" s="109"/>
      <c r="O440" s="15"/>
    </row>
    <row r="441" spans="1:20">
      <c r="A441" s="430" t="s">
        <v>87</v>
      </c>
      <c r="B441" s="425"/>
      <c r="C441" s="4">
        <v>16065</v>
      </c>
      <c r="E441" s="105">
        <v>4.76</v>
      </c>
      <c r="F441" s="20"/>
      <c r="G441" s="15">
        <f>ROUND(E441*$C441,0)</f>
        <v>76469</v>
      </c>
      <c r="I441" s="126"/>
      <c r="K441" s="15"/>
      <c r="M441" s="126"/>
      <c r="O441" s="15"/>
    </row>
    <row r="442" spans="1:20">
      <c r="A442" s="430" t="s">
        <v>88</v>
      </c>
      <c r="B442" s="425"/>
      <c r="C442" s="4">
        <v>0</v>
      </c>
      <c r="E442" s="105">
        <v>15.56</v>
      </c>
      <c r="F442" s="20"/>
      <c r="G442" s="15">
        <f>ROUND(E442*$C442,0)</f>
        <v>0</v>
      </c>
      <c r="I442" s="91">
        <v>2.93E-2</v>
      </c>
      <c r="K442" s="15">
        <f t="shared" ref="K442" si="166">$G442*I442</f>
        <v>0</v>
      </c>
      <c r="M442" s="31">
        <f>$R$160</f>
        <v>1.9300000000000001E-2</v>
      </c>
      <c r="O442" s="15">
        <f t="shared" ref="O442:O443" si="167">$G442*M442</f>
        <v>0</v>
      </c>
      <c r="S442" s="138">
        <f>G442*I442-K442</f>
        <v>0</v>
      </c>
      <c r="T442" s="139">
        <f>G442*M442-O442</f>
        <v>0</v>
      </c>
    </row>
    <row r="443" spans="1:20">
      <c r="A443" s="430" t="s">
        <v>89</v>
      </c>
      <c r="B443" s="425"/>
      <c r="C443" s="4">
        <v>16065</v>
      </c>
      <c r="E443" s="105">
        <v>11.19</v>
      </c>
      <c r="F443" s="20"/>
      <c r="G443" s="15">
        <f>ROUND(E443*$C443,0)</f>
        <v>179767</v>
      </c>
      <c r="I443" s="91">
        <v>2.93E-2</v>
      </c>
      <c r="K443" s="15">
        <f t="shared" ref="K443" si="168">$G443*I443</f>
        <v>5267.1731</v>
      </c>
      <c r="M443" s="31">
        <f>$R$160</f>
        <v>1.9300000000000001E-2</v>
      </c>
      <c r="O443" s="15">
        <f t="shared" si="167"/>
        <v>3469.5031000000004</v>
      </c>
      <c r="S443" s="138">
        <f>G443*I443-K443</f>
        <v>0</v>
      </c>
      <c r="T443" s="139">
        <f>G443*M443-O443</f>
        <v>0</v>
      </c>
    </row>
    <row r="444" spans="1:20">
      <c r="A444" s="430" t="s">
        <v>32</v>
      </c>
      <c r="B444" s="425"/>
      <c r="C444" s="4">
        <v>16065</v>
      </c>
      <c r="E444" s="105">
        <v>-1.1299999999999999</v>
      </c>
      <c r="F444" s="20"/>
      <c r="G444" s="15">
        <f>ROUND(E444*$C444,0)</f>
        <v>-18153</v>
      </c>
      <c r="I444" s="31"/>
      <c r="J444" s="100"/>
      <c r="K444" s="15"/>
      <c r="M444" s="31"/>
      <c r="N444" s="100"/>
      <c r="O444" s="15"/>
      <c r="S444" s="138"/>
      <c r="T444" s="139"/>
    </row>
    <row r="445" spans="1:20">
      <c r="A445" s="430" t="s">
        <v>27</v>
      </c>
      <c r="B445" s="425"/>
      <c r="C445" s="4">
        <v>1044794</v>
      </c>
      <c r="E445" s="30">
        <v>5.0473999999999997</v>
      </c>
      <c r="F445" s="102" t="s">
        <v>11</v>
      </c>
      <c r="G445" s="15">
        <f>ROUND(E445*$C445/100,0)</f>
        <v>52735</v>
      </c>
      <c r="I445" s="91">
        <v>2.93E-2</v>
      </c>
      <c r="K445" s="15">
        <f t="shared" ref="K445:K447" si="169">$G445*I445</f>
        <v>1545.1355000000001</v>
      </c>
      <c r="M445" s="31">
        <f>$R$160</f>
        <v>1.9300000000000001E-2</v>
      </c>
      <c r="O445" s="15">
        <f t="shared" ref="O445:O447" si="170">$G445*M445</f>
        <v>1017.7855000000001</v>
      </c>
      <c r="S445" s="138">
        <f>G445*I445-K445</f>
        <v>0</v>
      </c>
      <c r="T445" s="139">
        <f>G445*M445-O445</f>
        <v>0</v>
      </c>
    </row>
    <row r="446" spans="1:20">
      <c r="A446" s="430" t="s">
        <v>52</v>
      </c>
      <c r="B446" s="425"/>
      <c r="C446" s="4">
        <v>3934668</v>
      </c>
      <c r="E446" s="30">
        <v>3.9510999999999998</v>
      </c>
      <c r="F446" s="102" t="s">
        <v>11</v>
      </c>
      <c r="G446" s="15">
        <f>ROUND(E446*$C446/100,0)</f>
        <v>155463</v>
      </c>
      <c r="I446" s="91">
        <v>2.93E-2</v>
      </c>
      <c r="K446" s="15">
        <f t="shared" si="169"/>
        <v>4555.0658999999996</v>
      </c>
      <c r="M446" s="31">
        <f>$R$160</f>
        <v>1.9300000000000001E-2</v>
      </c>
      <c r="O446" s="15">
        <f t="shared" si="170"/>
        <v>3000.4359000000004</v>
      </c>
      <c r="S446" s="138">
        <f>G446*I446-K446</f>
        <v>0</v>
      </c>
      <c r="T446" s="139">
        <f>G446*M446-O446</f>
        <v>0</v>
      </c>
    </row>
    <row r="447" spans="1:20">
      <c r="A447" s="430" t="s">
        <v>90</v>
      </c>
      <c r="B447" s="425"/>
      <c r="C447" s="4">
        <v>5030284.6792951785</v>
      </c>
      <c r="E447" s="30">
        <v>3.4001999999999999</v>
      </c>
      <c r="F447" s="102" t="s">
        <v>11</v>
      </c>
      <c r="G447" s="15">
        <f>ROUND(E447*$C447/100,0)</f>
        <v>171040</v>
      </c>
      <c r="I447" s="91">
        <v>2.93E-2</v>
      </c>
      <c r="K447" s="15">
        <f t="shared" si="169"/>
        <v>5011.4719999999998</v>
      </c>
      <c r="M447" s="31">
        <f>$R$160</f>
        <v>1.9300000000000001E-2</v>
      </c>
      <c r="O447" s="15">
        <f t="shared" si="170"/>
        <v>3301.0720000000001</v>
      </c>
      <c r="S447" s="138">
        <f>G447*I447-K447</f>
        <v>0</v>
      </c>
      <c r="T447" s="139">
        <f>G447*M447-O447</f>
        <v>0</v>
      </c>
    </row>
    <row r="448" spans="1:20">
      <c r="A448" s="429" t="s">
        <v>212</v>
      </c>
      <c r="B448" s="425"/>
      <c r="C448" s="4"/>
      <c r="E448" s="105"/>
      <c r="F448" s="20"/>
      <c r="G448" s="15"/>
      <c r="K448" s="15"/>
      <c r="O448" s="15"/>
      <c r="S448" s="138"/>
      <c r="T448" s="139"/>
    </row>
    <row r="449" spans="1:24">
      <c r="A449" s="430" t="s">
        <v>87</v>
      </c>
      <c r="B449" s="425"/>
      <c r="C449" s="4">
        <v>103313</v>
      </c>
      <c r="E449" s="105">
        <v>2.2200000000000002</v>
      </c>
      <c r="F449" s="20"/>
      <c r="G449" s="15">
        <f>ROUND(E449*$C449,0)</f>
        <v>229355</v>
      </c>
      <c r="K449" s="15"/>
      <c r="O449" s="15"/>
      <c r="S449" s="138"/>
      <c r="T449" s="139"/>
    </row>
    <row r="450" spans="1:24">
      <c r="A450" s="430" t="s">
        <v>88</v>
      </c>
      <c r="B450" s="425"/>
      <c r="C450" s="4">
        <v>49491</v>
      </c>
      <c r="E450" s="105">
        <v>13.96</v>
      </c>
      <c r="F450" s="20"/>
      <c r="G450" s="15">
        <f>ROUND(E450*$C450,0)</f>
        <v>690894</v>
      </c>
      <c r="I450" s="91">
        <v>3.4299999999999997E-2</v>
      </c>
      <c r="J450" s="109"/>
      <c r="K450" s="15">
        <f t="shared" ref="K450" si="171">$G450*I450</f>
        <v>23697.664199999999</v>
      </c>
      <c r="M450" s="31">
        <f>$R$172</f>
        <v>2.23E-2</v>
      </c>
      <c r="N450" s="109"/>
      <c r="O450" s="15">
        <f t="shared" ref="O450:O454" si="172">$G450*M450</f>
        <v>15406.9362</v>
      </c>
      <c r="S450" s="138">
        <f>G450*I450-K450</f>
        <v>0</v>
      </c>
      <c r="T450" s="139">
        <f>G450*M450-O450</f>
        <v>0</v>
      </c>
    </row>
    <row r="451" spans="1:24">
      <c r="A451" s="430" t="s">
        <v>89</v>
      </c>
      <c r="B451" s="425"/>
      <c r="C451" s="4">
        <v>50080</v>
      </c>
      <c r="E451" s="105">
        <v>9.4700000000000006</v>
      </c>
      <c r="F451" s="20"/>
      <c r="G451" s="15">
        <f>ROUND(E451*$C451,0)</f>
        <v>474258</v>
      </c>
      <c r="I451" s="91">
        <v>3.4299999999999997E-2</v>
      </c>
      <c r="K451" s="15">
        <f t="shared" ref="K451:K454" si="173">$G451*I451</f>
        <v>16267.049399999998</v>
      </c>
      <c r="M451" s="31">
        <f>$R$172</f>
        <v>2.23E-2</v>
      </c>
      <c r="O451" s="15">
        <f t="shared" si="172"/>
        <v>10575.9534</v>
      </c>
      <c r="S451" s="138">
        <f>G451*I451-K451</f>
        <v>0</v>
      </c>
      <c r="T451" s="139">
        <f>G451*M451-O451</f>
        <v>0</v>
      </c>
    </row>
    <row r="452" spans="1:24">
      <c r="A452" s="430" t="s">
        <v>92</v>
      </c>
      <c r="B452" s="425"/>
      <c r="C452" s="4">
        <v>7647176</v>
      </c>
      <c r="E452" s="119">
        <v>4.6531000000000002</v>
      </c>
      <c r="F452" s="102" t="s">
        <v>11</v>
      </c>
      <c r="G452" s="15">
        <f>ROUND(E452*$C452/100,0)</f>
        <v>355831</v>
      </c>
      <c r="I452" s="126">
        <v>3.4299999999999997E-2</v>
      </c>
      <c r="K452" s="15">
        <f t="shared" si="173"/>
        <v>12205.003299999998</v>
      </c>
      <c r="M452" s="31">
        <f>$R$172</f>
        <v>2.23E-2</v>
      </c>
      <c r="O452" s="15">
        <f t="shared" si="172"/>
        <v>7935.0313000000006</v>
      </c>
      <c r="S452" s="138">
        <f>G452*I452-K452</f>
        <v>0</v>
      </c>
      <c r="T452" s="139">
        <f>G452*M452-O452</f>
        <v>0</v>
      </c>
    </row>
    <row r="453" spans="1:24">
      <c r="A453" s="430" t="s">
        <v>93</v>
      </c>
      <c r="B453" s="425"/>
      <c r="C453" s="4">
        <v>10898121</v>
      </c>
      <c r="E453" s="119">
        <v>3.4988999999999999</v>
      </c>
      <c r="F453" s="102" t="s">
        <v>11</v>
      </c>
      <c r="G453" s="15">
        <f>ROUND(E453*$C453/100,0)</f>
        <v>381314</v>
      </c>
      <c r="I453" s="31">
        <v>3.4299999999999997E-2</v>
      </c>
      <c r="J453" s="100"/>
      <c r="K453" s="15">
        <f t="shared" si="173"/>
        <v>13079.070199999998</v>
      </c>
      <c r="M453" s="31">
        <f>$R$172</f>
        <v>2.23E-2</v>
      </c>
      <c r="N453" s="100"/>
      <c r="O453" s="15">
        <f t="shared" si="172"/>
        <v>8503.3022000000001</v>
      </c>
      <c r="S453" s="138">
        <f>G453*I453-K453</f>
        <v>0</v>
      </c>
      <c r="T453" s="139">
        <f>G453*M453-O453</f>
        <v>0</v>
      </c>
    </row>
    <row r="454" spans="1:24">
      <c r="A454" s="430" t="s">
        <v>90</v>
      </c>
      <c r="B454" s="425"/>
      <c r="C454" s="48">
        <v>27727401.345819965</v>
      </c>
      <c r="E454" s="447">
        <v>2.9224999999999999</v>
      </c>
      <c r="F454" s="102" t="s">
        <v>11</v>
      </c>
      <c r="G454" s="37">
        <f>ROUND(E454*$C454/100,0)</f>
        <v>810333</v>
      </c>
      <c r="I454" s="31">
        <v>3.4299999999999997E-2</v>
      </c>
      <c r="J454" s="102"/>
      <c r="K454" s="37">
        <f t="shared" si="173"/>
        <v>27794.421899999998</v>
      </c>
      <c r="M454" s="31">
        <f>$R$172</f>
        <v>2.23E-2</v>
      </c>
      <c r="N454" s="102"/>
      <c r="O454" s="37">
        <f t="shared" si="172"/>
        <v>18070.425900000002</v>
      </c>
      <c r="S454" s="138">
        <f>G454*I454-K454</f>
        <v>0</v>
      </c>
      <c r="T454" s="139">
        <f>G454*M454-O454</f>
        <v>0</v>
      </c>
    </row>
    <row r="455" spans="1:24">
      <c r="A455" s="430" t="s">
        <v>199</v>
      </c>
      <c r="B455" s="425"/>
      <c r="C455" s="16"/>
      <c r="E455" s="177"/>
      <c r="F455" s="102"/>
      <c r="G455" s="21">
        <f>SUM(G441:G454)</f>
        <v>3559306</v>
      </c>
      <c r="I455" s="126"/>
      <c r="K455" s="21">
        <f>SUM(K441:K454)</f>
        <v>109422.0555</v>
      </c>
      <c r="M455" s="126"/>
      <c r="O455" s="21">
        <f>SUM(O441:O454)</f>
        <v>71280.445500000002</v>
      </c>
    </row>
    <row r="456" spans="1:24">
      <c r="A456" s="160" t="s">
        <v>83</v>
      </c>
      <c r="B456" s="425"/>
      <c r="C456" s="45">
        <v>0</v>
      </c>
      <c r="E456" s="30"/>
      <c r="F456" s="115"/>
      <c r="G456" s="24">
        <v>0</v>
      </c>
      <c r="I456" s="126"/>
      <c r="K456" s="24"/>
      <c r="M456" s="126"/>
      <c r="O456" s="24"/>
    </row>
    <row r="457" spans="1:24" ht="16.5" thickBot="1">
      <c r="A457" s="430" t="s">
        <v>213</v>
      </c>
      <c r="B457" s="425"/>
      <c r="C457" s="29">
        <v>56282445.025115147</v>
      </c>
      <c r="E457" s="174"/>
      <c r="G457" s="28">
        <f>G438+G455+G456</f>
        <v>4575592</v>
      </c>
      <c r="I457" s="109"/>
      <c r="J457" s="109"/>
      <c r="K457" s="28">
        <f>K438+K455+K456</f>
        <v>109422.0555</v>
      </c>
      <c r="M457" s="109"/>
      <c r="N457" s="109"/>
      <c r="O457" s="28">
        <f>O438+O455+O456</f>
        <v>71280.445500000002</v>
      </c>
    </row>
    <row r="458" spans="1:24" ht="16.5" thickTop="1">
      <c r="G458" s="92"/>
      <c r="I458" s="109"/>
      <c r="J458" s="109"/>
      <c r="M458" s="109"/>
      <c r="N458" s="109"/>
    </row>
    <row r="459" spans="1:24">
      <c r="A459" s="429" t="s">
        <v>273</v>
      </c>
      <c r="B459" s="425"/>
      <c r="C459" s="4"/>
      <c r="G459" s="92"/>
      <c r="U459" s="405" t="s">
        <v>430</v>
      </c>
    </row>
    <row r="460" spans="1:24">
      <c r="A460" s="199" t="s">
        <v>533</v>
      </c>
      <c r="B460" s="425"/>
      <c r="C460" s="4">
        <v>12</v>
      </c>
      <c r="E460" s="30"/>
      <c r="F460" s="115"/>
      <c r="G460" s="51">
        <f>U460*$G$465/$U$465</f>
        <v>2455.1370887870371</v>
      </c>
      <c r="I460" s="31"/>
      <c r="J460" s="100"/>
      <c r="K460" s="51"/>
      <c r="M460" s="31"/>
      <c r="N460" s="100"/>
      <c r="O460" s="51"/>
      <c r="S460" s="138"/>
      <c r="T460" s="139"/>
      <c r="U460" s="406">
        <v>2617.6799999999989</v>
      </c>
      <c r="W460" s="661"/>
      <c r="X460" s="661"/>
    </row>
    <row r="461" spans="1:24">
      <c r="A461" s="199" t="s">
        <v>7</v>
      </c>
      <c r="B461" s="425"/>
      <c r="C461" s="4"/>
      <c r="E461" s="30"/>
      <c r="F461" s="115"/>
      <c r="G461" s="51">
        <f t="shared" ref="G461:G464" si="174">U461*$G$465/$U$465</f>
        <v>1757447.7693870724</v>
      </c>
      <c r="I461" s="31"/>
      <c r="J461" s="100"/>
      <c r="K461" s="51"/>
      <c r="M461" s="31"/>
      <c r="N461" s="100"/>
      <c r="O461" s="51"/>
      <c r="Q461" s="70" t="s">
        <v>14</v>
      </c>
      <c r="R461" s="17">
        <f>O465</f>
        <v>445380.41758991044</v>
      </c>
      <c r="S461" s="138"/>
      <c r="T461" s="139"/>
      <c r="U461" s="406">
        <v>1873800</v>
      </c>
      <c r="W461" s="661"/>
      <c r="X461" s="661"/>
    </row>
    <row r="462" spans="1:24">
      <c r="A462" s="199" t="s">
        <v>214</v>
      </c>
      <c r="B462" s="425"/>
      <c r="C462" s="4">
        <v>949050</v>
      </c>
      <c r="E462" s="30"/>
      <c r="F462" s="115"/>
      <c r="G462" s="51">
        <f t="shared" si="174"/>
        <v>9607156.0419391952</v>
      </c>
      <c r="I462" s="31">
        <v>3.1399999999999997E-2</v>
      </c>
      <c r="J462" s="102"/>
      <c r="K462" s="15">
        <f>$G462*I462</f>
        <v>301664.6997168907</v>
      </c>
      <c r="M462" s="31">
        <f>$R$464</f>
        <v>1.7000000000000001E-2</v>
      </c>
      <c r="N462" s="102"/>
      <c r="O462" s="15">
        <f>$G462*M462</f>
        <v>163321.65271296634</v>
      </c>
      <c r="Q462" s="71" t="s">
        <v>16</v>
      </c>
      <c r="R462" s="18">
        <f>'Exhibit-RMP(JRS-1) page 2'!M34*1000</f>
        <v>445801.89867176418</v>
      </c>
      <c r="S462" s="138">
        <f t="shared" ref="S462:S464" si="175">G462*I462-K462</f>
        <v>0</v>
      </c>
      <c r="T462" s="139">
        <f t="shared" ref="T462:T464" si="176">G462*M462-O462</f>
        <v>0</v>
      </c>
      <c r="U462" s="406">
        <v>10243200.000000002</v>
      </c>
      <c r="W462" s="661"/>
      <c r="X462" s="661"/>
    </row>
    <row r="463" spans="1:24">
      <c r="A463" s="199" t="s">
        <v>215</v>
      </c>
      <c r="B463" s="425"/>
      <c r="C463" s="4">
        <v>237232647</v>
      </c>
      <c r="E463" s="132"/>
      <c r="F463" s="133"/>
      <c r="G463" s="51">
        <f t="shared" si="174"/>
        <v>8613813.3233023118</v>
      </c>
      <c r="I463" s="31">
        <v>3.1399999999999997E-2</v>
      </c>
      <c r="J463" s="102"/>
      <c r="K463" s="51">
        <f t="shared" ref="K463:K464" si="177">$G463*I463</f>
        <v>270473.73835169256</v>
      </c>
      <c r="M463" s="31">
        <f>$R$464</f>
        <v>1.7000000000000001E-2</v>
      </c>
      <c r="N463" s="102"/>
      <c r="O463" s="51">
        <f t="shared" ref="O463:O464" si="178">$G463*M463</f>
        <v>146434.82649613931</v>
      </c>
      <c r="Q463" s="72" t="s">
        <v>18</v>
      </c>
      <c r="R463" s="19">
        <f>R462-R461</f>
        <v>421.48108185373712</v>
      </c>
      <c r="S463" s="138">
        <f t="shared" si="175"/>
        <v>0</v>
      </c>
      <c r="T463" s="139">
        <f t="shared" si="176"/>
        <v>0</v>
      </c>
      <c r="U463" s="406">
        <v>9184092.8000000007</v>
      </c>
      <c r="W463" s="661"/>
      <c r="X463" s="661"/>
    </row>
    <row r="464" spans="1:24">
      <c r="A464" s="199" t="s">
        <v>216</v>
      </c>
      <c r="B464" s="425"/>
      <c r="C464" s="23">
        <v>298488523</v>
      </c>
      <c r="G464" s="24">
        <f t="shared" si="174"/>
        <v>7977878.7282826342</v>
      </c>
      <c r="I464" s="31">
        <v>3.1399999999999997E-2</v>
      </c>
      <c r="J464" s="102"/>
      <c r="K464" s="24">
        <f t="shared" si="177"/>
        <v>250505.3920680747</v>
      </c>
      <c r="M464" s="31">
        <f>$R$464</f>
        <v>1.7000000000000001E-2</v>
      </c>
      <c r="N464" s="102"/>
      <c r="O464" s="24">
        <f t="shared" si="178"/>
        <v>135623.93838080479</v>
      </c>
      <c r="Q464" s="75" t="s">
        <v>21</v>
      </c>
      <c r="R464" s="76">
        <f>ROUND(R462/SUM(G462:G464),$R$12)</f>
        <v>1.7000000000000001E-2</v>
      </c>
      <c r="S464" s="138">
        <f t="shared" si="175"/>
        <v>0</v>
      </c>
      <c r="T464" s="139">
        <f t="shared" si="176"/>
        <v>0</v>
      </c>
      <c r="U464" s="407">
        <v>8506056.0099999998</v>
      </c>
      <c r="W464" s="661"/>
      <c r="X464" s="661"/>
    </row>
    <row r="465" spans="1:24" ht="16.5" thickBot="1">
      <c r="A465" s="430" t="s">
        <v>25</v>
      </c>
      <c r="B465" s="425"/>
      <c r="C465" s="29">
        <v>535721170</v>
      </c>
      <c r="E465" s="114"/>
      <c r="F465" s="115"/>
      <c r="G465" s="28">
        <v>27958751</v>
      </c>
      <c r="I465" s="128"/>
      <c r="J465" s="124"/>
      <c r="K465" s="28">
        <f>SUM(K462:K464)</f>
        <v>822643.83013665793</v>
      </c>
      <c r="M465" s="128"/>
      <c r="N465" s="124"/>
      <c r="O465" s="28">
        <f>SUM(O462:O464)</f>
        <v>445380.41758991044</v>
      </c>
      <c r="S465" s="138"/>
      <c r="T465" s="139"/>
      <c r="U465" s="408">
        <v>29809766.490000002</v>
      </c>
      <c r="W465" s="661"/>
      <c r="X465" s="661"/>
    </row>
    <row r="466" spans="1:24" ht="16.5" thickTop="1">
      <c r="A466" s="160"/>
      <c r="B466" s="425"/>
      <c r="C466" s="4"/>
      <c r="G466" s="15"/>
      <c r="I466" s="106"/>
      <c r="J466" s="115"/>
      <c r="K466" s="15"/>
      <c r="M466" s="106"/>
      <c r="N466" s="115"/>
      <c r="O466" s="15"/>
    </row>
    <row r="467" spans="1:24">
      <c r="A467" s="448" t="s">
        <v>274</v>
      </c>
      <c r="B467" s="426"/>
      <c r="C467" s="4"/>
      <c r="E467" s="30"/>
      <c r="F467" s="115"/>
      <c r="G467" s="92"/>
      <c r="I467" s="106"/>
      <c r="J467" s="115"/>
      <c r="M467" s="106"/>
      <c r="N467" s="115"/>
      <c r="Q467" s="70" t="s">
        <v>14</v>
      </c>
      <c r="R467" s="17">
        <f>O470</f>
        <v>873065.96099999989</v>
      </c>
      <c r="S467" s="138"/>
      <c r="T467" s="139"/>
    </row>
    <row r="468" spans="1:24">
      <c r="A468" s="436" t="s">
        <v>7</v>
      </c>
      <c r="B468" s="426"/>
      <c r="C468" s="4">
        <v>12</v>
      </c>
      <c r="G468" s="92"/>
      <c r="I468" s="31"/>
      <c r="J468" s="100"/>
      <c r="M468" s="31"/>
      <c r="N468" s="100"/>
      <c r="Q468" s="71" t="s">
        <v>16</v>
      </c>
      <c r="R468" s="18">
        <f>'Exhibit-RMP(JRS-1) page 2'!M35*1000</f>
        <v>872155.84986787569</v>
      </c>
      <c r="S468" s="138"/>
      <c r="T468" s="139"/>
    </row>
    <row r="469" spans="1:24">
      <c r="A469" s="436" t="s">
        <v>309</v>
      </c>
      <c r="B469" s="426"/>
      <c r="C469" s="4">
        <v>795798675.78575754</v>
      </c>
      <c r="E469" s="134"/>
      <c r="F469" s="135"/>
      <c r="G469" s="37">
        <v>35062890</v>
      </c>
      <c r="I469" s="91">
        <v>2.98E-2</v>
      </c>
      <c r="J469" s="109"/>
      <c r="K469" s="15">
        <f t="shared" ref="K469" si="179">$G469*I469</f>
        <v>1044874.122</v>
      </c>
      <c r="M469" s="91">
        <f>R470</f>
        <v>2.4899999999999999E-2</v>
      </c>
      <c r="N469" s="109"/>
      <c r="O469" s="15">
        <f>$G469*M469</f>
        <v>873065.96099999989</v>
      </c>
      <c r="Q469" s="72" t="s">
        <v>18</v>
      </c>
      <c r="R469" s="19">
        <f>R468-R467</f>
        <v>-910.11113212420605</v>
      </c>
      <c r="S469" s="138">
        <f t="shared" ref="S469" si="180">G469*I469-K469</f>
        <v>0</v>
      </c>
      <c r="T469" s="139">
        <f t="shared" ref="T469" si="181">G469*M469-O469</f>
        <v>0</v>
      </c>
    </row>
    <row r="470" spans="1:24" ht="16.5" thickBot="1">
      <c r="A470" s="430" t="s">
        <v>25</v>
      </c>
      <c r="B470" s="426"/>
      <c r="C470" s="52">
        <v>795798675.78575754</v>
      </c>
      <c r="E470" s="136"/>
      <c r="F470" s="115"/>
      <c r="G470" s="26">
        <v>35062890</v>
      </c>
      <c r="I470" s="125"/>
      <c r="J470" s="102"/>
      <c r="K470" s="26">
        <f>K469</f>
        <v>1044874.122</v>
      </c>
      <c r="M470" s="125"/>
      <c r="N470" s="102"/>
      <c r="O470" s="26">
        <f>O469</f>
        <v>873065.96099999989</v>
      </c>
      <c r="Q470" s="75" t="s">
        <v>21</v>
      </c>
      <c r="R470" s="76">
        <f>ROUND(R468/G469,$R$12)</f>
        <v>2.4899999999999999E-2</v>
      </c>
      <c r="S470" s="138"/>
      <c r="T470" s="139"/>
    </row>
    <row r="471" spans="1:24" ht="16.5" thickTop="1">
      <c r="A471" s="201"/>
      <c r="B471" s="167"/>
      <c r="C471" s="16"/>
      <c r="E471" s="109"/>
      <c r="F471" s="109"/>
      <c r="G471" s="21"/>
      <c r="I471" s="125"/>
      <c r="J471" s="102"/>
      <c r="K471" s="21"/>
      <c r="M471" s="125"/>
      <c r="N471" s="102"/>
      <c r="O471" s="21"/>
      <c r="R471" s="256"/>
    </row>
    <row r="472" spans="1:24">
      <c r="A472" s="429" t="s">
        <v>275</v>
      </c>
      <c r="B472" s="425"/>
      <c r="C472" s="4"/>
      <c r="E472" s="30"/>
      <c r="F472" s="115"/>
      <c r="G472" s="92"/>
      <c r="I472" s="125"/>
      <c r="J472" s="124"/>
      <c r="M472" s="125"/>
      <c r="N472" s="124"/>
    </row>
    <row r="473" spans="1:24">
      <c r="A473" s="430" t="s">
        <v>7</v>
      </c>
      <c r="B473" s="425"/>
      <c r="C473" s="4">
        <v>12</v>
      </c>
      <c r="E473" s="14"/>
      <c r="F473" s="115"/>
      <c r="G473" s="15">
        <v>8136</v>
      </c>
      <c r="I473" s="121"/>
      <c r="J473" s="115"/>
      <c r="K473" s="15"/>
      <c r="M473" s="121"/>
      <c r="N473" s="115"/>
      <c r="O473" s="15"/>
    </row>
    <row r="474" spans="1:24">
      <c r="A474" s="430" t="s">
        <v>310</v>
      </c>
      <c r="B474" s="425"/>
      <c r="C474" s="4">
        <v>422498</v>
      </c>
      <c r="E474" s="14"/>
      <c r="F474" s="115"/>
      <c r="G474" s="15">
        <v>921045</v>
      </c>
      <c r="I474" s="126"/>
      <c r="K474" s="15"/>
      <c r="M474" s="126"/>
      <c r="O474" s="15"/>
    </row>
    <row r="475" spans="1:24">
      <c r="A475" s="430" t="s">
        <v>217</v>
      </c>
      <c r="B475" s="425"/>
      <c r="C475" s="4"/>
      <c r="E475" s="105"/>
      <c r="F475" s="137"/>
      <c r="G475" s="51"/>
      <c r="I475" s="126"/>
      <c r="K475" s="15"/>
      <c r="M475" s="126"/>
      <c r="O475" s="15"/>
    </row>
    <row r="476" spans="1:24">
      <c r="A476" s="430" t="s">
        <v>205</v>
      </c>
      <c r="B476" s="425"/>
      <c r="C476" s="4">
        <v>3435490</v>
      </c>
      <c r="E476" s="129"/>
      <c r="F476" s="130"/>
      <c r="G476" s="15"/>
      <c r="I476" s="126"/>
      <c r="K476" s="15"/>
      <c r="M476" s="126"/>
      <c r="O476" s="15"/>
    </row>
    <row r="477" spans="1:24">
      <c r="A477" s="430" t="s">
        <v>455</v>
      </c>
      <c r="B477" s="425"/>
      <c r="C477" s="4">
        <v>3253488</v>
      </c>
      <c r="E477" s="129"/>
      <c r="F477" s="130"/>
      <c r="G477" s="15">
        <v>1673920</v>
      </c>
      <c r="I477" s="126"/>
      <c r="K477" s="15"/>
      <c r="M477" s="126"/>
      <c r="O477" s="15"/>
    </row>
    <row r="478" spans="1:24">
      <c r="A478" s="430" t="s">
        <v>456</v>
      </c>
      <c r="B478" s="425"/>
      <c r="C478" s="4">
        <v>182002</v>
      </c>
      <c r="E478" s="129"/>
      <c r="F478" s="130"/>
      <c r="G478" s="15">
        <v>93640</v>
      </c>
      <c r="I478" s="126"/>
      <c r="K478" s="15"/>
      <c r="M478" s="126"/>
      <c r="O478" s="15"/>
    </row>
    <row r="479" spans="1:24">
      <c r="A479" s="430" t="s">
        <v>206</v>
      </c>
      <c r="B479" s="425"/>
      <c r="C479" s="4">
        <v>0</v>
      </c>
      <c r="E479" s="129"/>
      <c r="F479" s="130"/>
      <c r="G479" s="15"/>
      <c r="I479" s="126"/>
      <c r="K479" s="15"/>
      <c r="M479" s="126"/>
      <c r="O479" s="15"/>
    </row>
    <row r="480" spans="1:24">
      <c r="A480" s="430" t="s">
        <v>455</v>
      </c>
      <c r="B480" s="425"/>
      <c r="C480" s="4"/>
      <c r="E480" s="129"/>
      <c r="F480" s="130"/>
      <c r="G480" s="15">
        <v>0</v>
      </c>
      <c r="I480" s="126"/>
      <c r="K480" s="15"/>
      <c r="M480" s="126"/>
      <c r="O480" s="15"/>
    </row>
    <row r="481" spans="1:20">
      <c r="A481" s="430" t="s">
        <v>456</v>
      </c>
      <c r="B481" s="425"/>
      <c r="C481" s="4"/>
      <c r="E481" s="129"/>
      <c r="F481" s="130"/>
      <c r="G481" s="15">
        <v>0</v>
      </c>
      <c r="I481" s="109"/>
      <c r="J481" s="109"/>
      <c r="K481" s="51"/>
      <c r="M481" s="109"/>
      <c r="N481" s="109"/>
      <c r="O481" s="51"/>
    </row>
    <row r="482" spans="1:20">
      <c r="A482" s="430" t="s">
        <v>218</v>
      </c>
      <c r="B482" s="425"/>
      <c r="C482" s="4">
        <v>0</v>
      </c>
      <c r="E482" s="129"/>
      <c r="F482" s="130"/>
      <c r="G482" s="15"/>
      <c r="K482" s="15"/>
      <c r="O482" s="15"/>
    </row>
    <row r="483" spans="1:20">
      <c r="A483" s="430" t="s">
        <v>455</v>
      </c>
      <c r="B483" s="425"/>
      <c r="C483" s="4"/>
      <c r="E483" s="129"/>
      <c r="F483" s="130"/>
      <c r="G483" s="15">
        <v>0</v>
      </c>
      <c r="K483" s="15"/>
      <c r="O483" s="15"/>
    </row>
    <row r="484" spans="1:20">
      <c r="A484" s="430" t="s">
        <v>456</v>
      </c>
      <c r="B484" s="425"/>
      <c r="C484" s="4"/>
      <c r="E484" s="129"/>
      <c r="F484" s="130"/>
      <c r="G484" s="15">
        <v>0</v>
      </c>
      <c r="I484" s="31"/>
      <c r="J484" s="100"/>
      <c r="K484" s="15"/>
      <c r="M484" s="31"/>
      <c r="N484" s="100"/>
      <c r="O484" s="15"/>
    </row>
    <row r="485" spans="1:20">
      <c r="A485" s="430" t="s">
        <v>219</v>
      </c>
      <c r="B485" s="425"/>
      <c r="C485" s="4"/>
      <c r="E485" s="118"/>
      <c r="F485" s="137"/>
      <c r="G485" s="51"/>
      <c r="I485" s="31"/>
      <c r="J485" s="100"/>
      <c r="K485" s="51"/>
      <c r="M485" s="31"/>
      <c r="N485" s="100"/>
      <c r="O485" s="51"/>
    </row>
    <row r="486" spans="1:20">
      <c r="A486" s="430" t="s">
        <v>220</v>
      </c>
      <c r="B486" s="425"/>
      <c r="C486" s="4">
        <v>24807</v>
      </c>
      <c r="E486" s="105"/>
      <c r="F486" s="20"/>
      <c r="G486" s="15">
        <v>346306</v>
      </c>
      <c r="I486" s="31">
        <v>3.4299999999999997E-2</v>
      </c>
      <c r="J486" s="100"/>
      <c r="K486" s="15">
        <f t="shared" ref="K486" si="182">$G486*I486</f>
        <v>11878.2958</v>
      </c>
      <c r="M486" s="31">
        <f>$R$172</f>
        <v>2.23E-2</v>
      </c>
      <c r="N486" s="100"/>
      <c r="O486" s="15">
        <f t="shared" ref="O486:O487" si="183">$G486*M486</f>
        <v>7722.6238000000003</v>
      </c>
      <c r="S486" s="138">
        <f t="shared" ref="S486:S491" si="184">G486*I486-K486</f>
        <v>0</v>
      </c>
      <c r="T486" s="139">
        <f t="shared" ref="T486:T491" si="185">G486*M486-O486</f>
        <v>0</v>
      </c>
    </row>
    <row r="487" spans="1:20">
      <c r="A487" s="430" t="s">
        <v>221</v>
      </c>
      <c r="B487" s="425"/>
      <c r="C487" s="4">
        <v>765402</v>
      </c>
      <c r="E487" s="105"/>
      <c r="F487" s="20"/>
      <c r="G487" s="15">
        <v>7248357</v>
      </c>
      <c r="I487" s="31">
        <v>3.4299999999999997E-2</v>
      </c>
      <c r="J487" s="100"/>
      <c r="K487" s="15">
        <f t="shared" ref="K487" si="186">$G487*I487</f>
        <v>248618.64509999997</v>
      </c>
      <c r="M487" s="31">
        <f>$R$172</f>
        <v>2.23E-2</v>
      </c>
      <c r="N487" s="100"/>
      <c r="O487" s="15">
        <f t="shared" si="183"/>
        <v>161638.36110000001</v>
      </c>
      <c r="S487" s="138">
        <f t="shared" si="184"/>
        <v>0</v>
      </c>
      <c r="T487" s="139">
        <f t="shared" si="185"/>
        <v>0</v>
      </c>
    </row>
    <row r="488" spans="1:20">
      <c r="A488" s="430" t="s">
        <v>222</v>
      </c>
      <c r="B488" s="425"/>
      <c r="C488" s="16"/>
      <c r="E488" s="137"/>
      <c r="F488" s="137"/>
      <c r="G488" s="21"/>
      <c r="I488" s="31"/>
      <c r="J488" s="100"/>
      <c r="K488" s="21"/>
      <c r="M488" s="31"/>
      <c r="N488" s="100"/>
      <c r="O488" s="21"/>
      <c r="S488" s="138"/>
      <c r="T488" s="139"/>
    </row>
    <row r="489" spans="1:20">
      <c r="A489" s="430" t="s">
        <v>223</v>
      </c>
      <c r="B489" s="425"/>
      <c r="C489" s="4">
        <v>22796861</v>
      </c>
      <c r="E489" s="119"/>
      <c r="F489" s="102" t="s">
        <v>11</v>
      </c>
      <c r="G489" s="15">
        <v>1060761</v>
      </c>
      <c r="I489" s="31">
        <v>3.4299999999999997E-2</v>
      </c>
      <c r="J489" s="100"/>
      <c r="K489" s="15">
        <f t="shared" ref="K489:K491" si="187">$G489*I489</f>
        <v>36384.102299999999</v>
      </c>
      <c r="M489" s="31">
        <f>$R$172</f>
        <v>2.23E-2</v>
      </c>
      <c r="N489" s="100"/>
      <c r="O489" s="15">
        <f t="shared" ref="O489:O491" si="188">$G489*M489</f>
        <v>23654.970300000001</v>
      </c>
      <c r="S489" s="138">
        <f t="shared" si="184"/>
        <v>0</v>
      </c>
      <c r="T489" s="139">
        <f t="shared" si="185"/>
        <v>0</v>
      </c>
    </row>
    <row r="490" spans="1:20">
      <c r="A490" s="430" t="s">
        <v>224</v>
      </c>
      <c r="B490" s="425"/>
      <c r="C490" s="4">
        <v>204228863</v>
      </c>
      <c r="E490" s="119"/>
      <c r="F490" s="102" t="s">
        <v>11</v>
      </c>
      <c r="G490" s="15">
        <v>7145764</v>
      </c>
      <c r="I490" s="31">
        <v>3.4299999999999997E-2</v>
      </c>
      <c r="J490" s="100"/>
      <c r="K490" s="15">
        <f t="shared" si="187"/>
        <v>245099.70519999997</v>
      </c>
      <c r="M490" s="31">
        <f>$R$172</f>
        <v>2.23E-2</v>
      </c>
      <c r="N490" s="100"/>
      <c r="O490" s="15">
        <f t="shared" si="188"/>
        <v>159350.53719999999</v>
      </c>
      <c r="S490" s="138">
        <f t="shared" si="184"/>
        <v>0</v>
      </c>
      <c r="T490" s="139">
        <f t="shared" si="185"/>
        <v>0</v>
      </c>
    </row>
    <row r="491" spans="1:20">
      <c r="A491" s="430" t="s">
        <v>225</v>
      </c>
      <c r="B491" s="425"/>
      <c r="C491" s="48">
        <v>394783609.25</v>
      </c>
      <c r="E491" s="447"/>
      <c r="F491" s="102" t="s">
        <v>11</v>
      </c>
      <c r="G491" s="37">
        <v>11537551</v>
      </c>
      <c r="I491" s="31">
        <v>3.4299999999999997E-2</v>
      </c>
      <c r="J491" s="100"/>
      <c r="K491" s="37">
        <f t="shared" si="187"/>
        <v>395737.99929999997</v>
      </c>
      <c r="M491" s="31">
        <f>$R$172</f>
        <v>2.23E-2</v>
      </c>
      <c r="N491" s="100"/>
      <c r="O491" s="37">
        <f t="shared" si="188"/>
        <v>257287.3873</v>
      </c>
      <c r="S491" s="138">
        <f t="shared" si="184"/>
        <v>0</v>
      </c>
      <c r="T491" s="139">
        <f t="shared" si="185"/>
        <v>0</v>
      </c>
    </row>
    <row r="492" spans="1:20" ht="16.5" thickBot="1">
      <c r="A492" s="430" t="s">
        <v>226</v>
      </c>
      <c r="B492" s="425"/>
      <c r="C492" s="29">
        <v>621809333.25</v>
      </c>
      <c r="E492" s="114"/>
      <c r="F492" s="115"/>
      <c r="G492" s="28">
        <v>30035480</v>
      </c>
      <c r="I492" s="31"/>
      <c r="J492" s="100"/>
      <c r="K492" s="28">
        <f>SUM(K473:K491)</f>
        <v>937718.74769999995</v>
      </c>
      <c r="M492" s="31"/>
      <c r="N492" s="100"/>
      <c r="O492" s="28">
        <f>SUM(O473:O491)</f>
        <v>609653.87969999993</v>
      </c>
    </row>
    <row r="493" spans="1:20" ht="16.5" thickTop="1">
      <c r="C493" s="4"/>
      <c r="E493" s="30"/>
      <c r="F493" s="115"/>
      <c r="G493" s="92"/>
    </row>
    <row r="494" spans="1:20">
      <c r="A494" s="429" t="s">
        <v>457</v>
      </c>
      <c r="B494" s="425"/>
      <c r="C494" s="4"/>
      <c r="G494" s="92"/>
      <c r="I494" s="126"/>
      <c r="K494" s="660"/>
      <c r="M494" s="126"/>
      <c r="O494" s="660"/>
    </row>
    <row r="495" spans="1:20">
      <c r="A495" s="430" t="s">
        <v>227</v>
      </c>
      <c r="B495" s="425"/>
      <c r="C495" s="4">
        <v>60</v>
      </c>
      <c r="E495" s="14">
        <v>2.1800000000000002</v>
      </c>
      <c r="F495" s="100"/>
      <c r="G495" s="15">
        <v>131</v>
      </c>
      <c r="I495" s="108"/>
      <c r="J495" s="109"/>
      <c r="K495" s="15"/>
      <c r="M495" s="108"/>
      <c r="N495" s="109"/>
      <c r="O495" s="15"/>
    </row>
    <row r="496" spans="1:20">
      <c r="A496" s="430" t="s">
        <v>228</v>
      </c>
      <c r="B496" s="425"/>
      <c r="C496" s="16">
        <v>207</v>
      </c>
      <c r="E496" s="131">
        <v>2.1858</v>
      </c>
      <c r="F496" s="102"/>
      <c r="G496" s="21">
        <v>452</v>
      </c>
      <c r="I496" s="108"/>
      <c r="J496" s="109"/>
      <c r="K496" s="15"/>
      <c r="M496" s="108"/>
      <c r="N496" s="109"/>
      <c r="O496" s="15"/>
    </row>
    <row r="497" spans="1:17">
      <c r="A497" s="430" t="s">
        <v>151</v>
      </c>
      <c r="B497" s="425"/>
      <c r="C497" s="48">
        <v>267</v>
      </c>
      <c r="E497" s="447"/>
      <c r="F497" s="102"/>
      <c r="G497" s="37">
        <v>583</v>
      </c>
      <c r="I497" s="108"/>
      <c r="J497" s="109"/>
      <c r="K497" s="15"/>
      <c r="M497" s="108"/>
      <c r="N497" s="109"/>
      <c r="O497" s="15"/>
    </row>
    <row r="498" spans="1:17">
      <c r="A498" s="430" t="s">
        <v>229</v>
      </c>
      <c r="B498" s="425"/>
      <c r="C498" s="47">
        <v>7736.6128294616919</v>
      </c>
      <c r="E498" s="167"/>
      <c r="G498" s="660"/>
      <c r="K498" s="15"/>
      <c r="O498" s="15"/>
    </row>
    <row r="499" spans="1:17">
      <c r="A499" s="430" t="s">
        <v>84</v>
      </c>
      <c r="B499" s="425"/>
      <c r="C499" s="47">
        <v>5</v>
      </c>
      <c r="E499" s="167"/>
      <c r="G499" s="660"/>
      <c r="I499" s="106"/>
      <c r="J499" s="115"/>
      <c r="K499" s="15"/>
      <c r="M499" s="106"/>
      <c r="N499" s="115"/>
      <c r="O499" s="15"/>
    </row>
    <row r="500" spans="1:17">
      <c r="A500" s="430" t="s">
        <v>83</v>
      </c>
      <c r="B500" s="425"/>
      <c r="C500" s="47">
        <v>0</v>
      </c>
      <c r="E500" s="167"/>
      <c r="G500" s="21"/>
      <c r="K500" s="24"/>
      <c r="O500" s="24"/>
    </row>
    <row r="501" spans="1:17" ht="16.5" thickBot="1">
      <c r="A501" s="430" t="s">
        <v>152</v>
      </c>
      <c r="B501" s="425"/>
      <c r="C501" s="43">
        <v>7736.6128294616919</v>
      </c>
      <c r="E501" s="46"/>
      <c r="F501" s="122"/>
      <c r="G501" s="659">
        <v>583</v>
      </c>
      <c r="I501" s="31"/>
      <c r="J501" s="100"/>
      <c r="K501" s="28">
        <f>SUM(K495:K500)</f>
        <v>0</v>
      </c>
      <c r="M501" s="31"/>
      <c r="N501" s="100"/>
      <c r="O501" s="28">
        <f>SUM(O495:O500)</f>
        <v>0</v>
      </c>
    </row>
    <row r="502" spans="1:17" ht="16.5" thickTop="1">
      <c r="A502" s="201"/>
      <c r="B502" s="167"/>
      <c r="C502" s="16"/>
      <c r="E502" s="115"/>
      <c r="F502" s="115"/>
      <c r="G502" s="21"/>
      <c r="I502" s="31"/>
      <c r="J502" s="100"/>
      <c r="K502" s="21"/>
      <c r="M502" s="31"/>
      <c r="N502" s="100"/>
      <c r="O502" s="21"/>
    </row>
    <row r="503" spans="1:17">
      <c r="A503" s="448" t="s">
        <v>230</v>
      </c>
      <c r="B503" s="426"/>
      <c r="E503" s="30"/>
      <c r="F503" s="115"/>
      <c r="G503" s="92"/>
      <c r="I503" s="106"/>
      <c r="J503" s="131"/>
      <c r="M503" s="106"/>
      <c r="N503" s="131"/>
    </row>
    <row r="504" spans="1:17">
      <c r="A504" s="436" t="s">
        <v>231</v>
      </c>
      <c r="B504" s="426"/>
      <c r="C504" s="53"/>
      <c r="E504" s="30"/>
      <c r="F504" s="115"/>
      <c r="G504" s="15">
        <v>33040.269999999997</v>
      </c>
      <c r="I504" s="31"/>
      <c r="J504" s="100"/>
      <c r="K504" s="15"/>
      <c r="M504" s="31"/>
      <c r="N504" s="100"/>
      <c r="O504" s="15"/>
    </row>
    <row r="505" spans="1:17">
      <c r="A505" s="436" t="s">
        <v>232</v>
      </c>
      <c r="B505" s="426"/>
      <c r="C505" s="53"/>
      <c r="E505" s="30"/>
      <c r="F505" s="115"/>
      <c r="G505" s="15">
        <v>2726577.8500000006</v>
      </c>
      <c r="K505" s="15"/>
      <c r="O505" s="15"/>
    </row>
    <row r="506" spans="1:17">
      <c r="A506" s="436" t="s">
        <v>233</v>
      </c>
      <c r="B506" s="426"/>
      <c r="C506" s="53"/>
      <c r="E506" s="30"/>
      <c r="F506" s="115"/>
      <c r="G506" s="15">
        <v>-5447.4699999999866</v>
      </c>
      <c r="I506" s="31"/>
      <c r="J506" s="100"/>
      <c r="K506" s="15"/>
      <c r="M506" s="31"/>
      <c r="N506" s="100"/>
      <c r="O506" s="15"/>
    </row>
    <row r="507" spans="1:17">
      <c r="A507" s="436" t="s">
        <v>234</v>
      </c>
      <c r="B507" s="426"/>
      <c r="C507" s="53"/>
      <c r="E507" s="30"/>
      <c r="F507" s="115"/>
      <c r="G507" s="15">
        <v>206563.33000000002</v>
      </c>
      <c r="I507" s="31"/>
      <c r="J507" s="100"/>
      <c r="K507" s="15"/>
      <c r="M507" s="31"/>
      <c r="N507" s="100"/>
      <c r="O507" s="15"/>
    </row>
    <row r="508" spans="1:17">
      <c r="A508" s="436" t="s">
        <v>235</v>
      </c>
      <c r="B508" s="426"/>
      <c r="C508" s="53"/>
      <c r="E508" s="30"/>
      <c r="F508" s="115"/>
      <c r="G508" s="15">
        <v>4661.6400000000003</v>
      </c>
      <c r="I508" s="106"/>
      <c r="J508" s="20"/>
      <c r="K508" s="15"/>
      <c r="M508" s="106"/>
      <c r="N508" s="20"/>
      <c r="O508" s="15"/>
    </row>
    <row r="509" spans="1:17">
      <c r="A509" s="436" t="s">
        <v>236</v>
      </c>
      <c r="B509" s="426"/>
      <c r="C509" s="53"/>
      <c r="E509" s="30"/>
      <c r="F509" s="115"/>
      <c r="G509" s="15">
        <v>0</v>
      </c>
      <c r="I509" s="31"/>
      <c r="J509" s="130"/>
      <c r="K509" s="15"/>
      <c r="M509" s="31"/>
      <c r="N509" s="130"/>
      <c r="O509" s="15"/>
    </row>
    <row r="510" spans="1:17" ht="16.5" thickBot="1">
      <c r="A510" s="436" t="s">
        <v>237</v>
      </c>
      <c r="B510" s="426"/>
      <c r="C510" s="54"/>
      <c r="E510" s="136"/>
      <c r="F510" s="115"/>
      <c r="G510" s="26">
        <v>2965395.6200000006</v>
      </c>
      <c r="I510" s="106"/>
      <c r="J510" s="131"/>
      <c r="K510" s="26">
        <f>SUM(K504:K509)</f>
        <v>0</v>
      </c>
      <c r="M510" s="106"/>
      <c r="N510" s="131"/>
      <c r="O510" s="26">
        <f>SUM(O504:O509)</f>
        <v>0</v>
      </c>
    </row>
    <row r="511" spans="1:17" ht="16.5" thickTop="1">
      <c r="A511" s="449"/>
      <c r="B511" s="426"/>
      <c r="E511" s="30"/>
      <c r="F511" s="115"/>
      <c r="G511" s="15"/>
      <c r="I511" s="31"/>
      <c r="J511" s="100"/>
      <c r="K511" s="15"/>
      <c r="M511" s="31"/>
      <c r="N511" s="100"/>
      <c r="O511" s="15"/>
    </row>
    <row r="512" spans="1:17" ht="16.5" thickBot="1">
      <c r="A512" s="450" t="s">
        <v>238</v>
      </c>
      <c r="B512" s="451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I512" s="106"/>
      <c r="J512" s="115"/>
      <c r="K512" s="26">
        <f>K29+K49+K71+K86+K101+K113+K153+K165+K176+K184+K200+K216+K268+K351+K360+K366+K383+K396+K457+K465+K470+K492+K501+K510</f>
        <v>45331686.760036655</v>
      </c>
      <c r="M512" s="106"/>
      <c r="N512" s="115"/>
      <c r="O512" s="26">
        <f>O29+O49+O71+O86+O101+O113+O153+O165+O176+O184+O200+O216+O268+O351+O360+O366+O383+O396+O457+O465+O470+O492+O501+O510</f>
        <v>30899682.938489914</v>
      </c>
      <c r="Q512" s="398">
        <f>O512/K512-1</f>
        <v>-0.31836458894509201</v>
      </c>
    </row>
    <row r="513" spans="1:15" ht="16.5" thickTop="1">
      <c r="A513" s="159"/>
      <c r="B513" s="159"/>
      <c r="C513" s="159"/>
      <c r="D513" s="159"/>
      <c r="E513" s="159"/>
      <c r="F513" s="159"/>
      <c r="G513" s="159"/>
      <c r="H513" s="159"/>
      <c r="I513" s="126"/>
      <c r="K513" s="167"/>
      <c r="M513" s="126"/>
    </row>
    <row r="514" spans="1:15">
      <c r="A514" s="159"/>
      <c r="B514" s="159"/>
      <c r="C514" s="159"/>
      <c r="D514" s="159"/>
      <c r="E514" s="159"/>
      <c r="F514" s="159"/>
      <c r="G514" s="159"/>
      <c r="H514" s="159"/>
      <c r="O514" s="397"/>
    </row>
  </sheetData>
  <printOptions horizontalCentered="1"/>
  <pageMargins left="1" right="0.5" top="1" bottom="0.5" header="0.25" footer="0.25"/>
  <pageSetup scale="64" fitToHeight="88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80" zoomScaleNormal="80" workbookViewId="0">
      <selection activeCell="H21" sqref="H21"/>
    </sheetView>
  </sheetViews>
  <sheetFormatPr defaultColWidth="8.625" defaultRowHeight="15.75"/>
  <cols>
    <col min="1" max="1" width="8.625" style="577"/>
    <col min="2" max="2" width="2.375" style="577" customWidth="1"/>
    <col min="3" max="7" width="15.375" style="577" customWidth="1"/>
    <col min="8" max="8" width="12.625" style="577" customWidth="1"/>
    <col min="9" max="9" width="15.375" style="577" customWidth="1"/>
    <col min="10" max="10" width="14" style="577" bestFit="1" customWidth="1"/>
    <col min="11" max="11" width="2.375" style="577" customWidth="1"/>
    <col min="12" max="12" width="10.25" style="577" bestFit="1" customWidth="1"/>
    <col min="13" max="13" width="8.625" style="577"/>
    <col min="14" max="14" width="11.75" style="577" bestFit="1" customWidth="1"/>
    <col min="15" max="16384" width="8.625" style="577"/>
  </cols>
  <sheetData>
    <row r="1" spans="1:15">
      <c r="A1" s="620" t="s">
        <v>553</v>
      </c>
      <c r="B1" s="620"/>
      <c r="C1" s="578"/>
      <c r="D1" s="578"/>
      <c r="E1" s="578"/>
      <c r="F1" s="578"/>
      <c r="G1" s="578"/>
      <c r="H1" s="578"/>
      <c r="I1" s="578"/>
      <c r="J1" s="578"/>
    </row>
    <row r="4" spans="1:15">
      <c r="C4" s="584" t="s">
        <v>520</v>
      </c>
      <c r="D4" s="597"/>
      <c r="E4" s="663" t="s">
        <v>518</v>
      </c>
      <c r="F4" s="664"/>
      <c r="G4" s="665"/>
      <c r="H4" s="579">
        <v>187824</v>
      </c>
      <c r="I4" s="584" t="s">
        <v>519</v>
      </c>
      <c r="J4" s="597"/>
      <c r="L4" s="613" t="s">
        <v>523</v>
      </c>
    </row>
    <row r="5" spans="1:15">
      <c r="C5" s="585">
        <v>2014</v>
      </c>
      <c r="D5" s="586" t="s">
        <v>554</v>
      </c>
      <c r="E5" s="598">
        <v>187821</v>
      </c>
      <c r="F5" s="599">
        <v>187824</v>
      </c>
      <c r="G5" s="600">
        <v>187929</v>
      </c>
      <c r="H5" s="579" t="s">
        <v>490</v>
      </c>
      <c r="I5" s="585">
        <v>2014</v>
      </c>
      <c r="J5" s="586" t="s">
        <v>554</v>
      </c>
      <c r="L5" s="614" t="s">
        <v>521</v>
      </c>
    </row>
    <row r="6" spans="1:15">
      <c r="A6" s="619" t="s">
        <v>435</v>
      </c>
      <c r="B6" s="580"/>
      <c r="C6" s="587">
        <v>187824</v>
      </c>
      <c r="D6" s="588">
        <v>187929</v>
      </c>
      <c r="E6" s="601">
        <v>1</v>
      </c>
      <c r="F6" s="602">
        <v>0.56999999999999995</v>
      </c>
      <c r="G6" s="603">
        <v>0.43</v>
      </c>
      <c r="H6" s="604">
        <v>0.06</v>
      </c>
      <c r="I6" s="587">
        <v>187824</v>
      </c>
      <c r="J6" s="588">
        <v>187929</v>
      </c>
      <c r="L6" s="617" t="s">
        <v>522</v>
      </c>
      <c r="N6" s="580">
        <v>2015</v>
      </c>
    </row>
    <row r="7" spans="1:15">
      <c r="A7" s="581">
        <v>41944</v>
      </c>
      <c r="B7" s="581"/>
      <c r="C7" s="589">
        <v>25339553</v>
      </c>
      <c r="D7" s="590">
        <v>18906482.84</v>
      </c>
      <c r="E7" s="589">
        <v>-2573555.02</v>
      </c>
      <c r="F7" s="591">
        <f>E7*F6</f>
        <v>-1466926.3613999998</v>
      </c>
      <c r="G7" s="590">
        <f>E7*G6</f>
        <v>-1106628.6586</v>
      </c>
      <c r="H7" s="591">
        <f t="shared" ref="H7:H18" si="0">(C7+F7*0.5)*0.06/12</f>
        <v>123030.4490965</v>
      </c>
      <c r="I7" s="589">
        <f t="shared" ref="I7:I18" si="1">SUM(C7+F7+H7)</f>
        <v>23995657.0876965</v>
      </c>
      <c r="J7" s="590">
        <f t="shared" ref="J7:J18" si="2">D7+G7</f>
        <v>17799854.181400001</v>
      </c>
      <c r="L7" s="615">
        <f>N19/(1+O19)</f>
        <v>149076.92035642453</v>
      </c>
      <c r="M7" s="609">
        <f t="shared" ref="M7:M8" si="3">-E7/(L7*1000)</f>
        <v>1.7263269283044939E-2</v>
      </c>
      <c r="N7" s="607" t="s">
        <v>521</v>
      </c>
    </row>
    <row r="8" spans="1:15">
      <c r="A8" s="581">
        <v>41974</v>
      </c>
      <c r="B8" s="581"/>
      <c r="C8" s="589">
        <f t="shared" ref="C8:C18" si="4">I7</f>
        <v>23995657.0876965</v>
      </c>
      <c r="D8" s="590">
        <f t="shared" ref="D8:D18" si="5">J7</f>
        <v>17799854.181400001</v>
      </c>
      <c r="E8" s="589">
        <v>-3503097.67</v>
      </c>
      <c r="F8" s="591">
        <f>E8*F6</f>
        <v>-1996765.6718999997</v>
      </c>
      <c r="G8" s="590">
        <f>E8*G6</f>
        <v>-1506331.9981</v>
      </c>
      <c r="H8" s="591">
        <f t="shared" si="0"/>
        <v>114986.37125873251</v>
      </c>
      <c r="I8" s="589">
        <f t="shared" si="1"/>
        <v>22113877.787055232</v>
      </c>
      <c r="J8" s="590">
        <f t="shared" si="2"/>
        <v>16293522.183300002</v>
      </c>
      <c r="L8" s="615">
        <f>N20/(1+O20)</f>
        <v>160622.31591716869</v>
      </c>
      <c r="M8" s="609">
        <f t="shared" si="3"/>
        <v>2.1809532816140644E-2</v>
      </c>
      <c r="N8" s="608" t="s">
        <v>522</v>
      </c>
    </row>
    <row r="9" spans="1:15">
      <c r="A9" s="581">
        <v>42005</v>
      </c>
      <c r="B9" s="581"/>
      <c r="C9" s="589">
        <f t="shared" si="4"/>
        <v>22113877.787055232</v>
      </c>
      <c r="D9" s="590">
        <f t="shared" si="5"/>
        <v>16293522.183300002</v>
      </c>
      <c r="E9" s="589">
        <v>-3774820.81</v>
      </c>
      <c r="F9" s="591">
        <f t="shared" ref="F9:F18" si="6">E9*0.57</f>
        <v>-2151647.8616999998</v>
      </c>
      <c r="G9" s="590">
        <f t="shared" ref="G9:G18" si="7">E9*0.43</f>
        <v>-1623172.9483</v>
      </c>
      <c r="H9" s="591">
        <f t="shared" si="0"/>
        <v>105190.26928102615</v>
      </c>
      <c r="I9" s="589">
        <f t="shared" si="1"/>
        <v>20067420.194636259</v>
      </c>
      <c r="J9" s="590">
        <f t="shared" si="2"/>
        <v>14670349.235000001</v>
      </c>
      <c r="L9" s="615">
        <v>159553.67903688247</v>
      </c>
      <c r="M9" s="609">
        <f>-E9/(L9*1000)</f>
        <v>2.3658625941977884E-2</v>
      </c>
      <c r="N9" s="610">
        <v>159553.67903688247</v>
      </c>
      <c r="O9" s="611"/>
    </row>
    <row r="10" spans="1:15">
      <c r="A10" s="581">
        <v>42036</v>
      </c>
      <c r="B10" s="618" t="s">
        <v>524</v>
      </c>
      <c r="C10" s="589">
        <f t="shared" si="4"/>
        <v>20067420.194636259</v>
      </c>
      <c r="D10" s="590">
        <f t="shared" si="5"/>
        <v>14670349.235000001</v>
      </c>
      <c r="E10" s="605">
        <f>ROUND(($E$9+$E$8)/($L$9+$L$8)*L10,2)</f>
        <v>-3285766.44</v>
      </c>
      <c r="F10" s="591">
        <f t="shared" si="6"/>
        <v>-1872886.8707999999</v>
      </c>
      <c r="G10" s="590">
        <f t="shared" si="7"/>
        <v>-1412879.5692</v>
      </c>
      <c r="H10" s="591">
        <f t="shared" si="0"/>
        <v>95654.883796181282</v>
      </c>
      <c r="I10" s="589">
        <f t="shared" si="1"/>
        <v>18290188.207632441</v>
      </c>
      <c r="J10" s="590">
        <f t="shared" si="2"/>
        <v>13257469.665800001</v>
      </c>
      <c r="L10" s="615">
        <v>144550.05792663363</v>
      </c>
      <c r="M10" s="609">
        <f t="shared" ref="M10:M18" si="8">-E10/(L10*1000)</f>
        <v>2.2730993588862419E-2</v>
      </c>
      <c r="N10" s="610">
        <v>144550.05792663363</v>
      </c>
      <c r="O10" s="611"/>
    </row>
    <row r="11" spans="1:15">
      <c r="A11" s="581">
        <v>42064</v>
      </c>
      <c r="B11" s="581" t="s">
        <v>524</v>
      </c>
      <c r="C11" s="589">
        <f t="shared" si="4"/>
        <v>18290188.207632441</v>
      </c>
      <c r="D11" s="590">
        <f t="shared" si="5"/>
        <v>13257469.665800001</v>
      </c>
      <c r="E11" s="605">
        <f t="shared" ref="E11:E18" si="9">ROUND(($E$9+$E$8)/($L$9+$L$8)*L11,2)</f>
        <v>-3378944.62</v>
      </c>
      <c r="F11" s="591">
        <f t="shared" si="6"/>
        <v>-1925998.4334</v>
      </c>
      <c r="G11" s="590">
        <f t="shared" si="7"/>
        <v>-1452946.1866000001</v>
      </c>
      <c r="H11" s="591">
        <f t="shared" si="0"/>
        <v>86635.944954662205</v>
      </c>
      <c r="I11" s="589">
        <f t="shared" si="1"/>
        <v>16450825.719187103</v>
      </c>
      <c r="J11" s="590">
        <f t="shared" si="2"/>
        <v>11804523.479200002</v>
      </c>
      <c r="L11" s="615">
        <v>148649.22700121353</v>
      </c>
      <c r="M11" s="609">
        <f t="shared" si="8"/>
        <v>2.2730993548808805E-2</v>
      </c>
      <c r="N11" s="610">
        <v>148649.22700121353</v>
      </c>
      <c r="O11" s="611"/>
    </row>
    <row r="12" spans="1:15">
      <c r="A12" s="581">
        <v>42095</v>
      </c>
      <c r="B12" s="581" t="s">
        <v>524</v>
      </c>
      <c r="C12" s="589">
        <f t="shared" si="4"/>
        <v>16450825.719187103</v>
      </c>
      <c r="D12" s="590">
        <f t="shared" si="5"/>
        <v>11804523.479200002</v>
      </c>
      <c r="E12" s="605">
        <f t="shared" si="9"/>
        <v>-3238629.76</v>
      </c>
      <c r="F12" s="591">
        <f t="shared" si="6"/>
        <v>-1846018.9631999996</v>
      </c>
      <c r="G12" s="590">
        <f t="shared" si="7"/>
        <v>-1392610.7967999999</v>
      </c>
      <c r="H12" s="591">
        <f t="shared" si="0"/>
        <v>77639.081187935517</v>
      </c>
      <c r="I12" s="589">
        <f t="shared" si="1"/>
        <v>14682445.83717504</v>
      </c>
      <c r="J12" s="590">
        <f t="shared" si="2"/>
        <v>10411912.682400001</v>
      </c>
      <c r="L12" s="615">
        <v>142476.38354879813</v>
      </c>
      <c r="M12" s="609">
        <f t="shared" si="8"/>
        <v>2.2730993581759253E-2</v>
      </c>
      <c r="N12" s="610">
        <v>142476.38354879813</v>
      </c>
      <c r="O12" s="611"/>
    </row>
    <row r="13" spans="1:15">
      <c r="A13" s="581">
        <v>42125</v>
      </c>
      <c r="B13" s="581" t="s">
        <v>524</v>
      </c>
      <c r="C13" s="589">
        <f t="shared" si="4"/>
        <v>14682445.83717504</v>
      </c>
      <c r="D13" s="590">
        <f t="shared" si="5"/>
        <v>10411912.682400001</v>
      </c>
      <c r="E13" s="605">
        <f t="shared" si="9"/>
        <v>-3617463.84</v>
      </c>
      <c r="F13" s="591">
        <f t="shared" si="6"/>
        <v>-2061954.3887999998</v>
      </c>
      <c r="G13" s="590">
        <f t="shared" si="7"/>
        <v>-1555509.4512</v>
      </c>
      <c r="H13" s="591">
        <f t="shared" si="0"/>
        <v>68257.343213875196</v>
      </c>
      <c r="I13" s="589">
        <f t="shared" si="1"/>
        <v>12688748.791588914</v>
      </c>
      <c r="J13" s="590">
        <f t="shared" si="2"/>
        <v>8856403.2312000021</v>
      </c>
      <c r="L13" s="615">
        <v>159142.35465592655</v>
      </c>
      <c r="M13" s="609">
        <f t="shared" si="8"/>
        <v>2.2730993567495788E-2</v>
      </c>
      <c r="N13" s="610">
        <v>159142.35465592655</v>
      </c>
      <c r="O13" s="611"/>
    </row>
    <row r="14" spans="1:15">
      <c r="A14" s="581">
        <v>42156</v>
      </c>
      <c r="B14" s="581" t="s">
        <v>524</v>
      </c>
      <c r="C14" s="589">
        <f t="shared" si="4"/>
        <v>12688748.791588914</v>
      </c>
      <c r="D14" s="590">
        <f t="shared" si="5"/>
        <v>8856403.2312000021</v>
      </c>
      <c r="E14" s="605">
        <f t="shared" si="9"/>
        <v>-4116824.99</v>
      </c>
      <c r="F14" s="591">
        <f t="shared" si="6"/>
        <v>-2346590.2442999999</v>
      </c>
      <c r="G14" s="590">
        <f t="shared" si="7"/>
        <v>-1770234.7457000001</v>
      </c>
      <c r="H14" s="591">
        <f t="shared" si="0"/>
        <v>57577.268347194564</v>
      </c>
      <c r="I14" s="589">
        <f t="shared" si="1"/>
        <v>10399735.815636108</v>
      </c>
      <c r="J14" s="590">
        <f t="shared" si="2"/>
        <v>7086168.4855000023</v>
      </c>
      <c r="L14" s="615">
        <v>181110.6488530412</v>
      </c>
      <c r="M14" s="609">
        <f t="shared" si="8"/>
        <v>2.2730993544948976E-2</v>
      </c>
      <c r="N14" s="610">
        <v>181110.6488530412</v>
      </c>
      <c r="O14" s="611"/>
    </row>
    <row r="15" spans="1:15">
      <c r="A15" s="581">
        <v>42186</v>
      </c>
      <c r="B15" s="581" t="s">
        <v>524</v>
      </c>
      <c r="C15" s="589">
        <f t="shared" si="4"/>
        <v>10399735.815636108</v>
      </c>
      <c r="D15" s="590">
        <f t="shared" si="5"/>
        <v>7086168.4855000023</v>
      </c>
      <c r="E15" s="605">
        <f t="shared" si="9"/>
        <v>-4893284.9000000004</v>
      </c>
      <c r="F15" s="591">
        <f t="shared" si="6"/>
        <v>-2789172.3930000002</v>
      </c>
      <c r="G15" s="590">
        <f t="shared" si="7"/>
        <v>-2104112.5070000002</v>
      </c>
      <c r="H15" s="591">
        <f t="shared" si="0"/>
        <v>45025.748095680545</v>
      </c>
      <c r="I15" s="589">
        <f t="shared" si="1"/>
        <v>7655589.1707317885</v>
      </c>
      <c r="J15" s="590">
        <f t="shared" si="2"/>
        <v>4982055.9785000021</v>
      </c>
      <c r="L15" s="615">
        <v>215269.29232229645</v>
      </c>
      <c r="M15" s="609">
        <f t="shared" si="8"/>
        <v>2.273099357187407E-2</v>
      </c>
      <c r="N15" s="610">
        <v>215269.29232229645</v>
      </c>
      <c r="O15" s="611"/>
    </row>
    <row r="16" spans="1:15">
      <c r="A16" s="581">
        <v>42217</v>
      </c>
      <c r="B16" s="581" t="s">
        <v>524</v>
      </c>
      <c r="C16" s="589">
        <f t="shared" si="4"/>
        <v>7655589.1707317885</v>
      </c>
      <c r="D16" s="590">
        <f t="shared" si="5"/>
        <v>4982055.9785000021</v>
      </c>
      <c r="E16" s="605">
        <f t="shared" si="9"/>
        <v>-4754108.9400000004</v>
      </c>
      <c r="F16" s="591">
        <f t="shared" si="6"/>
        <v>-2709842.0957999998</v>
      </c>
      <c r="G16" s="590">
        <f t="shared" si="7"/>
        <v>-2044266.8442000002</v>
      </c>
      <c r="H16" s="591">
        <f t="shared" si="0"/>
        <v>31503.34061415894</v>
      </c>
      <c r="I16" s="589">
        <f t="shared" si="1"/>
        <v>4977250.4155459478</v>
      </c>
      <c r="J16" s="590">
        <f t="shared" si="2"/>
        <v>2937789.1343000019</v>
      </c>
      <c r="L16" s="615">
        <v>209146.55262328585</v>
      </c>
      <c r="M16" s="609">
        <f t="shared" si="8"/>
        <v>2.2730993556289148E-2</v>
      </c>
      <c r="N16" s="610">
        <v>209146.55262328585</v>
      </c>
      <c r="O16" s="611"/>
    </row>
    <row r="17" spans="1:15">
      <c r="A17" s="581">
        <v>42248</v>
      </c>
      <c r="B17" s="581" t="s">
        <v>524</v>
      </c>
      <c r="C17" s="589">
        <f t="shared" si="4"/>
        <v>4977250.4155459478</v>
      </c>
      <c r="D17" s="590">
        <f t="shared" si="5"/>
        <v>2937789.1343000019</v>
      </c>
      <c r="E17" s="605">
        <f t="shared" si="9"/>
        <v>-4023333.26</v>
      </c>
      <c r="F17" s="591">
        <f t="shared" si="6"/>
        <v>-2293299.9581999998</v>
      </c>
      <c r="G17" s="590">
        <f t="shared" si="7"/>
        <v>-1730033.3017999998</v>
      </c>
      <c r="H17" s="591">
        <f t="shared" si="0"/>
        <v>19153.002182229739</v>
      </c>
      <c r="I17" s="589">
        <f t="shared" si="1"/>
        <v>2703103.459528178</v>
      </c>
      <c r="J17" s="590">
        <f t="shared" si="2"/>
        <v>1207755.8325000021</v>
      </c>
      <c r="L17" s="615">
        <v>176997.68585082845</v>
      </c>
      <c r="M17" s="609">
        <f t="shared" si="8"/>
        <v>2.2730993575762439E-2</v>
      </c>
      <c r="N17" s="610">
        <v>176997.68585082845</v>
      </c>
      <c r="O17" s="611"/>
    </row>
    <row r="18" spans="1:15">
      <c r="A18" s="621">
        <v>42278</v>
      </c>
      <c r="B18" s="581" t="s">
        <v>524</v>
      </c>
      <c r="C18" s="592">
        <f t="shared" si="4"/>
        <v>2703103.459528178</v>
      </c>
      <c r="D18" s="593">
        <f t="shared" si="5"/>
        <v>1207755.8325000021</v>
      </c>
      <c r="E18" s="606">
        <f t="shared" si="9"/>
        <v>-3484604.25</v>
      </c>
      <c r="F18" s="594">
        <f t="shared" si="6"/>
        <v>-1986224.4224999999</v>
      </c>
      <c r="G18" s="593">
        <f t="shared" si="7"/>
        <v>-1498379.8274999999</v>
      </c>
      <c r="H18" s="591">
        <f t="shared" si="0"/>
        <v>8549.9562413908898</v>
      </c>
      <c r="I18" s="595">
        <f t="shared" si="1"/>
        <v>725428.99326956901</v>
      </c>
      <c r="J18" s="596">
        <f t="shared" si="2"/>
        <v>-290623.99499999778</v>
      </c>
      <c r="L18" s="616">
        <v>153297.48955451767</v>
      </c>
      <c r="M18" s="609">
        <f t="shared" si="8"/>
        <v>2.273099357416913E-2</v>
      </c>
      <c r="N18" s="610">
        <v>153297.48955451767</v>
      </c>
      <c r="O18" s="611"/>
    </row>
    <row r="19" spans="1:15">
      <c r="A19" s="581"/>
      <c r="B19" s="581"/>
      <c r="E19" s="582"/>
      <c r="F19" s="576"/>
      <c r="G19" s="576"/>
      <c r="H19" s="576"/>
      <c r="N19" s="610">
        <v>150567.68955998876</v>
      </c>
      <c r="O19" s="612">
        <v>0.01</v>
      </c>
    </row>
    <row r="20" spans="1:15">
      <c r="A20" s="583" t="s">
        <v>525</v>
      </c>
      <c r="B20" s="581"/>
      <c r="H20" s="576"/>
      <c r="N20" s="610">
        <v>162228.53907634038</v>
      </c>
      <c r="O20" s="612">
        <v>0.01</v>
      </c>
    </row>
    <row r="21" spans="1:15">
      <c r="E21" s="582"/>
      <c r="H21" s="576"/>
    </row>
    <row r="22" spans="1:15">
      <c r="H22" s="576"/>
    </row>
    <row r="23" spans="1:15">
      <c r="H23" s="576"/>
    </row>
    <row r="24" spans="1:15">
      <c r="H24" s="576"/>
    </row>
    <row r="25" spans="1:15">
      <c r="H25" s="576"/>
    </row>
    <row r="26" spans="1:15">
      <c r="H26" s="576"/>
    </row>
    <row r="27" spans="1:15">
      <c r="H27" s="576"/>
    </row>
    <row r="28" spans="1:15">
      <c r="H28" s="576"/>
    </row>
    <row r="29" spans="1:15">
      <c r="H29" s="576"/>
    </row>
    <row r="30" spans="1:15">
      <c r="H30" s="576"/>
    </row>
    <row r="31" spans="1:15">
      <c r="H31" s="576"/>
    </row>
    <row r="32" spans="1:15">
      <c r="H32" s="576"/>
    </row>
    <row r="33" spans="8:8">
      <c r="H33" s="576"/>
    </row>
    <row r="34" spans="8:8">
      <c r="H34" s="576"/>
    </row>
  </sheetData>
  <mergeCells count="1">
    <mergeCell ref="E4:G4"/>
  </mergeCells>
  <printOptions horizontalCentered="1"/>
  <pageMargins left="0.25" right="0.25" top="1" bottom="0.75" header="0.3" footer="0.3"/>
  <pageSetup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opLeftCell="A37" zoomScale="85" zoomScaleNormal="85" workbookViewId="0">
      <selection activeCell="X55" sqref="X55"/>
    </sheetView>
  </sheetViews>
  <sheetFormatPr defaultColWidth="8.375" defaultRowHeight="15.75"/>
  <cols>
    <col min="1" max="1" width="5.125" style="461" customWidth="1"/>
    <col min="2" max="2" width="41.25" style="461" bestFit="1" customWidth="1"/>
    <col min="3" max="3" width="2.125" style="461" customWidth="1"/>
    <col min="4" max="4" width="30.125" style="462" bestFit="1" customWidth="1"/>
    <col min="5" max="5" width="2.125" style="461" customWidth="1"/>
    <col min="6" max="6" width="13.875" style="461" bestFit="1" customWidth="1"/>
    <col min="7" max="10" width="14.875" style="461" bestFit="1" customWidth="1"/>
    <col min="11" max="12" width="13.375" style="461" customWidth="1"/>
    <col min="13" max="13" width="14.875" style="461" bestFit="1" customWidth="1"/>
    <col min="14" max="17" width="12.875" style="461" customWidth="1"/>
    <col min="18" max="18" width="8.375" style="461"/>
    <col min="19" max="19" width="15.125" style="461" bestFit="1" customWidth="1"/>
    <col min="20" max="20" width="2.875" style="461" customWidth="1"/>
    <col min="21" max="22" width="13" style="461" bestFit="1" customWidth="1"/>
    <col min="23" max="23" width="10.75" style="461" bestFit="1" customWidth="1"/>
    <col min="24" max="16384" width="8.375" style="461"/>
  </cols>
  <sheetData>
    <row r="1" spans="1:20">
      <c r="A1" s="460" t="s">
        <v>497</v>
      </c>
    </row>
    <row r="2" spans="1:20">
      <c r="A2" s="460" t="s">
        <v>498</v>
      </c>
    </row>
    <row r="3" spans="1:20">
      <c r="A3" s="460" t="s">
        <v>499</v>
      </c>
    </row>
    <row r="6" spans="1:20" ht="25.5">
      <c r="A6" s="463" t="s">
        <v>458</v>
      </c>
      <c r="B6" s="464"/>
      <c r="C6" s="465"/>
      <c r="D6" s="466" t="s">
        <v>459</v>
      </c>
      <c r="E6" s="465"/>
      <c r="F6" s="467">
        <v>41640</v>
      </c>
      <c r="G6" s="467">
        <v>41671</v>
      </c>
      <c r="H6" s="467">
        <v>41699</v>
      </c>
      <c r="I6" s="467">
        <v>41730</v>
      </c>
      <c r="J6" s="467">
        <v>41760</v>
      </c>
      <c r="K6" s="467">
        <v>41791</v>
      </c>
      <c r="L6" s="467">
        <v>41821</v>
      </c>
      <c r="M6" s="467">
        <v>41852</v>
      </c>
      <c r="N6" s="467">
        <v>41883</v>
      </c>
      <c r="O6" s="467">
        <v>41913</v>
      </c>
      <c r="P6" s="467">
        <v>41944</v>
      </c>
      <c r="Q6" s="467">
        <v>41974</v>
      </c>
      <c r="R6" s="465"/>
      <c r="S6" s="467" t="s">
        <v>152</v>
      </c>
      <c r="T6" s="517"/>
    </row>
    <row r="8" spans="1:20">
      <c r="A8" s="460" t="s">
        <v>460</v>
      </c>
      <c r="B8" s="468"/>
    </row>
    <row r="9" spans="1:20">
      <c r="A9" s="469">
        <v>1</v>
      </c>
      <c r="B9" s="468" t="s">
        <v>461</v>
      </c>
      <c r="D9" s="462" t="s">
        <v>462</v>
      </c>
      <c r="F9" s="470">
        <v>142490990.80185881</v>
      </c>
      <c r="G9" s="470">
        <v>137958039.45985019</v>
      </c>
      <c r="H9" s="470">
        <v>124278106.05253096</v>
      </c>
      <c r="I9" s="470">
        <v>116138531.04616745</v>
      </c>
      <c r="J9" s="470">
        <v>126144229.95149589</v>
      </c>
      <c r="K9" s="470">
        <v>135151761.84820035</v>
      </c>
      <c r="L9" s="470">
        <v>176920781.16484326</v>
      </c>
      <c r="M9" s="470">
        <v>153010914.51896536</v>
      </c>
      <c r="N9" s="471"/>
      <c r="O9" s="471"/>
      <c r="P9" s="471"/>
      <c r="Q9" s="471"/>
      <c r="R9" s="471"/>
      <c r="S9" s="472">
        <v>1112093354.8439121</v>
      </c>
      <c r="T9" s="472"/>
    </row>
    <row r="10" spans="1:20">
      <c r="A10" s="469">
        <v>2</v>
      </c>
      <c r="B10" s="468" t="s">
        <v>463</v>
      </c>
      <c r="D10" s="462" t="s">
        <v>462</v>
      </c>
      <c r="F10" s="473">
        <v>5361677.3850589273</v>
      </c>
      <c r="G10" s="473">
        <v>4729722.7542817788</v>
      </c>
      <c r="H10" s="473">
        <v>4785777.3161140708</v>
      </c>
      <c r="I10" s="473">
        <v>4493349.1984185455</v>
      </c>
      <c r="J10" s="473">
        <v>4804500.7936088042</v>
      </c>
      <c r="K10" s="473">
        <v>4986123.5046670251</v>
      </c>
      <c r="L10" s="473">
        <v>5897137.8812926309</v>
      </c>
      <c r="M10" s="473">
        <v>5331001.4396203952</v>
      </c>
      <c r="N10" s="471"/>
      <c r="O10" s="471"/>
      <c r="P10" s="471"/>
      <c r="Q10" s="471"/>
      <c r="R10" s="471"/>
      <c r="S10" s="474">
        <v>40389290.273062184</v>
      </c>
      <c r="T10" s="518"/>
    </row>
    <row r="11" spans="1:20">
      <c r="A11" s="469">
        <v>3</v>
      </c>
      <c r="B11" s="468" t="s">
        <v>464</v>
      </c>
      <c r="D11" s="475" t="s">
        <v>535</v>
      </c>
      <c r="F11" s="476">
        <v>26.575823304649049</v>
      </c>
      <c r="G11" s="476">
        <v>29.1683142177748</v>
      </c>
      <c r="H11" s="476">
        <v>25.968217458442385</v>
      </c>
      <c r="I11" s="476">
        <v>25.846762830505789</v>
      </c>
      <c r="J11" s="476">
        <v>26.25542910083384</v>
      </c>
      <c r="K11" s="476">
        <v>27.105578456229161</v>
      </c>
      <c r="L11" s="476">
        <v>30.001126771358937</v>
      </c>
      <c r="M11" s="476">
        <v>28.702095891735645</v>
      </c>
      <c r="N11" s="477"/>
      <c r="O11" s="477"/>
      <c r="P11" s="477"/>
      <c r="Q11" s="477"/>
      <c r="R11" s="477"/>
      <c r="S11" s="478">
        <v>27.534362384813374</v>
      </c>
      <c r="T11" s="478"/>
    </row>
    <row r="12" spans="1:20">
      <c r="A12" s="469"/>
      <c r="B12" s="468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</row>
    <row r="13" spans="1:20">
      <c r="A13" s="469">
        <v>4</v>
      </c>
      <c r="B13" s="468" t="s">
        <v>465</v>
      </c>
      <c r="D13" s="475" t="s">
        <v>500</v>
      </c>
      <c r="F13" s="479">
        <v>1.0010162362070756</v>
      </c>
      <c r="G13" s="479">
        <v>1.0010162362070756</v>
      </c>
      <c r="H13" s="479">
        <v>1.0010162362070756</v>
      </c>
      <c r="I13" s="479">
        <v>1.0010162362070756</v>
      </c>
      <c r="J13" s="479">
        <v>1.0010162362070756</v>
      </c>
      <c r="K13" s="479">
        <v>1.0010162362070756</v>
      </c>
      <c r="L13" s="479">
        <v>1.0010162362070756</v>
      </c>
      <c r="M13" s="479">
        <v>1.0010162362070756</v>
      </c>
      <c r="N13" s="471"/>
      <c r="O13" s="471"/>
      <c r="P13" s="471"/>
      <c r="Q13" s="471"/>
      <c r="R13" s="471"/>
      <c r="S13" s="480">
        <v>1.0010162362070756</v>
      </c>
      <c r="T13" s="480"/>
    </row>
    <row r="14" spans="1:20">
      <c r="A14" s="469"/>
      <c r="B14" s="468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</row>
    <row r="15" spans="1:20">
      <c r="A15" s="469">
        <v>5</v>
      </c>
      <c r="B15" s="468" t="s">
        <v>466</v>
      </c>
      <c r="D15" s="475" t="s">
        <v>536</v>
      </c>
      <c r="F15" s="478">
        <v>26.602830618524077</v>
      </c>
      <c r="G15" s="478">
        <v>29.197956114782261</v>
      </c>
      <c r="H15" s="478">
        <v>25.994607301256867</v>
      </c>
      <c r="I15" s="478">
        <v>25.873029246729843</v>
      </c>
      <c r="J15" s="478">
        <v>26.282110818518415</v>
      </c>
      <c r="K15" s="478">
        <v>27.133124126470108</v>
      </c>
      <c r="L15" s="478">
        <v>30.031615002637057</v>
      </c>
      <c r="M15" s="478">
        <v>28.731264000799783</v>
      </c>
      <c r="N15" s="471"/>
      <c r="O15" s="471"/>
      <c r="P15" s="471"/>
      <c r="Q15" s="471"/>
      <c r="R15" s="471"/>
      <c r="S15" s="478">
        <v>27.562343800807561</v>
      </c>
      <c r="T15" s="478"/>
    </row>
    <row r="16" spans="1:20">
      <c r="A16" s="469"/>
      <c r="B16" s="468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</row>
    <row r="17" spans="1:20">
      <c r="A17" s="469">
        <v>6</v>
      </c>
      <c r="B17" s="468" t="s">
        <v>467</v>
      </c>
      <c r="D17" s="462" t="s">
        <v>501</v>
      </c>
      <c r="F17" s="481">
        <v>2238758.9310031459</v>
      </c>
      <c r="G17" s="481">
        <v>1946213.984713739</v>
      </c>
      <c r="H17" s="481">
        <v>2012115.0995251401</v>
      </c>
      <c r="I17" s="481">
        <v>1922587.2997041815</v>
      </c>
      <c r="J17" s="481">
        <v>2083814.2029145586</v>
      </c>
      <c r="K17" s="481">
        <v>2183359.4556987952</v>
      </c>
      <c r="L17" s="481">
        <v>2672204.7121104528</v>
      </c>
      <c r="M17" s="481">
        <v>2379620.9180117892</v>
      </c>
      <c r="N17" s="471"/>
      <c r="O17" s="471"/>
      <c r="P17" s="471"/>
      <c r="Q17" s="471"/>
      <c r="R17" s="471"/>
      <c r="S17" s="481">
        <v>17438674.603681803</v>
      </c>
      <c r="T17" s="481"/>
    </row>
    <row r="18" spans="1:20">
      <c r="A18" s="469"/>
      <c r="B18" s="468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</row>
    <row r="19" spans="1:20">
      <c r="A19" s="469">
        <v>7</v>
      </c>
      <c r="B19" s="468" t="s">
        <v>468</v>
      </c>
      <c r="D19" s="475" t="s">
        <v>502</v>
      </c>
      <c r="F19" s="482">
        <v>59557324.637184724</v>
      </c>
      <c r="G19" s="482">
        <v>56825470.51564727</v>
      </c>
      <c r="H19" s="482">
        <v>52304141.857085392</v>
      </c>
      <c r="I19" s="482">
        <v>49743157.434637643</v>
      </c>
      <c r="J19" s="482">
        <v>54767035.806203045</v>
      </c>
      <c r="K19" s="482">
        <v>59241363.12417762</v>
      </c>
      <c r="L19" s="482">
        <v>80250623.12233372</v>
      </c>
      <c r="M19" s="482">
        <v>68369516.817222252</v>
      </c>
      <c r="N19" s="482">
        <v>57129196.588008054</v>
      </c>
      <c r="O19" s="482">
        <v>48690687.634379268</v>
      </c>
      <c r="P19" s="482">
        <v>50196933.512127191</v>
      </c>
      <c r="Q19" s="482">
        <v>53447121.013135135</v>
      </c>
      <c r="R19" s="471"/>
      <c r="S19" s="483">
        <v>690522572.06214118</v>
      </c>
      <c r="T19" s="483"/>
    </row>
    <row r="20" spans="1:20">
      <c r="A20" s="469">
        <v>8</v>
      </c>
      <c r="B20" s="468" t="s">
        <v>469</v>
      </c>
      <c r="D20" s="462" t="s">
        <v>503</v>
      </c>
      <c r="F20" s="484">
        <v>-2954345.4884271878</v>
      </c>
      <c r="G20" s="484">
        <v>-2832047.1535681728</v>
      </c>
      <c r="H20" s="484">
        <v>-3033267.1154222852</v>
      </c>
      <c r="I20" s="484">
        <v>-3029880.7875786796</v>
      </c>
      <c r="J20" s="484">
        <v>-2751838.3693462941</v>
      </c>
      <c r="K20" s="484">
        <v>-4121278.7679616204</v>
      </c>
      <c r="L20" s="484">
        <v>-3790580.1578094992</v>
      </c>
      <c r="M20" s="484">
        <v>-3309897.7822045311</v>
      </c>
      <c r="N20" s="484">
        <v>-3302317.6999945384</v>
      </c>
      <c r="O20" s="484">
        <v>-3384382.5066567864</v>
      </c>
      <c r="P20" s="484">
        <v>-2915609.4551244397</v>
      </c>
      <c r="Q20" s="484">
        <v>-2219657.9215643238</v>
      </c>
      <c r="R20" s="471"/>
      <c r="S20" s="485">
        <v>-37645103.205658361</v>
      </c>
      <c r="T20" s="519"/>
    </row>
    <row r="21" spans="1:20">
      <c r="A21" s="469">
        <v>9</v>
      </c>
      <c r="B21" s="468" t="s">
        <v>470</v>
      </c>
      <c r="D21" s="475" t="s">
        <v>537</v>
      </c>
      <c r="F21" s="486">
        <v>56602979.14875754</v>
      </c>
      <c r="G21" s="486">
        <v>53993423.362079099</v>
      </c>
      <c r="H21" s="486">
        <v>49270874.741663106</v>
      </c>
      <c r="I21" s="486">
        <v>46713276.647058964</v>
      </c>
      <c r="J21" s="486">
        <v>52015197.436856754</v>
      </c>
      <c r="K21" s="486">
        <v>55120084.356215999</v>
      </c>
      <c r="L21" s="486">
        <v>76460042.964524224</v>
      </c>
      <c r="M21" s="486">
        <v>65059619.035017721</v>
      </c>
      <c r="N21" s="487">
        <v>53826878.888013512</v>
      </c>
      <c r="O21" s="487">
        <v>45306305.127722479</v>
      </c>
      <c r="P21" s="487">
        <v>47281324.057002753</v>
      </c>
      <c r="Q21" s="487">
        <v>51227463.091570809</v>
      </c>
      <c r="R21" s="471"/>
      <c r="S21" s="483">
        <v>652877468.85648286</v>
      </c>
      <c r="T21" s="483"/>
    </row>
    <row r="22" spans="1:20">
      <c r="A22" s="469"/>
      <c r="B22" s="468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</row>
    <row r="23" spans="1:20">
      <c r="A23" s="469">
        <v>10</v>
      </c>
      <c r="B23" s="468" t="s">
        <v>471</v>
      </c>
      <c r="D23" s="488" t="s">
        <v>504</v>
      </c>
      <c r="F23" s="481">
        <v>2080024.8839999998</v>
      </c>
      <c r="G23" s="481">
        <v>1778181.71</v>
      </c>
      <c r="H23" s="481">
        <v>1895016.52</v>
      </c>
      <c r="I23" s="481">
        <v>1848369.277</v>
      </c>
      <c r="J23" s="481">
        <v>1934205.9620000001</v>
      </c>
      <c r="K23" s="481">
        <v>2091697.8729999997</v>
      </c>
      <c r="L23" s="481">
        <v>2486321.6829999997</v>
      </c>
      <c r="M23" s="481">
        <v>2162802.41</v>
      </c>
      <c r="N23" s="489">
        <v>2029940.8599999999</v>
      </c>
      <c r="O23" s="489">
        <v>1829115.085</v>
      </c>
      <c r="P23" s="489">
        <v>1899050.0819999999</v>
      </c>
      <c r="Q23" s="489">
        <v>2054334.5380000002</v>
      </c>
      <c r="R23" s="471"/>
      <c r="S23" s="489">
        <v>24089060.884</v>
      </c>
      <c r="T23" s="520"/>
    </row>
    <row r="24" spans="1:20">
      <c r="A24" s="469">
        <v>11</v>
      </c>
      <c r="B24" s="490" t="s">
        <v>472</v>
      </c>
      <c r="D24" s="475" t="s">
        <v>538</v>
      </c>
      <c r="F24" s="491">
        <v>27.212645187160916</v>
      </c>
      <c r="G24" s="491">
        <v>30.364401488574021</v>
      </c>
      <c r="H24" s="491">
        <v>26.000234943420494</v>
      </c>
      <c r="I24" s="491">
        <v>25.272696981242326</v>
      </c>
      <c r="J24" s="491">
        <v>26.892274379648899</v>
      </c>
      <c r="K24" s="491">
        <v>26.35183841209366</v>
      </c>
      <c r="L24" s="491">
        <v>30.752272920802191</v>
      </c>
      <c r="M24" s="491">
        <v>30.081166330408202</v>
      </c>
      <c r="N24" s="492">
        <v>26.516476390358246</v>
      </c>
      <c r="O24" s="492">
        <v>24.769521338085998</v>
      </c>
      <c r="P24" s="492">
        <v>24.897355001405778</v>
      </c>
      <c r="Q24" s="492">
        <v>24.936280894855308</v>
      </c>
      <c r="R24" s="471"/>
      <c r="S24" s="492">
        <v>27.102653440928673</v>
      </c>
      <c r="T24" s="492"/>
    </row>
    <row r="25" spans="1:20"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</row>
    <row r="26" spans="1:20">
      <c r="A26" s="493" t="s">
        <v>473</v>
      </c>
      <c r="B26" s="494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</row>
    <row r="27" spans="1:20">
      <c r="A27" s="469">
        <v>12</v>
      </c>
      <c r="B27" s="495" t="s">
        <v>433</v>
      </c>
      <c r="D27" s="462" t="s">
        <v>474</v>
      </c>
      <c r="F27" s="496">
        <v>50011065.137238234</v>
      </c>
      <c r="G27" s="496">
        <v>45985167.100023851</v>
      </c>
      <c r="H27" s="496">
        <v>49906973.15688844</v>
      </c>
      <c r="I27" s="496">
        <v>48917079.303698763</v>
      </c>
      <c r="J27" s="496">
        <v>52873367.693607651</v>
      </c>
      <c r="K27" s="496">
        <v>53728239.205889396</v>
      </c>
      <c r="L27" s="496">
        <v>63466696.84056095</v>
      </c>
      <c r="M27" s="496">
        <v>66758059.057229094</v>
      </c>
      <c r="N27" s="496">
        <v>49906721.067821383</v>
      </c>
      <c r="O27" s="496">
        <v>49492154.976800933</v>
      </c>
      <c r="P27" s="496">
        <v>49898556.117012031</v>
      </c>
      <c r="Q27" s="496">
        <v>53654819.650948182</v>
      </c>
      <c r="R27" s="483"/>
      <c r="S27" s="483">
        <v>634598899.30771887</v>
      </c>
      <c r="T27" s="483"/>
    </row>
    <row r="28" spans="1:20">
      <c r="A28" s="469">
        <v>13</v>
      </c>
      <c r="B28" s="468" t="s">
        <v>475</v>
      </c>
      <c r="D28" s="462" t="s">
        <v>474</v>
      </c>
      <c r="F28" s="483">
        <v>-2684824.28561325</v>
      </c>
      <c r="G28" s="483">
        <v>-2684824.28561325</v>
      </c>
      <c r="H28" s="483">
        <v>-2684824.28561325</v>
      </c>
      <c r="I28" s="483">
        <v>-2684824.28561325</v>
      </c>
      <c r="J28" s="483">
        <v>-2684824.28561325</v>
      </c>
      <c r="K28" s="483">
        <v>-2684824.28561325</v>
      </c>
      <c r="L28" s="483">
        <v>-2684824.28561325</v>
      </c>
      <c r="M28" s="483">
        <v>-2684824.28561325</v>
      </c>
      <c r="N28" s="483">
        <v>-3422346.376176998</v>
      </c>
      <c r="O28" s="483">
        <v>-3422346.376176998</v>
      </c>
      <c r="P28" s="483">
        <v>-3422346.376176998</v>
      </c>
      <c r="Q28" s="483">
        <v>-3422346.376176998</v>
      </c>
      <c r="R28" s="483"/>
      <c r="S28" s="485">
        <v>-35167979.789613992</v>
      </c>
      <c r="T28" s="519"/>
    </row>
    <row r="29" spans="1:20">
      <c r="A29" s="469">
        <v>14</v>
      </c>
      <c r="B29" s="468" t="s">
        <v>476</v>
      </c>
      <c r="D29" s="475" t="s">
        <v>539</v>
      </c>
      <c r="F29" s="487">
        <v>47326240.851624981</v>
      </c>
      <c r="G29" s="487">
        <v>43300342.814410597</v>
      </c>
      <c r="H29" s="487">
        <v>47222148.871275187</v>
      </c>
      <c r="I29" s="487">
        <v>46232255.01808551</v>
      </c>
      <c r="J29" s="487">
        <v>50188543.407994404</v>
      </c>
      <c r="K29" s="487">
        <v>51043414.92027615</v>
      </c>
      <c r="L29" s="487">
        <v>60781872.554947704</v>
      </c>
      <c r="M29" s="487">
        <v>64073234.771615848</v>
      </c>
      <c r="N29" s="487">
        <v>46484374.691644385</v>
      </c>
      <c r="O29" s="487">
        <v>46069808.600623935</v>
      </c>
      <c r="P29" s="487">
        <v>46476209.740835033</v>
      </c>
      <c r="Q29" s="487">
        <v>50232473.274771184</v>
      </c>
      <c r="R29" s="483"/>
      <c r="S29" s="483">
        <v>599430919.51810503</v>
      </c>
      <c r="T29" s="483"/>
    </row>
    <row r="30" spans="1:20">
      <c r="A30" s="469"/>
      <c r="B30" s="495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</row>
    <row r="31" spans="1:20">
      <c r="A31" s="469">
        <v>15</v>
      </c>
      <c r="B31" s="495" t="s">
        <v>477</v>
      </c>
      <c r="D31" s="462" t="s">
        <v>474</v>
      </c>
      <c r="F31" s="481">
        <v>1982626.99979</v>
      </c>
      <c r="G31" s="481">
        <v>1789929.9980000001</v>
      </c>
      <c r="H31" s="481">
        <v>1910070.0009899999</v>
      </c>
      <c r="I31" s="481">
        <v>1856810.0009900001</v>
      </c>
      <c r="J31" s="481">
        <v>1998460.00202</v>
      </c>
      <c r="K31" s="481">
        <v>1912132.46205</v>
      </c>
      <c r="L31" s="481">
        <v>2266364.4785400005</v>
      </c>
      <c r="M31" s="481">
        <v>2314401.9906899994</v>
      </c>
      <c r="N31" s="481">
        <v>1865836.6002939758</v>
      </c>
      <c r="O31" s="481">
        <v>1829380.8936000003</v>
      </c>
      <c r="P31" s="481">
        <v>1877678.2182000002</v>
      </c>
      <c r="Q31" s="481">
        <v>2013528.5713025413</v>
      </c>
      <c r="R31" s="471"/>
      <c r="S31" s="481">
        <v>23617220.21646652</v>
      </c>
      <c r="T31" s="481"/>
    </row>
    <row r="32" spans="1:20">
      <c r="A32" s="469"/>
      <c r="B32" s="495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</row>
    <row r="33" spans="1:20">
      <c r="A33" s="469">
        <v>16</v>
      </c>
      <c r="B33" s="497" t="s">
        <v>478</v>
      </c>
      <c r="D33" s="475" t="s">
        <v>540</v>
      </c>
      <c r="F33" s="492">
        <v>23.870471277067132</v>
      </c>
      <c r="G33" s="492">
        <v>24.191081697492503</v>
      </c>
      <c r="H33" s="492">
        <v>24.722732070971055</v>
      </c>
      <c r="I33" s="492">
        <v>24.898753773103195</v>
      </c>
      <c r="J33" s="492">
        <v>25.113609157683875</v>
      </c>
      <c r="K33" s="492">
        <v>26.694497339139588</v>
      </c>
      <c r="L33" s="492">
        <v>26.819107487116806</v>
      </c>
      <c r="M33" s="492">
        <v>27.684574688994935</v>
      </c>
      <c r="N33" s="492">
        <v>24.91342204581068</v>
      </c>
      <c r="O33" s="492">
        <v>25.183278540733049</v>
      </c>
      <c r="P33" s="492">
        <v>24.751956586783304</v>
      </c>
      <c r="Q33" s="492">
        <v>24.947484724428843</v>
      </c>
      <c r="R33" s="477"/>
      <c r="S33" s="492">
        <v>25.381095405130139</v>
      </c>
      <c r="T33" s="492"/>
    </row>
    <row r="34" spans="1:20"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71"/>
      <c r="S34" s="471"/>
      <c r="T34" s="471"/>
    </row>
    <row r="35" spans="1:20">
      <c r="A35" s="460" t="s">
        <v>479</v>
      </c>
      <c r="B35" s="497"/>
      <c r="C35" s="460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</row>
    <row r="36" spans="1:20">
      <c r="A36" s="469">
        <v>17</v>
      </c>
      <c r="B36" s="495" t="s">
        <v>480</v>
      </c>
      <c r="C36" s="460"/>
      <c r="D36" s="475" t="s">
        <v>541</v>
      </c>
      <c r="F36" s="478">
        <v>3.3421739100937842</v>
      </c>
      <c r="G36" s="478">
        <v>6.1733197910815178</v>
      </c>
      <c r="H36" s="478">
        <v>1.2775028724494391</v>
      </c>
      <c r="I36" s="478">
        <v>0.3739432081391314</v>
      </c>
      <c r="J36" s="478">
        <v>1.7786652219650243</v>
      </c>
      <c r="K36" s="478">
        <v>-0.34265892704592815</v>
      </c>
      <c r="L36" s="478">
        <v>3.9331654336853852</v>
      </c>
      <c r="M36" s="478">
        <v>2.3965916414132664</v>
      </c>
      <c r="N36" s="478">
        <v>1.6030543445475658</v>
      </c>
      <c r="O36" s="478">
        <v>-0.41375720264705151</v>
      </c>
      <c r="P36" s="478">
        <v>0.14539841462247338</v>
      </c>
      <c r="Q36" s="478">
        <v>-1.1203829573535273E-2</v>
      </c>
      <c r="R36" s="471"/>
      <c r="S36" s="471"/>
      <c r="T36" s="471"/>
    </row>
    <row r="37" spans="1:20">
      <c r="A37" s="469"/>
      <c r="B37" s="495"/>
      <c r="C37" s="46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</row>
    <row r="38" spans="1:20">
      <c r="A38" s="469">
        <v>18</v>
      </c>
      <c r="B38" s="495" t="s">
        <v>481</v>
      </c>
      <c r="C38" s="460"/>
      <c r="D38" s="475" t="s">
        <v>542</v>
      </c>
      <c r="F38" s="496">
        <v>6951804.8996506492</v>
      </c>
      <c r="G38" s="496">
        <v>10977284.342482176</v>
      </c>
      <c r="H38" s="496">
        <v>2420889.0476391399</v>
      </c>
      <c r="I38" s="496">
        <v>691185.13726718677</v>
      </c>
      <c r="J38" s="496">
        <v>3440304.8767268034</v>
      </c>
      <c r="K38" s="496">
        <v>-716738.94886642997</v>
      </c>
      <c r="L38" s="496">
        <v>9779114.5005980711</v>
      </c>
      <c r="M38" s="496">
        <v>5183354.1778344689</v>
      </c>
      <c r="N38" s="496">
        <v>3254105.5147976219</v>
      </c>
      <c r="O38" s="496">
        <v>-756809.5408891238</v>
      </c>
      <c r="P38" s="496">
        <v>276118.87121147808</v>
      </c>
      <c r="Q38" s="496">
        <v>-23016.414050779324</v>
      </c>
      <c r="R38" s="483"/>
      <c r="S38" s="483">
        <v>41477596.464401253</v>
      </c>
      <c r="T38" s="483"/>
    </row>
    <row r="39" spans="1:20">
      <c r="A39" s="469"/>
      <c r="B39" s="495"/>
      <c r="C39" s="460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</row>
    <row r="40" spans="1:20">
      <c r="A40" s="469">
        <v>19</v>
      </c>
      <c r="B40" s="495" t="s">
        <v>482</v>
      </c>
      <c r="C40" s="460"/>
      <c r="D40" s="475" t="s">
        <v>543</v>
      </c>
      <c r="F40" s="496">
        <v>4866263.429755454</v>
      </c>
      <c r="G40" s="496">
        <v>7684099.0397375226</v>
      </c>
      <c r="H40" s="496">
        <v>1694622.3333473979</v>
      </c>
      <c r="I40" s="496">
        <v>483829.59608703072</v>
      </c>
      <c r="J40" s="496">
        <v>2408213.4137087623</v>
      </c>
      <c r="K40" s="496">
        <v>-501717.26420650096</v>
      </c>
      <c r="L40" s="496">
        <v>6845380.1504186494</v>
      </c>
      <c r="M40" s="496">
        <v>3628347.9244841281</v>
      </c>
      <c r="N40" s="496">
        <v>2277873.8603583351</v>
      </c>
      <c r="O40" s="496">
        <v>-529766.67862238665</v>
      </c>
      <c r="P40" s="496">
        <v>193283.20984803463</v>
      </c>
      <c r="Q40" s="496">
        <v>-16111.489835545526</v>
      </c>
      <c r="R40" s="483"/>
      <c r="S40" s="483">
        <v>29034317.525080878</v>
      </c>
      <c r="T40" s="483"/>
    </row>
    <row r="41" spans="1:20">
      <c r="A41" s="469">
        <v>20</v>
      </c>
      <c r="B41" s="495" t="s">
        <v>431</v>
      </c>
      <c r="C41" s="460"/>
      <c r="D41" s="462" t="s">
        <v>483</v>
      </c>
      <c r="F41" s="483"/>
      <c r="G41" s="483"/>
      <c r="H41" s="483"/>
      <c r="I41" s="483"/>
      <c r="J41" s="483"/>
      <c r="K41" s="483"/>
      <c r="L41" s="483"/>
      <c r="M41" s="496">
        <v>-1204554</v>
      </c>
      <c r="N41" s="483"/>
      <c r="O41" s="483"/>
      <c r="P41" s="483"/>
      <c r="Q41" s="483"/>
      <c r="R41" s="483"/>
      <c r="S41" s="483">
        <v>-1204554</v>
      </c>
      <c r="T41" s="483"/>
    </row>
    <row r="42" spans="1:20">
      <c r="A42" s="469">
        <v>21</v>
      </c>
      <c r="B42" s="497" t="s">
        <v>484</v>
      </c>
      <c r="C42" s="460"/>
      <c r="D42" s="475" t="s">
        <v>544</v>
      </c>
      <c r="F42" s="499">
        <v>4866263.429755454</v>
      </c>
      <c r="G42" s="499">
        <v>7684099.0397375226</v>
      </c>
      <c r="H42" s="499">
        <v>1694622.3333473979</v>
      </c>
      <c r="I42" s="499">
        <v>483829.59608703072</v>
      </c>
      <c r="J42" s="499">
        <v>2408213.4137087623</v>
      </c>
      <c r="K42" s="499">
        <v>-501717.26420650096</v>
      </c>
      <c r="L42" s="499">
        <v>6845380.1504186494</v>
      </c>
      <c r="M42" s="499">
        <v>2423793.9244841281</v>
      </c>
      <c r="N42" s="499">
        <v>2277873.8603583351</v>
      </c>
      <c r="O42" s="499">
        <v>-529766.67862238665</v>
      </c>
      <c r="P42" s="499">
        <v>193283.20984803463</v>
      </c>
      <c r="Q42" s="499">
        <v>-16111.489835545526</v>
      </c>
      <c r="R42" s="500"/>
      <c r="S42" s="499">
        <v>27829763.525080878</v>
      </c>
      <c r="T42" s="521"/>
    </row>
    <row r="43" spans="1:20">
      <c r="A43" s="469"/>
      <c r="B43" s="497"/>
      <c r="C43" s="460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</row>
    <row r="44" spans="1:20">
      <c r="A44" s="460" t="s">
        <v>485</v>
      </c>
      <c r="B44" s="497"/>
      <c r="C44" s="460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</row>
    <row r="45" spans="1:20">
      <c r="A45" s="469">
        <v>22</v>
      </c>
      <c r="B45" s="495" t="s">
        <v>486</v>
      </c>
      <c r="C45" s="501"/>
      <c r="D45" s="488" t="s">
        <v>487</v>
      </c>
      <c r="F45" s="502">
        <v>5.0000000000000001E-3</v>
      </c>
      <c r="G45" s="503">
        <v>5.0000000000000001E-3</v>
      </c>
      <c r="H45" s="503">
        <v>5.0000000000000001E-3</v>
      </c>
      <c r="I45" s="503">
        <v>5.0000000000000001E-3</v>
      </c>
      <c r="J45" s="503">
        <v>5.0000000000000001E-3</v>
      </c>
      <c r="K45" s="503">
        <v>5.0000000000000001E-3</v>
      </c>
      <c r="L45" s="503">
        <v>5.0000000000000001E-3</v>
      </c>
      <c r="M45" s="503">
        <v>5.0000000000000001E-3</v>
      </c>
      <c r="N45" s="503">
        <v>5.0000000000000001E-3</v>
      </c>
      <c r="O45" s="503">
        <v>5.0000000000000001E-3</v>
      </c>
      <c r="P45" s="503">
        <v>5.0000000000000001E-3</v>
      </c>
      <c r="Q45" s="503">
        <v>5.0000000000000001E-3</v>
      </c>
      <c r="R45" s="471"/>
      <c r="S45" s="471"/>
      <c r="T45" s="471"/>
    </row>
    <row r="46" spans="1:20">
      <c r="A46" s="469">
        <v>23</v>
      </c>
      <c r="B46" s="495" t="s">
        <v>488</v>
      </c>
      <c r="C46" s="501"/>
      <c r="D46" s="504" t="s">
        <v>545</v>
      </c>
      <c r="F46" s="496">
        <v>0</v>
      </c>
      <c r="G46" s="483">
        <v>4878429.0883298423</v>
      </c>
      <c r="H46" s="483">
        <v>12606130.521108357</v>
      </c>
      <c r="I46" s="483">
        <v>14368020.062894665</v>
      </c>
      <c r="J46" s="483">
        <v>14924899.333286386</v>
      </c>
      <c r="K46" s="483">
        <v>17413757.777195852</v>
      </c>
      <c r="L46" s="483">
        <v>16997855.008714814</v>
      </c>
      <c r="M46" s="483">
        <v>23945337.884553086</v>
      </c>
      <c r="N46" s="483">
        <v>26494917.983271193</v>
      </c>
      <c r="O46" s="483">
        <v>28910961.118196778</v>
      </c>
      <c r="P46" s="483">
        <v>28524424.828468818</v>
      </c>
      <c r="Q46" s="483">
        <v>28860813.370483816</v>
      </c>
      <c r="R46" s="483"/>
      <c r="S46" s="483">
        <v>0</v>
      </c>
      <c r="T46" s="483"/>
    </row>
    <row r="47" spans="1:20">
      <c r="A47" s="469">
        <v>24</v>
      </c>
      <c r="B47" s="495" t="s">
        <v>489</v>
      </c>
      <c r="C47" s="501"/>
      <c r="D47" s="504" t="s">
        <v>546</v>
      </c>
      <c r="F47" s="483">
        <v>4866263.429755454</v>
      </c>
      <c r="G47" s="483">
        <v>7684099.0397375226</v>
      </c>
      <c r="H47" s="483">
        <v>1694622.3333473979</v>
      </c>
      <c r="I47" s="483">
        <v>483829.59608703072</v>
      </c>
      <c r="J47" s="483">
        <v>2408213.4137087623</v>
      </c>
      <c r="K47" s="483">
        <v>-501717.26420650096</v>
      </c>
      <c r="L47" s="483">
        <v>6845380.1504186494</v>
      </c>
      <c r="M47" s="483">
        <v>2423793.9244841281</v>
      </c>
      <c r="N47" s="483">
        <v>2277873.8603583351</v>
      </c>
      <c r="O47" s="483">
        <v>-529766.67862238665</v>
      </c>
      <c r="P47" s="483">
        <v>193283.20984803463</v>
      </c>
      <c r="Q47" s="483">
        <v>-16111.489835545526</v>
      </c>
      <c r="R47" s="483"/>
      <c r="S47" s="483">
        <v>27829763.525080878</v>
      </c>
      <c r="T47" s="483"/>
    </row>
    <row r="48" spans="1:20" ht="12.75" customHeight="1">
      <c r="A48" s="469">
        <v>25</v>
      </c>
      <c r="B48" s="505" t="s">
        <v>490</v>
      </c>
      <c r="C48" s="501"/>
      <c r="D48" s="504" t="s">
        <v>547</v>
      </c>
      <c r="F48" s="506">
        <v>12165.658574388635</v>
      </c>
      <c r="G48" s="506">
        <v>43602.393040993018</v>
      </c>
      <c r="H48" s="506">
        <v>67267.208438910282</v>
      </c>
      <c r="I48" s="506">
        <v>73049.674304690896</v>
      </c>
      <c r="J48" s="506">
        <v>80645.030200703841</v>
      </c>
      <c r="K48" s="506">
        <v>85814.495725463014</v>
      </c>
      <c r="L48" s="506">
        <v>102102.72541962069</v>
      </c>
      <c r="M48" s="506">
        <v>125786.17423397575</v>
      </c>
      <c r="N48" s="506">
        <v>138169.27456725179</v>
      </c>
      <c r="O48" s="506">
        <v>143230.38889442792</v>
      </c>
      <c r="P48" s="506">
        <v>143105.33216696416</v>
      </c>
      <c r="Q48" s="506">
        <v>144263.78812783022</v>
      </c>
      <c r="R48" s="483"/>
      <c r="S48" s="485">
        <v>1159202.1436952201</v>
      </c>
      <c r="T48" s="519"/>
    </row>
    <row r="49" spans="1:24">
      <c r="A49" s="469">
        <v>26</v>
      </c>
      <c r="B49" s="497" t="s">
        <v>491</v>
      </c>
      <c r="C49" s="501"/>
      <c r="D49" s="504" t="s">
        <v>548</v>
      </c>
      <c r="F49" s="507">
        <v>4878429.0883298423</v>
      </c>
      <c r="G49" s="507">
        <v>12606130.521108357</v>
      </c>
      <c r="H49" s="507">
        <v>14368020.062894665</v>
      </c>
      <c r="I49" s="507">
        <v>14924899.333286386</v>
      </c>
      <c r="J49" s="507">
        <v>17413757.777195852</v>
      </c>
      <c r="K49" s="507">
        <v>16997855.008714814</v>
      </c>
      <c r="L49" s="507">
        <v>23945337.884553086</v>
      </c>
      <c r="M49" s="507">
        <v>26494917.983271193</v>
      </c>
      <c r="N49" s="507">
        <v>28910961.118196778</v>
      </c>
      <c r="O49" s="507">
        <v>28524424.828468818</v>
      </c>
      <c r="P49" s="507">
        <v>28860813.370483816</v>
      </c>
      <c r="Q49" s="507">
        <v>28988965.668776099</v>
      </c>
      <c r="R49" s="507"/>
      <c r="S49" s="507">
        <v>28988965.668776099</v>
      </c>
      <c r="T49" s="507"/>
    </row>
    <row r="50" spans="1:24"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</row>
    <row r="51" spans="1:24" ht="31.5">
      <c r="A51" s="469">
        <v>27</v>
      </c>
      <c r="B51" s="495" t="s">
        <v>492</v>
      </c>
      <c r="C51" s="460"/>
      <c r="D51" s="488" t="s">
        <v>549</v>
      </c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83">
        <v>1482499.5320271142</v>
      </c>
      <c r="T51" s="483"/>
    </row>
    <row r="52" spans="1:24">
      <c r="A52" s="469"/>
      <c r="B52" s="508"/>
      <c r="C52" s="460"/>
      <c r="D52" s="488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509"/>
      <c r="T52" s="509"/>
      <c r="U52" s="631" t="s">
        <v>505</v>
      </c>
      <c r="V52" s="516" t="s">
        <v>506</v>
      </c>
      <c r="W52" s="631" t="s">
        <v>152</v>
      </c>
    </row>
    <row r="53" spans="1:24" ht="16.5" thickBot="1">
      <c r="A53" s="469">
        <v>28</v>
      </c>
      <c r="B53" s="497" t="s">
        <v>432</v>
      </c>
      <c r="C53" s="460"/>
      <c r="D53" s="488" t="s">
        <v>550</v>
      </c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510">
        <v>30471465.200803213</v>
      </c>
      <c r="T53" s="522"/>
      <c r="U53" s="515">
        <f>+M49*(1+0.06/12)^14</f>
        <v>28411060.442172516</v>
      </c>
      <c r="V53" s="515">
        <f>S53-U53</f>
        <v>2060404.7586306967</v>
      </c>
      <c r="W53" s="515">
        <f>U53+V53</f>
        <v>30471465.200803213</v>
      </c>
    </row>
    <row r="54" spans="1:24" ht="16.5" thickTop="1">
      <c r="U54" s="632">
        <f>Balance!I18+Balance!J18</f>
        <v>434804.99826957122</v>
      </c>
      <c r="V54" s="633"/>
      <c r="W54" s="632">
        <f t="shared" ref="W54:W55" si="0">U54+V54</f>
        <v>434804.99826957122</v>
      </c>
      <c r="X54" s="636" t="s">
        <v>552</v>
      </c>
    </row>
    <row r="55" spans="1:24">
      <c r="U55" s="634">
        <f>SUM(U53:U54)</f>
        <v>28845865.440442089</v>
      </c>
      <c r="V55" s="634">
        <f>SUM(V53:V54)</f>
        <v>2060404.7586306967</v>
      </c>
      <c r="W55" s="635">
        <f t="shared" si="0"/>
        <v>30906270.199072786</v>
      </c>
      <c r="X55" s="636" t="s">
        <v>152</v>
      </c>
    </row>
    <row r="56" spans="1:24">
      <c r="A56" s="465" t="s">
        <v>493</v>
      </c>
      <c r="B56" s="511"/>
    </row>
    <row r="57" spans="1:24">
      <c r="A57" s="512">
        <v>1</v>
      </c>
      <c r="B57" s="513" t="s">
        <v>494</v>
      </c>
    </row>
    <row r="58" spans="1:24">
      <c r="A58" s="512">
        <v>2</v>
      </c>
      <c r="B58" s="513" t="s">
        <v>495</v>
      </c>
    </row>
    <row r="59" spans="1:24">
      <c r="A59" s="514">
        <v>3</v>
      </c>
      <c r="B59" s="513" t="s">
        <v>496</v>
      </c>
    </row>
    <row r="65" spans="4:4">
      <c r="D65" s="461"/>
    </row>
    <row r="66" spans="4:4">
      <c r="D66" s="461"/>
    </row>
    <row r="67" spans="4:4">
      <c r="D67" s="461"/>
    </row>
    <row r="68" spans="4:4">
      <c r="D68" s="461"/>
    </row>
    <row r="69" spans="4:4">
      <c r="D69" s="461"/>
    </row>
    <row r="70" spans="4:4">
      <c r="D70" s="461"/>
    </row>
    <row r="71" spans="4:4">
      <c r="D71" s="461"/>
    </row>
    <row r="72" spans="4:4">
      <c r="D72" s="461"/>
    </row>
    <row r="73" spans="4:4">
      <c r="D73" s="461"/>
    </row>
    <row r="74" spans="4:4">
      <c r="D74" s="461"/>
    </row>
    <row r="75" spans="4:4">
      <c r="D75" s="461"/>
    </row>
    <row r="76" spans="4:4">
      <c r="D76" s="461"/>
    </row>
    <row r="77" spans="4:4">
      <c r="D77" s="461"/>
    </row>
    <row r="78" spans="4:4">
      <c r="D78" s="461"/>
    </row>
    <row r="79" spans="4:4">
      <c r="D79" s="461"/>
    </row>
    <row r="80" spans="4:4">
      <c r="D80" s="461"/>
    </row>
    <row r="81" spans="4:4">
      <c r="D81" s="461"/>
    </row>
    <row r="82" spans="4:4">
      <c r="D82" s="461"/>
    </row>
    <row r="83" spans="4:4">
      <c r="D83" s="461"/>
    </row>
    <row r="84" spans="4:4">
      <c r="D84" s="46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50"/>
  <sheetViews>
    <sheetView topLeftCell="E1" zoomScale="80" zoomScaleNormal="80" workbookViewId="0">
      <selection activeCell="G31" sqref="G31"/>
    </sheetView>
  </sheetViews>
  <sheetFormatPr defaultColWidth="8.375" defaultRowHeight="12.75"/>
  <cols>
    <col min="1" max="1" width="7.5" style="204" bestFit="1" customWidth="1"/>
    <col min="2" max="2" width="2.5" style="204" customWidth="1"/>
    <col min="3" max="3" width="35.5" style="204" customWidth="1"/>
    <col min="4" max="4" width="8" style="205" bestFit="1" customWidth="1"/>
    <col min="5" max="5" width="14.875" style="204" bestFit="1" customWidth="1"/>
    <col min="6" max="7" width="12.375" style="204" bestFit="1" customWidth="1"/>
    <col min="8" max="8" width="11.25" style="204" bestFit="1" customWidth="1"/>
    <col min="9" max="9" width="14.625" style="204" customWidth="1"/>
    <col min="10" max="10" width="12.375" style="204" bestFit="1" customWidth="1"/>
    <col min="11" max="11" width="10.625" style="204" bestFit="1" customWidth="1"/>
    <col min="12" max="13" width="11.625" style="204" customWidth="1"/>
    <col min="14" max="14" width="11.75" style="204" bestFit="1" customWidth="1"/>
    <col min="15" max="16" width="11.625" style="204" customWidth="1"/>
    <col min="17" max="17" width="10.75" style="204" bestFit="1" customWidth="1"/>
    <col min="18" max="18" width="25" style="204" bestFit="1" customWidth="1"/>
    <col min="19" max="19" width="23.375" style="204" bestFit="1" customWidth="1"/>
    <col min="20" max="20" width="9.875" style="204" bestFit="1" customWidth="1"/>
    <col min="21" max="49" width="8.375" style="204"/>
    <col min="50" max="224" width="8.375" style="207"/>
    <col min="225" max="16384" width="8.375" style="204"/>
  </cols>
  <sheetData>
    <row r="1" spans="1:225">
      <c r="A1" s="523" t="s">
        <v>239</v>
      </c>
      <c r="B1" s="523"/>
      <c r="C1" s="523"/>
      <c r="D1" s="524"/>
      <c r="E1" s="524"/>
      <c r="F1" s="525"/>
      <c r="G1" s="524"/>
      <c r="H1" s="524"/>
      <c r="I1" s="524"/>
      <c r="J1" s="525"/>
      <c r="K1" s="525"/>
      <c r="L1" s="525"/>
      <c r="M1" s="525"/>
      <c r="N1" s="525"/>
      <c r="O1" s="524"/>
      <c r="P1" s="524"/>
      <c r="Q1" s="235" t="s">
        <v>507</v>
      </c>
    </row>
    <row r="2" spans="1:225">
      <c r="A2" s="523" t="s">
        <v>508</v>
      </c>
      <c r="B2" s="524"/>
      <c r="C2" s="524"/>
      <c r="D2" s="524"/>
      <c r="E2" s="524"/>
      <c r="F2" s="525"/>
      <c r="G2" s="524"/>
      <c r="H2" s="525"/>
      <c r="I2" s="525"/>
      <c r="J2" s="525"/>
      <c r="K2" s="525"/>
      <c r="L2" s="525"/>
      <c r="M2" s="525"/>
      <c r="N2" s="525"/>
      <c r="O2" s="524"/>
      <c r="P2" s="524"/>
      <c r="Q2" s="235" t="s">
        <v>509</v>
      </c>
    </row>
    <row r="3" spans="1:225">
      <c r="A3" s="523" t="s">
        <v>316</v>
      </c>
      <c r="B3" s="524"/>
      <c r="C3" s="524"/>
      <c r="D3" s="524"/>
      <c r="E3" s="524"/>
      <c r="F3" s="525"/>
      <c r="G3" s="524"/>
      <c r="H3" s="525"/>
      <c r="I3" s="525"/>
      <c r="J3" s="525"/>
      <c r="K3" s="525"/>
      <c r="L3" s="525"/>
      <c r="M3" s="525"/>
      <c r="N3" s="525"/>
      <c r="O3" s="524"/>
      <c r="P3" s="524"/>
    </row>
    <row r="4" spans="1:225">
      <c r="A4" s="523" t="s">
        <v>317</v>
      </c>
      <c r="B4" s="524"/>
      <c r="C4" s="524"/>
      <c r="D4" s="524"/>
      <c r="E4" s="524"/>
      <c r="F4" s="525"/>
      <c r="G4" s="524"/>
      <c r="H4" s="525"/>
      <c r="I4" s="525"/>
      <c r="J4" s="525"/>
      <c r="K4" s="525"/>
      <c r="L4" s="525"/>
      <c r="M4" s="525"/>
      <c r="N4" s="525"/>
      <c r="O4" s="525"/>
      <c r="P4" s="524"/>
      <c r="Q4" s="211"/>
      <c r="R4" s="211"/>
    </row>
    <row r="5" spans="1:225">
      <c r="A5" s="523" t="s">
        <v>510</v>
      </c>
      <c r="B5" s="524"/>
      <c r="C5" s="523"/>
      <c r="D5" s="524"/>
      <c r="E5" s="524"/>
      <c r="F5" s="525"/>
      <c r="G5" s="524"/>
      <c r="H5" s="525"/>
      <c r="I5" s="525"/>
      <c r="J5" s="525"/>
      <c r="K5" s="525"/>
      <c r="L5" s="525"/>
      <c r="M5" s="525"/>
      <c r="N5" s="525"/>
      <c r="O5" s="525"/>
      <c r="P5" s="524"/>
      <c r="Q5" s="211"/>
      <c r="R5" s="211"/>
    </row>
    <row r="6" spans="1:225">
      <c r="A6" s="526"/>
      <c r="B6" s="526"/>
      <c r="C6" s="526"/>
      <c r="D6" s="527"/>
      <c r="E6" s="528"/>
      <c r="F6" s="529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30"/>
      <c r="AX6" s="204"/>
      <c r="HQ6" s="207"/>
    </row>
    <row r="7" spans="1:225">
      <c r="A7" s="526"/>
      <c r="B7" s="526"/>
      <c r="C7" s="526"/>
      <c r="D7" s="531"/>
      <c r="E7" s="527" t="s">
        <v>322</v>
      </c>
      <c r="F7" s="527"/>
      <c r="G7" s="527" t="s">
        <v>323</v>
      </c>
      <c r="H7" s="527" t="s">
        <v>323</v>
      </c>
      <c r="I7" s="527" t="s">
        <v>324</v>
      </c>
      <c r="J7" s="527" t="s">
        <v>323</v>
      </c>
      <c r="K7" s="527"/>
      <c r="L7" s="527" t="s">
        <v>325</v>
      </c>
      <c r="M7" s="527" t="s">
        <v>326</v>
      </c>
      <c r="N7" s="527" t="s">
        <v>323</v>
      </c>
      <c r="O7" s="527"/>
      <c r="P7" s="527"/>
      <c r="Q7" s="530"/>
      <c r="AX7" s="204"/>
      <c r="HQ7" s="207"/>
    </row>
    <row r="8" spans="1:225">
      <c r="A8" s="527" t="s">
        <v>327</v>
      </c>
      <c r="B8" s="526"/>
      <c r="C8" s="526"/>
      <c r="D8" s="531" t="s">
        <v>328</v>
      </c>
      <c r="E8" s="527" t="s">
        <v>329</v>
      </c>
      <c r="F8" s="527" t="s">
        <v>248</v>
      </c>
      <c r="G8" s="527" t="s">
        <v>330</v>
      </c>
      <c r="H8" s="527" t="s">
        <v>331</v>
      </c>
      <c r="I8" s="527" t="s">
        <v>332</v>
      </c>
      <c r="J8" s="527" t="s">
        <v>333</v>
      </c>
      <c r="K8" s="527" t="s">
        <v>266</v>
      </c>
      <c r="L8" s="527" t="s">
        <v>334</v>
      </c>
      <c r="M8" s="527" t="s">
        <v>332</v>
      </c>
      <c r="N8" s="527" t="s">
        <v>335</v>
      </c>
      <c r="O8" s="527" t="s">
        <v>336</v>
      </c>
      <c r="P8" s="527" t="s">
        <v>336</v>
      </c>
      <c r="Q8" s="530"/>
      <c r="AX8" s="204"/>
      <c r="HQ8" s="207"/>
    </row>
    <row r="9" spans="1:225">
      <c r="A9" s="532" t="s">
        <v>337</v>
      </c>
      <c r="B9" s="533"/>
      <c r="C9" s="532" t="s">
        <v>338</v>
      </c>
      <c r="D9" s="534" t="s">
        <v>339</v>
      </c>
      <c r="E9" s="532" t="s">
        <v>340</v>
      </c>
      <c r="F9" s="532" t="s">
        <v>341</v>
      </c>
      <c r="G9" s="532" t="s">
        <v>342</v>
      </c>
      <c r="H9" s="532" t="s">
        <v>343</v>
      </c>
      <c r="I9" s="532" t="s">
        <v>344</v>
      </c>
      <c r="J9" s="532" t="s">
        <v>345</v>
      </c>
      <c r="K9" s="532" t="s">
        <v>346</v>
      </c>
      <c r="L9" s="532" t="s">
        <v>347</v>
      </c>
      <c r="M9" s="532" t="s">
        <v>347</v>
      </c>
      <c r="N9" s="532" t="s">
        <v>348</v>
      </c>
      <c r="O9" s="532" t="s">
        <v>349</v>
      </c>
      <c r="P9" s="532" t="s">
        <v>350</v>
      </c>
      <c r="Q9" s="530"/>
      <c r="AX9" s="204"/>
      <c r="HQ9" s="207"/>
    </row>
    <row r="10" spans="1:225">
      <c r="A10" s="535"/>
      <c r="B10" s="528"/>
      <c r="C10" s="528"/>
      <c r="D10" s="536"/>
      <c r="E10" s="529"/>
      <c r="F10" s="537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0"/>
      <c r="R10" s="211"/>
      <c r="S10" s="211"/>
      <c r="AX10" s="204"/>
      <c r="HQ10" s="207"/>
    </row>
    <row r="11" spans="1:225">
      <c r="A11" s="527" t="s">
        <v>351</v>
      </c>
      <c r="B11" s="526" t="s">
        <v>352</v>
      </c>
      <c r="C11" s="526"/>
      <c r="D11" s="539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30"/>
      <c r="R11" s="211"/>
      <c r="S11" s="211"/>
      <c r="AB11" s="541"/>
      <c r="AX11" s="204"/>
      <c r="HQ11" s="207"/>
    </row>
    <row r="12" spans="1:225">
      <c r="A12" s="527"/>
      <c r="B12" s="526"/>
      <c r="C12" s="526" t="s">
        <v>353</v>
      </c>
      <c r="D12" s="539" t="s">
        <v>354</v>
      </c>
      <c r="E12" s="541">
        <v>167027068.07079521</v>
      </c>
      <c r="F12" s="540">
        <v>55569690.272337057</v>
      </c>
      <c r="G12" s="540">
        <v>45502423.791688539</v>
      </c>
      <c r="H12" s="540">
        <v>15145334.494932704</v>
      </c>
      <c r="I12" s="540">
        <v>312079.43333308282</v>
      </c>
      <c r="J12" s="540">
        <v>31151218.693030756</v>
      </c>
      <c r="K12" s="540">
        <v>1210480.1472651893</v>
      </c>
      <c r="L12" s="540">
        <v>38548.656719925064</v>
      </c>
      <c r="M12" s="540">
        <v>68827.475591127135</v>
      </c>
      <c r="N12" s="540">
        <v>11621267.144387983</v>
      </c>
      <c r="O12" s="540">
        <v>3275936.9430865608</v>
      </c>
      <c r="P12" s="540">
        <v>3131261.0184222809</v>
      </c>
      <c r="Q12" s="530">
        <v>0</v>
      </c>
      <c r="R12" s="211"/>
      <c r="S12" s="211"/>
      <c r="AB12" s="541"/>
      <c r="AX12" s="204"/>
      <c r="HQ12" s="207"/>
    </row>
    <row r="13" spans="1:225">
      <c r="A13" s="527"/>
      <c r="B13" s="526"/>
      <c r="C13" s="526"/>
      <c r="D13" s="531"/>
      <c r="E13" s="542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30"/>
      <c r="R13" s="211"/>
      <c r="S13" s="211"/>
      <c r="AX13" s="204"/>
      <c r="HQ13" s="207"/>
    </row>
    <row r="14" spans="1:225">
      <c r="A14" s="527" t="s">
        <v>355</v>
      </c>
      <c r="B14" s="526" t="s">
        <v>356</v>
      </c>
      <c r="C14" s="526"/>
      <c r="D14" s="53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30"/>
      <c r="AV14" s="207"/>
      <c r="AW14" s="207"/>
      <c r="HO14" s="204"/>
      <c r="HP14" s="204"/>
    </row>
    <row r="15" spans="1:225">
      <c r="A15" s="527"/>
      <c r="B15" s="526"/>
      <c r="C15" s="526" t="s">
        <v>353</v>
      </c>
      <c r="D15" s="531" t="s">
        <v>354</v>
      </c>
      <c r="E15" s="541">
        <v>35361292.340701707</v>
      </c>
      <c r="F15" s="540">
        <v>11764656.385930676</v>
      </c>
      <c r="G15" s="540">
        <v>9633315.8959984034</v>
      </c>
      <c r="H15" s="540">
        <v>3206418.0187011971</v>
      </c>
      <c r="I15" s="540">
        <v>66070.321433973862</v>
      </c>
      <c r="J15" s="540">
        <v>6595022.9726028377</v>
      </c>
      <c r="K15" s="540">
        <v>256270.69225640286</v>
      </c>
      <c r="L15" s="540">
        <v>8161.1342123113618</v>
      </c>
      <c r="M15" s="540">
        <v>14571.461461676186</v>
      </c>
      <c r="N15" s="540">
        <v>2460337.8937832704</v>
      </c>
      <c r="O15" s="540">
        <v>693548.44859689847</v>
      </c>
      <c r="P15" s="540">
        <v>662919.11572405824</v>
      </c>
      <c r="Q15" s="530">
        <v>0</v>
      </c>
      <c r="AV15" s="207"/>
      <c r="AW15" s="207"/>
      <c r="HO15" s="204"/>
      <c r="HP15" s="204"/>
    </row>
    <row r="16" spans="1:225">
      <c r="A16" s="527"/>
      <c r="B16" s="526"/>
      <c r="C16" s="526" t="s">
        <v>357</v>
      </c>
      <c r="D16" s="531" t="s">
        <v>358</v>
      </c>
      <c r="E16" s="541">
        <v>5706864.1734222751</v>
      </c>
      <c r="F16" s="540">
        <v>1594962.7621472436</v>
      </c>
      <c r="G16" s="540">
        <v>1561618.7436233934</v>
      </c>
      <c r="H16" s="540">
        <v>555991.81028206332</v>
      </c>
      <c r="I16" s="540">
        <v>21971.531964621361</v>
      </c>
      <c r="J16" s="540">
        <v>1246293.3036456718</v>
      </c>
      <c r="K16" s="540">
        <v>48819.263616687254</v>
      </c>
      <c r="L16" s="540">
        <v>1588.3033379401202</v>
      </c>
      <c r="M16" s="540">
        <v>4508.4855042878526</v>
      </c>
      <c r="N16" s="540">
        <v>357586.69828065188</v>
      </c>
      <c r="O16" s="540">
        <v>131688.8048233492</v>
      </c>
      <c r="P16" s="540">
        <v>181834.46619636531</v>
      </c>
      <c r="Q16" s="530">
        <v>0</v>
      </c>
      <c r="AV16" s="207"/>
      <c r="AW16" s="207"/>
      <c r="HO16" s="204"/>
      <c r="HP16" s="204"/>
    </row>
    <row r="17" spans="1:225">
      <c r="A17" s="527"/>
      <c r="B17" s="526"/>
      <c r="C17" s="526"/>
      <c r="D17" s="531"/>
      <c r="E17" s="541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30"/>
      <c r="AV17" s="207"/>
      <c r="AW17" s="207"/>
      <c r="HO17" s="204"/>
      <c r="HP17" s="204"/>
    </row>
    <row r="18" spans="1:225">
      <c r="A18" s="527" t="s">
        <v>359</v>
      </c>
      <c r="B18" s="526" t="s">
        <v>360</v>
      </c>
      <c r="C18" s="526"/>
      <c r="D18" s="539" t="s">
        <v>358</v>
      </c>
      <c r="E18" s="541">
        <v>332661293.95200479</v>
      </c>
      <c r="F18" s="540">
        <v>92972665.922586277</v>
      </c>
      <c r="G18" s="540">
        <v>91028995.281297505</v>
      </c>
      <c r="H18" s="540">
        <v>32409559.683673758</v>
      </c>
      <c r="I18" s="540">
        <v>1280752.0963085566</v>
      </c>
      <c r="J18" s="540">
        <v>72648223.338714197</v>
      </c>
      <c r="K18" s="540">
        <v>2845744.8628521133</v>
      </c>
      <c r="L18" s="540">
        <v>92584.478538692681</v>
      </c>
      <c r="M18" s="540">
        <v>262806.08334872272</v>
      </c>
      <c r="N18" s="540">
        <v>20844241.274228901</v>
      </c>
      <c r="O18" s="540">
        <v>7676329.2204408366</v>
      </c>
      <c r="P18" s="540">
        <v>10599391.710015224</v>
      </c>
      <c r="Q18" s="530">
        <v>0</v>
      </c>
      <c r="AV18" s="207"/>
      <c r="AW18" s="207"/>
      <c r="HO18" s="204"/>
      <c r="HP18" s="204"/>
    </row>
    <row r="19" spans="1:225">
      <c r="A19" s="527"/>
      <c r="B19" s="526"/>
      <c r="C19" s="543" t="s">
        <v>361</v>
      </c>
      <c r="D19" s="531" t="s">
        <v>358</v>
      </c>
      <c r="E19" s="541">
        <v>22575302.411504827</v>
      </c>
      <c r="F19" s="540">
        <v>6309378.6002919078</v>
      </c>
      <c r="G19" s="540">
        <v>6177475.8111390816</v>
      </c>
      <c r="H19" s="540">
        <v>2199401.0850814842</v>
      </c>
      <c r="I19" s="540">
        <v>86915.329237269005</v>
      </c>
      <c r="J19" s="540">
        <v>4930106.5117802294</v>
      </c>
      <c r="K19" s="540">
        <v>193120.00534135368</v>
      </c>
      <c r="L19" s="540">
        <v>6283.0351460245965</v>
      </c>
      <c r="M19" s="540">
        <v>17834.737359124625</v>
      </c>
      <c r="N19" s="540">
        <v>1414547.044874958</v>
      </c>
      <c r="O19" s="540">
        <v>520936.63047774194</v>
      </c>
      <c r="P19" s="540">
        <v>719303.62077565328</v>
      </c>
      <c r="Q19" s="530">
        <v>0</v>
      </c>
      <c r="AV19" s="207"/>
      <c r="AW19" s="207"/>
      <c r="HO19" s="204"/>
      <c r="HP19" s="204"/>
    </row>
    <row r="20" spans="1:225">
      <c r="A20" s="527"/>
      <c r="B20" s="526"/>
      <c r="C20" s="526"/>
      <c r="D20" s="531"/>
      <c r="E20" s="544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30"/>
      <c r="AV20" s="207"/>
      <c r="AW20" s="207"/>
      <c r="HO20" s="204"/>
      <c r="HP20" s="204"/>
    </row>
    <row r="21" spans="1:225">
      <c r="A21" s="527" t="s">
        <v>362</v>
      </c>
      <c r="B21" s="526" t="s">
        <v>363</v>
      </c>
      <c r="C21" s="526"/>
      <c r="D21" s="539" t="s">
        <v>358</v>
      </c>
      <c r="E21" s="541">
        <v>1573900.8729061289</v>
      </c>
      <c r="F21" s="540">
        <v>439876.12238735653</v>
      </c>
      <c r="G21" s="540">
        <v>430680.14745855168</v>
      </c>
      <c r="H21" s="540">
        <v>153337.4492434845</v>
      </c>
      <c r="I21" s="540">
        <v>6059.5472903054988</v>
      </c>
      <c r="J21" s="540">
        <v>343716.27901014057</v>
      </c>
      <c r="K21" s="540">
        <v>13463.905795897241</v>
      </c>
      <c r="L21" s="540">
        <v>438.03951418114474</v>
      </c>
      <c r="M21" s="540">
        <v>1243.399011269621</v>
      </c>
      <c r="N21" s="540">
        <v>98619.136440045448</v>
      </c>
      <c r="O21" s="540">
        <v>36318.566302786567</v>
      </c>
      <c r="P21" s="540">
        <v>50148.280452110026</v>
      </c>
      <c r="Q21" s="530">
        <v>0</v>
      </c>
      <c r="AV21" s="207"/>
      <c r="AW21" s="207"/>
      <c r="HO21" s="204"/>
      <c r="HP21" s="204"/>
    </row>
    <row r="22" spans="1:225">
      <c r="A22" s="527"/>
      <c r="B22" s="526"/>
      <c r="C22" s="526"/>
      <c r="D22" s="531"/>
      <c r="E22" s="544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30"/>
      <c r="AV22" s="207"/>
      <c r="AW22" s="207"/>
      <c r="HO22" s="204"/>
      <c r="HP22" s="204"/>
    </row>
    <row r="23" spans="1:225">
      <c r="A23" s="527" t="s">
        <v>364</v>
      </c>
      <c r="B23" s="526" t="s">
        <v>365</v>
      </c>
      <c r="C23" s="526"/>
      <c r="D23" s="531" t="s">
        <v>358</v>
      </c>
      <c r="E23" s="541">
        <v>111522622.03192005</v>
      </c>
      <c r="F23" s="540">
        <v>31168505.833084695</v>
      </c>
      <c r="G23" s="540">
        <v>30516902.38470076</v>
      </c>
      <c r="H23" s="540">
        <v>10865102.55486704</v>
      </c>
      <c r="I23" s="540">
        <v>429364.14470213605</v>
      </c>
      <c r="J23" s="540">
        <v>24354863.339955781</v>
      </c>
      <c r="K23" s="540">
        <v>954018.19961934828</v>
      </c>
      <c r="L23" s="540">
        <v>31038.368436042725</v>
      </c>
      <c r="M23" s="540">
        <v>88104.098775066552</v>
      </c>
      <c r="N23" s="540">
        <v>6987901.7590286983</v>
      </c>
      <c r="O23" s="540">
        <v>2573441.4487286871</v>
      </c>
      <c r="P23" s="540">
        <v>3553379.9000217915</v>
      </c>
      <c r="Q23" s="530">
        <v>0</v>
      </c>
      <c r="AV23" s="207"/>
      <c r="AW23" s="207"/>
      <c r="HO23" s="204"/>
      <c r="HP23" s="204"/>
    </row>
    <row r="24" spans="1:225">
      <c r="A24" s="527"/>
      <c r="B24" s="526"/>
      <c r="C24" s="543" t="s">
        <v>366</v>
      </c>
      <c r="D24" s="531" t="s">
        <v>358</v>
      </c>
      <c r="E24" s="541">
        <v>4364211.5432015778</v>
      </c>
      <c r="F24" s="540">
        <v>1219716.2375016662</v>
      </c>
      <c r="G24" s="540">
        <v>1194217.0585977377</v>
      </c>
      <c r="H24" s="540">
        <v>425183.74410572782</v>
      </c>
      <c r="I24" s="540">
        <v>16802.294659191251</v>
      </c>
      <c r="J24" s="540">
        <v>953078.16284044739</v>
      </c>
      <c r="K24" s="540">
        <v>37333.566619438498</v>
      </c>
      <c r="L24" s="540">
        <v>1214.6235745062588</v>
      </c>
      <c r="M24" s="540">
        <v>3447.7751497580853</v>
      </c>
      <c r="N24" s="540">
        <v>273457.35747481696</v>
      </c>
      <c r="O24" s="540">
        <v>100706.40979980344</v>
      </c>
      <c r="P24" s="540">
        <v>139054.31287848443</v>
      </c>
      <c r="Q24" s="530">
        <v>0</v>
      </c>
      <c r="R24" s="211"/>
      <c r="S24" s="211"/>
      <c r="AX24" s="204"/>
      <c r="HQ24" s="207"/>
    </row>
    <row r="25" spans="1:225">
      <c r="A25" s="527"/>
      <c r="B25" s="526"/>
      <c r="C25" s="526"/>
      <c r="D25" s="531"/>
      <c r="E25" s="544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30"/>
      <c r="AX25" s="204"/>
      <c r="HQ25" s="207"/>
    </row>
    <row r="26" spans="1:225">
      <c r="A26" s="527" t="s">
        <v>367</v>
      </c>
      <c r="B26" s="526" t="s">
        <v>368</v>
      </c>
      <c r="C26" s="526"/>
      <c r="D26" s="539"/>
      <c r="E26" s="541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30"/>
      <c r="R26" s="211"/>
      <c r="S26" s="211"/>
      <c r="AX26" s="204"/>
      <c r="HQ26" s="207"/>
    </row>
    <row r="27" spans="1:225">
      <c r="A27" s="527"/>
      <c r="B27" s="526"/>
      <c r="C27" s="526" t="s">
        <v>353</v>
      </c>
      <c r="D27" s="539" t="s">
        <v>354</v>
      </c>
      <c r="E27" s="541">
        <v>250607793.96013552</v>
      </c>
      <c r="F27" s="540">
        <v>83376890.051711306</v>
      </c>
      <c r="G27" s="540">
        <v>68271940.45842272</v>
      </c>
      <c r="H27" s="540">
        <v>22724094.426148169</v>
      </c>
      <c r="I27" s="540">
        <v>468244.6936970934</v>
      </c>
      <c r="J27" s="540">
        <v>46739359.590035141</v>
      </c>
      <c r="K27" s="540">
        <v>1816207.1743370979</v>
      </c>
      <c r="L27" s="540">
        <v>57838.49248082524</v>
      </c>
      <c r="M27" s="540">
        <v>103268.90138804629</v>
      </c>
      <c r="N27" s="540">
        <v>17436575.734192077</v>
      </c>
      <c r="O27" s="540">
        <v>4915223.2625639979</v>
      </c>
      <c r="P27" s="540">
        <v>4698151.175159038</v>
      </c>
      <c r="Q27" s="530">
        <v>0</v>
      </c>
      <c r="AX27" s="204"/>
      <c r="HQ27" s="207"/>
    </row>
    <row r="28" spans="1:225">
      <c r="A28" s="527"/>
      <c r="B28" s="526"/>
      <c r="C28" s="526" t="s">
        <v>357</v>
      </c>
      <c r="D28" s="531" t="s">
        <v>358</v>
      </c>
      <c r="E28" s="541">
        <v>10932905.291081924</v>
      </c>
      <c r="F28" s="540">
        <v>3055544.3920616959</v>
      </c>
      <c r="G28" s="540">
        <v>2991665.7039648099</v>
      </c>
      <c r="H28" s="540">
        <v>1065139.3864847824</v>
      </c>
      <c r="I28" s="540">
        <v>42091.886326625943</v>
      </c>
      <c r="J28" s="540">
        <v>2387582.083541472</v>
      </c>
      <c r="K28" s="540">
        <v>93525.335329916212</v>
      </c>
      <c r="L28" s="540">
        <v>3042.7866231824769</v>
      </c>
      <c r="M28" s="540">
        <v>8637.1155027921814</v>
      </c>
      <c r="N28" s="540">
        <v>685045.47976803174</v>
      </c>
      <c r="O28" s="540">
        <v>252282.37211856921</v>
      </c>
      <c r="P28" s="540">
        <v>348348.74936004548</v>
      </c>
      <c r="Q28" s="530">
        <v>0</v>
      </c>
      <c r="R28" s="211"/>
      <c r="S28" s="211"/>
      <c r="AX28" s="204"/>
      <c r="HQ28" s="207"/>
    </row>
    <row r="29" spans="1:225">
      <c r="A29" s="527"/>
      <c r="B29" s="526"/>
      <c r="C29" s="526"/>
      <c r="D29" s="531"/>
      <c r="E29" s="544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30"/>
      <c r="AX29" s="204"/>
      <c r="HQ29" s="207"/>
    </row>
    <row r="30" spans="1:225">
      <c r="A30" s="527" t="s">
        <v>369</v>
      </c>
      <c r="B30" s="526" t="s">
        <v>370</v>
      </c>
      <c r="C30" s="526"/>
      <c r="D30" s="539" t="s">
        <v>354</v>
      </c>
      <c r="E30" s="541">
        <v>59361874.608875461</v>
      </c>
      <c r="F30" s="540">
        <v>19749619.173117142</v>
      </c>
      <c r="G30" s="540">
        <v>16171685.264673678</v>
      </c>
      <c r="H30" s="540">
        <v>5382693.1022737129</v>
      </c>
      <c r="I30" s="540">
        <v>110913.8800285664</v>
      </c>
      <c r="J30" s="540">
        <v>11071227.911308119</v>
      </c>
      <c r="K30" s="540">
        <v>430207.93903915386</v>
      </c>
      <c r="L30" s="540">
        <v>13700.297520512428</v>
      </c>
      <c r="M30" s="540">
        <v>24461.47216063309</v>
      </c>
      <c r="N30" s="540">
        <v>4130229.9740363229</v>
      </c>
      <c r="O30" s="540">
        <v>1164276.906062088</v>
      </c>
      <c r="P30" s="540">
        <v>1112858.6886555301</v>
      </c>
      <c r="Q30" s="530">
        <v>0</v>
      </c>
      <c r="R30" s="211"/>
      <c r="S30" s="211"/>
      <c r="AX30" s="204"/>
      <c r="HQ30" s="207"/>
    </row>
    <row r="31" spans="1:225">
      <c r="A31" s="527"/>
      <c r="B31" s="526" t="s">
        <v>357</v>
      </c>
      <c r="C31" s="528"/>
      <c r="D31" s="539" t="s">
        <v>358</v>
      </c>
      <c r="E31" s="545">
        <v>3427163.3991312459</v>
      </c>
      <c r="F31" s="546">
        <v>957828.64902676584</v>
      </c>
      <c r="G31" s="546">
        <v>937804.44722482155</v>
      </c>
      <c r="H31" s="546">
        <v>333891.73537535616</v>
      </c>
      <c r="I31" s="546">
        <v>13194.642080790381</v>
      </c>
      <c r="J31" s="546">
        <v>748440.94147687417</v>
      </c>
      <c r="K31" s="546">
        <v>29317.605668423916</v>
      </c>
      <c r="L31" s="546">
        <v>953.82944136939216</v>
      </c>
      <c r="M31" s="546">
        <v>2707.4968031950389</v>
      </c>
      <c r="N31" s="546">
        <v>214742.80920702711</v>
      </c>
      <c r="O31" s="546">
        <v>79083.545402706688</v>
      </c>
      <c r="P31" s="546">
        <v>109197.69742391579</v>
      </c>
      <c r="Q31" s="530">
        <v>0</v>
      </c>
      <c r="AX31" s="204"/>
      <c r="HQ31" s="207"/>
    </row>
    <row r="32" spans="1:225">
      <c r="A32" s="527"/>
      <c r="B32" s="526"/>
      <c r="C32" s="526"/>
      <c r="D32" s="526"/>
      <c r="E32" s="547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30"/>
      <c r="AX32" s="204"/>
      <c r="HQ32" s="207"/>
    </row>
    <row r="33" spans="1:17" s="204" customFormat="1">
      <c r="A33" s="205"/>
      <c r="B33" s="235"/>
      <c r="C33" s="235" t="s">
        <v>511</v>
      </c>
      <c r="D33" s="205"/>
      <c r="E33" s="549">
        <v>588931843.48584247</v>
      </c>
      <c r="F33" s="549">
        <v>170320715.5613538</v>
      </c>
      <c r="G33" s="549">
        <v>161024008.12616932</v>
      </c>
      <c r="H33" s="549">
        <v>56650658.843337581</v>
      </c>
      <c r="I33" s="549">
        <v>2054217.2275988567</v>
      </c>
      <c r="J33" s="549">
        <v>125184063.18938315</v>
      </c>
      <c r="K33" s="549">
        <v>4897368.491464464</v>
      </c>
      <c r="L33" s="549">
        <v>158795.85700516042</v>
      </c>
      <c r="M33" s="549">
        <v>424603.65694151702</v>
      </c>
      <c r="N33" s="549">
        <v>37646168.832798973</v>
      </c>
      <c r="O33" s="549">
        <v>13217424.165390406</v>
      </c>
      <c r="P33" s="549">
        <v>17353819.534399088</v>
      </c>
      <c r="Q33" s="550">
        <v>0</v>
      </c>
    </row>
    <row r="34" spans="1:17" s="204" customFormat="1">
      <c r="A34" s="238"/>
      <c r="C34" s="235" t="s">
        <v>372</v>
      </c>
      <c r="D34" s="205"/>
      <c r="E34" s="551">
        <v>1</v>
      </c>
      <c r="F34" s="551">
        <v>0.28920276165275516</v>
      </c>
      <c r="G34" s="551">
        <v>0.27341705140798733</v>
      </c>
      <c r="H34" s="551">
        <v>9.6192215567809464E-2</v>
      </c>
      <c r="I34" s="551">
        <v>3.4880389816249403E-3</v>
      </c>
      <c r="J34" s="551">
        <v>0.21256120648601418</v>
      </c>
      <c r="K34" s="551">
        <v>8.3156795572087178E-3</v>
      </c>
      <c r="L34" s="551">
        <v>2.6963367452719129E-4</v>
      </c>
      <c r="M34" s="551">
        <v>7.2097248881690704E-4</v>
      </c>
      <c r="N34" s="551">
        <v>6.3922793866900085E-2</v>
      </c>
      <c r="O34" s="551">
        <v>2.2443045509574561E-2</v>
      </c>
      <c r="P34" s="551">
        <v>2.9466600806781238E-2</v>
      </c>
    </row>
    <row r="35" spans="1:17" s="204" customFormat="1">
      <c r="D35" s="205"/>
      <c r="E35" s="550"/>
    </row>
    <row r="36" spans="1:17" s="204" customFormat="1">
      <c r="C36" s="235" t="s">
        <v>373</v>
      </c>
      <c r="D36" s="552">
        <v>0.75</v>
      </c>
      <c r="E36" s="553">
        <v>80685981.118135542</v>
      </c>
      <c r="F36" s="553">
        <v>26844121.924920537</v>
      </c>
      <c r="G36" s="553">
        <v>21980914.526557095</v>
      </c>
      <c r="H36" s="553">
        <v>7316276.2610909874</v>
      </c>
      <c r="I36" s="553">
        <v>150756.61421895237</v>
      </c>
      <c r="J36" s="553">
        <v>15048259.376782246</v>
      </c>
      <c r="K36" s="553">
        <v>584748.20539099467</v>
      </c>
      <c r="L36" s="553">
        <v>18621.74930182593</v>
      </c>
      <c r="M36" s="553">
        <v>33248.577371907042</v>
      </c>
      <c r="N36" s="553">
        <v>5613900.5025428589</v>
      </c>
      <c r="O36" s="553">
        <v>1582511.0827069699</v>
      </c>
      <c r="P36" s="553">
        <v>1512622.2972511717</v>
      </c>
      <c r="Q36" s="550">
        <v>0</v>
      </c>
    </row>
    <row r="37" spans="1:17" s="204" customFormat="1">
      <c r="C37" s="235"/>
      <c r="D37" s="205"/>
      <c r="E37" s="554">
        <v>0.13700393689117132</v>
      </c>
      <c r="F37" s="554">
        <v>0.15760925989798705</v>
      </c>
      <c r="G37" s="554">
        <v>0.1365070636506209</v>
      </c>
      <c r="H37" s="554">
        <v>0.12914724048176573</v>
      </c>
      <c r="I37" s="554">
        <v>7.3388837457647793E-2</v>
      </c>
      <c r="J37" s="554">
        <v>0.1202090665008746</v>
      </c>
      <c r="K37" s="554">
        <v>0.11940049159260567</v>
      </c>
      <c r="L37" s="554">
        <v>0.11726848327800375</v>
      </c>
      <c r="M37" s="554">
        <v>7.8304971773916099E-2</v>
      </c>
      <c r="N37" s="554">
        <v>0.14912275741726436</v>
      </c>
      <c r="O37" s="554">
        <v>0.11972915924501747</v>
      </c>
      <c r="P37" s="554">
        <v>8.7163652604132558E-2</v>
      </c>
    </row>
    <row r="38" spans="1:17" s="204" customFormat="1">
      <c r="C38" s="235"/>
      <c r="D38" s="205"/>
      <c r="E38" s="551"/>
      <c r="F38" s="551"/>
      <c r="G38" s="551"/>
      <c r="H38" s="551"/>
      <c r="I38" s="551"/>
      <c r="J38" s="551"/>
      <c r="K38" s="551"/>
      <c r="L38" s="551"/>
      <c r="M38" s="551"/>
      <c r="N38" s="551"/>
      <c r="O38" s="551"/>
      <c r="P38" s="551"/>
    </row>
    <row r="39" spans="1:17" s="204" customFormat="1">
      <c r="C39" s="235" t="s">
        <v>374</v>
      </c>
      <c r="D39" s="238"/>
      <c r="E39" s="555">
        <v>508245862.36770689</v>
      </c>
      <c r="F39" s="555">
        <v>143476593.63643327</v>
      </c>
      <c r="G39" s="555">
        <v>139043093.59961224</v>
      </c>
      <c r="H39" s="555">
        <v>49334382.582246594</v>
      </c>
      <c r="I39" s="555">
        <v>1903460.6133799043</v>
      </c>
      <c r="J39" s="555">
        <v>110135803.81260091</v>
      </c>
      <c r="K39" s="555">
        <v>4312620.2860734696</v>
      </c>
      <c r="L39" s="555">
        <v>140174.10770333448</v>
      </c>
      <c r="M39" s="555">
        <v>391355.07956960995</v>
      </c>
      <c r="N39" s="555">
        <v>32032268.330256112</v>
      </c>
      <c r="O39" s="555">
        <v>11634913.082683437</v>
      </c>
      <c r="P39" s="555">
        <v>15841197.237147916</v>
      </c>
      <c r="Q39" s="550">
        <v>0</v>
      </c>
    </row>
    <row r="40" spans="1:17" s="204" customFormat="1">
      <c r="C40" s="235"/>
      <c r="D40" s="205"/>
      <c r="E40" s="556">
        <v>0.86299606310882859</v>
      </c>
      <c r="F40" s="556">
        <v>0.84239074010201298</v>
      </c>
      <c r="G40" s="556">
        <v>0.86349293634937918</v>
      </c>
      <c r="H40" s="556">
        <v>0.87085275951823427</v>
      </c>
      <c r="I40" s="556">
        <v>0.92661116254235221</v>
      </c>
      <c r="J40" s="556">
        <v>0.87979093349912552</v>
      </c>
      <c r="K40" s="556">
        <v>0.88059950840739443</v>
      </c>
      <c r="L40" s="556">
        <v>0.88273151672199612</v>
      </c>
      <c r="M40" s="556">
        <v>0.92169502822608385</v>
      </c>
      <c r="N40" s="556">
        <v>0.85087724258273556</v>
      </c>
      <c r="O40" s="556">
        <v>0.88027084075498263</v>
      </c>
      <c r="P40" s="556">
        <v>0.91283634739586739</v>
      </c>
    </row>
    <row r="41" spans="1:17" s="204" customFormat="1">
      <c r="C41" s="235" t="s">
        <v>511</v>
      </c>
      <c r="D41" s="238"/>
      <c r="E41" s="550">
        <v>588931843.48584247</v>
      </c>
      <c r="F41" s="550">
        <v>170320715.5613538</v>
      </c>
      <c r="G41" s="550">
        <v>161024008.12616932</v>
      </c>
      <c r="H41" s="550">
        <v>56650658.843337581</v>
      </c>
      <c r="I41" s="550">
        <v>2054217.2275988567</v>
      </c>
      <c r="J41" s="550">
        <v>125184063.18938315</v>
      </c>
      <c r="K41" s="550">
        <v>4897368.491464464</v>
      </c>
      <c r="L41" s="550">
        <v>158795.85700516042</v>
      </c>
      <c r="M41" s="550">
        <v>424603.65694151702</v>
      </c>
      <c r="N41" s="550">
        <v>37646168.832798973</v>
      </c>
      <c r="O41" s="550">
        <v>13217424.165390406</v>
      </c>
      <c r="P41" s="550">
        <v>17353819.534399088</v>
      </c>
      <c r="Q41" s="550">
        <v>0</v>
      </c>
    </row>
    <row r="42" spans="1:17" s="204" customFormat="1">
      <c r="D42" s="205"/>
      <c r="E42" s="551"/>
      <c r="F42" s="551"/>
      <c r="G42" s="551"/>
      <c r="H42" s="551"/>
      <c r="I42" s="551"/>
      <c r="J42" s="551"/>
      <c r="K42" s="551"/>
      <c r="L42" s="551"/>
      <c r="M42" s="551"/>
      <c r="N42" s="551"/>
      <c r="O42" s="551"/>
      <c r="P42" s="551"/>
    </row>
    <row r="43" spans="1:17" s="204" customFormat="1">
      <c r="D43" s="205"/>
      <c r="E43" s="550"/>
    </row>
    <row r="44" spans="1:17" s="204" customFormat="1" ht="15.75">
      <c r="D44"/>
      <c r="E44" s="409"/>
      <c r="F44" s="531" t="s">
        <v>341</v>
      </c>
      <c r="G44" s="531" t="s">
        <v>342</v>
      </c>
      <c r="H44" s="531" t="s">
        <v>343</v>
      </c>
      <c r="I44" s="531" t="s">
        <v>344</v>
      </c>
      <c r="J44" s="531" t="s">
        <v>345</v>
      </c>
      <c r="K44" s="531" t="s">
        <v>346</v>
      </c>
      <c r="L44" s="531" t="s">
        <v>347</v>
      </c>
      <c r="M44" s="531" t="s">
        <v>347</v>
      </c>
      <c r="N44" s="531" t="s">
        <v>348</v>
      </c>
      <c r="O44" s="557" t="s">
        <v>349</v>
      </c>
      <c r="P44" s="557" t="s">
        <v>350</v>
      </c>
      <c r="Q44" s="557" t="s">
        <v>152</v>
      </c>
    </row>
    <row r="45" spans="1:17" s="204" customFormat="1">
      <c r="D45" s="558" t="s">
        <v>354</v>
      </c>
      <c r="E45" s="558" t="s">
        <v>375</v>
      </c>
      <c r="F45" s="559">
        <v>0.3326987111381467</v>
      </c>
      <c r="G45" s="559">
        <v>0.27242544766697407</v>
      </c>
      <c r="H45" s="559">
        <v>9.0675928577715809E-2</v>
      </c>
      <c r="I45" s="559">
        <v>1.8684362776505573E-3</v>
      </c>
      <c r="J45" s="559">
        <v>0.18650401430639474</v>
      </c>
      <c r="K45" s="559">
        <v>7.2472094568056577E-3</v>
      </c>
      <c r="L45" s="559">
        <v>2.307928718690436E-4</v>
      </c>
      <c r="M45" s="559">
        <v>4.120737817295235E-4</v>
      </c>
      <c r="N45" s="559">
        <v>6.9577148653907128E-2</v>
      </c>
      <c r="O45" s="559">
        <v>1.9613209888220271E-2</v>
      </c>
      <c r="P45" s="559">
        <v>1.8747027380586489E-2</v>
      </c>
      <c r="Q45" s="560">
        <v>1</v>
      </c>
    </row>
    <row r="46" spans="1:17" s="204" customFormat="1" ht="15.75">
      <c r="D46"/>
      <c r="E46" s="561"/>
      <c r="F46" s="562"/>
      <c r="G46" s="562"/>
      <c r="H46" s="562"/>
      <c r="I46" s="562"/>
      <c r="J46" s="562"/>
      <c r="K46" s="562"/>
      <c r="L46" s="562"/>
      <c r="M46" s="562"/>
      <c r="N46" s="562"/>
      <c r="O46" s="562"/>
      <c r="P46" s="562"/>
      <c r="Q46" s="562"/>
    </row>
    <row r="47" spans="1:17" s="204" customFormat="1">
      <c r="D47" s="563" t="s">
        <v>358</v>
      </c>
      <c r="E47" s="563" t="s">
        <v>376</v>
      </c>
      <c r="F47" s="564">
        <v>0.27948146542110203</v>
      </c>
      <c r="G47" s="564">
        <v>0.27363867373891371</v>
      </c>
      <c r="H47" s="564">
        <v>9.7425099561927686E-2</v>
      </c>
      <c r="I47" s="564">
        <v>3.8500183808379551E-3</v>
      </c>
      <c r="J47" s="564">
        <v>0.2183849598961628</v>
      </c>
      <c r="K47" s="564">
        <v>8.5544814337873872E-3</v>
      </c>
      <c r="L47" s="564">
        <v>2.7831455063134108E-4</v>
      </c>
      <c r="M47" s="564">
        <v>7.9001100556844303E-4</v>
      </c>
      <c r="N47" s="564">
        <v>6.2659051874054919E-2</v>
      </c>
      <c r="O47" s="564">
        <v>2.3075510616959095E-2</v>
      </c>
      <c r="P47" s="564">
        <v>3.186241352005463E-2</v>
      </c>
      <c r="Q47" s="565">
        <v>1</v>
      </c>
    </row>
    <row r="50" spans="3:5" s="204" customFormat="1" ht="30">
      <c r="C50" s="566" t="s">
        <v>512</v>
      </c>
      <c r="D50" s="205"/>
      <c r="E50" s="55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49"/>
  <sheetViews>
    <sheetView topLeftCell="A4" zoomScale="80" zoomScaleNormal="80" workbookViewId="0">
      <pane xSplit="4" ySplit="8" topLeftCell="H12" activePane="bottomRight" state="frozen"/>
      <selection activeCell="A4" sqref="A4"/>
      <selection pane="topRight" activeCell="E4" sqref="E4"/>
      <selection pane="bottomLeft" activeCell="A12" sqref="A12"/>
      <selection pane="bottomRight" activeCell="I36" sqref="I36"/>
    </sheetView>
  </sheetViews>
  <sheetFormatPr defaultColWidth="9" defaultRowHeight="12.75"/>
  <cols>
    <col min="1" max="1" width="7.125" style="204" bestFit="1" customWidth="1"/>
    <col min="2" max="2" width="2.375" style="204" customWidth="1"/>
    <col min="3" max="3" width="31.875" style="204" customWidth="1"/>
    <col min="4" max="4" width="7.625" style="205" bestFit="1" customWidth="1"/>
    <col min="5" max="5" width="14.25" style="204" bestFit="1" customWidth="1"/>
    <col min="6" max="6" width="11.875" style="204" bestFit="1" customWidth="1"/>
    <col min="7" max="7" width="11.75" style="204" bestFit="1" customWidth="1"/>
    <col min="8" max="8" width="10.75" style="204" bestFit="1" customWidth="1"/>
    <col min="9" max="9" width="14" style="204" customWidth="1"/>
    <col min="10" max="10" width="11.75" style="204" bestFit="1" customWidth="1"/>
    <col min="11" max="11" width="10.125" style="204" bestFit="1" customWidth="1"/>
    <col min="12" max="13" width="11.125" style="204" customWidth="1"/>
    <col min="14" max="14" width="11.25" style="204" bestFit="1" customWidth="1"/>
    <col min="15" max="16" width="11.125" style="204" customWidth="1"/>
    <col min="17" max="17" width="9.375" style="204" bestFit="1" customWidth="1"/>
    <col min="18" max="18" width="14.125" style="204" bestFit="1" customWidth="1"/>
    <col min="19" max="19" width="10.5" style="204" bestFit="1" customWidth="1"/>
    <col min="20" max="49" width="9" style="204"/>
    <col min="50" max="224" width="9" style="207"/>
    <col min="225" max="16384" width="9" style="204"/>
  </cols>
  <sheetData>
    <row r="1" spans="1:225" ht="15.75">
      <c r="P1" s="206" t="s">
        <v>319</v>
      </c>
    </row>
    <row r="2" spans="1:225" ht="15.75">
      <c r="P2" s="206" t="s">
        <v>320</v>
      </c>
    </row>
    <row r="3" spans="1:225">
      <c r="A3" s="208" t="s">
        <v>239</v>
      </c>
      <c r="B3" s="208"/>
      <c r="C3" s="208"/>
      <c r="D3" s="209"/>
      <c r="E3" s="209"/>
      <c r="F3" s="210"/>
      <c r="G3" s="209"/>
      <c r="H3" s="209"/>
      <c r="I3" s="209"/>
      <c r="J3" s="210"/>
      <c r="K3" s="210"/>
      <c r="L3" s="210"/>
      <c r="M3" s="210"/>
      <c r="N3" s="210"/>
      <c r="O3" s="209"/>
      <c r="P3" s="209"/>
    </row>
    <row r="4" spans="1:225">
      <c r="A4" s="208" t="s">
        <v>315</v>
      </c>
      <c r="B4" s="209"/>
      <c r="C4" s="209"/>
      <c r="D4" s="209"/>
      <c r="E4" s="209"/>
      <c r="F4" s="210"/>
      <c r="G4" s="209"/>
      <c r="H4" s="210"/>
      <c r="I4" s="210"/>
      <c r="J4" s="210"/>
      <c r="K4" s="210"/>
      <c r="L4" s="210"/>
      <c r="M4" s="210"/>
      <c r="N4" s="210"/>
      <c r="O4" s="209"/>
      <c r="P4" s="209"/>
    </row>
    <row r="5" spans="1:225">
      <c r="A5" s="208" t="s">
        <v>316</v>
      </c>
      <c r="B5" s="209"/>
      <c r="C5" s="209"/>
      <c r="D5" s="209"/>
      <c r="E5" s="209"/>
      <c r="F5" s="210"/>
      <c r="G5" s="209"/>
      <c r="H5" s="210"/>
      <c r="I5" s="210"/>
      <c r="J5" s="210"/>
      <c r="K5" s="210"/>
      <c r="L5" s="210"/>
      <c r="M5" s="210"/>
      <c r="N5" s="210"/>
      <c r="O5" s="209"/>
      <c r="P5" s="209"/>
    </row>
    <row r="6" spans="1:225">
      <c r="A6" s="208" t="s">
        <v>317</v>
      </c>
      <c r="B6" s="209"/>
      <c r="C6" s="209"/>
      <c r="D6" s="209"/>
      <c r="E6" s="209"/>
      <c r="F6" s="210"/>
      <c r="G6" s="209"/>
      <c r="H6" s="210"/>
      <c r="I6" s="210"/>
      <c r="J6" s="210"/>
      <c r="K6" s="210"/>
      <c r="L6" s="210"/>
      <c r="M6" s="210"/>
      <c r="N6" s="210"/>
      <c r="O6" s="210"/>
      <c r="P6" s="209"/>
      <c r="Q6" s="211"/>
      <c r="R6" s="211"/>
      <c r="U6" s="204" t="s">
        <v>321</v>
      </c>
    </row>
    <row r="7" spans="1:225">
      <c r="A7" s="208" t="s">
        <v>318</v>
      </c>
      <c r="B7" s="209"/>
      <c r="C7" s="208"/>
      <c r="D7" s="209"/>
      <c r="E7" s="209"/>
      <c r="F7" s="210"/>
      <c r="G7" s="209"/>
      <c r="H7" s="210"/>
      <c r="I7" s="210"/>
      <c r="J7" s="210"/>
      <c r="K7" s="210"/>
      <c r="L7" s="210"/>
      <c r="M7" s="210"/>
      <c r="N7" s="210"/>
      <c r="O7" s="210"/>
      <c r="P7" s="209"/>
      <c r="Q7" s="211"/>
      <c r="R7" s="211"/>
    </row>
    <row r="8" spans="1:225">
      <c r="A8" s="212"/>
      <c r="B8" s="212"/>
      <c r="C8" s="212"/>
      <c r="D8" s="213"/>
      <c r="E8" s="214"/>
      <c r="F8" s="215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6"/>
      <c r="AX8" s="204"/>
      <c r="HQ8" s="207"/>
    </row>
    <row r="9" spans="1:225">
      <c r="A9" s="212"/>
      <c r="B9" s="212"/>
      <c r="C9" s="212"/>
      <c r="D9" s="217"/>
      <c r="E9" s="213" t="s">
        <v>322</v>
      </c>
      <c r="F9" s="213"/>
      <c r="G9" s="213" t="s">
        <v>323</v>
      </c>
      <c r="H9" s="213" t="s">
        <v>323</v>
      </c>
      <c r="I9" s="213" t="s">
        <v>324</v>
      </c>
      <c r="J9" s="213" t="s">
        <v>323</v>
      </c>
      <c r="K9" s="213"/>
      <c r="L9" s="213" t="s">
        <v>325</v>
      </c>
      <c r="M9" s="213" t="s">
        <v>326</v>
      </c>
      <c r="N9" s="213" t="s">
        <v>323</v>
      </c>
      <c r="O9" s="213"/>
      <c r="P9" s="213"/>
      <c r="Q9" s="216"/>
      <c r="AX9" s="204"/>
      <c r="HQ9" s="207"/>
    </row>
    <row r="10" spans="1:225">
      <c r="A10" s="213" t="s">
        <v>327</v>
      </c>
      <c r="B10" s="212"/>
      <c r="C10" s="212"/>
      <c r="D10" s="217" t="s">
        <v>328</v>
      </c>
      <c r="E10" s="213" t="s">
        <v>329</v>
      </c>
      <c r="F10" s="213" t="s">
        <v>248</v>
      </c>
      <c r="G10" s="213" t="s">
        <v>330</v>
      </c>
      <c r="H10" s="213" t="s">
        <v>331</v>
      </c>
      <c r="I10" s="213" t="s">
        <v>332</v>
      </c>
      <c r="J10" s="213" t="s">
        <v>333</v>
      </c>
      <c r="K10" s="213" t="s">
        <v>266</v>
      </c>
      <c r="L10" s="213" t="s">
        <v>334</v>
      </c>
      <c r="M10" s="213" t="s">
        <v>332</v>
      </c>
      <c r="N10" s="213" t="s">
        <v>335</v>
      </c>
      <c r="O10" s="213" t="s">
        <v>336</v>
      </c>
      <c r="P10" s="213" t="s">
        <v>336</v>
      </c>
      <c r="Q10" s="216"/>
      <c r="AX10" s="204"/>
      <c r="HQ10" s="207"/>
    </row>
    <row r="11" spans="1:225">
      <c r="A11" s="218" t="s">
        <v>337</v>
      </c>
      <c r="B11" s="219"/>
      <c r="C11" s="218" t="s">
        <v>338</v>
      </c>
      <c r="D11" s="220" t="s">
        <v>339</v>
      </c>
      <c r="E11" s="218" t="s">
        <v>340</v>
      </c>
      <c r="F11" s="218" t="s">
        <v>341</v>
      </c>
      <c r="G11" s="218" t="s">
        <v>342</v>
      </c>
      <c r="H11" s="218" t="s">
        <v>343</v>
      </c>
      <c r="I11" s="218" t="s">
        <v>344</v>
      </c>
      <c r="J11" s="218" t="s">
        <v>345</v>
      </c>
      <c r="K11" s="218" t="s">
        <v>346</v>
      </c>
      <c r="L11" s="218" t="s">
        <v>347</v>
      </c>
      <c r="M11" s="218" t="s">
        <v>347</v>
      </c>
      <c r="N11" s="218" t="s">
        <v>348</v>
      </c>
      <c r="O11" s="218" t="s">
        <v>349</v>
      </c>
      <c r="P11" s="218" t="s">
        <v>350</v>
      </c>
      <c r="Q11" s="216"/>
      <c r="AX11" s="204"/>
      <c r="HQ11" s="207"/>
    </row>
    <row r="12" spans="1:225">
      <c r="A12" s="221"/>
      <c r="B12" s="214"/>
      <c r="C12" s="214"/>
      <c r="D12" s="222"/>
      <c r="E12" s="215"/>
      <c r="F12" s="22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16"/>
      <c r="R12" s="211"/>
      <c r="S12" s="211"/>
      <c r="AX12" s="204"/>
      <c r="HQ12" s="207"/>
    </row>
    <row r="13" spans="1:225">
      <c r="A13" s="213" t="s">
        <v>351</v>
      </c>
      <c r="B13" s="212" t="s">
        <v>352</v>
      </c>
      <c r="C13" s="212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16"/>
      <c r="R13" s="211"/>
      <c r="S13" s="211"/>
      <c r="AX13" s="204"/>
      <c r="HQ13" s="207"/>
    </row>
    <row r="14" spans="1:225">
      <c r="A14" s="213"/>
      <c r="B14" s="212"/>
      <c r="C14" s="212" t="s">
        <v>353</v>
      </c>
      <c r="D14" s="225" t="s">
        <v>354</v>
      </c>
      <c r="E14" s="227">
        <v>196905820</v>
      </c>
      <c r="F14" s="226">
        <f>+$E14*'Allocator-2012'!F$47</f>
        <v>68283145.989649832</v>
      </c>
      <c r="G14" s="226">
        <f>+$E14*'Allocator-2012'!G$47</f>
        <v>55518902.273175381</v>
      </c>
      <c r="H14" s="226">
        <f>+$E14*'Allocator-2012'!H$47</f>
        <v>16810210.991657585</v>
      </c>
      <c r="I14" s="226">
        <f>+$E14*'Allocator-2012'!I$47</f>
        <v>408210.39562234131</v>
      </c>
      <c r="J14" s="226">
        <f>+$E14*'Allocator-2012'!J$47</f>
        <v>33476891.028154746</v>
      </c>
      <c r="K14" s="226">
        <f>+$E14*'Allocator-2012'!K$47</f>
        <v>1481447.159512542</v>
      </c>
      <c r="L14" s="226">
        <f>+$E14*'Allocator-2012'!L$47</f>
        <v>41887.937263614367</v>
      </c>
      <c r="M14" s="226">
        <f>+$E14*'Allocator-2012'!M$47</f>
        <v>75885.262278284776</v>
      </c>
      <c r="N14" s="226">
        <f>+$E14*'Allocator-2012'!N$47</f>
        <v>13601217.137345592</v>
      </c>
      <c r="O14" s="226">
        <f>+$E14*'Allocator-2012'!O$47</f>
        <v>3794300.280277262</v>
      </c>
      <c r="P14" s="226">
        <f>+$E14*'Allocator-2012'!P$47</f>
        <v>3413721.5450628004</v>
      </c>
      <c r="Q14" s="216">
        <f>SUM(F14:P14)-E14</f>
        <v>0</v>
      </c>
      <c r="R14" s="211"/>
      <c r="S14" s="211"/>
      <c r="AX14" s="204"/>
      <c r="HQ14" s="207"/>
    </row>
    <row r="15" spans="1:225">
      <c r="A15" s="213"/>
      <c r="B15" s="212"/>
      <c r="C15" s="212"/>
      <c r="D15" s="217"/>
      <c r="E15" s="228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6"/>
      <c r="R15" s="211"/>
      <c r="S15" s="211"/>
      <c r="AX15" s="204"/>
      <c r="HQ15" s="207"/>
    </row>
    <row r="16" spans="1:225">
      <c r="A16" s="213" t="s">
        <v>355</v>
      </c>
      <c r="B16" s="212" t="s">
        <v>356</v>
      </c>
      <c r="C16" s="212"/>
      <c r="D16" s="21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16"/>
      <c r="R16" s="211"/>
      <c r="S16" s="211"/>
      <c r="AX16" s="204"/>
      <c r="HQ16" s="207"/>
    </row>
    <row r="17" spans="1:225">
      <c r="A17" s="213"/>
      <c r="B17" s="212"/>
      <c r="C17" s="212" t="s">
        <v>353</v>
      </c>
      <c r="D17" s="217" t="s">
        <v>354</v>
      </c>
      <c r="E17" s="227">
        <v>27307458</v>
      </c>
      <c r="F17" s="226">
        <f>+$E17*'Allocator-2012'!F$47</f>
        <v>9469700.4954969399</v>
      </c>
      <c r="G17" s="226">
        <f>+$E17*'Allocator-2012'!G$47</f>
        <v>7699518.9478444131</v>
      </c>
      <c r="H17" s="226">
        <f>+$E17*'Allocator-2012'!H$47</f>
        <v>2331287.7731385888</v>
      </c>
      <c r="I17" s="226">
        <f>+$E17*'Allocator-2012'!I$47</f>
        <v>56611.77629803156</v>
      </c>
      <c r="J17" s="226">
        <f>+$E17*'Allocator-2012'!J$47</f>
        <v>4642670.2660282589</v>
      </c>
      <c r="K17" s="226">
        <f>+$E17*'Allocator-2012'!K$47</f>
        <v>205451.29690736433</v>
      </c>
      <c r="L17" s="226">
        <f>+$E17*'Allocator-2012'!L$47</f>
        <v>5809.1380312312976</v>
      </c>
      <c r="M17" s="226">
        <f>+$E17*'Allocator-2012'!M$47</f>
        <v>10523.983559669519</v>
      </c>
      <c r="N17" s="226">
        <f>+$E17*'Allocator-2012'!N$47</f>
        <v>1886255.3972601977</v>
      </c>
      <c r="O17" s="226">
        <f>+$E17*'Allocator-2012'!O$47</f>
        <v>526204.33232019015</v>
      </c>
      <c r="P17" s="226">
        <f>+$E17*'Allocator-2012'!P$47</f>
        <v>473424.59311511222</v>
      </c>
      <c r="Q17" s="216">
        <f t="shared" ref="Q17:Q35" si="0">SUM(F17:P17)-E17</f>
        <v>0</v>
      </c>
      <c r="R17" s="211"/>
      <c r="S17" s="211"/>
      <c r="AX17" s="204"/>
      <c r="HQ17" s="207"/>
    </row>
    <row r="18" spans="1:225">
      <c r="A18" s="213"/>
      <c r="B18" s="212"/>
      <c r="C18" s="212" t="s">
        <v>357</v>
      </c>
      <c r="D18" s="217" t="s">
        <v>358</v>
      </c>
      <c r="E18" s="227">
        <v>4910417.512868817</v>
      </c>
      <c r="F18" s="226">
        <f>+$E18*'Allocator-2012'!F$49</f>
        <v>1476951.6246772183</v>
      </c>
      <c r="G18" s="226">
        <f>+$E18*'Allocator-2012'!G$49</f>
        <v>1347123.5874790256</v>
      </c>
      <c r="H18" s="226">
        <f>+$E18*'Allocator-2012'!H$49</f>
        <v>458398.33033300517</v>
      </c>
      <c r="I18" s="226">
        <f>+$E18*'Allocator-2012'!I$49</f>
        <v>18951.227382298457</v>
      </c>
      <c r="J18" s="226">
        <f>+$E18*'Allocator-2012'!J$49</f>
        <v>976836.53846943111</v>
      </c>
      <c r="K18" s="226">
        <f>+$E18*'Allocator-2012'!K$49</f>
        <v>41768.846769153191</v>
      </c>
      <c r="L18" s="226">
        <f>+$E18*'Allocator-2012'!L$49</f>
        <v>1262.9596058585639</v>
      </c>
      <c r="M18" s="226">
        <f>+$E18*'Allocator-2012'!M$49</f>
        <v>3505.4530665767752</v>
      </c>
      <c r="N18" s="226">
        <f>+$E18*'Allocator-2012'!N$49</f>
        <v>316550.70051933406</v>
      </c>
      <c r="O18" s="226">
        <f>+$E18*'Allocator-2012'!O$49</f>
        <v>115999.84613480409</v>
      </c>
      <c r="P18" s="226">
        <f>+$E18*'Allocator-2012'!P$49</f>
        <v>153068.39843211128</v>
      </c>
      <c r="Q18" s="216">
        <f t="shared" si="0"/>
        <v>0</v>
      </c>
      <c r="R18" s="211"/>
      <c r="S18" s="211"/>
      <c r="AX18" s="204"/>
      <c r="HQ18" s="207"/>
    </row>
    <row r="19" spans="1:225">
      <c r="A19" s="213"/>
      <c r="B19" s="212"/>
      <c r="C19" s="212"/>
      <c r="D19" s="217"/>
      <c r="E19" s="227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16"/>
      <c r="R19" s="211"/>
      <c r="S19" s="211"/>
      <c r="AX19" s="204"/>
      <c r="HQ19" s="207"/>
    </row>
    <row r="20" spans="1:225">
      <c r="A20" s="213" t="s">
        <v>359</v>
      </c>
      <c r="B20" s="212" t="s">
        <v>360</v>
      </c>
      <c r="C20" s="212"/>
      <c r="D20" s="225" t="s">
        <v>358</v>
      </c>
      <c r="E20" s="227">
        <v>294771805</v>
      </c>
      <c r="F20" s="226">
        <f>+$E20*'Allocator-2012'!F$49</f>
        <v>88661238.105073735</v>
      </c>
      <c r="G20" s="226">
        <f>+$E20*'Allocator-2012'!G$49</f>
        <v>80867675.793065757</v>
      </c>
      <c r="H20" s="226">
        <f>+$E20*'Allocator-2012'!H$49</f>
        <v>27517599.651583035</v>
      </c>
      <c r="I20" s="226">
        <f>+$E20*'Allocator-2012'!I$49</f>
        <v>1137640.0250702633</v>
      </c>
      <c r="J20" s="226">
        <f>+$E20*'Allocator-2012'!J$49</f>
        <v>58639386.341378637</v>
      </c>
      <c r="K20" s="226">
        <f>+$E20*'Allocator-2012'!K$49</f>
        <v>2507379.12257862</v>
      </c>
      <c r="L20" s="226">
        <f>+$E20*'Allocator-2012'!L$49</f>
        <v>75815.321545543527</v>
      </c>
      <c r="M20" s="226">
        <f>+$E20*'Allocator-2012'!M$49</f>
        <v>210431.9490286948</v>
      </c>
      <c r="N20" s="226">
        <f>+$E20*'Allocator-2012'!N$49</f>
        <v>19002502.561454054</v>
      </c>
      <c r="O20" s="226">
        <f>+$E20*'Allocator-2012'!O$49</f>
        <v>6963457.5746903429</v>
      </c>
      <c r="P20" s="226">
        <f>+$E20*'Allocator-2012'!P$49</f>
        <v>9188678.5545312986</v>
      </c>
      <c r="Q20" s="216">
        <f t="shared" si="0"/>
        <v>0</v>
      </c>
      <c r="R20" s="211"/>
      <c r="S20" s="211"/>
      <c r="AX20" s="204"/>
      <c r="HQ20" s="207"/>
    </row>
    <row r="21" spans="1:225">
      <c r="A21" s="213"/>
      <c r="B21" s="212"/>
      <c r="C21" s="229" t="s">
        <v>361</v>
      </c>
      <c r="D21" s="217" t="s">
        <v>358</v>
      </c>
      <c r="E21" s="227">
        <v>23419803.277612053</v>
      </c>
      <c r="F21" s="226">
        <f>+$E21*'Allocator-2012'!F$49</f>
        <v>7044190.5214453889</v>
      </c>
      <c r="G21" s="226">
        <f>+$E21*'Allocator-2012'!G$49</f>
        <v>6424987.147571017</v>
      </c>
      <c r="H21" s="226">
        <f>+$E21*'Allocator-2012'!H$49</f>
        <v>2186290.4103469485</v>
      </c>
      <c r="I21" s="226">
        <f>+$E21*'Allocator-2012'!I$49</f>
        <v>90386.207689989926</v>
      </c>
      <c r="J21" s="226">
        <f>+$E21*'Allocator-2012'!J$49</f>
        <v>4658935.7229568781</v>
      </c>
      <c r="K21" s="226">
        <f>+$E21*'Allocator-2012'!K$49</f>
        <v>199212.83106836761</v>
      </c>
      <c r="L21" s="226">
        <f>+$E21*'Allocator-2012'!L$49</f>
        <v>6023.5744596588265</v>
      </c>
      <c r="M21" s="226">
        <f>+$E21*'Allocator-2012'!M$49</f>
        <v>16718.949254921172</v>
      </c>
      <c r="N21" s="226">
        <f>+$E21*'Allocator-2012'!N$49</f>
        <v>1509760.6495016478</v>
      </c>
      <c r="O21" s="226">
        <f>+$E21*'Allocator-2012'!O$49</f>
        <v>553251.03610654129</v>
      </c>
      <c r="P21" s="226">
        <f>+$E21*'Allocator-2012'!P$49</f>
        <v>730046.22721069166</v>
      </c>
      <c r="Q21" s="216">
        <f t="shared" si="0"/>
        <v>0</v>
      </c>
      <c r="R21" s="211"/>
      <c r="S21" s="211"/>
      <c r="AX21" s="204"/>
      <c r="HQ21" s="207"/>
    </row>
    <row r="22" spans="1:225">
      <c r="A22" s="213"/>
      <c r="B22" s="212"/>
      <c r="C22" s="212"/>
      <c r="D22" s="217"/>
      <c r="E22" s="230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6"/>
      <c r="AX22" s="204"/>
      <c r="HQ22" s="207"/>
    </row>
    <row r="23" spans="1:225">
      <c r="A23" s="213" t="s">
        <v>362</v>
      </c>
      <c r="B23" s="212" t="s">
        <v>363</v>
      </c>
      <c r="C23" s="212"/>
      <c r="D23" s="225" t="s">
        <v>358</v>
      </c>
      <c r="E23" s="227">
        <v>1496421</v>
      </c>
      <c r="F23" s="226">
        <f>+$E23*'Allocator-2012'!F$49</f>
        <v>450092.36411342851</v>
      </c>
      <c r="G23" s="226">
        <f>+$E23*'Allocator-2012'!G$49</f>
        <v>410528.02956488746</v>
      </c>
      <c r="H23" s="226">
        <f>+$E23*'Allocator-2012'!H$49</f>
        <v>139694.20850213792</v>
      </c>
      <c r="I23" s="226">
        <f>+$E23*'Allocator-2012'!I$49</f>
        <v>5775.2756372193344</v>
      </c>
      <c r="J23" s="226">
        <f>+$E23*'Allocator-2012'!J$49</f>
        <v>297685.21839581017</v>
      </c>
      <c r="K23" s="226">
        <f>+$E23*'Allocator-2012'!K$49</f>
        <v>12728.811610690585</v>
      </c>
      <c r="L23" s="226">
        <f>+$E23*'Allocator-2012'!L$49</f>
        <v>384.87954871567109</v>
      </c>
      <c r="M23" s="226">
        <f>+$E23*'Allocator-2012'!M$49</f>
        <v>1068.26630721167</v>
      </c>
      <c r="N23" s="226">
        <f>+$E23*'Allocator-2012'!N$49</f>
        <v>96466.973445827476</v>
      </c>
      <c r="O23" s="226">
        <f>+$E23*'Allocator-2012'!O$49</f>
        <v>35350.274248161884</v>
      </c>
      <c r="P23" s="226">
        <f>+$E23*'Allocator-2012'!P$49</f>
        <v>46646.698625909223</v>
      </c>
      <c r="Q23" s="216">
        <f t="shared" si="0"/>
        <v>0</v>
      </c>
      <c r="R23" s="211"/>
      <c r="S23" s="211"/>
      <c r="AX23" s="204"/>
      <c r="HQ23" s="207"/>
    </row>
    <row r="24" spans="1:225">
      <c r="A24" s="213"/>
      <c r="B24" s="212"/>
      <c r="C24" s="212"/>
      <c r="D24" s="217"/>
      <c r="E24" s="230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  <c r="AX24" s="204"/>
      <c r="HQ24" s="207"/>
    </row>
    <row r="25" spans="1:225">
      <c r="A25" s="213" t="s">
        <v>364</v>
      </c>
      <c r="B25" s="212" t="s">
        <v>365</v>
      </c>
      <c r="C25" s="212"/>
      <c r="D25" s="217" t="s">
        <v>358</v>
      </c>
      <c r="E25" s="227">
        <v>153144261</v>
      </c>
      <c r="F25" s="226">
        <f>+$E25*'Allocator-2012'!F$49</f>
        <v>46062613.718929321</v>
      </c>
      <c r="G25" s="226">
        <f>+$E25*'Allocator-2012'!G$49</f>
        <v>42013585.553464465</v>
      </c>
      <c r="H25" s="226">
        <f>+$E25*'Allocator-2012'!H$49</f>
        <v>14296355.321824424</v>
      </c>
      <c r="I25" s="226">
        <f>+$E25*'Allocator-2012'!I$49</f>
        <v>591043.77680696745</v>
      </c>
      <c r="J25" s="226">
        <f>+$E25*'Allocator-2012'!J$49</f>
        <v>30465211.850040831</v>
      </c>
      <c r="K25" s="226">
        <f>+$E25*'Allocator-2012'!K$49</f>
        <v>1302671.1383543999</v>
      </c>
      <c r="L25" s="226">
        <f>+$E25*'Allocator-2012'!L$49</f>
        <v>39388.710838777952</v>
      </c>
      <c r="M25" s="226">
        <f>+$E25*'Allocator-2012'!M$49</f>
        <v>109326.7564202388</v>
      </c>
      <c r="N25" s="226">
        <f>+$E25*'Allocator-2012'!N$49</f>
        <v>9872464.6067302413</v>
      </c>
      <c r="O25" s="226">
        <f>+$E25*'Allocator-2012'!O$49</f>
        <v>3617759.725292603</v>
      </c>
      <c r="P25" s="226">
        <f>+$E25*'Allocator-2012'!P$49</f>
        <v>4773839.8412977252</v>
      </c>
      <c r="Q25" s="216">
        <f t="shared" si="0"/>
        <v>0</v>
      </c>
      <c r="R25" s="211"/>
      <c r="S25" s="211"/>
      <c r="AX25" s="204"/>
      <c r="HQ25" s="207"/>
    </row>
    <row r="26" spans="1:225">
      <c r="A26" s="213"/>
      <c r="B26" s="212"/>
      <c r="C26" s="229" t="s">
        <v>366</v>
      </c>
      <c r="D26" s="217" t="s">
        <v>358</v>
      </c>
      <c r="E26" s="227">
        <v>8933492.867324207</v>
      </c>
      <c r="F26" s="226">
        <f>+$E26*'Allocator-2012'!F$49</f>
        <v>2687009.1534697814</v>
      </c>
      <c r="G26" s="226">
        <f>+$E26*'Allocator-2012'!G$49</f>
        <v>2450813.7910084017</v>
      </c>
      <c r="H26" s="226">
        <f>+$E26*'Allocator-2012'!H$49</f>
        <v>833961.30852236738</v>
      </c>
      <c r="I26" s="226">
        <f>+$E26*'Allocator-2012'!I$49</f>
        <v>34477.853299258823</v>
      </c>
      <c r="J26" s="226">
        <f>+$E26*'Allocator-2012'!J$49</f>
        <v>1777152.803420173</v>
      </c>
      <c r="K26" s="226">
        <f>+$E26*'Allocator-2012'!K$49</f>
        <v>75989.810176158921</v>
      </c>
      <c r="L26" s="226">
        <f>+$E26*'Allocator-2012'!L$49</f>
        <v>2297.6947685380032</v>
      </c>
      <c r="M26" s="226">
        <f>+$E26*'Allocator-2012'!M$49</f>
        <v>6377.4495518829417</v>
      </c>
      <c r="N26" s="226">
        <f>+$E26*'Allocator-2012'!N$49</f>
        <v>575898.77394840994</v>
      </c>
      <c r="O26" s="226">
        <f>+$E26*'Allocator-2012'!O$49</f>
        <v>211037.81813668</v>
      </c>
      <c r="P26" s="226">
        <f>+$E26*'Allocator-2012'!P$49</f>
        <v>278476.41102255444</v>
      </c>
      <c r="Q26" s="216">
        <f t="shared" si="0"/>
        <v>0</v>
      </c>
      <c r="AX26" s="204"/>
      <c r="HQ26" s="207"/>
    </row>
    <row r="27" spans="1:225">
      <c r="A27" s="213"/>
      <c r="B27" s="212"/>
      <c r="C27" s="212"/>
      <c r="D27" s="217"/>
      <c r="E27" s="230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6"/>
      <c r="R27" s="211"/>
      <c r="S27" s="211"/>
      <c r="AX27" s="204"/>
      <c r="HQ27" s="207"/>
    </row>
    <row r="28" spans="1:225">
      <c r="A28" s="213" t="s">
        <v>367</v>
      </c>
      <c r="B28" s="212" t="s">
        <v>368</v>
      </c>
      <c r="C28" s="212"/>
      <c r="D28" s="225"/>
      <c r="E28" s="227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16"/>
      <c r="AX28" s="204"/>
      <c r="HQ28" s="207"/>
    </row>
    <row r="29" spans="1:225">
      <c r="A29" s="213"/>
      <c r="B29" s="212"/>
      <c r="C29" s="212" t="s">
        <v>353</v>
      </c>
      <c r="D29" s="225" t="s">
        <v>354</v>
      </c>
      <c r="E29" s="227">
        <v>280635059</v>
      </c>
      <c r="F29" s="226">
        <f>+$E29*'Allocator-2012'!F$47</f>
        <v>97318833.458101928</v>
      </c>
      <c r="G29" s="226">
        <f>+$E29*'Allocator-2012'!G$47</f>
        <v>79126916.690668702</v>
      </c>
      <c r="H29" s="226">
        <f>+$E29*'Allocator-2012'!H$47</f>
        <v>23958329.690032903</v>
      </c>
      <c r="I29" s="226">
        <f>+$E29*'Allocator-2012'!I$47</f>
        <v>581791.58168046572</v>
      </c>
      <c r="J29" s="226">
        <f>+$E29*'Allocator-2012'!J$47</f>
        <v>47712095.50242231</v>
      </c>
      <c r="K29" s="226">
        <f>+$E29*'Allocator-2012'!K$47</f>
        <v>2111395.2396896374</v>
      </c>
      <c r="L29" s="226">
        <f>+$E29*'Allocator-2012'!L$47</f>
        <v>59699.727236923303</v>
      </c>
      <c r="M29" s="226">
        <f>+$E29*'Allocator-2012'!M$47</f>
        <v>108153.55816652307</v>
      </c>
      <c r="N29" s="226">
        <f>+$E29*'Allocator-2012'!N$47</f>
        <v>19384792.048354849</v>
      </c>
      <c r="O29" s="226">
        <f>+$E29*'Allocator-2012'!O$47</f>
        <v>5407730.8787486618</v>
      </c>
      <c r="P29" s="226">
        <f>+$E29*'Allocator-2012'!P$47</f>
        <v>4865320.6248970702</v>
      </c>
      <c r="Q29" s="216">
        <f t="shared" si="0"/>
        <v>0</v>
      </c>
      <c r="R29" s="211"/>
      <c r="S29" s="211"/>
      <c r="AX29" s="204"/>
      <c r="HQ29" s="207"/>
    </row>
    <row r="30" spans="1:225">
      <c r="A30" s="213"/>
      <c r="B30" s="212"/>
      <c r="C30" s="212" t="s">
        <v>357</v>
      </c>
      <c r="D30" s="217" t="s">
        <v>358</v>
      </c>
      <c r="E30" s="227">
        <v>12154101</v>
      </c>
      <c r="F30" s="226">
        <f>+$E30*'Allocator-2012'!F$49</f>
        <v>3655701.2049171897</v>
      </c>
      <c r="G30" s="226">
        <f>+$E30*'Allocator-2012'!G$49</f>
        <v>3334355.1946027409</v>
      </c>
      <c r="H30" s="226">
        <f>+$E30*'Allocator-2012'!H$49</f>
        <v>1134612.1975366843</v>
      </c>
      <c r="I30" s="226">
        <f>+$E30*'Allocator-2012'!I$49</f>
        <v>46907.443425081008</v>
      </c>
      <c r="J30" s="226">
        <f>+$E30*'Allocator-2012'!J$49</f>
        <v>2417833.0901462454</v>
      </c>
      <c r="K30" s="226">
        <f>+$E30*'Allocator-2012'!K$49</f>
        <v>103384.8508717173</v>
      </c>
      <c r="L30" s="226">
        <f>+$E30*'Allocator-2012'!L$49</f>
        <v>3126.0353255699342</v>
      </c>
      <c r="M30" s="226">
        <f>+$E30*'Allocator-2012'!M$49</f>
        <v>8676.5800484941501</v>
      </c>
      <c r="N30" s="226">
        <f>+$E30*'Allocator-2012'!N$49</f>
        <v>783515.69406263693</v>
      </c>
      <c r="O30" s="226">
        <f>+$E30*'Allocator-2012'!O$49</f>
        <v>287118.93483843026</v>
      </c>
      <c r="P30" s="226">
        <f>+$E30*'Allocator-2012'!P$49</f>
        <v>378869.77422520926</v>
      </c>
      <c r="Q30" s="216">
        <f t="shared" si="0"/>
        <v>0</v>
      </c>
      <c r="AX30" s="204"/>
      <c r="HQ30" s="207"/>
    </row>
    <row r="31" spans="1:225">
      <c r="A31" s="213"/>
      <c r="B31" s="212"/>
      <c r="C31" s="212"/>
      <c r="D31" s="217"/>
      <c r="E31" s="230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  <c r="R31" s="211"/>
      <c r="S31" s="211"/>
      <c r="AX31" s="204"/>
      <c r="HQ31" s="207"/>
    </row>
    <row r="32" spans="1:225">
      <c r="A32" s="213" t="s">
        <v>369</v>
      </c>
      <c r="B32" s="212" t="s">
        <v>370</v>
      </c>
      <c r="C32" s="212"/>
      <c r="D32" s="225" t="s">
        <v>354</v>
      </c>
      <c r="E32" s="227">
        <v>55768007</v>
      </c>
      <c r="F32" s="226">
        <f>+$E32*'Allocator-2012'!F$47</f>
        <v>19339270.741376836</v>
      </c>
      <c r="G32" s="226">
        <f>+$E32*'Allocator-2012'!G$47</f>
        <v>15724159.553042976</v>
      </c>
      <c r="H32" s="226">
        <f>+$E32*'Allocator-2012'!H$47</f>
        <v>4761017.0397921056</v>
      </c>
      <c r="I32" s="226">
        <f>+$E32*'Allocator-2012'!I$47</f>
        <v>115614.05447812309</v>
      </c>
      <c r="J32" s="226">
        <f>+$E32*'Allocator-2012'!J$47</f>
        <v>9481382.9941459876</v>
      </c>
      <c r="K32" s="226">
        <f>+$E32*'Allocator-2012'!K$47</f>
        <v>419578.02751500969</v>
      </c>
      <c r="L32" s="226">
        <f>+$E32*'Allocator-2012'!L$47</f>
        <v>11863.574060598143</v>
      </c>
      <c r="M32" s="226">
        <f>+$E32*'Allocator-2012'!M$47</f>
        <v>21492.355268789015</v>
      </c>
      <c r="N32" s="226">
        <f>+$E32*'Allocator-2012'!N$47</f>
        <v>3852160.2486102693</v>
      </c>
      <c r="O32" s="226">
        <f>+$E32*'Allocator-2012'!O$47</f>
        <v>1074628.2897610862</v>
      </c>
      <c r="P32" s="226">
        <f>+$E32*'Allocator-2012'!P$47</f>
        <v>966840.1219482139</v>
      </c>
      <c r="Q32" s="216">
        <f t="shared" si="0"/>
        <v>0</v>
      </c>
      <c r="AX32" s="204"/>
      <c r="HQ32" s="207"/>
    </row>
    <row r="33" spans="1:225">
      <c r="A33" s="213"/>
      <c r="B33" s="212" t="s">
        <v>357</v>
      </c>
      <c r="C33" s="214"/>
      <c r="D33" s="225" t="s">
        <v>358</v>
      </c>
      <c r="E33" s="231">
        <v>2584592</v>
      </c>
      <c r="F33" s="232">
        <f>+$E33*'Allocator-2012'!F$49</f>
        <v>777391.60540292761</v>
      </c>
      <c r="G33" s="232">
        <f>+$E33*'Allocator-2012'!G$49</f>
        <v>709056.78347816004</v>
      </c>
      <c r="H33" s="232">
        <f>+$E33*'Allocator-2012'!H$49</f>
        <v>241277.37698211774</v>
      </c>
      <c r="I33" s="232">
        <f>+$E33*'Allocator-2012'!I$49</f>
        <v>9974.9543809876996</v>
      </c>
      <c r="J33" s="232">
        <f>+$E33*'Allocator-2012'!J$49</f>
        <v>514156.6671304825</v>
      </c>
      <c r="K33" s="232">
        <f>+$E33*'Allocator-2012'!K$49</f>
        <v>21984.979266194474</v>
      </c>
      <c r="L33" s="232">
        <f>+$E33*'Allocator-2012'!L$49</f>
        <v>664.75717901187818</v>
      </c>
      <c r="M33" s="232">
        <f>+$E33*'Allocator-2012'!M$49</f>
        <v>1845.0907541987347</v>
      </c>
      <c r="N33" s="232">
        <f>+$E33*'Allocator-2012'!N$49</f>
        <v>166616.05780211461</v>
      </c>
      <c r="O33" s="232">
        <f>+$E33*'Allocator-2012'!O$49</f>
        <v>61056.37118137558</v>
      </c>
      <c r="P33" s="232">
        <f>+$E33*'Allocator-2012'!P$49</f>
        <v>80567.356442428936</v>
      </c>
      <c r="Q33" s="216">
        <f t="shared" si="0"/>
        <v>0</v>
      </c>
      <c r="AX33" s="204"/>
      <c r="HQ33" s="207"/>
    </row>
    <row r="34" spans="1:225">
      <c r="A34" s="213"/>
      <c r="B34" s="212"/>
      <c r="C34" s="212"/>
      <c r="D34" s="212"/>
      <c r="E34" s="233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16"/>
      <c r="AX34" s="204"/>
      <c r="HQ34" s="207"/>
    </row>
    <row r="35" spans="1:225">
      <c r="A35" s="205"/>
      <c r="B35" s="235"/>
      <c r="C35" s="235" t="s">
        <v>371</v>
      </c>
      <c r="E35" s="236">
        <f>-E14-E17-E18+SUM(E20:E33)</f>
        <v>603783846.63206744</v>
      </c>
      <c r="F35" s="236">
        <f t="shared" ref="F35:P35" si="1">-F14-F17-F18+SUM(F20:F33)</f>
        <v>186766542.76300657</v>
      </c>
      <c r="G35" s="236">
        <f t="shared" si="1"/>
        <v>166496533.72796825</v>
      </c>
      <c r="H35" s="236">
        <f t="shared" si="1"/>
        <v>55469240.109993547</v>
      </c>
      <c r="I35" s="236">
        <f t="shared" si="1"/>
        <v>2129837.7731656851</v>
      </c>
      <c r="J35" s="236">
        <f t="shared" si="1"/>
        <v>116867442.35738491</v>
      </c>
      <c r="K35" s="236">
        <f t="shared" si="1"/>
        <v>5025657.5079417368</v>
      </c>
      <c r="L35" s="236">
        <f t="shared" si="1"/>
        <v>150304.24006263303</v>
      </c>
      <c r="M35" s="236">
        <f t="shared" si="1"/>
        <v>394176.25589642319</v>
      </c>
      <c r="N35" s="236">
        <f t="shared" si="1"/>
        <v>39440154.378784925</v>
      </c>
      <c r="O35" s="236">
        <f t="shared" si="1"/>
        <v>13774886.444271626</v>
      </c>
      <c r="P35" s="236">
        <f t="shared" si="1"/>
        <v>17269071.073591076</v>
      </c>
      <c r="Q35" s="237">
        <f t="shared" si="0"/>
        <v>0</v>
      </c>
    </row>
    <row r="36" spans="1:225">
      <c r="A36" s="238"/>
      <c r="C36" s="235" t="s">
        <v>372</v>
      </c>
      <c r="E36" s="239">
        <f>+E35/$E$35</f>
        <v>1</v>
      </c>
      <c r="F36" s="239">
        <f>+F35/$E$35</f>
        <v>0.30932682913727894</v>
      </c>
      <c r="G36" s="239">
        <f t="shared" ref="G36:P36" si="2">+G35/$E$35</f>
        <v>0.27575519725592718</v>
      </c>
      <c r="H36" s="239">
        <f t="shared" si="2"/>
        <v>9.186936752184309E-2</v>
      </c>
      <c r="I36" s="239">
        <f t="shared" si="2"/>
        <v>3.5274838587451667E-3</v>
      </c>
      <c r="J36" s="239">
        <f t="shared" si="2"/>
        <v>0.19355841168868063</v>
      </c>
      <c r="K36" s="239">
        <f t="shared" si="2"/>
        <v>8.3236037796888297E-3</v>
      </c>
      <c r="L36" s="239">
        <f t="shared" si="2"/>
        <v>2.4893716667154415E-4</v>
      </c>
      <c r="M36" s="239">
        <f t="shared" si="2"/>
        <v>6.5284332811345563E-4</v>
      </c>
      <c r="N36" s="239">
        <f t="shared" si="2"/>
        <v>6.5321645484197402E-2</v>
      </c>
      <c r="O36" s="239">
        <f t="shared" si="2"/>
        <v>2.2814267922384047E-2</v>
      </c>
      <c r="P36" s="239">
        <f t="shared" si="2"/>
        <v>2.8601412856469589E-2</v>
      </c>
    </row>
    <row r="37" spans="1:225">
      <c r="E37" s="237"/>
    </row>
    <row r="38" spans="1:225">
      <c r="C38" s="235" t="s">
        <v>373</v>
      </c>
      <c r="D38" s="240">
        <v>0.75</v>
      </c>
      <c r="E38" s="241">
        <f>(-E14-E17+E29+E32)*$D$38</f>
        <v>84142341</v>
      </c>
      <c r="F38" s="241">
        <f>(-F14-F17+F29+F32)*$D$38</f>
        <v>29178943.285748988</v>
      </c>
      <c r="G38" s="241">
        <f>(-G14-G17+G29+G32)*$D$38</f>
        <v>23724491.267018914</v>
      </c>
      <c r="H38" s="241">
        <f>(-H14-H17+H29+H32)*$D$38</f>
        <v>7183385.9737716252</v>
      </c>
      <c r="I38" s="241">
        <f t="shared" ref="I38:P38" si="3">(-I14-I17+I29+I32)*$D$38</f>
        <v>174437.59817866195</v>
      </c>
      <c r="J38" s="241">
        <f t="shared" si="3"/>
        <v>14305437.901788974</v>
      </c>
      <c r="K38" s="241">
        <f t="shared" si="3"/>
        <v>633056.10808855563</v>
      </c>
      <c r="L38" s="241">
        <f t="shared" si="3"/>
        <v>17899.669502006836</v>
      </c>
      <c r="M38" s="241">
        <f t="shared" si="3"/>
        <v>32427.500698018346</v>
      </c>
      <c r="N38" s="241">
        <f t="shared" si="3"/>
        <v>5812109.8217694964</v>
      </c>
      <c r="O38" s="241">
        <f t="shared" si="3"/>
        <v>1621390.9169342215</v>
      </c>
      <c r="P38" s="241">
        <f t="shared" si="3"/>
        <v>1458760.9565005284</v>
      </c>
      <c r="Q38" s="237">
        <f t="shared" ref="Q38:Q43" si="4">SUM(F38:P38)-E38</f>
        <v>0</v>
      </c>
    </row>
    <row r="39" spans="1:225">
      <c r="C39" s="235"/>
      <c r="E39" s="242">
        <f t="shared" ref="E39:P39" si="5">+E38/E43</f>
        <v>0.13935838374833914</v>
      </c>
      <c r="F39" s="242">
        <f t="shared" si="5"/>
        <v>0.15623217549609508</v>
      </c>
      <c r="G39" s="242">
        <f t="shared" si="5"/>
        <v>0.14249240351022185</v>
      </c>
      <c r="H39" s="242">
        <f t="shared" si="5"/>
        <v>0.12950215217528172</v>
      </c>
      <c r="I39" s="242">
        <f t="shared" si="5"/>
        <v>8.1901823874306903E-2</v>
      </c>
      <c r="J39" s="242">
        <f t="shared" si="5"/>
        <v>0.1224073840688874</v>
      </c>
      <c r="K39" s="242">
        <f t="shared" si="5"/>
        <v>0.12596483287772317</v>
      </c>
      <c r="L39" s="242">
        <f t="shared" si="5"/>
        <v>0.11908958452900527</v>
      </c>
      <c r="M39" s="242">
        <f t="shared" si="5"/>
        <v>8.2266499346270228E-2</v>
      </c>
      <c r="N39" s="242">
        <f t="shared" si="5"/>
        <v>0.1473652908644765</v>
      </c>
      <c r="O39" s="242">
        <f t="shared" si="5"/>
        <v>0.11770630004782996</v>
      </c>
      <c r="P39" s="242">
        <f t="shared" si="5"/>
        <v>8.4472462374154872E-2</v>
      </c>
    </row>
    <row r="40" spans="1:225">
      <c r="C40" s="235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225">
      <c r="C41" s="235" t="s">
        <v>374</v>
      </c>
      <c r="D41" s="238"/>
      <c r="E41" s="243">
        <f t="shared" ref="E41:P41" si="6">+E35-E38</f>
        <v>519641505.63206744</v>
      </c>
      <c r="F41" s="243">
        <f t="shared" si="6"/>
        <v>157587599.47725758</v>
      </c>
      <c r="G41" s="243">
        <f t="shared" si="6"/>
        <v>142772042.46094933</v>
      </c>
      <c r="H41" s="243">
        <f t="shared" si="6"/>
        <v>48285854.136221923</v>
      </c>
      <c r="I41" s="243">
        <f t="shared" si="6"/>
        <v>1955400.1749870232</v>
      </c>
      <c r="J41" s="243">
        <f t="shared" si="6"/>
        <v>102562004.45559593</v>
      </c>
      <c r="K41" s="243">
        <f t="shared" si="6"/>
        <v>4392601.3998531811</v>
      </c>
      <c r="L41" s="243">
        <f t="shared" si="6"/>
        <v>132404.57056062619</v>
      </c>
      <c r="M41" s="243">
        <f t="shared" si="6"/>
        <v>361748.75519840483</v>
      </c>
      <c r="N41" s="243">
        <f t="shared" si="6"/>
        <v>33628044.557015426</v>
      </c>
      <c r="O41" s="243">
        <f t="shared" si="6"/>
        <v>12153495.527337404</v>
      </c>
      <c r="P41" s="243">
        <f t="shared" si="6"/>
        <v>15810310.117090547</v>
      </c>
      <c r="Q41" s="237">
        <f t="shared" si="4"/>
        <v>0</v>
      </c>
    </row>
    <row r="42" spans="1:225">
      <c r="C42" s="235"/>
      <c r="E42" s="244">
        <f t="shared" ref="E42:P42" si="7">+E41/E43</f>
        <v>0.86064161625166091</v>
      </c>
      <c r="F42" s="244">
        <f t="shared" si="7"/>
        <v>0.84376782450390497</v>
      </c>
      <c r="G42" s="244">
        <f t="shared" si="7"/>
        <v>0.85750759648977815</v>
      </c>
      <c r="H42" s="244">
        <f t="shared" si="7"/>
        <v>0.87049784782471828</v>
      </c>
      <c r="I42" s="244">
        <f t="shared" si="7"/>
        <v>0.91809817612569311</v>
      </c>
      <c r="J42" s="244">
        <f t="shared" si="7"/>
        <v>0.8775926159311126</v>
      </c>
      <c r="K42" s="244">
        <f t="shared" si="7"/>
        <v>0.8740351671222768</v>
      </c>
      <c r="L42" s="244">
        <f t="shared" si="7"/>
        <v>0.88091041547099469</v>
      </c>
      <c r="M42" s="244">
        <f t="shared" si="7"/>
        <v>0.91773350065372972</v>
      </c>
      <c r="N42" s="244">
        <f t="shared" si="7"/>
        <v>0.85263470913552342</v>
      </c>
      <c r="O42" s="244">
        <f t="shared" si="7"/>
        <v>0.88229369995217</v>
      </c>
      <c r="P42" s="244">
        <f t="shared" si="7"/>
        <v>0.91552753762584516</v>
      </c>
    </row>
    <row r="43" spans="1:225">
      <c r="C43" s="235" t="s">
        <v>371</v>
      </c>
      <c r="D43" s="238"/>
      <c r="E43" s="237">
        <f>+E38+E41</f>
        <v>603783846.63206744</v>
      </c>
      <c r="F43" s="237">
        <f t="shared" ref="F43:P43" si="8">+F38+F41</f>
        <v>186766542.76300657</v>
      </c>
      <c r="G43" s="237">
        <f t="shared" si="8"/>
        <v>166496533.72796825</v>
      </c>
      <c r="H43" s="237">
        <f t="shared" si="8"/>
        <v>55469240.109993547</v>
      </c>
      <c r="I43" s="237">
        <f t="shared" si="8"/>
        <v>2129837.7731656851</v>
      </c>
      <c r="J43" s="237">
        <f t="shared" si="8"/>
        <v>116867442.35738491</v>
      </c>
      <c r="K43" s="237">
        <f t="shared" si="8"/>
        <v>5025657.5079417368</v>
      </c>
      <c r="L43" s="237">
        <f t="shared" si="8"/>
        <v>150304.24006263303</v>
      </c>
      <c r="M43" s="237">
        <f t="shared" si="8"/>
        <v>394176.25589642319</v>
      </c>
      <c r="N43" s="237">
        <f t="shared" si="8"/>
        <v>39440154.378784925</v>
      </c>
      <c r="O43" s="237">
        <f t="shared" si="8"/>
        <v>13774886.444271626</v>
      </c>
      <c r="P43" s="237">
        <f t="shared" si="8"/>
        <v>17269071.073591076</v>
      </c>
      <c r="Q43" s="237">
        <f t="shared" si="4"/>
        <v>0</v>
      </c>
    </row>
    <row r="44" spans="1:225"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</row>
    <row r="45" spans="1:225">
      <c r="E45" s="237"/>
    </row>
    <row r="46" spans="1:225" ht="15">
      <c r="D46" s="245"/>
      <c r="E46" s="246"/>
      <c r="F46" s="217" t="s">
        <v>341</v>
      </c>
      <c r="G46" s="217" t="s">
        <v>342</v>
      </c>
      <c r="H46" s="217" t="s">
        <v>343</v>
      </c>
      <c r="I46" s="217" t="s">
        <v>344</v>
      </c>
      <c r="J46" s="217" t="s">
        <v>345</v>
      </c>
      <c r="K46" s="217" t="s">
        <v>346</v>
      </c>
      <c r="L46" s="217" t="s">
        <v>347</v>
      </c>
      <c r="M46" s="217" t="s">
        <v>347</v>
      </c>
      <c r="N46" s="217" t="s">
        <v>348</v>
      </c>
      <c r="O46" s="247" t="s">
        <v>349</v>
      </c>
      <c r="P46" s="247" t="s">
        <v>350</v>
      </c>
      <c r="Q46" s="247" t="s">
        <v>152</v>
      </c>
    </row>
    <row r="47" spans="1:225">
      <c r="D47" s="248" t="s">
        <v>354</v>
      </c>
      <c r="E47" s="248" t="s">
        <v>375</v>
      </c>
      <c r="F47" s="249">
        <v>0.34678074010026638</v>
      </c>
      <c r="G47" s="249">
        <v>0.28195663425883188</v>
      </c>
      <c r="H47" s="249">
        <v>8.5371834065938651E-2</v>
      </c>
      <c r="I47" s="249">
        <v>2.0731250890519198E-3</v>
      </c>
      <c r="J47" s="249">
        <v>0.17001473612184112</v>
      </c>
      <c r="K47" s="249">
        <v>7.5236331740348855E-3</v>
      </c>
      <c r="L47" s="249">
        <v>2.1273082361717073E-4</v>
      </c>
      <c r="M47" s="249">
        <v>3.853886201956081E-4</v>
      </c>
      <c r="N47" s="249">
        <v>6.9074733988795212E-2</v>
      </c>
      <c r="O47" s="249">
        <v>1.9269619761758498E-2</v>
      </c>
      <c r="P47" s="249">
        <v>1.733682399566859E-2</v>
      </c>
      <c r="Q47" s="250">
        <f>SUM(F47:P47)</f>
        <v>0.99999999999999989</v>
      </c>
    </row>
    <row r="48" spans="1:225" ht="15.75">
      <c r="D48" s="245"/>
      <c r="E48" s="251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4:17">
      <c r="D49" s="253" t="s">
        <v>358</v>
      </c>
      <c r="E49" s="253" t="s">
        <v>376</v>
      </c>
      <c r="F49" s="254">
        <v>0.30077923533111905</v>
      </c>
      <c r="G49" s="254">
        <v>0.27433992811173291</v>
      </c>
      <c r="H49" s="254">
        <v>9.3352210709511496E-2</v>
      </c>
      <c r="I49" s="254">
        <v>3.8593922680979047E-3</v>
      </c>
      <c r="J49" s="254">
        <v>0.19893146273395665</v>
      </c>
      <c r="K49" s="254">
        <v>8.5061701290549824E-3</v>
      </c>
      <c r="L49" s="254">
        <v>2.5720004511809916E-4</v>
      </c>
      <c r="M49" s="254">
        <v>7.1388085786798635E-4</v>
      </c>
      <c r="N49" s="254">
        <v>6.4465129429370133E-2</v>
      </c>
      <c r="O49" s="254">
        <v>2.3623214488544257E-2</v>
      </c>
      <c r="P49" s="254">
        <v>3.1172175895626444E-2</v>
      </c>
      <c r="Q49" s="255">
        <f>ROUND(SUM(F49:P49),6)</f>
        <v>1</v>
      </c>
    </row>
  </sheetData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80" zoomScaleNormal="80" workbookViewId="0">
      <selection activeCell="C11" sqref="C11"/>
    </sheetView>
  </sheetViews>
  <sheetFormatPr defaultColWidth="9" defaultRowHeight="15.75"/>
  <cols>
    <col min="1" max="1" width="18.5" style="168" customWidth="1"/>
    <col min="2" max="2" width="4.125" style="168" bestFit="1" customWidth="1"/>
    <col min="3" max="3" width="16.875" style="91" customWidth="1"/>
    <col min="4" max="4" width="2.5" style="163" customWidth="1"/>
    <col min="5" max="5" width="19.875" style="163" customWidth="1"/>
    <col min="6" max="16384" width="9" style="163"/>
  </cols>
  <sheetData>
    <row r="1" spans="1:5" ht="18.75">
      <c r="A1" s="165" t="s">
        <v>437</v>
      </c>
      <c r="B1" s="197"/>
      <c r="C1" s="417"/>
      <c r="D1" s="418"/>
      <c r="E1" s="418"/>
    </row>
    <row r="2" spans="1:5">
      <c r="C2" s="412"/>
    </row>
    <row r="3" spans="1:5">
      <c r="C3" s="96" t="s">
        <v>436</v>
      </c>
      <c r="D3" s="413"/>
      <c r="E3" s="413"/>
    </row>
    <row r="4" spans="1:5">
      <c r="A4" s="419" t="s">
        <v>438</v>
      </c>
      <c r="C4" s="411" t="s">
        <v>384</v>
      </c>
      <c r="D4" s="410"/>
      <c r="E4" s="422" t="s">
        <v>385</v>
      </c>
    </row>
    <row r="5" spans="1:5">
      <c r="A5" s="415">
        <v>1</v>
      </c>
      <c r="C5" s="103">
        <v>2.1499999999999998E-2</v>
      </c>
      <c r="D5" s="103"/>
      <c r="E5" s="103">
        <f>'Exhibit-RMP(JRS-2)'!M16</f>
        <v>1.4800000000000001E-2</v>
      </c>
    </row>
    <row r="6" spans="1:5">
      <c r="A6" s="415">
        <v>2</v>
      </c>
      <c r="C6" s="103">
        <v>2.1499999999999998E-2</v>
      </c>
      <c r="D6" s="103"/>
      <c r="E6" s="103">
        <f>E5</f>
        <v>1.4800000000000001E-2</v>
      </c>
    </row>
    <row r="7" spans="1:5">
      <c r="A7" s="415">
        <v>3</v>
      </c>
      <c r="C7" s="103">
        <v>2.1499999999999998E-2</v>
      </c>
      <c r="D7" s="103"/>
      <c r="E7" s="103">
        <f>E5</f>
        <v>1.4800000000000001E-2</v>
      </c>
    </row>
    <row r="8" spans="1:5">
      <c r="A8" s="415">
        <v>6</v>
      </c>
      <c r="C8" s="103">
        <v>2.69E-2</v>
      </c>
      <c r="D8" s="103"/>
      <c r="E8" s="103">
        <f>'Exhibit-RMP(JRS-2)'!M79</f>
        <v>1.8700000000000001E-2</v>
      </c>
    </row>
    <row r="9" spans="1:5">
      <c r="A9" s="415" t="s">
        <v>257</v>
      </c>
      <c r="C9" s="103">
        <v>3.7499999999999999E-2</v>
      </c>
      <c r="D9" s="103"/>
      <c r="E9" s="103">
        <f>'Exhibit-RMP(JRS-2)'!M108</f>
        <v>2.58E-2</v>
      </c>
    </row>
    <row r="10" spans="1:5">
      <c r="A10" s="415" t="s">
        <v>259</v>
      </c>
      <c r="C10" s="103">
        <v>2.69E-2</v>
      </c>
      <c r="D10" s="103"/>
      <c r="E10" s="103">
        <f>E8</f>
        <v>1.8700000000000001E-2</v>
      </c>
    </row>
    <row r="11" spans="1:5">
      <c r="A11" s="415">
        <v>7</v>
      </c>
      <c r="C11" s="103">
        <v>9.1999999999999998E-3</v>
      </c>
      <c r="D11" s="103"/>
      <c r="E11" s="103">
        <f>'Exhibit-RMP(JRS-2)'!M117</f>
        <v>8.8000000000000005E-3</v>
      </c>
    </row>
    <row r="12" spans="1:5">
      <c r="A12" s="415">
        <v>8</v>
      </c>
      <c r="C12" s="103">
        <v>2.93E-2</v>
      </c>
      <c r="D12" s="103"/>
      <c r="E12" s="103">
        <f>'Exhibit-RMP(JRS-2)'!M158</f>
        <v>1.9300000000000001E-2</v>
      </c>
    </row>
    <row r="13" spans="1:5">
      <c r="A13" s="415">
        <v>9</v>
      </c>
      <c r="C13" s="103">
        <v>3.4299999999999997E-2</v>
      </c>
      <c r="D13" s="103"/>
      <c r="E13" s="103">
        <f>'Exhibit-RMP(JRS-2)'!M170</f>
        <v>2.23E-2</v>
      </c>
    </row>
    <row r="14" spans="1:5">
      <c r="A14" s="415" t="s">
        <v>264</v>
      </c>
      <c r="C14" s="103">
        <v>3.8399999999999997E-2</v>
      </c>
      <c r="D14" s="103"/>
      <c r="E14" s="103">
        <f>'Exhibit-RMP(JRS-2)'!M181</f>
        <v>2.47E-2</v>
      </c>
    </row>
    <row r="15" spans="1:5">
      <c r="A15" s="416">
        <v>10</v>
      </c>
      <c r="C15" s="103">
        <v>2.4899999999999999E-2</v>
      </c>
      <c r="D15" s="103"/>
      <c r="E15" s="103">
        <f>'Exhibit-RMP(JRS-2)'!M190</f>
        <v>1.7899999999999999E-2</v>
      </c>
    </row>
    <row r="16" spans="1:5">
      <c r="A16" s="416">
        <v>11</v>
      </c>
      <c r="B16" s="167"/>
      <c r="C16" s="103">
        <v>9.1999999999999998E-3</v>
      </c>
      <c r="D16" s="103"/>
      <c r="E16" s="103">
        <f>E11</f>
        <v>8.8000000000000005E-3</v>
      </c>
    </row>
    <row r="17" spans="1:5">
      <c r="A17" s="416">
        <v>12</v>
      </c>
      <c r="B17" s="167"/>
      <c r="C17" s="103">
        <v>9.1999999999999998E-3</v>
      </c>
      <c r="D17" s="103"/>
      <c r="E17" s="103">
        <f>E11</f>
        <v>8.8000000000000005E-3</v>
      </c>
    </row>
    <row r="18" spans="1:5">
      <c r="A18" s="416" t="s">
        <v>439</v>
      </c>
      <c r="B18" s="167"/>
      <c r="C18" s="103">
        <v>2.47E-2</v>
      </c>
      <c r="D18" s="103"/>
      <c r="E18" s="103">
        <f>'Exhibit-RMP(JRS-2)'!M358</f>
        <v>2.1299999999999999E-2</v>
      </c>
    </row>
    <row r="19" spans="1:5">
      <c r="A19" s="416" t="s">
        <v>440</v>
      </c>
      <c r="B19" s="167"/>
      <c r="C19" s="103">
        <v>2.4500000000000001E-2</v>
      </c>
      <c r="D19" s="103"/>
      <c r="E19" s="103">
        <f>'Exhibit-RMP(JRS-2)'!M364</f>
        <v>1.47E-2</v>
      </c>
    </row>
    <row r="20" spans="1:5">
      <c r="A20" s="415">
        <v>21</v>
      </c>
      <c r="C20" s="103">
        <v>6.7000000000000004E-2</v>
      </c>
      <c r="D20" s="103"/>
      <c r="E20" s="103">
        <f>'Exhibit-RMP(JRS-2)'!M372</f>
        <v>4.4999999999999998E-2</v>
      </c>
    </row>
    <row r="21" spans="1:5" s="414" customFormat="1" ht="16.5" thickBot="1">
      <c r="A21" s="420">
        <v>23</v>
      </c>
      <c r="B21" s="173"/>
      <c r="C21" s="421">
        <v>2.1700000000000001E-2</v>
      </c>
      <c r="D21" s="421"/>
      <c r="E21" s="421">
        <f>'Exhibit-RMP(JRS-2)'!M387</f>
        <v>1.54E-2</v>
      </c>
    </row>
    <row r="22" spans="1:5" ht="16.5" thickTop="1">
      <c r="C22" s="31"/>
    </row>
  </sheetData>
  <printOptions horizontalCentered="1"/>
  <pageMargins left="0.5" right="0.5" top="1" bottom="1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workbookViewId="0">
      <selection activeCell="U29" sqref="U29"/>
    </sheetView>
  </sheetViews>
  <sheetFormatPr defaultColWidth="8" defaultRowHeight="12.75"/>
  <cols>
    <col min="1" max="1" width="7" style="278" customWidth="1"/>
    <col min="2" max="2" width="1.75" style="268" customWidth="1"/>
    <col min="3" max="3" width="7.875" style="279" bestFit="1" customWidth="1"/>
    <col min="4" max="4" width="1.5" style="268" customWidth="1"/>
    <col min="5" max="5" width="9" style="279" bestFit="1" customWidth="1"/>
    <col min="6" max="6" width="1.375" style="268" customWidth="1"/>
    <col min="7" max="7" width="8" style="286" bestFit="1" customWidth="1"/>
    <col min="8" max="8" width="1.375" style="268" customWidth="1"/>
    <col min="9" max="9" width="6.25" style="268" bestFit="1" customWidth="1"/>
    <col min="10" max="10" width="2.125" style="268" customWidth="1"/>
    <col min="11" max="11" width="7.875" style="279" bestFit="1" customWidth="1"/>
    <col min="12" max="12" width="0.875" style="268" customWidth="1"/>
    <col min="13" max="13" width="9" style="279" bestFit="1" customWidth="1"/>
    <col min="14" max="14" width="1.875" style="268" customWidth="1"/>
    <col min="15" max="15" width="7.375" style="286" bestFit="1" customWidth="1"/>
    <col min="16" max="16" width="0.75" style="268" customWidth="1"/>
    <col min="17" max="17" width="6.25" style="268" bestFit="1" customWidth="1"/>
    <col min="18" max="18" width="3.125" style="268" customWidth="1"/>
    <col min="19" max="19" width="10" style="268" bestFit="1" customWidth="1"/>
    <col min="20" max="20" width="7.625" style="268" bestFit="1" customWidth="1"/>
    <col min="21" max="21" width="9.75" style="268" customWidth="1"/>
    <col min="22" max="22" width="5.625" style="268" bestFit="1" customWidth="1"/>
    <col min="23" max="23" width="6.875" style="268" bestFit="1" customWidth="1"/>
    <col min="24" max="24" width="8.375" style="268" bestFit="1" customWidth="1"/>
    <col min="25" max="25" width="6.75" style="268" bestFit="1" customWidth="1"/>
    <col min="26" max="26" width="8.25" style="268" bestFit="1" customWidth="1"/>
    <col min="27" max="29" width="8.125" style="268" bestFit="1" customWidth="1"/>
    <col min="30" max="16384" width="8" style="268"/>
  </cols>
  <sheetData>
    <row r="1" spans="1:26" ht="16.5">
      <c r="A1" s="260" t="s">
        <v>239</v>
      </c>
      <c r="B1" s="261"/>
      <c r="C1" s="262"/>
      <c r="D1" s="261"/>
      <c r="E1" s="262"/>
      <c r="F1" s="261"/>
      <c r="G1" s="263"/>
      <c r="H1" s="261"/>
      <c r="I1" s="261"/>
      <c r="J1" s="261"/>
      <c r="K1" s="262"/>
      <c r="L1" s="261"/>
      <c r="M1" s="262"/>
      <c r="N1" s="261"/>
      <c r="O1" s="263"/>
      <c r="P1" s="261"/>
      <c r="Q1" s="264"/>
      <c r="R1" s="265"/>
      <c r="S1" s="265"/>
      <c r="T1" s="266"/>
      <c r="U1" s="267"/>
    </row>
    <row r="2" spans="1:26" ht="16.5">
      <c r="A2" s="260" t="s">
        <v>377</v>
      </c>
      <c r="B2" s="261"/>
      <c r="C2" s="262"/>
      <c r="D2" s="261"/>
      <c r="E2" s="262"/>
      <c r="F2" s="261"/>
      <c r="G2" s="263"/>
      <c r="H2" s="261"/>
      <c r="I2" s="261"/>
      <c r="J2" s="261"/>
      <c r="K2" s="262"/>
      <c r="L2" s="261"/>
      <c r="M2" s="262"/>
      <c r="N2" s="261"/>
      <c r="O2" s="263"/>
      <c r="P2" s="261"/>
      <c r="Q2" s="264"/>
      <c r="R2" s="265"/>
      <c r="S2" s="265"/>
      <c r="T2" s="266"/>
      <c r="U2" s="269"/>
    </row>
    <row r="3" spans="1:26" ht="16.5">
      <c r="A3" s="260" t="s">
        <v>378</v>
      </c>
      <c r="B3" s="261"/>
      <c r="C3" s="262"/>
      <c r="D3" s="261"/>
      <c r="E3" s="262"/>
      <c r="F3" s="261"/>
      <c r="G3" s="263"/>
      <c r="H3" s="261"/>
      <c r="I3" s="261"/>
      <c r="J3" s="261"/>
      <c r="K3" s="262"/>
      <c r="L3" s="261"/>
      <c r="M3" s="262"/>
      <c r="N3" s="261"/>
      <c r="O3" s="263"/>
      <c r="P3" s="261"/>
      <c r="Q3" s="264"/>
      <c r="R3" s="265"/>
      <c r="S3" s="265"/>
      <c r="T3" s="266"/>
      <c r="U3" s="267"/>
    </row>
    <row r="4" spans="1:26" ht="16.5">
      <c r="A4" s="260" t="s">
        <v>379</v>
      </c>
      <c r="B4" s="261"/>
      <c r="C4" s="262"/>
      <c r="D4" s="261"/>
      <c r="E4" s="262"/>
      <c r="F4" s="261"/>
      <c r="G4" s="263"/>
      <c r="H4" s="261"/>
      <c r="I4" s="261"/>
      <c r="J4" s="261"/>
      <c r="K4" s="262"/>
      <c r="L4" s="261"/>
      <c r="M4" s="262"/>
      <c r="N4" s="261"/>
      <c r="O4" s="263"/>
      <c r="P4" s="261"/>
      <c r="Q4" s="264"/>
      <c r="R4" s="265"/>
      <c r="S4" s="265"/>
      <c r="T4" s="270"/>
      <c r="U4" s="271"/>
    </row>
    <row r="5" spans="1:26" ht="17.25">
      <c r="A5" s="272"/>
      <c r="B5" s="264"/>
      <c r="C5" s="273"/>
      <c r="D5" s="274"/>
      <c r="E5" s="275"/>
      <c r="F5" s="274"/>
      <c r="G5" s="274"/>
      <c r="H5" s="276"/>
      <c r="I5" s="276"/>
      <c r="K5" s="277"/>
      <c r="L5" s="276"/>
      <c r="M5" s="277"/>
      <c r="N5" s="276"/>
      <c r="O5" s="276"/>
      <c r="P5" s="276"/>
      <c r="Q5" s="276"/>
    </row>
    <row r="6" spans="1:26">
      <c r="G6" s="666"/>
      <c r="H6" s="666"/>
      <c r="I6" s="666"/>
      <c r="K6" s="280"/>
      <c r="L6" s="264"/>
      <c r="M6" s="280"/>
      <c r="O6" s="666"/>
      <c r="P6" s="666"/>
      <c r="Q6" s="666"/>
    </row>
    <row r="7" spans="1:26">
      <c r="C7" s="281" t="s">
        <v>380</v>
      </c>
      <c r="D7" s="282"/>
      <c r="E7" s="283"/>
      <c r="F7" s="284"/>
      <c r="G7" s="285"/>
      <c r="H7" s="284"/>
      <c r="I7" s="284"/>
      <c r="K7" s="281" t="s">
        <v>381</v>
      </c>
      <c r="L7" s="282"/>
      <c r="M7" s="283"/>
      <c r="N7" s="284"/>
      <c r="O7" s="285"/>
      <c r="P7" s="284"/>
      <c r="Q7" s="284"/>
      <c r="W7" s="261"/>
      <c r="X7" s="261"/>
      <c r="Y7" s="261"/>
      <c r="Z7" s="261"/>
    </row>
    <row r="8" spans="1:26" ht="15.75">
      <c r="C8" s="283" t="s">
        <v>382</v>
      </c>
      <c r="D8" s="284"/>
      <c r="E8" s="283"/>
      <c r="G8" s="283" t="s">
        <v>243</v>
      </c>
      <c r="H8" s="284"/>
      <c r="I8" s="283"/>
      <c r="K8" s="283" t="s">
        <v>382</v>
      </c>
      <c r="L8" s="284"/>
      <c r="M8" s="283"/>
      <c r="O8" s="283" t="s">
        <v>243</v>
      </c>
      <c r="P8" s="284"/>
      <c r="Q8" s="283"/>
      <c r="T8" s="286"/>
      <c r="U8" s="286"/>
      <c r="W8" s="261"/>
      <c r="X8" s="261"/>
      <c r="Y8" s="261"/>
      <c r="Z8" s="261"/>
    </row>
    <row r="9" spans="1:26">
      <c r="A9" s="287" t="s">
        <v>383</v>
      </c>
      <c r="C9" s="288" t="s">
        <v>384</v>
      </c>
      <c r="E9" s="289" t="s">
        <v>385</v>
      </c>
      <c r="G9" s="290" t="s">
        <v>386</v>
      </c>
      <c r="I9" s="291" t="s">
        <v>287</v>
      </c>
      <c r="K9" s="288" t="s">
        <v>384</v>
      </c>
      <c r="M9" s="289" t="s">
        <v>385</v>
      </c>
      <c r="O9" s="290" t="s">
        <v>386</v>
      </c>
      <c r="Q9" s="291" t="s">
        <v>287</v>
      </c>
      <c r="W9" s="292"/>
      <c r="X9" s="292"/>
      <c r="Y9" s="292"/>
      <c r="Z9" s="292"/>
    </row>
    <row r="10" spans="1:26">
      <c r="A10" s="278">
        <v>100</v>
      </c>
      <c r="C10" s="279">
        <f t="shared" ref="C10:C16" si="0">ROUND($T$12+((MIN(400,$A10)*($T$13+$T$28)+MAX(0,MIN(600,$A10-400))*($T$14+$T$28)+MAX(0,$A10-1000)*($T$15+$T$28))/100+MAX(0,$T$16-($T$12+(MIN(400,$A10)*($T$13+$T$28)+MAX(0,MIN(600,$A10-400))*($T$14+$T$28)+MAX(0,$A10-1000)*($T$15+$T$28))/100)))*(1+$T$31)*(1+$T$18)+$T$17,2)</f>
        <v>15.7</v>
      </c>
      <c r="E10" s="279">
        <f>ROUND($U$12+((MIN(400,$A10)*($U$13+$U$28)+MAX(0,MIN(600,$A10-400))*($U$14+$U$28)+MAX(0,$A10-1000)*($U$15+$U$28))/100+MAX(0,$U$16-($U$12+(MIN(400,$A10)*($U$13+$U$28)+MAX(0,MIN(600,$A10-400))*($U$14+$U$28)+MAX(0,$A10-1000)*($U$15+$U$28))/100)))*(1+$U$31)*(1+$U$18)+$U$17,2)</f>
        <v>15.64</v>
      </c>
      <c r="F10" s="279"/>
      <c r="G10" s="293">
        <f t="shared" ref="G10:G16" si="1">E10-C10</f>
        <v>-5.9999999999998721E-2</v>
      </c>
      <c r="I10" s="294">
        <f t="shared" ref="I10:I16" si="2">ROUND(IF(C10=0,0,E10/C10-1),3)</f>
        <v>-4.0000000000000001E-3</v>
      </c>
      <c r="K10" s="279">
        <f>ROUND($T$20+((MIN(400,$A10)*($T$21+$T$28)+MAX(0,MIN(600,$A10-400))*($T$22+$T$28)+MAX(0,$A10-1000)*($T$23+$T$28))/100+MAX(0,$T$24-($T$20+(MIN(400,$A10)*($T$21+$T$28)+MAX(0,MIN(600,$A10-400))*($T$22+$T$28)+MAX(0,$A10-1000)*($T$23+$T$28))/100)))*(1+$T$31)*(1+$T$26)+$T$25,2)</f>
        <v>15.7</v>
      </c>
      <c r="M10" s="279">
        <f>ROUND($U$20+((MIN(400,$A10)*($U$21+$U$28)+MAX(0,MIN(600,$A10-400))*($U$22+$U$28)+MAX(0,$A10-1000)*($U$23+$U$28))/100+MAX(0,$U$24-($U$20+(MIN(400,$A10)*($U$21+$U$28)+MAX(0,MIN(600,$A10-400))*($U$22+$U$28)+MAX(0,$A10-1000)*($U$23+$U$28))/100)))*(1+$U$31)*(1+$U$26)+$U$25,2)</f>
        <v>15.64</v>
      </c>
      <c r="N10" s="279"/>
      <c r="O10" s="293">
        <f t="shared" ref="O10:O31" si="3">M10-K10</f>
        <v>-5.9999999999998721E-2</v>
      </c>
      <c r="Q10" s="294">
        <f t="shared" ref="Q10:Q31" si="4">ROUND(IF(K10=0,0,M10/K10-1),3)</f>
        <v>-4.0000000000000001E-3</v>
      </c>
      <c r="S10" s="295" t="s">
        <v>341</v>
      </c>
      <c r="T10" s="296" t="s">
        <v>384</v>
      </c>
      <c r="U10" s="297" t="s">
        <v>385</v>
      </c>
      <c r="W10" s="298"/>
      <c r="X10" s="298"/>
      <c r="Y10" s="298"/>
      <c r="Z10" s="298"/>
    </row>
    <row r="11" spans="1:26" ht="13.5">
      <c r="A11" s="278">
        <v>200</v>
      </c>
      <c r="C11" s="279">
        <f t="shared" si="0"/>
        <v>25.2</v>
      </c>
      <c r="E11" s="279">
        <f t="shared" ref="E11:E16" si="5">ROUND($U$12+((MIN(400,$A11)*($U$13+$U$28)+MAX(0,MIN(600,$A11-400))*($U$14+$U$28)+MAX(0,$A11-1000)*($U$15+$U$28))/100+MAX(0,$U$16-($U$12+(MIN(400,$A11)*($U$13+$U$28)+MAX(0,MIN(600,$A11-400))*($U$14+$U$28)+MAX(0,$A11-1000)*($U$15+$U$28))/100)))*(1+$U$31)*(1+$U$18)+$U$17,2)</f>
        <v>25.08</v>
      </c>
      <c r="F11" s="279"/>
      <c r="G11" s="293">
        <f t="shared" si="1"/>
        <v>-0.12000000000000099</v>
      </c>
      <c r="I11" s="294">
        <f t="shared" si="2"/>
        <v>-5.0000000000000001E-3</v>
      </c>
      <c r="K11" s="279">
        <f t="shared" ref="K11:K31" si="6">ROUND($T$20+((MIN(400,$A11)*($T$21+$T$28)+MAX(0,MIN(600,$A11-400))*($T$22+$T$28)+MAX(0,$A11-1000)*($T$23+$T$28))/100+MAX(0,$T$24-($T$20+(MIN(400,$A11)*($T$21+$T$28)+MAX(0,MIN(600,$A11-400))*($T$22+$T$28)+MAX(0,$A11-1000)*($T$23+$T$28))/100)))*(1+$T$31)*(1+$T$26)+$T$25,2)</f>
        <v>25.2</v>
      </c>
      <c r="M11" s="279">
        <f t="shared" ref="M11:M31" si="7">ROUND($U$20+((MIN(400,$A11)*($U$21+$U$28)+MAX(0,MIN(600,$A11-400))*($U$22+$U$28)+MAX(0,$A11-1000)*($U$23+$U$28))/100+MAX(0,$U$24-($U$20+(MIN(400,$A11)*($U$21+$U$28)+MAX(0,MIN(600,$A11-400))*($U$22+$U$28)+MAX(0,$A11-1000)*($U$23+$U$28))/100)))*(1+$U$31)*(1+$U$26)+$U$25,2)</f>
        <v>25.08</v>
      </c>
      <c r="N11" s="279"/>
      <c r="O11" s="293">
        <f t="shared" si="3"/>
        <v>-0.12000000000000099</v>
      </c>
      <c r="Q11" s="294">
        <f t="shared" si="4"/>
        <v>-5.0000000000000001E-3</v>
      </c>
      <c r="S11" s="299" t="s">
        <v>380</v>
      </c>
      <c r="T11" s="265"/>
      <c r="U11" s="300"/>
      <c r="W11" s="298"/>
      <c r="X11" s="298"/>
      <c r="Y11" s="298"/>
      <c r="Z11" s="298"/>
    </row>
    <row r="12" spans="1:26">
      <c r="A12" s="278">
        <v>300</v>
      </c>
      <c r="C12" s="279">
        <f t="shared" si="0"/>
        <v>34.71</v>
      </c>
      <c r="E12" s="279">
        <f t="shared" si="5"/>
        <v>34.520000000000003</v>
      </c>
      <c r="F12" s="279"/>
      <c r="G12" s="293">
        <f t="shared" si="1"/>
        <v>-0.18999999999999773</v>
      </c>
      <c r="I12" s="294">
        <f t="shared" si="2"/>
        <v>-5.0000000000000001E-3</v>
      </c>
      <c r="K12" s="279">
        <f t="shared" si="6"/>
        <v>34.71</v>
      </c>
      <c r="M12" s="279">
        <f t="shared" si="7"/>
        <v>34.520000000000003</v>
      </c>
      <c r="N12" s="279"/>
      <c r="O12" s="293">
        <f t="shared" si="3"/>
        <v>-0.18999999999999773</v>
      </c>
      <c r="Q12" s="294">
        <f t="shared" si="4"/>
        <v>-5.0000000000000001E-3</v>
      </c>
      <c r="S12" s="301" t="s">
        <v>387</v>
      </c>
      <c r="T12" s="302">
        <v>6</v>
      </c>
      <c r="U12" s="303">
        <v>6</v>
      </c>
      <c r="V12" s="304">
        <f>U12/T12-1</f>
        <v>0</v>
      </c>
      <c r="W12" s="298"/>
      <c r="X12" s="298"/>
      <c r="Y12" s="298"/>
      <c r="Z12" s="298"/>
    </row>
    <row r="13" spans="1:26">
      <c r="A13" s="278">
        <v>400</v>
      </c>
      <c r="C13" s="279">
        <f t="shared" si="0"/>
        <v>44.21</v>
      </c>
      <c r="E13" s="279">
        <f t="shared" si="5"/>
        <v>43.96</v>
      </c>
      <c r="F13" s="279"/>
      <c r="G13" s="293">
        <f t="shared" si="1"/>
        <v>-0.25</v>
      </c>
      <c r="I13" s="294">
        <f t="shared" si="2"/>
        <v>-6.0000000000000001E-3</v>
      </c>
      <c r="K13" s="279">
        <f t="shared" si="6"/>
        <v>44.21</v>
      </c>
      <c r="M13" s="279">
        <f t="shared" si="7"/>
        <v>43.96</v>
      </c>
      <c r="N13" s="279"/>
      <c r="O13" s="293">
        <f t="shared" si="3"/>
        <v>-0.25</v>
      </c>
      <c r="Q13" s="294">
        <f t="shared" si="4"/>
        <v>-6.0000000000000001E-3</v>
      </c>
      <c r="S13" s="301" t="s">
        <v>388</v>
      </c>
      <c r="T13" s="305">
        <v>8.8854000000000006</v>
      </c>
      <c r="U13" s="306">
        <v>8.8854000000000006</v>
      </c>
      <c r="V13" s="304">
        <f t="shared" ref="V13:V26" si="8">U13/T13-1</f>
        <v>0</v>
      </c>
      <c r="W13" s="298"/>
      <c r="X13" s="298"/>
      <c r="Y13" s="298"/>
      <c r="Z13" s="298"/>
    </row>
    <row r="14" spans="1:26">
      <c r="A14" s="278">
        <v>500</v>
      </c>
      <c r="C14" s="279">
        <f t="shared" si="0"/>
        <v>56.58</v>
      </c>
      <c r="E14" s="279">
        <f t="shared" si="5"/>
        <v>56.25</v>
      </c>
      <c r="F14" s="279"/>
      <c r="G14" s="293">
        <f t="shared" si="1"/>
        <v>-0.32999999999999829</v>
      </c>
      <c r="I14" s="294">
        <f t="shared" si="2"/>
        <v>-6.0000000000000001E-3</v>
      </c>
      <c r="K14" s="279">
        <f t="shared" si="6"/>
        <v>55.69</v>
      </c>
      <c r="M14" s="279">
        <f t="shared" si="7"/>
        <v>55.37</v>
      </c>
      <c r="N14" s="279"/>
      <c r="O14" s="293">
        <f t="shared" si="3"/>
        <v>-0.32000000000000028</v>
      </c>
      <c r="Q14" s="294">
        <f t="shared" si="4"/>
        <v>-6.0000000000000001E-3</v>
      </c>
      <c r="S14" s="301" t="s">
        <v>389</v>
      </c>
      <c r="T14" s="305">
        <v>11.5785</v>
      </c>
      <c r="U14" s="306">
        <v>11.5785</v>
      </c>
      <c r="V14" s="304">
        <f t="shared" si="8"/>
        <v>0</v>
      </c>
      <c r="W14" s="298"/>
      <c r="X14" s="298"/>
      <c r="Y14" s="298"/>
      <c r="Z14" s="298"/>
    </row>
    <row r="15" spans="1:26">
      <c r="A15" s="278">
        <v>600</v>
      </c>
      <c r="C15" s="279">
        <f t="shared" si="0"/>
        <v>68.95</v>
      </c>
      <c r="E15" s="279">
        <f t="shared" si="5"/>
        <v>68.540000000000006</v>
      </c>
      <c r="F15" s="279"/>
      <c r="G15" s="293">
        <f t="shared" si="1"/>
        <v>-0.40999999999999659</v>
      </c>
      <c r="I15" s="294">
        <f t="shared" si="2"/>
        <v>-6.0000000000000001E-3</v>
      </c>
      <c r="K15" s="279">
        <f t="shared" si="6"/>
        <v>67.17</v>
      </c>
      <c r="M15" s="279">
        <f t="shared" si="7"/>
        <v>66.77</v>
      </c>
      <c r="N15" s="279"/>
      <c r="O15" s="293">
        <f t="shared" si="3"/>
        <v>-0.40000000000000568</v>
      </c>
      <c r="Q15" s="294">
        <f t="shared" si="4"/>
        <v>-6.0000000000000001E-3</v>
      </c>
      <c r="S15" s="301" t="s">
        <v>390</v>
      </c>
      <c r="T15" s="305">
        <v>14.4864</v>
      </c>
      <c r="U15" s="306">
        <v>14.4864</v>
      </c>
      <c r="V15" s="304">
        <f t="shared" si="8"/>
        <v>0</v>
      </c>
      <c r="W15" s="298"/>
      <c r="X15" s="298"/>
      <c r="Y15" s="298"/>
      <c r="Z15" s="298"/>
    </row>
    <row r="16" spans="1:26">
      <c r="A16" s="278">
        <v>700</v>
      </c>
      <c r="C16" s="279">
        <f t="shared" si="0"/>
        <v>81.319999999999993</v>
      </c>
      <c r="E16" s="279">
        <f t="shared" si="5"/>
        <v>80.83</v>
      </c>
      <c r="F16" s="279"/>
      <c r="G16" s="293">
        <f t="shared" si="1"/>
        <v>-0.48999999999999488</v>
      </c>
      <c r="I16" s="294">
        <f t="shared" si="2"/>
        <v>-6.0000000000000001E-3</v>
      </c>
      <c r="K16" s="279">
        <f t="shared" si="6"/>
        <v>78.650000000000006</v>
      </c>
      <c r="M16" s="279">
        <f t="shared" si="7"/>
        <v>78.180000000000007</v>
      </c>
      <c r="N16" s="279"/>
      <c r="O16" s="293">
        <f t="shared" si="3"/>
        <v>-0.46999999999999886</v>
      </c>
      <c r="Q16" s="294">
        <f t="shared" si="4"/>
        <v>-6.0000000000000001E-3</v>
      </c>
      <c r="S16" s="301" t="s">
        <v>391</v>
      </c>
      <c r="T16" s="302">
        <v>8</v>
      </c>
      <c r="U16" s="303">
        <v>8</v>
      </c>
      <c r="V16" s="304">
        <f t="shared" si="8"/>
        <v>0</v>
      </c>
      <c r="W16" s="298"/>
      <c r="X16" s="298"/>
      <c r="Y16" s="298"/>
      <c r="Z16" s="298"/>
    </row>
    <row r="17" spans="1:26">
      <c r="A17" s="278">
        <v>663.32999948009433</v>
      </c>
      <c r="B17" s="268" t="s">
        <v>392</v>
      </c>
      <c r="F17" s="279"/>
      <c r="G17" s="293"/>
      <c r="I17" s="294"/>
      <c r="K17" s="279">
        <f t="shared" si="6"/>
        <v>74.44</v>
      </c>
      <c r="M17" s="279">
        <f t="shared" si="7"/>
        <v>74</v>
      </c>
      <c r="N17" s="279"/>
      <c r="O17" s="293">
        <f t="shared" si="3"/>
        <v>-0.43999999999999773</v>
      </c>
      <c r="Q17" s="294">
        <f t="shared" si="4"/>
        <v>-6.0000000000000001E-3</v>
      </c>
      <c r="S17" s="301" t="s">
        <v>393</v>
      </c>
      <c r="T17" s="302">
        <v>0.2</v>
      </c>
      <c r="U17" s="303">
        <v>0.2</v>
      </c>
      <c r="V17" s="304">
        <f t="shared" si="8"/>
        <v>0</v>
      </c>
      <c r="W17" s="298"/>
      <c r="X17" s="298"/>
      <c r="Y17" s="298"/>
      <c r="Z17" s="298"/>
    </row>
    <row r="18" spans="1:26">
      <c r="A18" s="278">
        <v>698.09515617157388</v>
      </c>
      <c r="B18" s="268" t="s">
        <v>394</v>
      </c>
      <c r="C18" s="279">
        <f t="shared" ref="C18:C31" si="9">ROUND($T$12+((MIN(400,$A18)*($T$13+$T$28)+MAX(0,MIN(600,$A18-400))*($T$14+$T$28)+MAX(0,$A18-1000)*($T$15+$T$28))/100+MAX(0,$T$16-($T$12+(MIN(400,$A18)*($T$13+$T$28)+MAX(0,MIN(600,$A18-400))*($T$14+$T$28)+MAX(0,$A18-1000)*($T$15+$T$28))/100)))*(1+$T$31)*(1+$T$18)+$T$17,2)</f>
        <v>81.09</v>
      </c>
      <c r="E18" s="279">
        <f t="shared" ref="E18:E31" si="10">ROUND($U$12+((MIN(400,$A18)*($U$13+$U$28)+MAX(0,MIN(600,$A18-400))*($U$14+$U$28)+MAX(0,$A18-1000)*($U$15+$U$28))/100+MAX(0,$U$16-($U$12+(MIN(400,$A18)*($U$13+$U$28)+MAX(0,MIN(600,$A18-400))*($U$14+$U$28)+MAX(0,$A18-1000)*($U$15+$U$28))/100)))*(1+$U$31)*(1+$U$18)+$U$17,2)</f>
        <v>80.599999999999994</v>
      </c>
      <c r="F18" s="279"/>
      <c r="G18" s="293">
        <f t="shared" ref="G18:G31" si="11">E18-C18</f>
        <v>-0.49000000000000909</v>
      </c>
      <c r="I18" s="294">
        <f t="shared" ref="I18:I31" si="12">ROUND(IF(C18=0,0,E18/C18-1),3)</f>
        <v>-6.0000000000000001E-3</v>
      </c>
      <c r="K18" s="279">
        <f t="shared" si="6"/>
        <v>78.430000000000007</v>
      </c>
      <c r="M18" s="279">
        <f t="shared" si="7"/>
        <v>77.959999999999994</v>
      </c>
      <c r="N18" s="279"/>
      <c r="O18" s="293">
        <f t="shared" si="3"/>
        <v>-0.47000000000001307</v>
      </c>
      <c r="Q18" s="294">
        <f t="shared" si="4"/>
        <v>-6.0000000000000001E-3</v>
      </c>
      <c r="S18" s="301" t="s">
        <v>395</v>
      </c>
      <c r="T18" s="307">
        <v>3.9199999999999999E-2</v>
      </c>
      <c r="U18" s="308">
        <v>3.9199999999999999E-2</v>
      </c>
      <c r="V18" s="304">
        <f t="shared" si="8"/>
        <v>0</v>
      </c>
      <c r="W18" s="298"/>
      <c r="X18" s="298"/>
      <c r="Y18" s="298"/>
      <c r="Z18" s="298"/>
    </row>
    <row r="19" spans="1:26" ht="13.5">
      <c r="A19" s="278">
        <v>746.76637542484116</v>
      </c>
      <c r="B19" s="268" t="s">
        <v>396</v>
      </c>
      <c r="C19" s="279">
        <f t="shared" si="9"/>
        <v>87.11</v>
      </c>
      <c r="E19" s="279">
        <f t="shared" si="10"/>
        <v>86.58</v>
      </c>
      <c r="F19" s="279"/>
      <c r="G19" s="293">
        <f t="shared" si="11"/>
        <v>-0.53000000000000114</v>
      </c>
      <c r="I19" s="294">
        <f t="shared" si="12"/>
        <v>-6.0000000000000001E-3</v>
      </c>
      <c r="N19" s="279"/>
      <c r="O19" s="293"/>
      <c r="Q19" s="294"/>
      <c r="S19" s="299" t="s">
        <v>381</v>
      </c>
      <c r="T19" s="265"/>
      <c r="U19" s="300"/>
      <c r="V19" s="304"/>
      <c r="W19" s="298"/>
      <c r="X19" s="298"/>
      <c r="Y19" s="298"/>
      <c r="Z19" s="298"/>
    </row>
    <row r="20" spans="1:26">
      <c r="A20" s="278">
        <v>800</v>
      </c>
      <c r="C20" s="279">
        <f t="shared" si="9"/>
        <v>93.69</v>
      </c>
      <c r="E20" s="279">
        <f t="shared" si="10"/>
        <v>93.12</v>
      </c>
      <c r="F20" s="279"/>
      <c r="G20" s="293">
        <f t="shared" si="11"/>
        <v>-0.56999999999999318</v>
      </c>
      <c r="I20" s="294">
        <f t="shared" si="12"/>
        <v>-6.0000000000000001E-3</v>
      </c>
      <c r="K20" s="279">
        <f t="shared" si="6"/>
        <v>90.13</v>
      </c>
      <c r="M20" s="279">
        <f t="shared" si="7"/>
        <v>89.58</v>
      </c>
      <c r="N20" s="279"/>
      <c r="O20" s="293">
        <f t="shared" si="3"/>
        <v>-0.54999999999999716</v>
      </c>
      <c r="Q20" s="294">
        <f t="shared" si="4"/>
        <v>-6.0000000000000001E-3</v>
      </c>
      <c r="S20" s="301" t="s">
        <v>387</v>
      </c>
      <c r="T20" s="309">
        <v>6</v>
      </c>
      <c r="U20" s="310">
        <v>6</v>
      </c>
      <c r="V20" s="304">
        <f t="shared" si="8"/>
        <v>0</v>
      </c>
      <c r="W20" s="298"/>
      <c r="X20" s="298"/>
      <c r="Y20" s="298"/>
      <c r="Z20" s="298"/>
    </row>
    <row r="21" spans="1:26">
      <c r="A21" s="278">
        <v>900</v>
      </c>
      <c r="C21" s="279">
        <f t="shared" si="9"/>
        <v>106.07</v>
      </c>
      <c r="E21" s="279">
        <f t="shared" si="10"/>
        <v>105.41</v>
      </c>
      <c r="F21" s="279"/>
      <c r="G21" s="293">
        <f t="shared" si="11"/>
        <v>-0.65999999999999659</v>
      </c>
      <c r="I21" s="294">
        <f t="shared" si="12"/>
        <v>-6.0000000000000001E-3</v>
      </c>
      <c r="K21" s="279">
        <f t="shared" si="6"/>
        <v>101.61</v>
      </c>
      <c r="M21" s="279">
        <f t="shared" si="7"/>
        <v>100.99</v>
      </c>
      <c r="N21" s="279"/>
      <c r="O21" s="293">
        <f t="shared" si="3"/>
        <v>-0.62000000000000455</v>
      </c>
      <c r="Q21" s="294">
        <f t="shared" si="4"/>
        <v>-6.0000000000000001E-3</v>
      </c>
      <c r="S21" s="301" t="s">
        <v>388</v>
      </c>
      <c r="T21" s="311">
        <v>8.8854000000000006</v>
      </c>
      <c r="U21" s="312">
        <v>8.8854000000000006</v>
      </c>
      <c r="V21" s="304">
        <f t="shared" si="8"/>
        <v>0</v>
      </c>
      <c r="W21" s="298"/>
      <c r="X21" s="298"/>
      <c r="Y21" s="298"/>
      <c r="Z21" s="298"/>
    </row>
    <row r="22" spans="1:26">
      <c r="A22" s="278">
        <v>1000</v>
      </c>
      <c r="C22" s="279">
        <f t="shared" si="9"/>
        <v>118.44</v>
      </c>
      <c r="E22" s="279">
        <f t="shared" si="10"/>
        <v>117.7</v>
      </c>
      <c r="F22" s="279"/>
      <c r="G22" s="293">
        <f t="shared" si="11"/>
        <v>-0.73999999999999488</v>
      </c>
      <c r="I22" s="294">
        <f t="shared" si="12"/>
        <v>-6.0000000000000001E-3</v>
      </c>
      <c r="K22" s="279">
        <f t="shared" si="6"/>
        <v>113.1</v>
      </c>
      <c r="M22" s="279">
        <f t="shared" si="7"/>
        <v>112.4</v>
      </c>
      <c r="N22" s="279"/>
      <c r="O22" s="293">
        <f t="shared" si="3"/>
        <v>-0.69999999999998863</v>
      </c>
      <c r="Q22" s="294">
        <f t="shared" si="4"/>
        <v>-6.0000000000000001E-3</v>
      </c>
      <c r="S22" s="301" t="s">
        <v>389</v>
      </c>
      <c r="T22" s="311">
        <v>10.742800000000001</v>
      </c>
      <c r="U22" s="312">
        <v>10.742800000000001</v>
      </c>
      <c r="V22" s="304">
        <f t="shared" si="8"/>
        <v>0</v>
      </c>
      <c r="W22" s="298"/>
      <c r="X22" s="298"/>
      <c r="Y22" s="298"/>
      <c r="Z22" s="298"/>
    </row>
    <row r="23" spans="1:26">
      <c r="A23" s="278">
        <v>1100</v>
      </c>
      <c r="C23" s="279">
        <f t="shared" si="9"/>
        <v>133.91</v>
      </c>
      <c r="E23" s="279">
        <f t="shared" si="10"/>
        <v>133.07</v>
      </c>
      <c r="F23" s="279"/>
      <c r="G23" s="293">
        <f t="shared" si="11"/>
        <v>-0.84000000000000341</v>
      </c>
      <c r="I23" s="294">
        <f t="shared" si="12"/>
        <v>-6.0000000000000001E-3</v>
      </c>
      <c r="K23" s="279">
        <f t="shared" si="6"/>
        <v>124.58</v>
      </c>
      <c r="M23" s="279">
        <f t="shared" si="7"/>
        <v>123.8</v>
      </c>
      <c r="N23" s="279"/>
      <c r="O23" s="293">
        <f t="shared" si="3"/>
        <v>-0.78000000000000114</v>
      </c>
      <c r="Q23" s="294">
        <f t="shared" si="4"/>
        <v>-6.0000000000000001E-3</v>
      </c>
      <c r="S23" s="301" t="s">
        <v>390</v>
      </c>
      <c r="T23" s="311">
        <v>10.742800000000001</v>
      </c>
      <c r="U23" s="312">
        <v>10.742800000000001</v>
      </c>
      <c r="V23" s="304">
        <f t="shared" si="8"/>
        <v>0</v>
      </c>
      <c r="W23" s="298"/>
      <c r="X23" s="298"/>
      <c r="Y23" s="298"/>
      <c r="Z23" s="298"/>
    </row>
    <row r="24" spans="1:26">
      <c r="A24" s="278">
        <v>1200</v>
      </c>
      <c r="C24" s="279">
        <f t="shared" si="9"/>
        <v>149.37</v>
      </c>
      <c r="E24" s="279">
        <f t="shared" si="10"/>
        <v>148.44</v>
      </c>
      <c r="F24" s="279"/>
      <c r="G24" s="293">
        <f t="shared" si="11"/>
        <v>-0.93000000000000682</v>
      </c>
      <c r="I24" s="294">
        <f t="shared" si="12"/>
        <v>-6.0000000000000001E-3</v>
      </c>
      <c r="K24" s="279">
        <f t="shared" si="6"/>
        <v>136.06</v>
      </c>
      <c r="M24" s="279">
        <f t="shared" si="7"/>
        <v>135.21</v>
      </c>
      <c r="N24" s="279"/>
      <c r="O24" s="293">
        <f t="shared" si="3"/>
        <v>-0.84999999999999432</v>
      </c>
      <c r="Q24" s="294">
        <f t="shared" si="4"/>
        <v>-6.0000000000000001E-3</v>
      </c>
      <c r="S24" s="301" t="s">
        <v>391</v>
      </c>
      <c r="T24" s="309">
        <v>8</v>
      </c>
      <c r="U24" s="310">
        <v>8</v>
      </c>
      <c r="V24" s="304">
        <f t="shared" si="8"/>
        <v>0</v>
      </c>
      <c r="W24" s="298"/>
      <c r="X24" s="298"/>
      <c r="Y24" s="298"/>
      <c r="Z24" s="298"/>
    </row>
    <row r="25" spans="1:26">
      <c r="A25" s="278">
        <v>1300</v>
      </c>
      <c r="C25" s="279">
        <f t="shared" si="9"/>
        <v>164.84</v>
      </c>
      <c r="E25" s="279">
        <f t="shared" si="10"/>
        <v>163.81</v>
      </c>
      <c r="F25" s="279"/>
      <c r="G25" s="293">
        <f t="shared" si="11"/>
        <v>-1.0300000000000011</v>
      </c>
      <c r="I25" s="294">
        <f t="shared" si="12"/>
        <v>-6.0000000000000001E-3</v>
      </c>
      <c r="K25" s="279">
        <f t="shared" si="6"/>
        <v>147.54</v>
      </c>
      <c r="M25" s="279">
        <f t="shared" si="7"/>
        <v>146.61000000000001</v>
      </c>
      <c r="N25" s="279"/>
      <c r="O25" s="293">
        <f t="shared" si="3"/>
        <v>-0.9299999999999784</v>
      </c>
      <c r="Q25" s="294">
        <f t="shared" si="4"/>
        <v>-6.0000000000000001E-3</v>
      </c>
      <c r="S25" s="301" t="s">
        <v>393</v>
      </c>
      <c r="T25" s="309">
        <v>0.2</v>
      </c>
      <c r="U25" s="310">
        <v>0.2</v>
      </c>
      <c r="V25" s="304">
        <f t="shared" si="8"/>
        <v>0</v>
      </c>
      <c r="W25" s="298"/>
      <c r="X25" s="298"/>
      <c r="Y25" s="298"/>
      <c r="Z25" s="298"/>
    </row>
    <row r="26" spans="1:26">
      <c r="A26" s="278">
        <v>1400</v>
      </c>
      <c r="C26" s="279">
        <f t="shared" si="9"/>
        <v>180.31</v>
      </c>
      <c r="E26" s="279">
        <f t="shared" si="10"/>
        <v>179.17</v>
      </c>
      <c r="F26" s="279"/>
      <c r="G26" s="293">
        <f t="shared" si="11"/>
        <v>-1.1400000000000148</v>
      </c>
      <c r="I26" s="294">
        <f t="shared" si="12"/>
        <v>-6.0000000000000001E-3</v>
      </c>
      <c r="K26" s="279">
        <f t="shared" si="6"/>
        <v>159.02000000000001</v>
      </c>
      <c r="M26" s="279">
        <f t="shared" si="7"/>
        <v>158.02000000000001</v>
      </c>
      <c r="N26" s="279"/>
      <c r="O26" s="293">
        <f t="shared" si="3"/>
        <v>-1</v>
      </c>
      <c r="Q26" s="294">
        <f t="shared" si="4"/>
        <v>-6.0000000000000001E-3</v>
      </c>
      <c r="S26" s="313" t="s">
        <v>395</v>
      </c>
      <c r="T26" s="314">
        <v>3.9199999999999999E-2</v>
      </c>
      <c r="U26" s="315">
        <v>3.9199999999999999E-2</v>
      </c>
      <c r="V26" s="304">
        <f t="shared" si="8"/>
        <v>0</v>
      </c>
      <c r="W26" s="298"/>
      <c r="X26" s="298"/>
      <c r="Y26" s="298"/>
      <c r="Z26" s="298"/>
    </row>
    <row r="27" spans="1:26">
      <c r="A27" s="278">
        <v>1500</v>
      </c>
      <c r="C27" s="279">
        <f t="shared" si="9"/>
        <v>195.78</v>
      </c>
      <c r="E27" s="279">
        <f t="shared" si="10"/>
        <v>194.54</v>
      </c>
      <c r="F27" s="279"/>
      <c r="G27" s="293">
        <f t="shared" si="11"/>
        <v>-1.2400000000000091</v>
      </c>
      <c r="I27" s="294">
        <f t="shared" si="12"/>
        <v>-6.0000000000000001E-3</v>
      </c>
      <c r="K27" s="279">
        <f t="shared" si="6"/>
        <v>170.5</v>
      </c>
      <c r="M27" s="279">
        <f t="shared" si="7"/>
        <v>169.43</v>
      </c>
      <c r="N27" s="279"/>
      <c r="O27" s="293">
        <f t="shared" si="3"/>
        <v>-1.0699999999999932</v>
      </c>
      <c r="Q27" s="294">
        <f t="shared" si="4"/>
        <v>-6.0000000000000001E-3</v>
      </c>
      <c r="V27" s="304"/>
      <c r="W27" s="298"/>
      <c r="X27" s="298"/>
      <c r="Y27" s="298"/>
      <c r="Z27" s="298"/>
    </row>
    <row r="28" spans="1:26">
      <c r="A28" s="278">
        <v>2000</v>
      </c>
      <c r="C28" s="279">
        <f t="shared" si="9"/>
        <v>273.12</v>
      </c>
      <c r="E28" s="279">
        <f t="shared" si="10"/>
        <v>271.38</v>
      </c>
      <c r="F28" s="279"/>
      <c r="G28" s="293">
        <f t="shared" si="11"/>
        <v>-1.7400000000000091</v>
      </c>
      <c r="I28" s="294">
        <f t="shared" si="12"/>
        <v>-6.0000000000000001E-3</v>
      </c>
      <c r="K28" s="279">
        <f t="shared" si="6"/>
        <v>227.9</v>
      </c>
      <c r="M28" s="279">
        <f t="shared" si="7"/>
        <v>226.46</v>
      </c>
      <c r="N28" s="279"/>
      <c r="O28" s="293">
        <f t="shared" si="3"/>
        <v>-1.4399999999999977</v>
      </c>
      <c r="Q28" s="294">
        <f t="shared" si="4"/>
        <v>-6.0000000000000001E-3</v>
      </c>
      <c r="S28" s="268" t="s">
        <v>397</v>
      </c>
      <c r="T28" s="305">
        <v>3.56E-2</v>
      </c>
      <c r="U28" s="305">
        <v>3.56E-2</v>
      </c>
      <c r="V28" s="304">
        <f>U28/T28-1</f>
        <v>0</v>
      </c>
      <c r="W28" s="298"/>
      <c r="X28" s="298"/>
      <c r="Y28" s="298"/>
      <c r="Z28" s="298"/>
    </row>
    <row r="29" spans="1:26">
      <c r="A29" s="278">
        <v>3000</v>
      </c>
      <c r="C29" s="279">
        <f t="shared" si="9"/>
        <v>427.81</v>
      </c>
      <c r="E29" s="279">
        <f t="shared" si="10"/>
        <v>425.05</v>
      </c>
      <c r="F29" s="279"/>
      <c r="G29" s="293">
        <f t="shared" si="11"/>
        <v>-2.7599999999999909</v>
      </c>
      <c r="I29" s="294">
        <f t="shared" si="12"/>
        <v>-6.0000000000000001E-3</v>
      </c>
      <c r="K29" s="279">
        <f t="shared" si="6"/>
        <v>342.71</v>
      </c>
      <c r="M29" s="279">
        <f t="shared" si="7"/>
        <v>340.51</v>
      </c>
      <c r="N29" s="279"/>
      <c r="O29" s="293">
        <f t="shared" si="3"/>
        <v>-2.1999999999999886</v>
      </c>
      <c r="Q29" s="294">
        <f t="shared" si="4"/>
        <v>-6.0000000000000001E-3</v>
      </c>
      <c r="S29" s="268" t="s">
        <v>398</v>
      </c>
      <c r="T29" s="316">
        <v>2.1499999999999998E-2</v>
      </c>
      <c r="U29" s="317">
        <f>'Exhibit-RMP(JRS-2)'!M16</f>
        <v>1.4800000000000001E-2</v>
      </c>
      <c r="V29" s="304">
        <f>U29/T29-1</f>
        <v>-0.31162790697674414</v>
      </c>
      <c r="W29" s="298"/>
      <c r="X29" s="298"/>
      <c r="Y29" s="298"/>
      <c r="Z29" s="298"/>
    </row>
    <row r="30" spans="1:26">
      <c r="A30" s="278">
        <v>4000</v>
      </c>
      <c r="C30" s="279">
        <f t="shared" si="9"/>
        <v>582.49</v>
      </c>
      <c r="E30" s="279">
        <f t="shared" si="10"/>
        <v>578.73</v>
      </c>
      <c r="F30" s="279"/>
      <c r="G30" s="293">
        <f t="shared" si="11"/>
        <v>-3.7599999999999909</v>
      </c>
      <c r="I30" s="294">
        <f t="shared" si="12"/>
        <v>-6.0000000000000001E-3</v>
      </c>
      <c r="K30" s="279">
        <f t="shared" si="6"/>
        <v>457.52</v>
      </c>
      <c r="M30" s="279">
        <f t="shared" si="7"/>
        <v>454.57</v>
      </c>
      <c r="N30" s="279"/>
      <c r="O30" s="293">
        <f t="shared" si="3"/>
        <v>-2.9499999999999886</v>
      </c>
      <c r="Q30" s="294">
        <f t="shared" si="4"/>
        <v>-6.0000000000000001E-3</v>
      </c>
      <c r="S30" s="268" t="s">
        <v>399</v>
      </c>
      <c r="T30" s="316">
        <v>3.5000000000000001E-3</v>
      </c>
      <c r="U30" s="317">
        <v>3.5000000000000001E-3</v>
      </c>
      <c r="V30" s="304">
        <f>U30/T30-1</f>
        <v>0</v>
      </c>
      <c r="W30" s="298"/>
      <c r="X30" s="298"/>
      <c r="Y30" s="298"/>
      <c r="Z30" s="298"/>
    </row>
    <row r="31" spans="1:26">
      <c r="A31" s="278">
        <v>5000</v>
      </c>
      <c r="C31" s="279">
        <f t="shared" si="9"/>
        <v>737.18</v>
      </c>
      <c r="E31" s="279">
        <f t="shared" si="10"/>
        <v>732.4</v>
      </c>
      <c r="F31" s="279"/>
      <c r="G31" s="293">
        <f t="shared" si="11"/>
        <v>-4.7799999999999727</v>
      </c>
      <c r="I31" s="294">
        <f t="shared" si="12"/>
        <v>-6.0000000000000001E-3</v>
      </c>
      <c r="K31" s="279">
        <f t="shared" si="6"/>
        <v>572.33000000000004</v>
      </c>
      <c r="M31" s="279">
        <f t="shared" si="7"/>
        <v>568.63</v>
      </c>
      <c r="N31" s="279"/>
      <c r="O31" s="293">
        <f t="shared" si="3"/>
        <v>-3.7000000000000455</v>
      </c>
      <c r="Q31" s="294">
        <f t="shared" si="4"/>
        <v>-6.0000000000000001E-3</v>
      </c>
      <c r="S31" s="265" t="s">
        <v>400</v>
      </c>
      <c r="T31" s="318">
        <v>2.4999999999999998E-2</v>
      </c>
      <c r="U31" s="319">
        <f>SUM(U29:U30)</f>
        <v>1.83E-2</v>
      </c>
      <c r="V31" s="304">
        <f>U31/T31-1</f>
        <v>-0.2679999999999999</v>
      </c>
      <c r="W31" s="298"/>
      <c r="X31" s="298"/>
      <c r="Y31" s="298"/>
      <c r="Z31" s="298"/>
    </row>
    <row r="32" spans="1:26">
      <c r="R32" s="320"/>
      <c r="W32" s="298"/>
      <c r="X32" s="298"/>
      <c r="Y32" s="298"/>
      <c r="Z32" s="298"/>
    </row>
    <row r="33" spans="1:30">
      <c r="T33" s="322" t="s">
        <v>403</v>
      </c>
      <c r="U33" s="323"/>
      <c r="V33" s="323"/>
      <c r="W33" s="324" t="s">
        <v>243</v>
      </c>
      <c r="X33" s="325"/>
      <c r="Y33" s="323" t="s">
        <v>384</v>
      </c>
      <c r="Z33" s="326" t="s">
        <v>404</v>
      </c>
    </row>
    <row r="34" spans="1:30" ht="15.75">
      <c r="A34" s="321" t="s">
        <v>401</v>
      </c>
      <c r="S34" s="265"/>
      <c r="T34" s="327" t="s">
        <v>383</v>
      </c>
      <c r="U34" s="327" t="s">
        <v>384</v>
      </c>
      <c r="V34" s="327" t="s">
        <v>385</v>
      </c>
      <c r="W34" s="328" t="s">
        <v>386</v>
      </c>
      <c r="X34" s="329" t="s">
        <v>287</v>
      </c>
      <c r="Y34" s="330" t="s">
        <v>405</v>
      </c>
      <c r="Z34" s="330" t="s">
        <v>405</v>
      </c>
    </row>
    <row r="35" spans="1:30">
      <c r="A35" s="278" t="s">
        <v>402</v>
      </c>
      <c r="S35" s="331" t="s">
        <v>380</v>
      </c>
      <c r="T35" s="332">
        <f>A19</f>
        <v>746.76637542484116</v>
      </c>
      <c r="U35" s="333">
        <f>C19</f>
        <v>87.11</v>
      </c>
      <c r="V35" s="333">
        <f>E19</f>
        <v>86.58</v>
      </c>
      <c r="W35" s="333">
        <f>V35-U35</f>
        <v>-0.53000000000000114</v>
      </c>
      <c r="X35" s="334">
        <f>V35/U35-1</f>
        <v>-6.0842612788428729E-3</v>
      </c>
      <c r="Y35" s="331">
        <f t="shared" ref="Y35:Z38" si="13">ROUND(U35/$T35*100,2)</f>
        <v>11.66</v>
      </c>
      <c r="Z35" s="335">
        <f t="shared" si="13"/>
        <v>11.59</v>
      </c>
    </row>
    <row r="36" spans="1:30" ht="15.75">
      <c r="A36" s="321"/>
      <c r="S36" s="335" t="s">
        <v>381</v>
      </c>
      <c r="T36" s="332">
        <f>A17</f>
        <v>663.32999948009433</v>
      </c>
      <c r="U36" s="333">
        <f>K17</f>
        <v>74.44</v>
      </c>
      <c r="V36" s="333">
        <f>M17</f>
        <v>74</v>
      </c>
      <c r="W36" s="333">
        <f>V36-U36</f>
        <v>-0.43999999999999773</v>
      </c>
      <c r="X36" s="336">
        <f>V36/U36-1</f>
        <v>-5.91080064481464E-3</v>
      </c>
      <c r="Y36" s="337">
        <f t="shared" si="13"/>
        <v>11.22</v>
      </c>
      <c r="Z36" s="335">
        <f t="shared" si="13"/>
        <v>11.16</v>
      </c>
    </row>
    <row r="37" spans="1:30">
      <c r="S37" s="347" t="s">
        <v>406</v>
      </c>
      <c r="T37" s="348">
        <f>A18</f>
        <v>698.09515617157388</v>
      </c>
      <c r="U37" s="349">
        <f>(C18*5+K18*7)/12</f>
        <v>79.538333333333341</v>
      </c>
      <c r="V37" s="349">
        <f>(E18*5+M18*7)/12</f>
        <v>79.059999999999988</v>
      </c>
      <c r="W37" s="349">
        <f>V37-U37</f>
        <v>-0.47833333333335304</v>
      </c>
      <c r="X37" s="350">
        <f>V37/U37-1</f>
        <v>-6.0138717180397983E-3</v>
      </c>
      <c r="Y37" s="347">
        <f t="shared" si="13"/>
        <v>11.39</v>
      </c>
      <c r="Z37" s="347">
        <f t="shared" si="13"/>
        <v>11.33</v>
      </c>
    </row>
    <row r="38" spans="1:30">
      <c r="A38" s="338"/>
      <c r="B38" s="265"/>
      <c r="C38" s="275"/>
      <c r="D38" s="339"/>
      <c r="E38" s="280"/>
      <c r="F38" s="264"/>
      <c r="G38" s="340"/>
      <c r="H38" s="264"/>
      <c r="I38" s="264"/>
      <c r="J38" s="265"/>
      <c r="S38" s="456" t="s">
        <v>406</v>
      </c>
      <c r="T38" s="457">
        <v>700</v>
      </c>
      <c r="U38" s="458">
        <f>(C16*5+K16*7)/12</f>
        <v>79.762500000000003</v>
      </c>
      <c r="V38" s="458">
        <f>(E16*5+M16*7)/12</f>
        <v>79.284166666666664</v>
      </c>
      <c r="W38" s="458">
        <f>V38-U38</f>
        <v>-0.47833333333333883</v>
      </c>
      <c r="X38" s="459">
        <f>V38/U38-1</f>
        <v>-5.996970171864513E-3</v>
      </c>
      <c r="Y38" s="456">
        <f>ROUND(U38/$T38*100,2)</f>
        <v>11.39</v>
      </c>
      <c r="Z38" s="456">
        <f t="shared" si="13"/>
        <v>11.33</v>
      </c>
    </row>
    <row r="39" spans="1:30">
      <c r="A39" s="338"/>
      <c r="B39" s="265"/>
      <c r="C39" s="280"/>
      <c r="D39" s="264"/>
      <c r="E39" s="280"/>
      <c r="F39" s="265"/>
      <c r="G39" s="280"/>
      <c r="H39" s="264"/>
      <c r="I39" s="280"/>
      <c r="J39" s="265"/>
    </row>
    <row r="40" spans="1:30">
      <c r="A40" s="341"/>
      <c r="B40" s="265"/>
      <c r="C40" s="280"/>
      <c r="D40" s="265"/>
      <c r="E40" s="342"/>
      <c r="F40" s="265"/>
      <c r="G40" s="343"/>
      <c r="H40" s="265"/>
      <c r="I40" s="344"/>
      <c r="J40" s="345"/>
      <c r="K40" s="294"/>
      <c r="L40" s="294"/>
      <c r="M40" s="294"/>
      <c r="N40" s="294"/>
      <c r="O40" s="294"/>
    </row>
    <row r="41" spans="1:30">
      <c r="A41" s="338"/>
      <c r="B41" s="265"/>
      <c r="C41" s="273"/>
      <c r="D41" s="265"/>
      <c r="E41" s="273"/>
      <c r="F41" s="273"/>
      <c r="G41" s="346"/>
      <c r="H41" s="265"/>
      <c r="I41" s="345"/>
      <c r="J41" s="345"/>
      <c r="K41" s="294"/>
      <c r="L41" s="294"/>
      <c r="M41" s="294"/>
      <c r="N41" s="294"/>
      <c r="O41" s="294"/>
      <c r="AA41" s="265"/>
      <c r="AB41" s="265"/>
      <c r="AC41" s="265"/>
      <c r="AD41" s="265"/>
    </row>
    <row r="42" spans="1:30">
      <c r="A42" s="338"/>
      <c r="B42" s="265"/>
      <c r="C42" s="273"/>
      <c r="D42" s="265"/>
      <c r="E42" s="273"/>
      <c r="F42" s="273"/>
      <c r="G42" s="346"/>
      <c r="H42" s="265"/>
      <c r="I42" s="345"/>
      <c r="J42" s="345"/>
      <c r="K42" s="294"/>
      <c r="L42" s="294"/>
      <c r="M42" s="294"/>
      <c r="N42" s="294"/>
      <c r="O42" s="294"/>
      <c r="U42" s="279"/>
      <c r="W42" s="265"/>
      <c r="X42" s="265"/>
      <c r="Y42" s="265"/>
      <c r="Z42" s="265"/>
    </row>
    <row r="43" spans="1:30">
      <c r="A43" s="338"/>
      <c r="B43" s="265"/>
      <c r="C43" s="273"/>
      <c r="D43" s="265"/>
      <c r="E43" s="273"/>
      <c r="F43" s="273"/>
      <c r="G43" s="346"/>
      <c r="H43" s="265"/>
      <c r="I43" s="345"/>
      <c r="J43" s="345"/>
      <c r="K43" s="294"/>
      <c r="L43" s="294"/>
      <c r="M43" s="294"/>
      <c r="N43" s="294"/>
      <c r="O43" s="294"/>
      <c r="U43" s="279"/>
    </row>
    <row r="44" spans="1:30">
      <c r="A44" s="338"/>
      <c r="B44" s="265"/>
      <c r="C44" s="273"/>
      <c r="D44" s="265"/>
      <c r="E44" s="273"/>
      <c r="F44" s="273"/>
      <c r="G44" s="346"/>
      <c r="H44" s="265"/>
      <c r="I44" s="345"/>
      <c r="J44" s="345"/>
      <c r="K44" s="294"/>
      <c r="L44" s="294"/>
      <c r="M44" s="294"/>
      <c r="N44" s="294"/>
      <c r="O44" s="294"/>
    </row>
    <row r="45" spans="1:30">
      <c r="A45" s="338"/>
      <c r="B45" s="265"/>
      <c r="C45" s="273"/>
      <c r="D45" s="265"/>
      <c r="E45" s="273"/>
      <c r="F45" s="273"/>
      <c r="G45" s="346"/>
      <c r="H45" s="265"/>
      <c r="I45" s="345"/>
      <c r="J45" s="345"/>
      <c r="K45" s="294"/>
      <c r="L45" s="294"/>
      <c r="M45" s="294"/>
      <c r="N45" s="294"/>
      <c r="O45" s="294"/>
    </row>
    <row r="46" spans="1:30">
      <c r="A46" s="338"/>
      <c r="B46" s="265"/>
      <c r="C46" s="273"/>
      <c r="D46" s="265"/>
      <c r="E46" s="273"/>
      <c r="F46" s="273"/>
      <c r="G46" s="346"/>
      <c r="H46" s="265"/>
      <c r="I46" s="345"/>
      <c r="J46" s="345"/>
      <c r="K46" s="294"/>
      <c r="L46" s="294"/>
      <c r="M46" s="294"/>
      <c r="N46" s="294"/>
      <c r="O46" s="294"/>
    </row>
    <row r="47" spans="1:30">
      <c r="A47" s="338"/>
      <c r="B47" s="265"/>
      <c r="C47" s="273"/>
      <c r="D47" s="265"/>
      <c r="E47" s="273"/>
      <c r="F47" s="273"/>
      <c r="G47" s="346"/>
      <c r="H47" s="265"/>
      <c r="I47" s="345"/>
      <c r="J47" s="345"/>
      <c r="K47" s="294"/>
      <c r="L47" s="294"/>
      <c r="M47" s="294"/>
      <c r="N47" s="294"/>
      <c r="O47" s="294"/>
    </row>
    <row r="48" spans="1:30">
      <c r="A48" s="338"/>
      <c r="B48" s="265"/>
      <c r="C48" s="273"/>
      <c r="D48" s="265"/>
      <c r="E48" s="273"/>
      <c r="F48" s="273"/>
      <c r="G48" s="346"/>
      <c r="H48" s="265"/>
      <c r="I48" s="345"/>
      <c r="J48" s="345"/>
      <c r="K48" s="294"/>
      <c r="L48" s="294"/>
      <c r="M48" s="294"/>
      <c r="N48" s="294"/>
      <c r="O48" s="294"/>
    </row>
    <row r="49" spans="1:15">
      <c r="A49" s="338"/>
      <c r="B49" s="265"/>
      <c r="C49" s="273"/>
      <c r="D49" s="265"/>
      <c r="E49" s="273"/>
      <c r="F49" s="273"/>
      <c r="G49" s="346"/>
      <c r="H49" s="265"/>
      <c r="I49" s="345"/>
      <c r="J49" s="345"/>
      <c r="K49" s="294"/>
      <c r="L49" s="294"/>
      <c r="M49" s="294"/>
      <c r="N49" s="294"/>
      <c r="O49" s="294"/>
    </row>
    <row r="50" spans="1:15">
      <c r="A50" s="338"/>
      <c r="B50" s="265"/>
      <c r="C50" s="273"/>
      <c r="D50" s="265"/>
      <c r="E50" s="273"/>
      <c r="F50" s="273"/>
      <c r="G50" s="346"/>
      <c r="H50" s="265"/>
      <c r="I50" s="345"/>
      <c r="J50" s="345"/>
      <c r="K50" s="294"/>
      <c r="L50" s="294"/>
      <c r="M50" s="294"/>
      <c r="N50" s="294"/>
      <c r="O50" s="294"/>
    </row>
    <row r="51" spans="1:15">
      <c r="A51" s="338"/>
      <c r="B51" s="265"/>
      <c r="C51" s="273"/>
      <c r="D51" s="265"/>
      <c r="E51" s="273"/>
      <c r="F51" s="273"/>
      <c r="G51" s="346"/>
      <c r="H51" s="265"/>
      <c r="I51" s="345"/>
      <c r="J51" s="345"/>
      <c r="K51" s="294"/>
      <c r="L51" s="294"/>
      <c r="M51" s="294"/>
      <c r="N51" s="294"/>
      <c r="O51" s="294"/>
    </row>
    <row r="52" spans="1:15">
      <c r="A52" s="338"/>
      <c r="B52" s="265"/>
      <c r="C52" s="273"/>
      <c r="D52" s="265"/>
      <c r="E52" s="273"/>
      <c r="F52" s="273"/>
      <c r="G52" s="346"/>
      <c r="H52" s="265"/>
      <c r="I52" s="345"/>
      <c r="J52" s="345"/>
      <c r="K52" s="294"/>
      <c r="L52" s="294"/>
      <c r="M52" s="294"/>
      <c r="N52" s="294"/>
      <c r="O52" s="294"/>
    </row>
    <row r="53" spans="1:15">
      <c r="A53" s="338"/>
      <c r="B53" s="265"/>
      <c r="C53" s="273"/>
      <c r="D53" s="265"/>
      <c r="E53" s="273"/>
      <c r="F53" s="273"/>
      <c r="G53" s="346"/>
      <c r="H53" s="265"/>
      <c r="I53" s="345"/>
      <c r="J53" s="345"/>
      <c r="K53" s="294"/>
      <c r="L53" s="294"/>
      <c r="M53" s="294"/>
      <c r="N53" s="294"/>
      <c r="O53" s="294"/>
    </row>
    <row r="54" spans="1:15">
      <c r="A54" s="338"/>
      <c r="B54" s="265"/>
      <c r="C54" s="273"/>
      <c r="D54" s="265"/>
      <c r="E54" s="273"/>
      <c r="F54" s="273"/>
      <c r="G54" s="346"/>
      <c r="H54" s="265"/>
      <c r="I54" s="345"/>
      <c r="J54" s="345"/>
      <c r="K54" s="294"/>
      <c r="L54" s="294"/>
      <c r="M54" s="294"/>
      <c r="N54" s="294"/>
      <c r="O54" s="294"/>
    </row>
    <row r="55" spans="1:15">
      <c r="A55" s="338"/>
      <c r="B55" s="265"/>
      <c r="C55" s="273"/>
      <c r="D55" s="265"/>
      <c r="E55" s="273"/>
      <c r="F55" s="273"/>
      <c r="G55" s="346"/>
      <c r="H55" s="265"/>
      <c r="I55" s="345"/>
      <c r="J55" s="345"/>
      <c r="K55" s="294"/>
      <c r="L55" s="294"/>
      <c r="M55" s="294"/>
      <c r="N55" s="294"/>
      <c r="O55" s="294"/>
    </row>
    <row r="56" spans="1:15">
      <c r="A56" s="338"/>
      <c r="B56" s="265"/>
      <c r="C56" s="273"/>
      <c r="D56" s="265"/>
      <c r="E56" s="273"/>
      <c r="F56" s="273"/>
      <c r="G56" s="346"/>
      <c r="H56" s="265"/>
      <c r="I56" s="345"/>
      <c r="J56" s="345"/>
      <c r="K56" s="294"/>
      <c r="L56" s="294"/>
      <c r="M56" s="294"/>
      <c r="N56" s="294"/>
      <c r="O56" s="294"/>
    </row>
    <row r="57" spans="1:15">
      <c r="A57" s="338"/>
      <c r="B57" s="265"/>
      <c r="C57" s="273"/>
      <c r="D57" s="265"/>
      <c r="E57" s="273"/>
      <c r="F57" s="273"/>
      <c r="G57" s="346"/>
      <c r="H57" s="265"/>
      <c r="I57" s="345"/>
      <c r="J57" s="345"/>
      <c r="K57" s="294"/>
      <c r="L57" s="294"/>
      <c r="M57" s="294"/>
      <c r="N57" s="294"/>
      <c r="O57" s="294"/>
    </row>
    <row r="58" spans="1:15">
      <c r="A58" s="338"/>
      <c r="B58" s="265"/>
      <c r="C58" s="273"/>
      <c r="D58" s="265"/>
      <c r="E58" s="273"/>
      <c r="F58" s="273"/>
      <c r="G58" s="346"/>
      <c r="H58" s="265"/>
      <c r="I58" s="345"/>
      <c r="J58" s="345"/>
      <c r="K58" s="294"/>
      <c r="L58" s="294"/>
      <c r="M58" s="294"/>
      <c r="N58" s="294"/>
      <c r="O58" s="294"/>
    </row>
    <row r="59" spans="1:15">
      <c r="A59" s="338"/>
      <c r="B59" s="265"/>
      <c r="C59" s="273"/>
      <c r="D59" s="265"/>
      <c r="E59" s="273"/>
      <c r="F59" s="273"/>
      <c r="G59" s="346"/>
      <c r="H59" s="265"/>
      <c r="I59" s="345"/>
      <c r="J59" s="345"/>
      <c r="K59" s="294"/>
      <c r="L59" s="294"/>
      <c r="M59" s="294"/>
      <c r="N59" s="294"/>
      <c r="O59" s="294"/>
    </row>
  </sheetData>
  <mergeCells count="2">
    <mergeCell ref="G6:I6"/>
    <mergeCell ref="O6:Q6"/>
  </mergeCells>
  <printOptions horizontalCentered="1"/>
  <pageMargins left="0.75" right="0.75" top="1" bottom="0.5" header="0.5" footer="0.2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Exhibit-RMP(JRS-1) page 1</vt:lpstr>
      <vt:lpstr>Exhibit-RMP(JRS-1) page 2</vt:lpstr>
      <vt:lpstr>Exhibit-RMP(JRS-2)</vt:lpstr>
      <vt:lpstr>Balance</vt:lpstr>
      <vt:lpstr>Deferral</vt:lpstr>
      <vt:lpstr>Allocator-2014</vt:lpstr>
      <vt:lpstr>Allocator-2012</vt:lpstr>
      <vt:lpstr>Comparison</vt:lpstr>
      <vt:lpstr>Sch1 Bill Impact</vt:lpstr>
      <vt:lpstr>Note</vt:lpstr>
      <vt:lpstr>'Allocator-2012'!Print_Area</vt:lpstr>
      <vt:lpstr>Balance!Print_Area</vt:lpstr>
      <vt:lpstr>Comparison!Print_Area</vt:lpstr>
      <vt:lpstr>'Exhibit-RMP(JRS-1) page 1'!Print_Area</vt:lpstr>
      <vt:lpstr>'Exhibit-RMP(JRS-1) page 2'!Print_Area</vt:lpstr>
      <vt:lpstr>'Exhibit-RMP(JRS-2)'!Print_Area</vt:lpstr>
      <vt:lpstr>'Sch1 Bill Impact'!Print_Area</vt:lpstr>
      <vt:lpstr>'Exhibit-RMP(JRS-1) page 1'!Print_Titles</vt:lpstr>
      <vt:lpstr>'Exhibit-RMP(JRS-2)'!Print_Titles</vt:lpstr>
      <vt:lpstr>'Exhibit-RMP(JRS-2)'!Print_Titles_MI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laurieharris</cp:lastModifiedBy>
  <cp:lastPrinted>2015-03-05T21:51:01Z</cp:lastPrinted>
  <dcterms:created xsi:type="dcterms:W3CDTF">2012-05-11T17:24:36Z</dcterms:created>
  <dcterms:modified xsi:type="dcterms:W3CDTF">2015-03-16T21:33:04Z</dcterms:modified>
</cp:coreProperties>
</file>