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0" yWindow="0" windowWidth="28800" windowHeight="11535"/>
  </bookViews>
  <sheets>
    <sheet name="DPU Ex 1.4.0_DPU Adj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localSheetId="0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0">'[2]Exhibit A1 3of3'!#REF!</definedName>
    <definedName name="ActualROR">'[2]Exhibit A1 3of3'!#REF!</definedName>
    <definedName name="at_wacc" localSheetId="0">[3]ROR!#REF!</definedName>
    <definedName name="at_wacc">[3]ROR!#REF!</definedName>
    <definedName name="b" localSheetId="0" hidden="1">#REF!</definedName>
    <definedName name="b" hidden="1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'[4]Check Dollars'!$R$258:$S$643</definedName>
    <definedName name="ContractTypeMWh">'[4]Check MWh'!$R$258:$S$643</definedName>
    <definedName name="COSFacVal">[1]Inputs!$W$11</definedName>
    <definedName name="d" localSheetId="0" hidden="1">#REF!</definedName>
    <definedName name="d" hidden="1">#REF!</definedName>
    <definedName name="Demand">[5]Inputs!$D$9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[5]Inputs!$Y$11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'[6](6.4) Base UTGRC12 Stlmt NPC'!$F$7:$Q$7</definedName>
    <definedName name="NetToGross">[1]Inputs!$H$21</definedName>
    <definedName name="OH">[1]Inputs!$D$24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'[1]Energy Factor'!#REF!</definedName>
    <definedName name="page63">'[1]Energy Factor'!#REF!</definedName>
    <definedName name="page64" localSheetId="0">'[1]Energy Factor'!#REF!</definedName>
    <definedName name="page64">'[1]Energy Factor'!#REF!</definedName>
    <definedName name="_xlnm.Print_Area" localSheetId="0">'DPU Ex 1.4.0_DPU Adj Summary'!$A$1:$Q$54</definedName>
    <definedName name="PSATable">[4]Hermiston!$A$41:$E$56</definedName>
    <definedName name="pt_wacc" localSheetId="0">[3]ROR!#REF!</definedName>
    <definedName name="pt_wacc">[3]ROR!#REF!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axrate" localSheetId="0">[3]ROR!#REF!</definedName>
    <definedName name="taxrate">[3]ROR!#REF!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Q33" i="1"/>
  <c r="M33" i="1"/>
  <c r="I33" i="1"/>
  <c r="P33" i="1"/>
  <c r="O33" i="1"/>
  <c r="N33" i="1"/>
  <c r="L33" i="1"/>
  <c r="K33" i="1"/>
  <c r="J33" i="1"/>
  <c r="H33" i="1"/>
  <c r="G33" i="1"/>
  <c r="F33" i="1"/>
  <c r="Q21" i="1"/>
  <c r="Q23" i="1" s="1"/>
  <c r="P21" i="1"/>
  <c r="P23" i="1" s="1"/>
  <c r="O21" i="1"/>
  <c r="O23" i="1" s="1"/>
  <c r="N21" i="1"/>
  <c r="M16" i="1"/>
  <c r="A6" i="1"/>
  <c r="G4" i="1"/>
  <c r="K16" i="1" l="1"/>
  <c r="G16" i="1"/>
  <c r="L16" i="1"/>
  <c r="H16" i="1"/>
  <c r="J16" i="1"/>
  <c r="N23" i="1"/>
  <c r="A7" i="1"/>
  <c r="A8" i="1"/>
  <c r="I16" i="1"/>
  <c r="H4" i="1"/>
  <c r="G28" i="1"/>
  <c r="G30" i="1" s="1"/>
  <c r="F28" i="1"/>
  <c r="F30" i="1" s="1"/>
  <c r="A9" i="1" l="1"/>
  <c r="I4" i="1"/>
  <c r="H28" i="1"/>
  <c r="H30" i="1" s="1"/>
  <c r="J4" i="1" l="1"/>
  <c r="A10" i="1"/>
  <c r="I28" i="1" l="1"/>
  <c r="I30" i="1" s="1"/>
  <c r="K4" i="1"/>
  <c r="A11" i="1"/>
  <c r="J28" i="1" l="1"/>
  <c r="J30" i="1" s="1"/>
  <c r="L4" i="1"/>
  <c r="D12" i="1"/>
  <c r="A12" i="1"/>
  <c r="A14" i="1" l="1"/>
  <c r="A15" i="1"/>
  <c r="A16" i="1"/>
  <c r="L28" i="1"/>
  <c r="L30" i="1" s="1"/>
  <c r="M4" i="1"/>
  <c r="A17" i="1"/>
  <c r="K28" i="1"/>
  <c r="K30" i="1" s="1"/>
  <c r="A18" i="1" l="1"/>
  <c r="N4" i="1"/>
  <c r="D15" i="1"/>
  <c r="D17" i="1"/>
  <c r="O4" i="1" l="1"/>
  <c r="A19" i="1"/>
  <c r="M28" i="1"/>
  <c r="M30" i="1" s="1"/>
  <c r="A20" i="1" l="1"/>
  <c r="A21" i="1" s="1"/>
  <c r="P4" i="1"/>
  <c r="N28" i="1"/>
  <c r="N30" i="1" s="1"/>
  <c r="N32" i="1" s="1"/>
  <c r="N34" i="1" s="1"/>
  <c r="N36" i="1" s="1"/>
  <c r="N38" i="1" s="1"/>
  <c r="N41" i="1" s="1"/>
  <c r="O28" i="1" l="1"/>
  <c r="O30" i="1" s="1"/>
  <c r="O32" i="1" s="1"/>
  <c r="O34" i="1" s="1"/>
  <c r="O36" i="1" s="1"/>
  <c r="O38" i="1" s="1"/>
  <c r="O41" i="1" s="1"/>
  <c r="A22" i="1"/>
  <c r="A23" i="1" s="1"/>
  <c r="Q4" i="1"/>
  <c r="D21" i="1"/>
  <c r="P28" i="1" l="1"/>
  <c r="P30" i="1" s="1"/>
  <c r="P32" i="1" s="1"/>
  <c r="P34" i="1" s="1"/>
  <c r="P36" i="1" s="1"/>
  <c r="P38" i="1" s="1"/>
  <c r="P41" i="1" s="1"/>
  <c r="A25" i="1"/>
  <c r="A26" i="1" s="1"/>
  <c r="D23" i="1"/>
  <c r="A27" i="1" l="1"/>
  <c r="A28" i="1" s="1"/>
  <c r="Q28" i="1"/>
  <c r="Q30" i="1" s="1"/>
  <c r="Q32" i="1" s="1"/>
  <c r="Q34" i="1" s="1"/>
  <c r="Q36" i="1" s="1"/>
  <c r="Q38" i="1" s="1"/>
  <c r="Q41" i="1" s="1"/>
  <c r="A29" i="1" l="1"/>
  <c r="A30" i="1" s="1"/>
  <c r="D28" i="1"/>
  <c r="A31" i="1" l="1"/>
  <c r="A32" i="1" s="1"/>
  <c r="D32" i="1"/>
  <c r="D30" i="1"/>
  <c r="A33" i="1" l="1"/>
  <c r="A34" i="1" s="1"/>
  <c r="D36" i="1" l="1"/>
  <c r="A35" i="1"/>
  <c r="A36" i="1" s="1"/>
  <c r="D34" i="1"/>
  <c r="A37" i="1" l="1"/>
  <c r="A38" i="1" s="1"/>
  <c r="D41" i="1" l="1"/>
  <c r="A40" i="1"/>
  <c r="D38" i="1"/>
  <c r="D42" i="1" l="1"/>
  <c r="A41" i="1"/>
  <c r="A42" i="1" s="1"/>
  <c r="A43" i="1" s="1"/>
  <c r="A44" i="1" s="1"/>
  <c r="A45" i="1" s="1"/>
  <c r="A46" i="1" s="1"/>
  <c r="A47" i="1" s="1"/>
  <c r="D43" i="1" l="1"/>
  <c r="M12" i="1" l="1"/>
  <c r="M15" i="1" s="1"/>
  <c r="M17" i="1" s="1"/>
  <c r="M19" i="1" s="1"/>
  <c r="M21" i="1" s="1"/>
  <c r="M23" i="1" s="1"/>
  <c r="M32" i="1" s="1"/>
  <c r="M34" i="1" s="1"/>
  <c r="M36" i="1" s="1"/>
  <c r="M38" i="1" s="1"/>
  <c r="M41" i="1" s="1"/>
  <c r="L12" i="1"/>
  <c r="L15" i="1" s="1"/>
  <c r="L17" i="1" s="1"/>
  <c r="L19" i="1" s="1"/>
  <c r="L21" i="1" s="1"/>
  <c r="L23" i="1" s="1"/>
  <c r="L32" i="1" s="1"/>
  <c r="L34" i="1" s="1"/>
  <c r="L36" i="1" s="1"/>
  <c r="L38" i="1" s="1"/>
  <c r="L41" i="1" s="1"/>
  <c r="K12" i="1"/>
  <c r="K15" i="1" s="1"/>
  <c r="K17" i="1" s="1"/>
  <c r="K19" i="1" s="1"/>
  <c r="K21" i="1" s="1"/>
  <c r="K23" i="1" s="1"/>
  <c r="K32" i="1" s="1"/>
  <c r="K34" i="1" s="1"/>
  <c r="K36" i="1" s="1"/>
  <c r="K38" i="1" s="1"/>
  <c r="K41" i="1" s="1"/>
  <c r="J12" i="1"/>
  <c r="J15" i="1" s="1"/>
  <c r="J17" i="1" s="1"/>
  <c r="J19" i="1" s="1"/>
  <c r="J21" i="1" s="1"/>
  <c r="J23" i="1" s="1"/>
  <c r="J32" i="1" s="1"/>
  <c r="J34" i="1" s="1"/>
  <c r="J36" i="1" s="1"/>
  <c r="J38" i="1" s="1"/>
  <c r="J41" i="1" s="1"/>
  <c r="I12" i="1"/>
  <c r="I15" i="1" s="1"/>
  <c r="I17" i="1" s="1"/>
  <c r="I19" i="1" s="1"/>
  <c r="I21" i="1" s="1"/>
  <c r="I23" i="1" s="1"/>
  <c r="I32" i="1" s="1"/>
  <c r="I34" i="1" s="1"/>
  <c r="I36" i="1" s="1"/>
  <c r="I38" i="1" s="1"/>
  <c r="I41" i="1" s="1"/>
  <c r="H12" i="1"/>
  <c r="H15" i="1" s="1"/>
  <c r="H17" i="1" s="1"/>
  <c r="H19" i="1" s="1"/>
  <c r="H21" i="1" s="1"/>
  <c r="H23" i="1" s="1"/>
  <c r="H32" i="1" s="1"/>
  <c r="H34" i="1" s="1"/>
  <c r="H36" i="1" s="1"/>
  <c r="H38" i="1" s="1"/>
  <c r="H41" i="1" s="1"/>
  <c r="G12" i="1"/>
  <c r="G15" i="1" s="1"/>
  <c r="G17" i="1" s="1"/>
  <c r="G19" i="1" s="1"/>
  <c r="G21" i="1" s="1"/>
  <c r="G23" i="1" s="1"/>
  <c r="G32" i="1" s="1"/>
  <c r="G34" i="1" s="1"/>
  <c r="G36" i="1" s="1"/>
  <c r="G38" i="1" s="1"/>
  <c r="G41" i="1" s="1"/>
  <c r="F12" i="1"/>
  <c r="F15" i="1" s="1"/>
  <c r="F17" i="1" s="1"/>
  <c r="F19" i="1" s="1"/>
  <c r="F21" i="1" l="1"/>
  <c r="F23" i="1" l="1"/>
  <c r="F32" i="1" s="1"/>
  <c r="F34" i="1" s="1"/>
  <c r="F36" i="1" s="1"/>
  <c r="F38" i="1" s="1"/>
  <c r="F41" i="1" s="1"/>
  <c r="F42" i="1" l="1"/>
  <c r="F43" i="1"/>
  <c r="G40" i="1" s="1"/>
  <c r="G42" i="1" l="1"/>
  <c r="G43" i="1"/>
  <c r="H40" i="1" s="1"/>
  <c r="H42" i="1" l="1"/>
  <c r="H43" i="1" s="1"/>
  <c r="I40" i="1" s="1"/>
  <c r="I42" i="1" l="1"/>
  <c r="I43" i="1" s="1"/>
  <c r="J40" i="1" s="1"/>
  <c r="J42" i="1" l="1"/>
  <c r="J43" i="1" s="1"/>
  <c r="K40" i="1" s="1"/>
  <c r="K42" i="1" l="1"/>
  <c r="K43" i="1" s="1"/>
  <c r="L40" i="1" s="1"/>
  <c r="L42" i="1" l="1"/>
  <c r="L43" i="1" s="1"/>
  <c r="M40" i="1" s="1"/>
  <c r="M42" i="1" l="1"/>
  <c r="M43" i="1" s="1"/>
  <c r="N40" i="1" s="1"/>
  <c r="N42" i="1" l="1"/>
  <c r="N43" i="1"/>
  <c r="O40" i="1" s="1"/>
  <c r="O42" i="1" l="1"/>
  <c r="O43" i="1" s="1"/>
  <c r="P40" i="1" s="1"/>
  <c r="P42" i="1" l="1"/>
  <c r="P43" i="1" s="1"/>
  <c r="Q40" i="1" s="1"/>
  <c r="Q42" i="1" l="1"/>
  <c r="Q43" i="1" s="1"/>
  <c r="Q44" i="1" l="1"/>
  <c r="Q45" i="1" s="1"/>
  <c r="Q47" i="1" s="1"/>
</calcChain>
</file>

<file path=xl/sharedStrings.xml><?xml version="1.0" encoding="utf-8"?>
<sst xmlns="http://schemas.openxmlformats.org/spreadsheetml/2006/main" count="53" uniqueCount="50">
  <si>
    <t>DPU ADJUSTED EBA SUMMARY</t>
  </si>
  <si>
    <t>Source</t>
  </si>
  <si>
    <t>Line</t>
  </si>
  <si>
    <t>ADJUSTED ACTUALS</t>
  </si>
  <si>
    <t>Sales for Resale - 447</t>
  </si>
  <si>
    <t>Purchased Power - 555</t>
  </si>
  <si>
    <t>Wheeling Expense - 565</t>
  </si>
  <si>
    <t>Fuel - Coal - 501</t>
  </si>
  <si>
    <t>Fuel - Natural Gas - 547</t>
  </si>
  <si>
    <t>Other Generation - 503</t>
  </si>
  <si>
    <t>Adjusted Actual NPC (Total Company)</t>
  </si>
  <si>
    <r>
      <t xml:space="preserve">Actual MWh - </t>
    </r>
    <r>
      <rPr>
        <b/>
        <sz val="11"/>
        <color rgb="FF0000FF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 xml:space="preserve"> - (Total Company)</t>
    </r>
  </si>
  <si>
    <t>Actual $/MWh (Total Company)</t>
  </si>
  <si>
    <t>Scalar (using dynamic SG and SE)</t>
  </si>
  <si>
    <t>Actual $/MWh Before Wheeling Revenue (Utah)</t>
  </si>
  <si>
    <r>
      <t xml:space="preserve">Actual MWh - </t>
    </r>
    <r>
      <rPr>
        <b/>
        <sz val="11"/>
        <color rgb="FF0000FF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 xml:space="preserve"> -(Utah)</t>
    </r>
  </si>
  <si>
    <t>Actual NPC Before Wheeling Revenue (Utah)</t>
  </si>
  <si>
    <t>Actual Wheeling Revenues (Utah)</t>
  </si>
  <si>
    <t>UT Actual EBAC</t>
  </si>
  <si>
    <r>
      <t xml:space="preserve">UT Actual - </t>
    </r>
    <r>
      <rPr>
        <b/>
        <sz val="11"/>
        <color rgb="FFFF0000"/>
        <rFont val="Calibri"/>
        <family val="2"/>
        <scheme val="minor"/>
      </rPr>
      <t>Sales</t>
    </r>
    <r>
      <rPr>
        <sz val="11"/>
        <color theme="1"/>
        <rFont val="Calibri"/>
        <family val="2"/>
        <scheme val="minor"/>
      </rPr>
      <t xml:space="preserve"> -MWh</t>
    </r>
  </si>
  <si>
    <t>UT Actual $/MWh</t>
  </si>
  <si>
    <t>BASE (ALREADY IN RATES)</t>
  </si>
  <si>
    <t>UT BASE NPC $</t>
  </si>
  <si>
    <t>"DPU BASE EBAC" tab</t>
  </si>
  <si>
    <t>UT BASE Wheeling Rev $</t>
  </si>
  <si>
    <t>UT BASE EBAC $</t>
  </si>
  <si>
    <t>UT BASE MWh</t>
  </si>
  <si>
    <t>UT BASE $/MWh</t>
  </si>
  <si>
    <t>DIFFERENTIAL AND DEFERRAL</t>
  </si>
  <si>
    <t>UT EBAC Differential</t>
  </si>
  <si>
    <t>EBA Accrual Before Sharing</t>
  </si>
  <si>
    <t>Sharing</t>
  </si>
  <si>
    <t>EBA Accrual Before FERC ER 11-3643 Revenues</t>
  </si>
  <si>
    <t>Additional FERC ER11-3643 Revenues</t>
  </si>
  <si>
    <t>Dickman Exhibit 1</t>
  </si>
  <si>
    <t>Total EBA Accrual</t>
  </si>
  <si>
    <t>Beg Balance</t>
  </si>
  <si>
    <t>Prior Month End Bal</t>
  </si>
  <si>
    <t>EBA Accrual</t>
  </si>
  <si>
    <t>EBA Carrying Charge</t>
  </si>
  <si>
    <t>Subtotal</t>
  </si>
  <si>
    <t>Interest through Oct 31, 2015</t>
  </si>
  <si>
    <t>DPU Calculated EBA Balance - (Over)/Under Collect</t>
  </si>
  <si>
    <t>RMP Calculated EBA Balance - (Over)/Under Collect</t>
  </si>
  <si>
    <t>Difference</t>
  </si>
  <si>
    <t>Source Reference</t>
  </si>
  <si>
    <t>1) DPU recalculated (See "reconciliations"  tab in the electronic DPU Exhibit 1.5)</t>
  </si>
  <si>
    <t>2) DPU recalculated (See "Allocation Factors" tab in DPU Exhibit 1.5)</t>
  </si>
  <si>
    <t xml:space="preserve">3) Per Commission Order in 11-035-200, sales are used instead of load. Sales shown have buy-through sales removed. </t>
  </si>
  <si>
    <t>4) Jan 14-Aug 14: Line 11 x Line 12. 
Aug 14-Dec 14: See "DPU Ex 1.4.1 DPU EBA Adjustment" tab in electronic DPU Exhibit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</si>
</sst>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_);_(* \(#,##0.000\);_(* &quot;-&quot;??_);_(@_)"/>
    <numFmt numFmtId="167" formatCode="_(* #,##0.00000_);_(* \(#,##0.00000\);_(* &quot;-&quot;??_);_(@_)"/>
    <numFmt numFmtId="168" formatCode="_(* #,##0.000000_);_(* \(#,##0.000000\);_(* &quot;-&quot;??_);_(@_)"/>
    <numFmt numFmtId="169" formatCode="0.000%"/>
    <numFmt numFmtId="170" formatCode="_(&quot;$&quot;* #,##0.000_);_(&quot;$&quot;* \(#,##0.000\);_(&quot;$&quot;* &quot;-&quot;??_);_(@_)"/>
    <numFmt numFmtId="171" formatCode="_(&quot;$&quot;* #,##0_);_(&quot;$&quot;* \(#,##0\);_(&quot;$&quot;* &quot;-&quot;??_);_(@_)"/>
    <numFmt numFmtId="172" formatCode="_(&quot;$&quot;* #,##0.00000_);_(&quot;$&quot;* \(#,##0.00000\);_(&quot;$&quot;* &quot;-&quot;??_);_(@_)"/>
    <numFmt numFmtId="173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4" fillId="0" borderId="0" xfId="0" applyFont="1"/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/>
    <xf numFmtId="164" fontId="5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/>
    <xf numFmtId="0" fontId="0" fillId="0" borderId="0" xfId="0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vertical="center" wrapText="1"/>
    </xf>
    <xf numFmtId="165" fontId="0" fillId="0" borderId="0" xfId="0" applyNumberFormat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vertical="center" wrapText="1"/>
    </xf>
    <xf numFmtId="0" fontId="0" fillId="0" borderId="0" xfId="1" applyNumberFormat="1" applyFont="1" applyFill="1" applyBorder="1" applyAlignment="1">
      <alignment horizontal="left"/>
    </xf>
    <xf numFmtId="165" fontId="0" fillId="0" borderId="0" xfId="1" applyNumberFormat="1" applyFont="1" applyFill="1" applyBorder="1"/>
    <xf numFmtId="0" fontId="0" fillId="0" borderId="1" xfId="1" applyNumberFormat="1" applyFont="1" applyFill="1" applyBorder="1" applyAlignment="1">
      <alignment horizontal="left"/>
    </xf>
    <xf numFmtId="1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0" fontId="0" fillId="0" borderId="0" xfId="2" applyNumberFormat="1" applyFont="1" applyFill="1" applyBorder="1" applyAlignment="1">
      <alignment horizontal="left"/>
    </xf>
    <xf numFmtId="1" fontId="0" fillId="0" borderId="0" xfId="2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44" fontId="0" fillId="0" borderId="0" xfId="2" applyNumberFormat="1" applyFont="1" applyFill="1" applyBorder="1"/>
    <xf numFmtId="0" fontId="0" fillId="0" borderId="1" xfId="3" applyNumberFormat="1" applyFont="1" applyFill="1" applyBorder="1" applyAlignment="1">
      <alignment horizontal="left"/>
    </xf>
    <xf numFmtId="1" fontId="0" fillId="0" borderId="1" xfId="3" applyNumberFormat="1" applyFont="1" applyFill="1" applyBorder="1" applyAlignment="1">
      <alignment horizontal="center"/>
    </xf>
    <xf numFmtId="167" fontId="10" fillId="0" borderId="1" xfId="1" applyNumberFormat="1" applyFont="1" applyFill="1" applyBorder="1"/>
    <xf numFmtId="168" fontId="10" fillId="0" borderId="1" xfId="1" applyNumberFormat="1" applyFont="1" applyFill="1" applyBorder="1"/>
    <xf numFmtId="169" fontId="10" fillId="0" borderId="0" xfId="3" applyNumberFormat="1" applyFont="1" applyFill="1" applyBorder="1"/>
    <xf numFmtId="170" fontId="0" fillId="0" borderId="0" xfId="2" applyNumberFormat="1" applyFont="1" applyFill="1" applyBorder="1"/>
    <xf numFmtId="165" fontId="10" fillId="0" borderId="1" xfId="1" applyNumberFormat="1" applyFont="1" applyFill="1" applyBorder="1"/>
    <xf numFmtId="171" fontId="0" fillId="0" borderId="0" xfId="2" applyNumberFormat="1" applyFont="1" applyFill="1" applyBorder="1"/>
    <xf numFmtId="0" fontId="0" fillId="0" borderId="0" xfId="1" applyNumberFormat="1" applyFont="1" applyAlignment="1">
      <alignment horizontal="left"/>
    </xf>
    <xf numFmtId="1" fontId="0" fillId="0" borderId="0" xfId="1" applyNumberFormat="1" applyFont="1" applyAlignment="1">
      <alignment horizontal="center"/>
    </xf>
    <xf numFmtId="165" fontId="0" fillId="0" borderId="1" xfId="1" applyNumberFormat="1" applyFont="1" applyBorder="1"/>
    <xf numFmtId="165" fontId="2" fillId="0" borderId="1" xfId="1" applyNumberFormat="1" applyFont="1" applyFill="1" applyBorder="1"/>
    <xf numFmtId="170" fontId="3" fillId="0" borderId="0" xfId="2" applyNumberFormat="1" applyFont="1" applyFill="1" applyBorder="1"/>
    <xf numFmtId="1" fontId="0" fillId="0" borderId="0" xfId="1" applyNumberFormat="1" applyFont="1" applyFill="1" applyBorder="1" applyAlignment="1">
      <alignment horizontal="center"/>
    </xf>
    <xf numFmtId="170" fontId="2" fillId="0" borderId="0" xfId="2" applyNumberFormat="1" applyFont="1" applyFill="1" applyBorder="1"/>
    <xf numFmtId="170" fontId="2" fillId="0" borderId="0" xfId="2" applyNumberFormat="1" applyFont="1"/>
    <xf numFmtId="170" fontId="2" fillId="0" borderId="0" xfId="2" applyNumberFormat="1" applyFont="1" applyFill="1"/>
    <xf numFmtId="170" fontId="2" fillId="0" borderId="0" xfId="2" applyNumberFormat="1" applyFont="1" applyBorder="1"/>
    <xf numFmtId="170" fontId="7" fillId="0" borderId="0" xfId="2" applyNumberFormat="1" applyFont="1" applyFill="1" applyBorder="1"/>
    <xf numFmtId="0" fontId="7" fillId="0" borderId="0" xfId="2" applyNumberFormat="1" applyFont="1" applyFill="1" applyBorder="1" applyAlignment="1">
      <alignment horizontal="left"/>
    </xf>
    <xf numFmtId="166" fontId="7" fillId="0" borderId="0" xfId="1" applyNumberFormat="1" applyFont="1" applyFill="1" applyBorder="1"/>
    <xf numFmtId="170" fontId="12" fillId="0" borderId="0" xfId="2" applyNumberFormat="1" applyFont="1" applyFill="1" applyBorder="1"/>
    <xf numFmtId="1" fontId="7" fillId="0" borderId="0" xfId="2" applyNumberFormat="1" applyFont="1" applyFill="1" applyBorder="1" applyAlignment="1">
      <alignment horizontal="center"/>
    </xf>
    <xf numFmtId="172" fontId="10" fillId="0" borderId="0" xfId="2" applyNumberFormat="1" applyFont="1" applyFill="1" applyBorder="1"/>
    <xf numFmtId="173" fontId="7" fillId="0" borderId="0" xfId="1" applyNumberFormat="1" applyFont="1" applyFill="1" applyBorder="1"/>
    <xf numFmtId="0" fontId="10" fillId="0" borderId="0" xfId="0" applyFont="1" applyFill="1" applyBorder="1"/>
    <xf numFmtId="0" fontId="0" fillId="0" borderId="1" xfId="0" applyNumberFormat="1" applyBorder="1" applyAlignment="1">
      <alignment horizontal="left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9" fontId="0" fillId="0" borderId="1" xfId="3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0" borderId="0" xfId="0" applyNumberFormat="1" applyFont="1" applyFill="1" applyAlignment="1">
      <alignment horizontal="left"/>
    </xf>
    <xf numFmtId="0" fontId="0" fillId="0" borderId="0" xfId="0" applyFont="1"/>
    <xf numFmtId="0" fontId="13" fillId="0" borderId="0" xfId="4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1" applyNumberFormat="1" applyFont="1" applyBorder="1" applyAlignment="1">
      <alignment horizontal="right"/>
    </xf>
    <xf numFmtId="0" fontId="0" fillId="0" borderId="0" xfId="0" applyFont="1" applyBorder="1"/>
    <xf numFmtId="165" fontId="2" fillId="0" borderId="0" xfId="1" applyNumberFormat="1" applyFont="1"/>
    <xf numFmtId="165" fontId="2" fillId="0" borderId="0" xfId="1" applyNumberFormat="1" applyFont="1" applyFill="1" applyBorder="1"/>
    <xf numFmtId="165" fontId="0" fillId="0" borderId="0" xfId="1" applyNumberFormat="1" applyFont="1" applyBorder="1"/>
    <xf numFmtId="0" fontId="8" fillId="0" borderId="0" xfId="4" applyNumberFormat="1" applyFont="1" applyFill="1" applyBorder="1" applyAlignment="1">
      <alignment horizontal="left"/>
    </xf>
    <xf numFmtId="165" fontId="0" fillId="0" borderId="0" xfId="0" applyNumberFormat="1"/>
    <xf numFmtId="0" fontId="14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0" xfId="0" applyNumberFormat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 10 14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.BRUBAKER/Local%20Settings/Temporary%20Internet%20Files/Content.Outlook/7DP69NLO/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Utah/11-035-200%20GRC/Exhibit%20A%20080712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PU/DPUDocs/2013/13-035-RMP/13-035-184%20RMP-GRC/Stipulations/06-25-14%20Filed/13-035-184%20Joint%20Settlement%20Stipulation%20(rmp_grc%202014)%20-%2006-25-2014%20-%20Exhibits%20A%20and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tah%20Docket%2011-035-200%20(GRC%202012)/Filed/Rebuttal/Testimony%20and%20Exhibits/Paice/Workpapers/COS%20UT%20May%202013%20-%20Rebutt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Utah/2014%20EBA%20RBA/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1 3of3"/>
      <sheetName val="EBAf Base"/>
      <sheetName val="Exhibit A3 1of2"/>
      <sheetName val="Exhibit A3 2of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Summary Table"/>
      <sheetName val="Exhibit A - Page 1 of 4"/>
      <sheetName val="Exhibit A - Page 2&amp;3 of 4"/>
      <sheetName val="Exhibit A - Page 4 of 4"/>
      <sheetName val="Exhibit B - Page 1 of 4"/>
      <sheetName val="Exhibit B - Page 2&amp;3 of 4"/>
      <sheetName val="Exhibit B - Page 4 of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UT Allocated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5"/>
  <sheetViews>
    <sheetView tabSelected="1" zoomScale="85" zoomScaleNormal="85" zoomScaleSheetLayoutView="85" zoomScalePageLayoutView="70" workbookViewId="0">
      <selection activeCell="G6" sqref="G6"/>
    </sheetView>
  </sheetViews>
  <sheetFormatPr defaultRowHeight="15" x14ac:dyDescent="0.25"/>
  <cols>
    <col min="1" max="1" width="9.140625" style="77"/>
    <col min="2" max="2" width="4.42578125" customWidth="1"/>
    <col min="3" max="3" width="51.140625" style="2" customWidth="1"/>
    <col min="4" max="4" width="31.28515625" style="3" customWidth="1"/>
    <col min="6" max="13" width="13.5703125" bestFit="1" customWidth="1"/>
    <col min="14" max="17" width="11.5703125" bestFit="1" customWidth="1"/>
    <col min="18" max="18" width="5.5703125" style="4" customWidth="1"/>
    <col min="19" max="19" width="12.5703125" style="4" bestFit="1" customWidth="1"/>
    <col min="20" max="20" width="16" style="4" customWidth="1"/>
    <col min="21" max="21" width="14.42578125" style="4" bestFit="1" customWidth="1"/>
    <col min="22" max="22" width="9.140625" style="4"/>
  </cols>
  <sheetData>
    <row r="1" spans="1:21" ht="26.25" x14ac:dyDescent="0.4">
      <c r="A1" s="1" t="s">
        <v>0</v>
      </c>
    </row>
    <row r="4" spans="1:21" s="4" customFormat="1" x14ac:dyDescent="0.25">
      <c r="A4" s="5"/>
      <c r="B4"/>
      <c r="C4" s="2"/>
      <c r="D4" s="6" t="s">
        <v>1</v>
      </c>
      <c r="E4" s="7"/>
      <c r="F4" s="8">
        <v>41670</v>
      </c>
      <c r="G4" s="9">
        <f>EOMONTH(F4,1)</f>
        <v>41698</v>
      </c>
      <c r="H4" s="9">
        <f t="shared" ref="H4:Q4" si="0">EOMONTH(G4,1)</f>
        <v>41729</v>
      </c>
      <c r="I4" s="9">
        <f t="shared" si="0"/>
        <v>41759</v>
      </c>
      <c r="J4" s="9">
        <f t="shared" si="0"/>
        <v>41790</v>
      </c>
      <c r="K4" s="9">
        <f t="shared" si="0"/>
        <v>41820</v>
      </c>
      <c r="L4" s="9">
        <f t="shared" si="0"/>
        <v>41851</v>
      </c>
      <c r="M4" s="9">
        <f t="shared" si="0"/>
        <v>41882</v>
      </c>
      <c r="N4" s="9">
        <f t="shared" si="0"/>
        <v>41912</v>
      </c>
      <c r="O4" s="9">
        <f t="shared" si="0"/>
        <v>41943</v>
      </c>
      <c r="P4" s="9">
        <f t="shared" si="0"/>
        <v>41973</v>
      </c>
      <c r="Q4" s="9">
        <f t="shared" si="0"/>
        <v>42004</v>
      </c>
      <c r="R4" s="10"/>
      <c r="S4" s="10"/>
      <c r="T4" s="10"/>
      <c r="U4" s="10"/>
    </row>
    <row r="5" spans="1:21" s="4" customFormat="1" x14ac:dyDescent="0.25">
      <c r="A5" s="5" t="s">
        <v>2</v>
      </c>
      <c r="B5" s="11" t="s">
        <v>3</v>
      </c>
      <c r="C5" s="2"/>
      <c r="D5" s="3"/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4" customFormat="1" x14ac:dyDescent="0.25">
      <c r="A6" s="12">
        <f>+MAX($A$1:A5)+1</f>
        <v>1</v>
      </c>
      <c r="B6" s="13"/>
      <c r="C6" s="14" t="s">
        <v>4</v>
      </c>
      <c r="D6" s="15">
        <v>1</v>
      </c>
      <c r="E6" s="13"/>
      <c r="F6" s="16">
        <v>-33129658.909999989</v>
      </c>
      <c r="G6" s="16">
        <v>-38319636.480000012</v>
      </c>
      <c r="H6" s="16">
        <v>-34081182.670000017</v>
      </c>
      <c r="I6" s="16">
        <v>-21910356.59</v>
      </c>
      <c r="J6" s="16">
        <v>-16161616.920000004</v>
      </c>
      <c r="K6" s="16">
        <v>-21232790.640000001</v>
      </c>
      <c r="L6" s="16">
        <v>-21174814.99000001</v>
      </c>
      <c r="M6" s="16">
        <v>-24688000.649999995</v>
      </c>
      <c r="N6" s="16"/>
      <c r="O6" s="16"/>
      <c r="P6" s="16"/>
      <c r="Q6" s="16"/>
      <c r="S6" s="17"/>
      <c r="T6" s="17"/>
    </row>
    <row r="7" spans="1:21" s="4" customFormat="1" x14ac:dyDescent="0.25">
      <c r="A7" s="12">
        <f>+MAX($A$1:A6)+1</f>
        <v>2</v>
      </c>
      <c r="B7" s="13"/>
      <c r="C7" s="14" t="s">
        <v>5</v>
      </c>
      <c r="D7" s="15">
        <v>1</v>
      </c>
      <c r="E7" s="13"/>
      <c r="F7" s="16">
        <v>51319800.549999997</v>
      </c>
      <c r="G7" s="16">
        <v>56766997.669999979</v>
      </c>
      <c r="H7" s="16">
        <v>45119539.849999972</v>
      </c>
      <c r="I7" s="16">
        <v>39599918.969999969</v>
      </c>
      <c r="J7" s="16">
        <v>46414009.550000019</v>
      </c>
      <c r="K7" s="16">
        <v>47098638.550000027</v>
      </c>
      <c r="L7" s="16">
        <v>73775760.049999997</v>
      </c>
      <c r="M7" s="16">
        <v>54074619.456995495</v>
      </c>
      <c r="N7" s="16"/>
      <c r="O7" s="16"/>
      <c r="P7" s="16"/>
      <c r="Q7" s="16"/>
      <c r="S7" s="17"/>
      <c r="T7" s="17"/>
    </row>
    <row r="8" spans="1:21" s="4" customFormat="1" x14ac:dyDescent="0.25">
      <c r="A8" s="12">
        <f>+MAX($A$1:A7)+1</f>
        <v>3</v>
      </c>
      <c r="B8" s="13"/>
      <c r="C8" s="14" t="s">
        <v>6</v>
      </c>
      <c r="D8" s="15">
        <v>1</v>
      </c>
      <c r="E8" s="13"/>
      <c r="F8" s="16">
        <v>12978413.469999999</v>
      </c>
      <c r="G8" s="16">
        <v>13381026.09</v>
      </c>
      <c r="H8" s="16">
        <v>13474047.450000003</v>
      </c>
      <c r="I8" s="16">
        <v>12926751.039999999</v>
      </c>
      <c r="J8" s="16">
        <v>12107462.269999998</v>
      </c>
      <c r="K8" s="16">
        <v>11891684.050000001</v>
      </c>
      <c r="L8" s="16">
        <v>13141375.429068124</v>
      </c>
      <c r="M8" s="16">
        <v>11580855.399999999</v>
      </c>
      <c r="N8" s="16"/>
      <c r="O8" s="16"/>
      <c r="P8" s="16"/>
      <c r="Q8" s="16"/>
      <c r="S8" s="17"/>
      <c r="T8" s="17"/>
    </row>
    <row r="9" spans="1:21" s="4" customFormat="1" x14ac:dyDescent="0.25">
      <c r="A9" s="12">
        <f>+MAX($A$1:A8)+1</f>
        <v>4</v>
      </c>
      <c r="B9" s="7"/>
      <c r="C9" s="14" t="s">
        <v>7</v>
      </c>
      <c r="D9" s="15">
        <v>1</v>
      </c>
      <c r="E9" s="18"/>
      <c r="F9" s="16">
        <v>74748482.811858848</v>
      </c>
      <c r="G9" s="16">
        <v>64101285.989850201</v>
      </c>
      <c r="H9" s="16">
        <v>65653031.762530915</v>
      </c>
      <c r="I9" s="16">
        <v>58158194.856167458</v>
      </c>
      <c r="J9" s="16">
        <v>56735379.661495872</v>
      </c>
      <c r="K9" s="16">
        <v>64387097.919132203</v>
      </c>
      <c r="L9" s="16">
        <v>71833526.364843264</v>
      </c>
      <c r="M9" s="16">
        <v>74217959.931969896</v>
      </c>
      <c r="N9" s="16"/>
      <c r="O9" s="16"/>
      <c r="P9" s="16"/>
      <c r="Q9" s="16"/>
      <c r="S9" s="17"/>
      <c r="T9" s="17"/>
    </row>
    <row r="10" spans="1:21" s="4" customFormat="1" x14ac:dyDescent="0.25">
      <c r="A10" s="12">
        <f>+MAX($A$1:A9)+1</f>
        <v>5</v>
      </c>
      <c r="B10" s="7"/>
      <c r="C10" s="14" t="s">
        <v>8</v>
      </c>
      <c r="D10" s="15">
        <v>1</v>
      </c>
      <c r="E10" s="18"/>
      <c r="F10" s="16">
        <v>36308392.269999996</v>
      </c>
      <c r="G10" s="16">
        <v>41682026.960000001</v>
      </c>
      <c r="H10" s="16">
        <v>33832956.339999996</v>
      </c>
      <c r="I10" s="16">
        <v>27044370.289999999</v>
      </c>
      <c r="J10" s="16">
        <v>26764679.740000002</v>
      </c>
      <c r="K10" s="16">
        <v>32726520.510000002</v>
      </c>
      <c r="L10" s="16">
        <v>38904477.530000001</v>
      </c>
      <c r="M10" s="16">
        <v>37515018.709999993</v>
      </c>
      <c r="N10" s="16"/>
      <c r="O10" s="16"/>
      <c r="P10" s="16"/>
      <c r="Q10" s="16"/>
      <c r="S10" s="17"/>
      <c r="T10" s="17"/>
    </row>
    <row r="11" spans="1:21" s="4" customFormat="1" x14ac:dyDescent="0.25">
      <c r="A11" s="12">
        <f>+MAX($A$1:A10)+1</f>
        <v>6</v>
      </c>
      <c r="B11" s="7"/>
      <c r="C11" s="19" t="s">
        <v>9</v>
      </c>
      <c r="D11" s="20">
        <v>1</v>
      </c>
      <c r="E11" s="18"/>
      <c r="F11" s="21">
        <v>265560.61</v>
      </c>
      <c r="G11" s="21">
        <v>346339.23</v>
      </c>
      <c r="H11" s="21">
        <v>279668.36000000004</v>
      </c>
      <c r="I11" s="21">
        <v>319707.08</v>
      </c>
      <c r="J11" s="21">
        <v>284360.61000000004</v>
      </c>
      <c r="K11" s="21">
        <v>347666.62</v>
      </c>
      <c r="L11" s="21">
        <v>373401.62</v>
      </c>
      <c r="M11" s="21">
        <v>311162.74000000005</v>
      </c>
      <c r="N11" s="21"/>
      <c r="O11" s="21"/>
      <c r="P11" s="21"/>
      <c r="Q11" s="21"/>
      <c r="S11" s="17"/>
      <c r="T11" s="17"/>
    </row>
    <row r="12" spans="1:21" s="4" customFormat="1" x14ac:dyDescent="0.25">
      <c r="A12" s="12">
        <f>+MAX($A$1:A11)+1</f>
        <v>7</v>
      </c>
      <c r="B12" s="7"/>
      <c r="C12" s="22" t="s">
        <v>10</v>
      </c>
      <c r="D12" s="15" t="str">
        <f>"Sum lines "&amp;A6&amp;" to "&amp;A11</f>
        <v>Sum lines 1 to 6</v>
      </c>
      <c r="E12" s="18"/>
      <c r="F12" s="23">
        <f t="shared" ref="F12:M12" si="1">SUM(F6:F11)</f>
        <v>142490990.80185884</v>
      </c>
      <c r="G12" s="23">
        <f t="shared" si="1"/>
        <v>137958039.45985016</v>
      </c>
      <c r="H12" s="23">
        <f t="shared" si="1"/>
        <v>124278061.09253086</v>
      </c>
      <c r="I12" s="23">
        <f t="shared" si="1"/>
        <v>116138585.64616741</v>
      </c>
      <c r="J12" s="23">
        <f t="shared" si="1"/>
        <v>126144274.91149588</v>
      </c>
      <c r="K12" s="23">
        <f t="shared" si="1"/>
        <v>135218817.00913224</v>
      </c>
      <c r="L12" s="23">
        <f t="shared" si="1"/>
        <v>176853726.00391138</v>
      </c>
      <c r="M12" s="23">
        <f t="shared" si="1"/>
        <v>153011615.58896542</v>
      </c>
      <c r="N12" s="23"/>
      <c r="O12" s="23"/>
      <c r="P12" s="23"/>
      <c r="Q12" s="23"/>
      <c r="S12" s="23"/>
      <c r="T12" s="23"/>
    </row>
    <row r="13" spans="1:21" s="4" customFormat="1" x14ac:dyDescent="0.25">
      <c r="A13" s="12"/>
      <c r="B13" s="7"/>
      <c r="C13" s="22"/>
      <c r="D13" s="15"/>
      <c r="E13" s="18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S13" s="23"/>
      <c r="T13" s="23"/>
    </row>
    <row r="14" spans="1:21" s="4" customFormat="1" x14ac:dyDescent="0.25">
      <c r="A14" s="12">
        <f>+MAX($A$1:A12)+1</f>
        <v>8</v>
      </c>
      <c r="B14" s="7"/>
      <c r="C14" s="24" t="s">
        <v>11</v>
      </c>
      <c r="D14" s="25">
        <v>2</v>
      </c>
      <c r="E14" s="18"/>
      <c r="F14" s="26">
        <v>5361677.3850589273</v>
      </c>
      <c r="G14" s="26">
        <v>4729722.7542817788</v>
      </c>
      <c r="H14" s="26">
        <v>4785777.3161140708</v>
      </c>
      <c r="I14" s="26">
        <v>4493349.1984185455</v>
      </c>
      <c r="J14" s="26">
        <v>4804500.7936088042</v>
      </c>
      <c r="K14" s="26">
        <v>4986123.5046670251</v>
      </c>
      <c r="L14" s="26">
        <v>5897137.8812926309</v>
      </c>
      <c r="M14" s="26">
        <v>5331001.4396203952</v>
      </c>
      <c r="N14" s="26"/>
      <c r="O14" s="26"/>
      <c r="P14" s="26"/>
      <c r="Q14" s="26"/>
      <c r="S14" s="17"/>
      <c r="T14" s="17"/>
    </row>
    <row r="15" spans="1:21" s="4" customFormat="1" x14ac:dyDescent="0.25">
      <c r="A15" s="12">
        <f>+MAX($A$1:A14)+1</f>
        <v>9</v>
      </c>
      <c r="B15" s="7"/>
      <c r="C15" s="27" t="s">
        <v>12</v>
      </c>
      <c r="D15" s="28" t="str">
        <f>"Line "&amp;A12&amp;" / "&amp;" Line "&amp;A14</f>
        <v>Line 7 /  Line 8</v>
      </c>
      <c r="E15" s="18"/>
      <c r="F15" s="29">
        <f t="shared" ref="F15:M15" si="2">F12/F14</f>
        <v>26.575823304649056</v>
      </c>
      <c r="G15" s="29">
        <f t="shared" si="2"/>
        <v>29.168314217774792</v>
      </c>
      <c r="H15" s="29">
        <f t="shared" si="2"/>
        <v>25.96820806393923</v>
      </c>
      <c r="I15" s="29">
        <f t="shared" si="2"/>
        <v>25.846774981798191</v>
      </c>
      <c r="J15" s="29">
        <f t="shared" si="2"/>
        <v>26.255438458725937</v>
      </c>
      <c r="K15" s="29">
        <f t="shared" si="2"/>
        <v>27.119026811623712</v>
      </c>
      <c r="L15" s="29">
        <f t="shared" si="2"/>
        <v>29.989755973815843</v>
      </c>
      <c r="M15" s="29">
        <f t="shared" si="2"/>
        <v>28.702227399859964</v>
      </c>
      <c r="N15" s="29"/>
      <c r="O15" s="29"/>
      <c r="P15" s="29"/>
      <c r="Q15" s="29"/>
      <c r="S15" s="23"/>
      <c r="T15" s="30"/>
    </row>
    <row r="16" spans="1:21" s="4" customFormat="1" x14ac:dyDescent="0.25">
      <c r="A16" s="12">
        <f>+MAX($A$1:A15)+1</f>
        <v>10</v>
      </c>
      <c r="B16" s="7"/>
      <c r="C16" s="31" t="s">
        <v>13</v>
      </c>
      <c r="D16" s="32"/>
      <c r="E16" s="18"/>
      <c r="F16" s="33">
        <v>1.0010162362070756</v>
      </c>
      <c r="G16" s="34">
        <f>$F16</f>
        <v>1.0010162362070756</v>
      </c>
      <c r="H16" s="34">
        <f t="shared" ref="H16:M16" si="3">$F16</f>
        <v>1.0010162362070756</v>
      </c>
      <c r="I16" s="34">
        <f t="shared" si="3"/>
        <v>1.0010162362070756</v>
      </c>
      <c r="J16" s="34">
        <f t="shared" si="3"/>
        <v>1.0010162362070756</v>
      </c>
      <c r="K16" s="34">
        <f t="shared" si="3"/>
        <v>1.0010162362070756</v>
      </c>
      <c r="L16" s="34">
        <f t="shared" si="3"/>
        <v>1.0010162362070756</v>
      </c>
      <c r="M16" s="34">
        <f t="shared" si="3"/>
        <v>1.0010162362070756</v>
      </c>
      <c r="N16" s="34"/>
      <c r="O16" s="34"/>
      <c r="P16" s="34"/>
      <c r="Q16" s="34"/>
      <c r="S16" s="35"/>
      <c r="T16" s="35"/>
    </row>
    <row r="17" spans="1:20" s="4" customFormat="1" x14ac:dyDescent="0.25">
      <c r="A17" s="12">
        <f>+MAX($A$1:A16)+1</f>
        <v>11</v>
      </c>
      <c r="B17" s="36"/>
      <c r="C17" s="27" t="s">
        <v>14</v>
      </c>
      <c r="D17" s="28" t="str">
        <f>"Line "&amp;A15&amp;" x "&amp;" Line "&amp;A16</f>
        <v>Line 9 x  Line 10</v>
      </c>
      <c r="E17" s="36"/>
      <c r="F17" s="29">
        <f>F16*F15</f>
        <v>26.602830618524084</v>
      </c>
      <c r="G17" s="29">
        <f t="shared" ref="G17:M17" si="4">G16*G15</f>
        <v>29.197956114782254</v>
      </c>
      <c r="H17" s="29">
        <f t="shared" si="4"/>
        <v>25.994597897206678</v>
      </c>
      <c r="I17" s="29">
        <f t="shared" si="4"/>
        <v>25.873041410370831</v>
      </c>
      <c r="J17" s="29">
        <f t="shared" si="4"/>
        <v>26.282120185920338</v>
      </c>
      <c r="K17" s="29">
        <f t="shared" si="4"/>
        <v>27.146586148570339</v>
      </c>
      <c r="L17" s="29">
        <f t="shared" si="4"/>
        <v>30.020232649677794</v>
      </c>
      <c r="M17" s="29">
        <f t="shared" si="4"/>
        <v>28.731395642567421</v>
      </c>
      <c r="N17" s="29"/>
      <c r="O17" s="29"/>
      <c r="P17" s="29"/>
      <c r="Q17" s="29"/>
      <c r="S17" s="36"/>
      <c r="T17" s="36"/>
    </row>
    <row r="18" spans="1:20" s="4" customFormat="1" x14ac:dyDescent="0.25">
      <c r="A18" s="12">
        <f>+MAX($A$1:A17)+1</f>
        <v>12</v>
      </c>
      <c r="B18" s="36"/>
      <c r="C18" s="24" t="s">
        <v>15</v>
      </c>
      <c r="D18" s="25">
        <v>2</v>
      </c>
      <c r="E18" s="36"/>
      <c r="F18" s="37">
        <v>2238758.9310031459</v>
      </c>
      <c r="G18" s="37">
        <v>1946213.984713739</v>
      </c>
      <c r="H18" s="37">
        <v>2012115.0995251401</v>
      </c>
      <c r="I18" s="37">
        <v>1922587.2997041815</v>
      </c>
      <c r="J18" s="37">
        <v>2083814.2029145586</v>
      </c>
      <c r="K18" s="37">
        <v>2183359.4556987952</v>
      </c>
      <c r="L18" s="37">
        <v>2672204.7121104528</v>
      </c>
      <c r="M18" s="37">
        <v>2379620.9180117892</v>
      </c>
      <c r="N18" s="37"/>
      <c r="O18" s="37"/>
      <c r="P18" s="37"/>
      <c r="Q18" s="37"/>
      <c r="S18" s="17"/>
      <c r="T18" s="17"/>
    </row>
    <row r="19" spans="1:20" s="4" customFormat="1" x14ac:dyDescent="0.25">
      <c r="A19" s="12">
        <f>+MAX($A$1:A18)+1</f>
        <v>13</v>
      </c>
      <c r="B19" s="36"/>
      <c r="C19" s="27" t="s">
        <v>16</v>
      </c>
      <c r="D19" s="28">
        <v>4</v>
      </c>
      <c r="E19" s="36"/>
      <c r="F19" s="23">
        <f>F17*F18</f>
        <v>59557324.637184739</v>
      </c>
      <c r="G19" s="23">
        <f t="shared" ref="G19:M19" si="5">G17*G18</f>
        <v>56825470.515647255</v>
      </c>
      <c r="H19" s="23">
        <f t="shared" si="5"/>
        <v>52304122.935054012</v>
      </c>
      <c r="I19" s="23">
        <f t="shared" si="5"/>
        <v>49743180.820299327</v>
      </c>
      <c r="J19" s="23">
        <f t="shared" si="5"/>
        <v>54767055.326128222</v>
      </c>
      <c r="K19" s="23">
        <f t="shared" si="5"/>
        <v>59270755.557422988</v>
      </c>
      <c r="L19" s="23">
        <f t="shared" si="5"/>
        <v>80220207.145121068</v>
      </c>
      <c r="M19" s="23">
        <f t="shared" si="5"/>
        <v>68369830.074726209</v>
      </c>
      <c r="N19" s="23">
        <v>57129196.588008054</v>
      </c>
      <c r="O19" s="23">
        <v>48690043.06633734</v>
      </c>
      <c r="P19" s="23">
        <v>49946127.85357853</v>
      </c>
      <c r="Q19" s="23">
        <v>53183495.599403858</v>
      </c>
      <c r="S19" s="17"/>
      <c r="T19" s="38"/>
    </row>
    <row r="20" spans="1:20" s="4" customFormat="1" x14ac:dyDescent="0.25">
      <c r="A20" s="12">
        <f>+MAX($A$1:A19)+1</f>
        <v>14</v>
      </c>
      <c r="B20" s="36"/>
      <c r="C20" s="39" t="s">
        <v>17</v>
      </c>
      <c r="D20" s="40">
        <v>1</v>
      </c>
      <c r="E20" s="36"/>
      <c r="F20" s="41">
        <v>-2954345.4884271878</v>
      </c>
      <c r="G20" s="41">
        <v>-2832047.1535681728</v>
      </c>
      <c r="H20" s="41">
        <v>-3033267.1154222852</v>
      </c>
      <c r="I20" s="41">
        <v>-3029880.7875786792</v>
      </c>
      <c r="J20" s="41">
        <v>-2751838.3693462941</v>
      </c>
      <c r="K20" s="26">
        <v>-4121278.7679616204</v>
      </c>
      <c r="L20" s="26">
        <v>-3790580.1578095006</v>
      </c>
      <c r="M20" s="41">
        <v>-3309897.7822045307</v>
      </c>
      <c r="N20" s="41">
        <v>-3302317.699994538</v>
      </c>
      <c r="O20" s="41">
        <v>-3384382.506656785</v>
      </c>
      <c r="P20" s="41">
        <v>-2915609.4551244392</v>
      </c>
      <c r="Q20" s="41">
        <v>-2219657.9215643238</v>
      </c>
      <c r="S20" s="17"/>
      <c r="T20" s="17"/>
    </row>
    <row r="21" spans="1:20" s="4" customFormat="1" x14ac:dyDescent="0.25">
      <c r="A21" s="12">
        <f>+MAX($A$1:A20)+1</f>
        <v>15</v>
      </c>
      <c r="B21" s="36"/>
      <c r="C21" s="22" t="s">
        <v>18</v>
      </c>
      <c r="D21" s="28" t="str">
        <f>"Line "&amp;A19&amp;" +"&amp;" Line "&amp;A20</f>
        <v>Line 13 + Line 14</v>
      </c>
      <c r="E21" s="36"/>
      <c r="F21" s="23">
        <f>SUM(F19:F20)</f>
        <v>56602979.148757555</v>
      </c>
      <c r="G21" s="23">
        <f t="shared" ref="G21:Q21" si="6">SUM(G19:G20)</f>
        <v>53993423.362079084</v>
      </c>
      <c r="H21" s="23">
        <f t="shared" si="6"/>
        <v>49270855.819631726</v>
      </c>
      <c r="I21" s="23">
        <f t="shared" si="6"/>
        <v>46713300.032720648</v>
      </c>
      <c r="J21" s="23">
        <f t="shared" si="6"/>
        <v>52015216.956781931</v>
      </c>
      <c r="K21" s="23">
        <f t="shared" si="6"/>
        <v>55149476.789461367</v>
      </c>
      <c r="L21" s="23">
        <f t="shared" si="6"/>
        <v>76429626.987311572</v>
      </c>
      <c r="M21" s="23">
        <f t="shared" si="6"/>
        <v>65059932.292521678</v>
      </c>
      <c r="N21" s="23">
        <f t="shared" si="6"/>
        <v>53826878.888013512</v>
      </c>
      <c r="O21" s="23">
        <f t="shared" si="6"/>
        <v>45305660.559680551</v>
      </c>
      <c r="P21" s="23">
        <f t="shared" si="6"/>
        <v>47030518.398454092</v>
      </c>
      <c r="Q21" s="23">
        <f t="shared" si="6"/>
        <v>50963837.677839532</v>
      </c>
      <c r="S21" s="17"/>
      <c r="T21" s="17"/>
    </row>
    <row r="22" spans="1:20" s="4" customFormat="1" x14ac:dyDescent="0.25">
      <c r="A22" s="12">
        <f>+MAX($A$1:A21)+1</f>
        <v>16</v>
      </c>
      <c r="B22" s="36"/>
      <c r="C22" s="24" t="s">
        <v>19</v>
      </c>
      <c r="D22" s="25">
        <v>3</v>
      </c>
      <c r="E22" s="36"/>
      <c r="F22" s="42">
        <v>2080024.8839999998</v>
      </c>
      <c r="G22" s="42">
        <v>1778181.71</v>
      </c>
      <c r="H22" s="42">
        <v>1895016.52</v>
      </c>
      <c r="I22" s="42">
        <v>1848369.277</v>
      </c>
      <c r="J22" s="42">
        <v>1934205.9620000001</v>
      </c>
      <c r="K22" s="42">
        <v>2091697.8729999997</v>
      </c>
      <c r="L22" s="42">
        <v>2486321.6829999997</v>
      </c>
      <c r="M22" s="42">
        <v>2162802.41</v>
      </c>
      <c r="N22" s="42">
        <v>2029940.8599999999</v>
      </c>
      <c r="O22" s="42">
        <v>1829115.085</v>
      </c>
      <c r="P22" s="42">
        <v>1899050.0819999999</v>
      </c>
      <c r="Q22" s="42">
        <v>2054334.5380000002</v>
      </c>
      <c r="S22" s="17"/>
      <c r="T22" s="17"/>
    </row>
    <row r="23" spans="1:20" s="4" customFormat="1" x14ac:dyDescent="0.25">
      <c r="A23" s="12">
        <f>+MAX($A$1:A22)+1</f>
        <v>17</v>
      </c>
      <c r="B23" s="36"/>
      <c r="C23" s="22" t="s">
        <v>20</v>
      </c>
      <c r="D23" s="28" t="str">
        <f>"Line "&amp;A21&amp;" / "&amp;" Line "&amp;A22</f>
        <v>Line 15 /  Line 16</v>
      </c>
      <c r="E23" s="36"/>
      <c r="F23" s="29">
        <f>F21/F22</f>
        <v>27.212645187160923</v>
      </c>
      <c r="G23" s="29">
        <f t="shared" ref="G23:Q23" si="7">G21/G22</f>
        <v>30.364401488574014</v>
      </c>
      <c r="H23" s="29">
        <f t="shared" si="7"/>
        <v>26.00022495826671</v>
      </c>
      <c r="I23" s="29">
        <f t="shared" si="7"/>
        <v>25.272709633292962</v>
      </c>
      <c r="J23" s="29">
        <f t="shared" si="7"/>
        <v>26.892284471606818</v>
      </c>
      <c r="K23" s="29">
        <f t="shared" si="7"/>
        <v>26.365890361768024</v>
      </c>
      <c r="L23" s="29">
        <f t="shared" si="7"/>
        <v>30.740039597406987</v>
      </c>
      <c r="M23" s="29">
        <f t="shared" si="7"/>
        <v>30.081311169114922</v>
      </c>
      <c r="N23" s="29">
        <f t="shared" si="7"/>
        <v>26.516476390358246</v>
      </c>
      <c r="O23" s="29">
        <f t="shared" si="7"/>
        <v>24.769168944708884</v>
      </c>
      <c r="P23" s="29">
        <f t="shared" si="7"/>
        <v>24.765285994418601</v>
      </c>
      <c r="Q23" s="29">
        <f t="shared" si="7"/>
        <v>24.807954466586263</v>
      </c>
      <c r="S23" s="29"/>
      <c r="T23" s="29"/>
    </row>
    <row r="24" spans="1:20" s="4" customFormat="1" x14ac:dyDescent="0.25">
      <c r="A24" s="12"/>
      <c r="B24" s="36"/>
      <c r="C24" s="22"/>
      <c r="D24" s="28"/>
      <c r="E24" s="36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9"/>
      <c r="T24" s="29"/>
    </row>
    <row r="25" spans="1:20" s="4" customFormat="1" x14ac:dyDescent="0.25">
      <c r="A25" s="12">
        <f>+MAX($A$1:A23)+1</f>
        <v>18</v>
      </c>
      <c r="B25" s="43" t="s">
        <v>21</v>
      </c>
      <c r="C25" s="22"/>
      <c r="D25" s="44"/>
      <c r="E25" s="36"/>
      <c r="F25" s="45"/>
      <c r="G25" s="45"/>
      <c r="H25" s="45"/>
      <c r="I25" s="46"/>
      <c r="J25" s="46"/>
      <c r="K25" s="47"/>
      <c r="L25" s="47"/>
      <c r="M25" s="46"/>
      <c r="N25" s="46"/>
      <c r="O25" s="46"/>
      <c r="P25" s="46"/>
      <c r="Q25" s="46"/>
      <c r="R25" s="48"/>
      <c r="S25" s="48"/>
    </row>
    <row r="26" spans="1:20" s="4" customFormat="1" x14ac:dyDescent="0.25">
      <c r="A26" s="12">
        <f>+MAX($A$1:A25)+1</f>
        <v>19</v>
      </c>
      <c r="B26" s="43"/>
      <c r="C26" s="22" t="s">
        <v>22</v>
      </c>
      <c r="D26" s="44" t="s">
        <v>23</v>
      </c>
      <c r="E26" s="36"/>
      <c r="F26" s="23">
        <v>50011065.137238234</v>
      </c>
      <c r="G26" s="23">
        <v>45985167.100023851</v>
      </c>
      <c r="H26" s="23">
        <v>49906973.15688844</v>
      </c>
      <c r="I26" s="23">
        <v>48917079.303698763</v>
      </c>
      <c r="J26" s="23">
        <v>52873367.693607651</v>
      </c>
      <c r="K26" s="23">
        <v>53728239.205889396</v>
      </c>
      <c r="L26" s="23">
        <v>63466696.84056095</v>
      </c>
      <c r="M26" s="23">
        <v>66758059.057229094</v>
      </c>
      <c r="N26" s="23">
        <v>49906721.067821383</v>
      </c>
      <c r="O26" s="23">
        <v>49492154.976800933</v>
      </c>
      <c r="P26" s="23">
        <v>49898556.117012031</v>
      </c>
      <c r="Q26" s="23">
        <v>53654819.650948182</v>
      </c>
      <c r="S26" s="17"/>
    </row>
    <row r="27" spans="1:20" s="4" customFormat="1" x14ac:dyDescent="0.25">
      <c r="A27" s="12">
        <f>+MAX($A$1:A26)+1</f>
        <v>20</v>
      </c>
      <c r="B27" s="43"/>
      <c r="C27" s="24" t="s">
        <v>24</v>
      </c>
      <c r="D27" s="25" t="s">
        <v>23</v>
      </c>
      <c r="E27" s="36"/>
      <c r="F27" s="26">
        <v>-2684824.28561325</v>
      </c>
      <c r="G27" s="26">
        <v>-2684824.28561325</v>
      </c>
      <c r="H27" s="26">
        <v>-2684824.28561325</v>
      </c>
      <c r="I27" s="26">
        <v>-2684824.28561325</v>
      </c>
      <c r="J27" s="26">
        <v>-2684824.28561325</v>
      </c>
      <c r="K27" s="26">
        <v>-2684824.28561325</v>
      </c>
      <c r="L27" s="26">
        <v>-2684824.28561325</v>
      </c>
      <c r="M27" s="26">
        <v>-2684824.28561325</v>
      </c>
      <c r="N27" s="26">
        <v>-3422346.3761769985</v>
      </c>
      <c r="O27" s="26">
        <v>-3422346.3761769985</v>
      </c>
      <c r="P27" s="26">
        <v>-3422346.3761769985</v>
      </c>
      <c r="Q27" s="26">
        <v>-3422346.3761769985</v>
      </c>
      <c r="S27" s="17"/>
    </row>
    <row r="28" spans="1:20" s="4" customFormat="1" x14ac:dyDescent="0.25">
      <c r="A28" s="12">
        <f>+MAX($A$1:A27)+1</f>
        <v>21</v>
      </c>
      <c r="B28" s="43"/>
      <c r="C28" s="22" t="s">
        <v>25</v>
      </c>
      <c r="D28" s="44" t="str">
        <f>"Line "&amp;A26&amp;" + Line "&amp;A27</f>
        <v>Line 19 + Line 20</v>
      </c>
      <c r="E28" s="36"/>
      <c r="F28" s="23">
        <f t="shared" ref="F28:P28" si="8">SUM(F26:F27)</f>
        <v>47326240.851624981</v>
      </c>
      <c r="G28" s="23">
        <f t="shared" si="8"/>
        <v>43300342.814410597</v>
      </c>
      <c r="H28" s="23">
        <f t="shared" si="8"/>
        <v>47222148.871275187</v>
      </c>
      <c r="I28" s="23">
        <f t="shared" si="8"/>
        <v>46232255.01808551</v>
      </c>
      <c r="J28" s="23">
        <f t="shared" si="8"/>
        <v>50188543.407994404</v>
      </c>
      <c r="K28" s="23">
        <f t="shared" si="8"/>
        <v>51043414.92027615</v>
      </c>
      <c r="L28" s="23">
        <f t="shared" si="8"/>
        <v>60781872.554947704</v>
      </c>
      <c r="M28" s="23">
        <f t="shared" si="8"/>
        <v>64073234.771615848</v>
      </c>
      <c r="N28" s="23">
        <f t="shared" si="8"/>
        <v>46484374.691644385</v>
      </c>
      <c r="O28" s="23">
        <f t="shared" si="8"/>
        <v>46069808.600623935</v>
      </c>
      <c r="P28" s="23">
        <f t="shared" si="8"/>
        <v>46476209.740835033</v>
      </c>
      <c r="Q28" s="23">
        <f>SUM(Q26:Q27)</f>
        <v>50232473.274771184</v>
      </c>
      <c r="S28" s="17"/>
    </row>
    <row r="29" spans="1:20" s="4" customFormat="1" x14ac:dyDescent="0.25">
      <c r="A29" s="12">
        <f>+MAX($A$1:A28)+1</f>
        <v>22</v>
      </c>
      <c r="B29" s="43"/>
      <c r="C29" s="24" t="s">
        <v>26</v>
      </c>
      <c r="D29" s="25" t="s">
        <v>23</v>
      </c>
      <c r="E29" s="36"/>
      <c r="F29" s="26">
        <v>1982626.99979</v>
      </c>
      <c r="G29" s="26">
        <v>1789929.9980000001</v>
      </c>
      <c r="H29" s="26">
        <v>1910070.0009899999</v>
      </c>
      <c r="I29" s="26">
        <v>1856810.0009900001</v>
      </c>
      <c r="J29" s="26">
        <v>1998460.00202</v>
      </c>
      <c r="K29" s="26">
        <v>1912132.46205</v>
      </c>
      <c r="L29" s="26">
        <v>2266364.4785400005</v>
      </c>
      <c r="M29" s="26">
        <v>2314401.9906899994</v>
      </c>
      <c r="N29" s="26">
        <v>1865836.6002939758</v>
      </c>
      <c r="O29" s="26">
        <v>1829380.8936000003</v>
      </c>
      <c r="P29" s="26">
        <v>1877678.2182000002</v>
      </c>
      <c r="Q29" s="26">
        <v>2013528.5713025413</v>
      </c>
      <c r="S29" s="17"/>
    </row>
    <row r="30" spans="1:20" s="4" customFormat="1" x14ac:dyDescent="0.25">
      <c r="A30" s="12">
        <f>+MAX($A$1:A29)+1</f>
        <v>23</v>
      </c>
      <c r="B30" s="49"/>
      <c r="C30" s="50" t="s">
        <v>27</v>
      </c>
      <c r="D30" s="28" t="str">
        <f>"Line "&amp;A28&amp;" / "&amp;" Line "&amp;A29</f>
        <v>Line 21 /  Line 22</v>
      </c>
      <c r="E30" s="49"/>
      <c r="F30" s="51">
        <f t="shared" ref="F30:P30" si="9">F28/F29</f>
        <v>23.870471277067132</v>
      </c>
      <c r="G30" s="51">
        <f t="shared" si="9"/>
        <v>24.191081697492503</v>
      </c>
      <c r="H30" s="51">
        <f t="shared" si="9"/>
        <v>24.722732070971055</v>
      </c>
      <c r="I30" s="51">
        <f t="shared" si="9"/>
        <v>24.898753773103195</v>
      </c>
      <c r="J30" s="51">
        <f t="shared" si="9"/>
        <v>25.113609157683875</v>
      </c>
      <c r="K30" s="23">
        <f t="shared" si="9"/>
        <v>26.694497339139588</v>
      </c>
      <c r="L30" s="51">
        <f t="shared" si="9"/>
        <v>26.819107487116806</v>
      </c>
      <c r="M30" s="51">
        <f t="shared" si="9"/>
        <v>27.684574688994935</v>
      </c>
      <c r="N30" s="51">
        <f t="shared" si="9"/>
        <v>24.91342204581068</v>
      </c>
      <c r="O30" s="51">
        <f t="shared" si="9"/>
        <v>25.183278540733049</v>
      </c>
      <c r="P30" s="51">
        <f t="shared" si="9"/>
        <v>24.751956586783304</v>
      </c>
      <c r="Q30" s="51">
        <f>Q28/Q29</f>
        <v>24.947484724428843</v>
      </c>
      <c r="S30" s="29"/>
    </row>
    <row r="31" spans="1:20" s="4" customFormat="1" x14ac:dyDescent="0.25">
      <c r="A31" s="12">
        <f>+MAX($A$1:A30)+1</f>
        <v>24</v>
      </c>
      <c r="B31" s="52" t="s">
        <v>28</v>
      </c>
      <c r="C31" s="50"/>
      <c r="D31" s="53"/>
      <c r="E31" s="49"/>
      <c r="F31" s="45"/>
      <c r="G31" s="45"/>
      <c r="H31" s="45"/>
      <c r="I31" s="46"/>
      <c r="J31" s="46"/>
      <c r="K31" s="45"/>
      <c r="L31" s="47"/>
      <c r="M31" s="46"/>
      <c r="N31" s="46"/>
      <c r="O31" s="46"/>
      <c r="P31" s="46"/>
      <c r="Q31" s="46"/>
      <c r="R31" s="48"/>
      <c r="S31" s="48"/>
    </row>
    <row r="32" spans="1:20" s="56" customFormat="1" x14ac:dyDescent="0.25">
      <c r="A32" s="12">
        <f>+MAX($A$1:A31)+1</f>
        <v>25</v>
      </c>
      <c r="B32" s="54"/>
      <c r="C32" s="50" t="s">
        <v>29</v>
      </c>
      <c r="D32" s="53" t="str">
        <f>"Line "&amp;A23&amp;" - "&amp;" Line "&amp;A30</f>
        <v>Line 17 -  Line 23</v>
      </c>
      <c r="E32" s="54"/>
      <c r="F32" s="55">
        <f t="shared" ref="F32:Q32" si="10">F23-F30</f>
        <v>3.3421739100937913</v>
      </c>
      <c r="G32" s="55">
        <f t="shared" si="10"/>
        <v>6.1733197910815107</v>
      </c>
      <c r="H32" s="55">
        <f t="shared" si="10"/>
        <v>1.2774928872956544</v>
      </c>
      <c r="I32" s="55">
        <f t="shared" si="10"/>
        <v>0.37395586018976701</v>
      </c>
      <c r="J32" s="55">
        <f t="shared" si="10"/>
        <v>1.7786753139229425</v>
      </c>
      <c r="K32" s="55">
        <f t="shared" si="10"/>
        <v>-0.32860697737156386</v>
      </c>
      <c r="L32" s="55">
        <f t="shared" si="10"/>
        <v>3.9209321102901811</v>
      </c>
      <c r="M32" s="55">
        <f t="shared" si="10"/>
        <v>2.3967364801199871</v>
      </c>
      <c r="N32" s="55">
        <f t="shared" si="10"/>
        <v>1.6030543445475658</v>
      </c>
      <c r="O32" s="55">
        <f t="shared" si="10"/>
        <v>-0.41410959602416497</v>
      </c>
      <c r="P32" s="55">
        <f t="shared" si="10"/>
        <v>1.3329407635296775E-2</v>
      </c>
      <c r="Q32" s="55">
        <f t="shared" si="10"/>
        <v>-0.13953025784257989</v>
      </c>
    </row>
    <row r="33" spans="1:19" s="4" customFormat="1" x14ac:dyDescent="0.25">
      <c r="A33" s="12">
        <f>+MAX($A$1:A32)+1</f>
        <v>26</v>
      </c>
      <c r="B33" s="7"/>
      <c r="C33" s="57" t="s">
        <v>19</v>
      </c>
      <c r="D33" s="25">
        <v>3</v>
      </c>
      <c r="E33" s="7"/>
      <c r="F33" s="58">
        <f t="shared" ref="F33:Q33" si="11">F22</f>
        <v>2080024.8839999998</v>
      </c>
      <c r="G33" s="58">
        <f t="shared" si="11"/>
        <v>1778181.71</v>
      </c>
      <c r="H33" s="58">
        <f t="shared" si="11"/>
        <v>1895016.52</v>
      </c>
      <c r="I33" s="58">
        <f t="shared" si="11"/>
        <v>1848369.277</v>
      </c>
      <c r="J33" s="58">
        <f t="shared" si="11"/>
        <v>1934205.9620000001</v>
      </c>
      <c r="K33" s="59">
        <f t="shared" si="11"/>
        <v>2091697.8729999997</v>
      </c>
      <c r="L33" s="59">
        <f t="shared" si="11"/>
        <v>2486321.6829999997</v>
      </c>
      <c r="M33" s="58">
        <f t="shared" si="11"/>
        <v>2162802.41</v>
      </c>
      <c r="N33" s="58">
        <f t="shared" si="11"/>
        <v>2029940.8599999999</v>
      </c>
      <c r="O33" s="58">
        <f t="shared" si="11"/>
        <v>1829115.085</v>
      </c>
      <c r="P33" s="58">
        <f t="shared" si="11"/>
        <v>1899050.0819999999</v>
      </c>
      <c r="Q33" s="58">
        <f t="shared" si="11"/>
        <v>2054334.5380000002</v>
      </c>
    </row>
    <row r="34" spans="1:19" s="4" customFormat="1" x14ac:dyDescent="0.25">
      <c r="A34" s="12">
        <f>+MAX($A$1:A33)+1</f>
        <v>27</v>
      </c>
      <c r="B34" s="7"/>
      <c r="C34" s="22" t="s">
        <v>30</v>
      </c>
      <c r="D34" s="28" t="str">
        <f>"Line "&amp;A32&amp;" x "&amp;" Line "&amp;A33</f>
        <v>Line 25 x  Line 26</v>
      </c>
      <c r="E34" s="7"/>
      <c r="F34" s="23">
        <f>F33*F32</f>
        <v>6951804.8996506641</v>
      </c>
      <c r="G34" s="23">
        <f t="shared" ref="G34:Q34" si="12">G33*G32</f>
        <v>10977284.342482163</v>
      </c>
      <c r="H34" s="23">
        <f t="shared" si="12"/>
        <v>2420870.125607763</v>
      </c>
      <c r="I34" s="23">
        <f t="shared" si="12"/>
        <v>691208.52292887273</v>
      </c>
      <c r="J34" s="23">
        <f t="shared" si="12"/>
        <v>3440324.3966519772</v>
      </c>
      <c r="K34" s="23">
        <f t="shared" si="12"/>
        <v>-687346.51562105911</v>
      </c>
      <c r="L34" s="23">
        <f t="shared" si="12"/>
        <v>9748698.5233854242</v>
      </c>
      <c r="M34" s="23">
        <f t="shared" si="12"/>
        <v>5183667.4353384255</v>
      </c>
      <c r="N34" s="23">
        <f t="shared" si="12"/>
        <v>3254105.5147976219</v>
      </c>
      <c r="O34" s="23">
        <f t="shared" si="12"/>
        <v>-757454.10893105611</v>
      </c>
      <c r="P34" s="23">
        <f t="shared" si="12"/>
        <v>25313.212662821767</v>
      </c>
      <c r="Q34" s="23">
        <f t="shared" si="12"/>
        <v>-286641.82778205723</v>
      </c>
    </row>
    <row r="35" spans="1:19" s="4" customFormat="1" x14ac:dyDescent="0.25">
      <c r="A35" s="12">
        <f>+MAX($A$1:A34)+1</f>
        <v>28</v>
      </c>
      <c r="B35" s="7"/>
      <c r="C35" s="31" t="s">
        <v>31</v>
      </c>
      <c r="D35" s="32"/>
      <c r="E35" s="7"/>
      <c r="F35" s="60">
        <v>0.7</v>
      </c>
      <c r="G35" s="60">
        <v>0.7</v>
      </c>
      <c r="H35" s="60">
        <v>0.7</v>
      </c>
      <c r="I35" s="60">
        <v>0.7</v>
      </c>
      <c r="J35" s="60">
        <v>0.7</v>
      </c>
      <c r="K35" s="60">
        <v>0.7</v>
      </c>
      <c r="L35" s="60">
        <v>0.7</v>
      </c>
      <c r="M35" s="60">
        <v>0.7</v>
      </c>
      <c r="N35" s="60">
        <v>0.7</v>
      </c>
      <c r="O35" s="60">
        <v>0.7</v>
      </c>
      <c r="P35" s="60">
        <v>0.7</v>
      </c>
      <c r="Q35" s="60">
        <v>0.7</v>
      </c>
    </row>
    <row r="36" spans="1:19" s="4" customFormat="1" x14ac:dyDescent="0.25">
      <c r="A36" s="12">
        <f>+MAX($A$1:A35)+1</f>
        <v>29</v>
      </c>
      <c r="B36" s="7"/>
      <c r="C36" s="22" t="s">
        <v>32</v>
      </c>
      <c r="D36" s="28" t="str">
        <f>"Line "&amp;A34&amp;" x "&amp;" Line "&amp;A35</f>
        <v>Line 27 x  Line 28</v>
      </c>
      <c r="E36" s="7"/>
      <c r="F36" s="23">
        <f>F34*F35</f>
        <v>4866263.4297554642</v>
      </c>
      <c r="G36" s="23">
        <f t="shared" ref="G36:Q36" si="13">G34*G35</f>
        <v>7684099.0397375133</v>
      </c>
      <c r="H36" s="23">
        <f t="shared" si="13"/>
        <v>1694609.0879254339</v>
      </c>
      <c r="I36" s="23">
        <f t="shared" si="13"/>
        <v>483845.96605021087</v>
      </c>
      <c r="J36" s="23">
        <f t="shared" si="13"/>
        <v>2408227.0776563841</v>
      </c>
      <c r="K36" s="23">
        <f t="shared" si="13"/>
        <v>-481142.56093474134</v>
      </c>
      <c r="L36" s="23">
        <f t="shared" si="13"/>
        <v>6824088.9663697965</v>
      </c>
      <c r="M36" s="23">
        <f t="shared" si="13"/>
        <v>3628567.2047368977</v>
      </c>
      <c r="N36" s="23">
        <f t="shared" si="13"/>
        <v>2277873.8603583351</v>
      </c>
      <c r="O36" s="23">
        <f t="shared" si="13"/>
        <v>-530217.87625173922</v>
      </c>
      <c r="P36" s="23">
        <f t="shared" si="13"/>
        <v>17719.248863975234</v>
      </c>
      <c r="Q36" s="23">
        <f t="shared" si="13"/>
        <v>-200649.27944744006</v>
      </c>
    </row>
    <row r="37" spans="1:19" s="4" customFormat="1" x14ac:dyDescent="0.25">
      <c r="A37" s="12">
        <f>+MAX($A$1:A36)+1</f>
        <v>30</v>
      </c>
      <c r="B37" s="7"/>
      <c r="C37" s="61" t="s">
        <v>33</v>
      </c>
      <c r="D37" s="25" t="s">
        <v>34</v>
      </c>
      <c r="E37" s="62"/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-1204554</v>
      </c>
      <c r="N37" s="26">
        <v>0</v>
      </c>
      <c r="O37" s="26">
        <v>0</v>
      </c>
      <c r="P37" s="26">
        <v>0</v>
      </c>
      <c r="Q37" s="26"/>
    </row>
    <row r="38" spans="1:19" s="4" customFormat="1" x14ac:dyDescent="0.25">
      <c r="A38" s="12">
        <f>+MAX($A$1:A37)+1</f>
        <v>31</v>
      </c>
      <c r="B38" s="7"/>
      <c r="C38" s="22" t="s">
        <v>35</v>
      </c>
      <c r="D38" s="28" t="str">
        <f>"Line "&amp;A36&amp;" + "&amp;" Line "&amp;A37</f>
        <v>Line 29 +  Line 30</v>
      </c>
      <c r="E38" s="7"/>
      <c r="F38" s="23">
        <f>SUM(F36:F37)</f>
        <v>4866263.4297554642</v>
      </c>
      <c r="G38" s="23">
        <f t="shared" ref="G38:Q38" si="14">SUM(G36:G37)</f>
        <v>7684099.0397375133</v>
      </c>
      <c r="H38" s="23">
        <f t="shared" si="14"/>
        <v>1694609.0879254339</v>
      </c>
      <c r="I38" s="23">
        <f t="shared" si="14"/>
        <v>483845.96605021087</v>
      </c>
      <c r="J38" s="23">
        <f t="shared" si="14"/>
        <v>2408227.0776563841</v>
      </c>
      <c r="K38" s="23">
        <f t="shared" si="14"/>
        <v>-481142.56093474134</v>
      </c>
      <c r="L38" s="23">
        <f t="shared" si="14"/>
        <v>6824088.9663697965</v>
      </c>
      <c r="M38" s="23">
        <f t="shared" si="14"/>
        <v>2424013.2047368977</v>
      </c>
      <c r="N38" s="23">
        <f t="shared" si="14"/>
        <v>2277873.8603583351</v>
      </c>
      <c r="O38" s="23">
        <f t="shared" si="14"/>
        <v>-530217.87625173922</v>
      </c>
      <c r="P38" s="23">
        <f t="shared" si="14"/>
        <v>17719.248863975234</v>
      </c>
      <c r="Q38" s="23">
        <f t="shared" si="14"/>
        <v>-200649.27944744006</v>
      </c>
    </row>
    <row r="39" spans="1:19" s="4" customFormat="1" x14ac:dyDescent="0.25">
      <c r="A39" s="12"/>
      <c r="B39" s="7"/>
      <c r="C39" s="22"/>
      <c r="D39" s="28"/>
      <c r="E39" s="7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9" s="4" customFormat="1" x14ac:dyDescent="0.25">
      <c r="A40" s="12">
        <f>+MAX($A$1:A38)+1</f>
        <v>32</v>
      </c>
      <c r="B40" s="7"/>
      <c r="C40" s="22" t="s">
        <v>36</v>
      </c>
      <c r="D40" s="44" t="s">
        <v>37</v>
      </c>
      <c r="E40" s="23">
        <v>0</v>
      </c>
      <c r="F40" s="23">
        <v>0</v>
      </c>
      <c r="G40" s="23">
        <f>F43</f>
        <v>4878429.0883298526</v>
      </c>
      <c r="H40" s="23">
        <f t="shared" ref="H40:Q40" si="15">G43</f>
        <v>12606130.521108359</v>
      </c>
      <c r="I40" s="23">
        <f t="shared" si="15"/>
        <v>14368006.784359148</v>
      </c>
      <c r="J40" s="23">
        <f t="shared" si="15"/>
        <v>14924902.399246281</v>
      </c>
      <c r="K40" s="23">
        <f t="shared" si="15"/>
        <v>17413774.556593034</v>
      </c>
      <c r="L40" s="23">
        <f t="shared" si="15"/>
        <v>17018498.01203892</v>
      </c>
      <c r="M40" s="23">
        <f t="shared" si="15"/>
        <v>23944739.690884836</v>
      </c>
      <c r="N40" s="23">
        <f t="shared" si="15"/>
        <v>26494536.627087999</v>
      </c>
      <c r="O40" s="23">
        <f t="shared" si="15"/>
        <v>28910577.855232671</v>
      </c>
      <c r="P40" s="23">
        <f t="shared" si="15"/>
        <v>28523587.323566467</v>
      </c>
      <c r="Q40" s="23">
        <f t="shared" si="15"/>
        <v>28683968.807170436</v>
      </c>
    </row>
    <row r="41" spans="1:19" s="4" customFormat="1" x14ac:dyDescent="0.25">
      <c r="A41" s="12">
        <f>+MAX($A$1:A40)+1</f>
        <v>33</v>
      </c>
      <c r="B41" s="7"/>
      <c r="C41" s="22" t="s">
        <v>38</v>
      </c>
      <c r="D41" s="44" t="str">
        <f>"Line "&amp;A38</f>
        <v>Line 31</v>
      </c>
      <c r="E41" s="23">
        <v>0</v>
      </c>
      <c r="F41" s="23">
        <f t="shared" ref="F41:P41" si="16">F38</f>
        <v>4866263.4297554642</v>
      </c>
      <c r="G41" s="23">
        <f t="shared" si="16"/>
        <v>7684099.0397375133</v>
      </c>
      <c r="H41" s="23">
        <f t="shared" si="16"/>
        <v>1694609.0879254339</v>
      </c>
      <c r="I41" s="23">
        <f t="shared" si="16"/>
        <v>483845.96605021087</v>
      </c>
      <c r="J41" s="23">
        <f t="shared" si="16"/>
        <v>2408227.0776563841</v>
      </c>
      <c r="K41" s="23">
        <f t="shared" si="16"/>
        <v>-481142.56093474134</v>
      </c>
      <c r="L41" s="23">
        <f t="shared" si="16"/>
        <v>6824088.9663697965</v>
      </c>
      <c r="M41" s="23">
        <f t="shared" si="16"/>
        <v>2424013.2047368977</v>
      </c>
      <c r="N41" s="23">
        <f t="shared" si="16"/>
        <v>2277873.8603583351</v>
      </c>
      <c r="O41" s="23">
        <f t="shared" si="16"/>
        <v>-530217.87625173922</v>
      </c>
      <c r="P41" s="23">
        <f t="shared" si="16"/>
        <v>17719.248863975234</v>
      </c>
      <c r="Q41" s="23">
        <f>Q38</f>
        <v>-200649.27944744006</v>
      </c>
    </row>
    <row r="42" spans="1:19" s="4" customFormat="1" x14ac:dyDescent="0.25">
      <c r="A42" s="12">
        <f>+MAX($A$1:A41)+1</f>
        <v>34</v>
      </c>
      <c r="B42" s="7"/>
      <c r="C42" s="24" t="s">
        <v>39</v>
      </c>
      <c r="D42" s="25" t="str">
        <f>"(Line "&amp;A40&amp;"+"&amp;"50% "&amp;"Line "&amp;A40&amp;")"&amp;" x ( 6%/12)"</f>
        <v>(Line 32+50% Line 32) x ( 6%/12)</v>
      </c>
      <c r="E42" s="26">
        <f t="shared" ref="E42:N42" si="17">(E40+(0.5*E41))*(6%/12)</f>
        <v>0</v>
      </c>
      <c r="F42" s="26">
        <f>(F40+(0.5*F41))*(6%/12)</f>
        <v>12165.658574388661</v>
      </c>
      <c r="G42" s="26">
        <f t="shared" si="17"/>
        <v>43602.393040993047</v>
      </c>
      <c r="H42" s="26">
        <f t="shared" si="17"/>
        <v>67267.175325355376</v>
      </c>
      <c r="I42" s="26">
        <f t="shared" si="17"/>
        <v>73049.648836921275</v>
      </c>
      <c r="J42" s="26">
        <f t="shared" si="17"/>
        <v>80645.079690372368</v>
      </c>
      <c r="K42" s="26">
        <f t="shared" si="17"/>
        <v>85866.016380628309</v>
      </c>
      <c r="L42" s="26">
        <f t="shared" si="17"/>
        <v>102152.71247611911</v>
      </c>
      <c r="M42" s="26">
        <f t="shared" si="17"/>
        <v>125783.73146626643</v>
      </c>
      <c r="N42" s="26">
        <f t="shared" si="17"/>
        <v>138167.36778633585</v>
      </c>
      <c r="O42" s="26">
        <f>(O40+(0.5*O41))*(6%/12)</f>
        <v>143227.34458553401</v>
      </c>
      <c r="P42" s="26">
        <f t="shared" ref="P42:Q42" si="18">(P40+(0.5*P41))*(6%/12)</f>
        <v>142662.23473999227</v>
      </c>
      <c r="Q42" s="26">
        <f t="shared" si="18"/>
        <v>142918.22083723359</v>
      </c>
    </row>
    <row r="43" spans="1:19" s="4" customFormat="1" x14ac:dyDescent="0.25">
      <c r="A43" s="12">
        <f>+MAX($A$1:A42)+1</f>
        <v>35</v>
      </c>
      <c r="B43" s="7"/>
      <c r="C43" s="22" t="s">
        <v>40</v>
      </c>
      <c r="D43" s="44" t="str">
        <f>"Sum lines "&amp;A40&amp;" to "&amp;"line "&amp;A42</f>
        <v>Sum lines 32 to line 34</v>
      </c>
      <c r="E43" s="23">
        <v>0</v>
      </c>
      <c r="F43" s="23">
        <f>SUM(F40:F42)</f>
        <v>4878429.0883298526</v>
      </c>
      <c r="G43" s="23">
        <f t="shared" ref="G43:Q43" si="19">SUM(G40:G42)</f>
        <v>12606130.521108359</v>
      </c>
      <c r="H43" s="23">
        <f t="shared" si="19"/>
        <v>14368006.784359148</v>
      </c>
      <c r="I43" s="23">
        <f t="shared" si="19"/>
        <v>14924902.399246281</v>
      </c>
      <c r="J43" s="23">
        <f t="shared" si="19"/>
        <v>17413774.556593034</v>
      </c>
      <c r="K43" s="23">
        <f t="shared" si="19"/>
        <v>17018498.01203892</v>
      </c>
      <c r="L43" s="23">
        <f t="shared" si="19"/>
        <v>23944739.690884836</v>
      </c>
      <c r="M43" s="23">
        <f t="shared" si="19"/>
        <v>26494536.627087999</v>
      </c>
      <c r="N43" s="23">
        <f t="shared" si="19"/>
        <v>28910577.855232671</v>
      </c>
      <c r="O43" s="23">
        <f t="shared" si="19"/>
        <v>28523587.323566467</v>
      </c>
      <c r="P43" s="23">
        <f t="shared" si="19"/>
        <v>28683968.807170436</v>
      </c>
      <c r="Q43" s="23">
        <f t="shared" si="19"/>
        <v>28626237.748560227</v>
      </c>
    </row>
    <row r="44" spans="1:19" s="4" customFormat="1" x14ac:dyDescent="0.25">
      <c r="A44" s="12">
        <f>+MAX($A$1:A43)+1</f>
        <v>36</v>
      </c>
      <c r="B44" s="7"/>
      <c r="C44" s="63" t="s">
        <v>41</v>
      </c>
      <c r="D44" s="44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6">
        <f>((1+(0.06/12))^10)*Q43-Q43</f>
        <v>1463949.5782923922</v>
      </c>
    </row>
    <row r="45" spans="1:19" s="4" customFormat="1" x14ac:dyDescent="0.25">
      <c r="A45" s="12">
        <f>+MAX($A$1:A44)+1</f>
        <v>37</v>
      </c>
      <c r="B45" s="7"/>
      <c r="C45" s="63" t="s">
        <v>42</v>
      </c>
      <c r="D45" s="44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f>Q43+Q44</f>
        <v>30090187.32685262</v>
      </c>
    </row>
    <row r="46" spans="1:19" s="4" customFormat="1" x14ac:dyDescent="0.25">
      <c r="A46" s="12">
        <f>+MAX($A$1:A45)+1</f>
        <v>38</v>
      </c>
      <c r="B46" s="7"/>
      <c r="C46" s="63" t="s">
        <v>43</v>
      </c>
      <c r="D46" s="44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6">
        <v>30471465.200803213</v>
      </c>
    </row>
    <row r="47" spans="1:19" s="69" customFormat="1" x14ac:dyDescent="0.25">
      <c r="A47" s="12">
        <f>+MAX($A$1:A46)+1</f>
        <v>39</v>
      </c>
      <c r="B47" s="64"/>
      <c r="C47" s="65" t="s">
        <v>44</v>
      </c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>
        <f>Q45-Q46</f>
        <v>-381277.87395059317</v>
      </c>
    </row>
    <row r="48" spans="1:19" s="4" customFormat="1" x14ac:dyDescent="0.25">
      <c r="A48" s="12"/>
      <c r="B48"/>
      <c r="D48" s="3"/>
      <c r="E48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1"/>
      <c r="R48" s="72"/>
      <c r="S48" s="72"/>
    </row>
    <row r="49" spans="1:22" s="4" customFormat="1" ht="20.25" customHeight="1" x14ac:dyDescent="0.25">
      <c r="A49" s="12"/>
      <c r="B49"/>
      <c r="C49" s="73"/>
      <c r="D49" s="3"/>
      <c r="E49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1:22" s="3" customFormat="1" x14ac:dyDescent="0.25">
      <c r="A50" s="12"/>
      <c r="B50"/>
      <c r="C50" s="75" t="s">
        <v>45</v>
      </c>
      <c r="E50"/>
      <c r="F50"/>
      <c r="G50"/>
      <c r="H50"/>
      <c r="I50"/>
      <c r="J50"/>
      <c r="K50"/>
      <c r="L50"/>
      <c r="M50"/>
      <c r="N50"/>
      <c r="O50"/>
      <c r="P50"/>
      <c r="Q50"/>
      <c r="R50" s="4"/>
      <c r="S50" s="4"/>
      <c r="T50" s="4"/>
      <c r="U50" s="4"/>
      <c r="V50" s="4"/>
    </row>
    <row r="51" spans="1:22" s="3" customFormat="1" x14ac:dyDescent="0.25">
      <c r="A51" s="12"/>
      <c r="B51"/>
      <c r="C51" s="76" t="s">
        <v>46</v>
      </c>
      <c r="E51"/>
      <c r="F51"/>
      <c r="G51"/>
      <c r="H51"/>
      <c r="I51"/>
      <c r="J51"/>
      <c r="K51"/>
      <c r="L51"/>
      <c r="M51"/>
      <c r="N51"/>
      <c r="O51"/>
      <c r="P51"/>
      <c r="Q51"/>
      <c r="R51" s="4"/>
      <c r="S51" s="4"/>
      <c r="T51" s="4"/>
      <c r="U51" s="4"/>
      <c r="V51" s="4"/>
    </row>
    <row r="52" spans="1:22" s="3" customFormat="1" x14ac:dyDescent="0.25">
      <c r="A52" s="12"/>
      <c r="B52"/>
      <c r="C52" s="2" t="s">
        <v>47</v>
      </c>
      <c r="E52"/>
      <c r="F52"/>
      <c r="G52"/>
      <c r="H52"/>
      <c r="I52"/>
      <c r="J52"/>
      <c r="K52"/>
      <c r="L52"/>
      <c r="M52"/>
      <c r="N52"/>
      <c r="O52"/>
      <c r="P52"/>
      <c r="Q52"/>
      <c r="R52" s="4"/>
      <c r="S52" s="4"/>
      <c r="T52" s="4"/>
      <c r="U52" s="4"/>
      <c r="V52" s="4"/>
    </row>
    <row r="53" spans="1:22" s="3" customFormat="1" x14ac:dyDescent="0.25">
      <c r="A53" s="12"/>
      <c r="B53"/>
      <c r="C53" s="2" t="s">
        <v>48</v>
      </c>
      <c r="E53"/>
      <c r="F53"/>
      <c r="G53"/>
      <c r="H53"/>
      <c r="I53"/>
      <c r="J53"/>
      <c r="K53"/>
      <c r="L53"/>
      <c r="M53"/>
      <c r="N53"/>
      <c r="O53"/>
      <c r="P53"/>
      <c r="Q53"/>
      <c r="R53" s="4"/>
      <c r="S53" s="4"/>
      <c r="T53" s="4"/>
      <c r="U53" s="4"/>
      <c r="V53" s="4"/>
    </row>
    <row r="54" spans="1:22" ht="30" customHeight="1" x14ac:dyDescent="0.25">
      <c r="C54" s="84" t="s">
        <v>49</v>
      </c>
      <c r="D54" s="84"/>
    </row>
    <row r="59" spans="1:22" x14ac:dyDescent="0.25">
      <c r="A59" s="78"/>
      <c r="B59" s="7"/>
      <c r="C59" s="79"/>
      <c r="D59" s="80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22" x14ac:dyDescent="0.25">
      <c r="A60" s="78"/>
      <c r="B60" s="7"/>
      <c r="C60" s="79"/>
      <c r="D60" s="80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22" x14ac:dyDescent="0.25">
      <c r="A61" s="78"/>
      <c r="B61" s="7"/>
      <c r="C61" s="79"/>
      <c r="D61" s="80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2" x14ac:dyDescent="0.25">
      <c r="A62" s="78"/>
      <c r="B62" s="7"/>
      <c r="C62" s="79"/>
      <c r="D62" s="80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22" x14ac:dyDescent="0.25">
      <c r="A63" s="78"/>
      <c r="B63" s="7"/>
      <c r="C63" s="79"/>
      <c r="D63" s="80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2" x14ac:dyDescent="0.25">
      <c r="A64" s="78"/>
      <c r="B64" s="7"/>
      <c r="C64" s="79"/>
      <c r="D64" s="80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5">
      <c r="A65" s="78"/>
      <c r="B65" s="7"/>
      <c r="C65" s="79"/>
      <c r="D65" s="80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5">
      <c r="A66" s="78"/>
      <c r="B66" s="7"/>
      <c r="C66" s="79"/>
      <c r="D66" s="80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5">
      <c r="A67" s="78"/>
      <c r="B67" s="7"/>
      <c r="C67" s="79"/>
      <c r="D67" s="80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5">
      <c r="A68" s="78"/>
      <c r="B68" s="7"/>
      <c r="C68" s="79"/>
      <c r="D68" s="8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5">
      <c r="A69" s="78"/>
      <c r="B69" s="7"/>
      <c r="C69" s="79"/>
      <c r="D69" s="8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5">
      <c r="A70" s="78"/>
      <c r="B70" s="7"/>
      <c r="C70" s="79"/>
      <c r="D70" s="80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5">
      <c r="A71" s="78"/>
      <c r="B71" s="7"/>
      <c r="C71" s="79"/>
      <c r="D71" s="80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5">
      <c r="A72" s="78"/>
      <c r="B72" s="7"/>
      <c r="C72" s="79"/>
      <c r="D72" s="80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5">
      <c r="A73" s="78"/>
      <c r="B73" s="7"/>
      <c r="C73" s="79"/>
      <c r="D73" s="80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5">
      <c r="A74" s="78"/>
      <c r="B74" s="7"/>
      <c r="C74" s="79"/>
      <c r="D74" s="80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5">
      <c r="A75" s="78"/>
      <c r="B75" s="7"/>
      <c r="C75" s="79"/>
      <c r="D75" s="80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5">
      <c r="A76" s="78"/>
      <c r="B76" s="7"/>
      <c r="C76" s="79"/>
      <c r="D76" s="80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5">
      <c r="A77" s="78"/>
      <c r="B77" s="7"/>
      <c r="C77" s="79"/>
      <c r="D77" s="80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5">
      <c r="A78" s="78"/>
      <c r="B78" s="7"/>
      <c r="C78" s="79"/>
      <c r="D78" s="80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5">
      <c r="A79" s="78"/>
      <c r="B79" s="7"/>
      <c r="C79" s="79"/>
      <c r="D79" s="80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5">
      <c r="A80" s="78"/>
      <c r="B80" s="7"/>
      <c r="C80" s="79"/>
      <c r="D80" s="80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25">
      <c r="A81" s="78"/>
      <c r="B81" s="7"/>
      <c r="C81" s="79"/>
      <c r="D81" s="80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25">
      <c r="A82" s="78"/>
      <c r="B82" s="7"/>
      <c r="C82" s="79"/>
      <c r="D82" s="80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5">
      <c r="A83" s="78"/>
      <c r="B83" s="7"/>
      <c r="C83" s="79"/>
      <c r="D83" s="80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5">
      <c r="A84" s="78"/>
      <c r="B84" s="7"/>
      <c r="C84" s="79"/>
      <c r="D84" s="80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5">
      <c r="A85" s="78"/>
      <c r="B85" s="7"/>
      <c r="C85" s="79"/>
      <c r="D85" s="80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5">
      <c r="A86" s="78"/>
      <c r="B86" s="7"/>
      <c r="C86" s="79"/>
      <c r="D86" s="80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25">
      <c r="A87" s="78"/>
      <c r="B87" s="7"/>
      <c r="C87" s="79"/>
      <c r="D87" s="80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25">
      <c r="A88" s="78"/>
      <c r="B88" s="7"/>
      <c r="C88" s="79"/>
      <c r="D88" s="80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x14ac:dyDescent="0.25">
      <c r="A89" s="78"/>
      <c r="B89" s="7"/>
      <c r="C89" s="79"/>
      <c r="D89" s="80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x14ac:dyDescent="0.25">
      <c r="A90" s="78"/>
      <c r="B90" s="7"/>
      <c r="C90" s="79"/>
      <c r="D90" s="80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x14ac:dyDescent="0.25">
      <c r="A91" s="78"/>
      <c r="B91" s="7"/>
      <c r="C91" s="79"/>
      <c r="D91" s="8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x14ac:dyDescent="0.25">
      <c r="A92" s="78"/>
      <c r="B92" s="7"/>
      <c r="C92" s="79"/>
      <c r="D92" s="80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25">
      <c r="A93" s="78"/>
      <c r="B93" s="7"/>
      <c r="C93" s="79"/>
      <c r="D93" s="80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25">
      <c r="A94" s="78"/>
      <c r="B94" s="7"/>
      <c r="C94" s="79"/>
      <c r="D94" s="80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5">
      <c r="A95" s="78"/>
      <c r="B95" s="7"/>
      <c r="C95" s="79"/>
      <c r="D95" s="80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25">
      <c r="A96" s="78"/>
      <c r="B96" s="7"/>
      <c r="C96" s="79"/>
      <c r="D96" s="80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25">
      <c r="A97" s="78"/>
      <c r="B97" s="7"/>
      <c r="C97" s="79"/>
      <c r="D97" s="80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x14ac:dyDescent="0.25">
      <c r="A98" s="78"/>
      <c r="B98" s="7"/>
      <c r="C98" s="79"/>
      <c r="D98" s="80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x14ac:dyDescent="0.25">
      <c r="A99" s="78"/>
      <c r="B99" s="7"/>
      <c r="C99" s="79"/>
      <c r="D99" s="80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25">
      <c r="A100" s="78"/>
      <c r="B100" s="7"/>
      <c r="C100" s="79"/>
      <c r="D100" s="80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5">
      <c r="A101" s="78"/>
      <c r="B101" s="7"/>
      <c r="C101" s="79"/>
      <c r="D101" s="80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x14ac:dyDescent="0.25">
      <c r="A102" s="78"/>
      <c r="B102" s="7"/>
      <c r="C102" s="79"/>
      <c r="D102" s="80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5">
      <c r="A103" s="78"/>
      <c r="B103" s="7"/>
      <c r="C103" s="79"/>
      <c r="D103" s="80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5">
      <c r="A104" s="78"/>
      <c r="B104" s="7"/>
      <c r="C104" s="79"/>
      <c r="D104" s="80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5">
      <c r="A105" s="78"/>
      <c r="B105" s="7"/>
      <c r="C105" s="79"/>
      <c r="D105" s="80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x14ac:dyDescent="0.25">
      <c r="A106" s="78"/>
      <c r="B106" s="7"/>
      <c r="C106" s="79"/>
      <c r="D106" s="80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25">
      <c r="A107" s="78"/>
      <c r="B107" s="7"/>
      <c r="C107" s="79"/>
      <c r="D107" s="80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x14ac:dyDescent="0.25">
      <c r="A108" s="78"/>
      <c r="B108" s="7"/>
      <c r="C108" s="79"/>
      <c r="D108" s="80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x14ac:dyDescent="0.25">
      <c r="A109" s="78"/>
      <c r="B109" s="7"/>
      <c r="C109" s="79"/>
      <c r="D109" s="80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25">
      <c r="A110" s="78"/>
      <c r="B110" s="7"/>
      <c r="C110" s="79"/>
      <c r="D110" s="80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x14ac:dyDescent="0.25">
      <c r="A111" s="78"/>
      <c r="B111" s="7"/>
      <c r="C111" s="79"/>
      <c r="D111" s="80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x14ac:dyDescent="0.25">
      <c r="A112" s="78"/>
      <c r="B112" s="7"/>
      <c r="C112" s="79"/>
      <c r="D112" s="80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25">
      <c r="A113" s="78"/>
      <c r="B113" s="7"/>
      <c r="C113" s="79"/>
      <c r="D113" s="80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25">
      <c r="A114" s="78"/>
      <c r="B114" s="7"/>
      <c r="C114" s="79"/>
      <c r="D114" s="80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x14ac:dyDescent="0.25">
      <c r="A115" s="78"/>
      <c r="B115" s="7"/>
      <c r="C115" s="79"/>
      <c r="D115" s="80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x14ac:dyDescent="0.25">
      <c r="A116" s="78"/>
      <c r="B116" s="7"/>
      <c r="C116" s="79"/>
      <c r="D116" s="80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x14ac:dyDescent="0.25">
      <c r="A117" s="78"/>
      <c r="B117" s="7"/>
      <c r="C117" s="79"/>
      <c r="D117" s="80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x14ac:dyDescent="0.25">
      <c r="A118" s="78"/>
      <c r="B118" s="7"/>
      <c r="C118" s="79"/>
      <c r="D118" s="80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5">
      <c r="A119" s="78"/>
      <c r="B119" s="7"/>
      <c r="C119" s="79"/>
      <c r="D119" s="80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5">
      <c r="A120" s="78"/>
      <c r="B120" s="7"/>
      <c r="C120" s="79"/>
      <c r="D120" s="80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5">
      <c r="A121" s="78"/>
      <c r="B121" s="7"/>
      <c r="C121" s="79"/>
      <c r="D121" s="80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5">
      <c r="A122" s="78"/>
      <c r="B122" s="7"/>
      <c r="C122" s="79"/>
      <c r="D122" s="80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5">
      <c r="A123" s="78"/>
      <c r="B123" s="7"/>
      <c r="C123" s="79"/>
      <c r="D123" s="80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5">
      <c r="A124" s="78"/>
      <c r="B124" s="7"/>
      <c r="C124" s="79"/>
      <c r="D124" s="80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5">
      <c r="A125" s="78"/>
      <c r="B125" s="7"/>
      <c r="C125" s="79"/>
      <c r="D125" s="80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x14ac:dyDescent="0.25">
      <c r="A126" s="78"/>
      <c r="B126" s="7"/>
      <c r="C126" s="79"/>
      <c r="D126" s="80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x14ac:dyDescent="0.25">
      <c r="A127" s="78"/>
      <c r="B127" s="7"/>
      <c r="C127" s="79"/>
      <c r="D127" s="80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x14ac:dyDescent="0.25">
      <c r="A128" s="78"/>
      <c r="B128" s="7"/>
      <c r="C128" s="79"/>
      <c r="D128" s="80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5">
      <c r="A129" s="78"/>
      <c r="B129" s="7"/>
      <c r="C129" s="79"/>
      <c r="D129" s="80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x14ac:dyDescent="0.25">
      <c r="A130" s="78"/>
      <c r="B130" s="7"/>
      <c r="C130" s="79"/>
      <c r="D130" s="80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x14ac:dyDescent="0.25">
      <c r="A131" s="78"/>
      <c r="B131" s="7"/>
      <c r="C131" s="79"/>
      <c r="D131" s="80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25">
      <c r="A132" s="78"/>
      <c r="B132" s="7"/>
      <c r="C132" s="79"/>
      <c r="D132" s="80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25">
      <c r="A133" s="78"/>
      <c r="B133" s="7"/>
      <c r="C133" s="79"/>
      <c r="D133" s="80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x14ac:dyDescent="0.25">
      <c r="A134" s="78"/>
      <c r="B134" s="7"/>
      <c r="C134" s="79"/>
      <c r="D134" s="80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x14ac:dyDescent="0.25">
      <c r="A135" s="78"/>
      <c r="B135" s="7"/>
      <c r="C135" s="79"/>
      <c r="D135" s="80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25">
      <c r="A136" s="78"/>
      <c r="B136" s="7"/>
      <c r="C136" s="79"/>
      <c r="D136" s="80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25">
      <c r="A137" s="78"/>
      <c r="B137" s="7"/>
      <c r="C137" s="79"/>
      <c r="D137" s="80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25">
      <c r="A138" s="78"/>
      <c r="B138" s="7"/>
      <c r="C138" s="79"/>
      <c r="D138" s="80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x14ac:dyDescent="0.25">
      <c r="A139" s="78"/>
      <c r="B139" s="7"/>
      <c r="C139" s="79"/>
      <c r="D139" s="80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x14ac:dyDescent="0.25">
      <c r="A140" s="78"/>
      <c r="B140" s="7"/>
      <c r="C140" s="79"/>
      <c r="D140" s="80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25">
      <c r="A141" s="78"/>
      <c r="B141" s="7"/>
      <c r="C141" s="79"/>
      <c r="D141" s="80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25">
      <c r="A142" s="78"/>
      <c r="B142" s="7"/>
      <c r="C142" s="79"/>
      <c r="D142" s="80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x14ac:dyDescent="0.25">
      <c r="A143" s="78"/>
      <c r="B143" s="7"/>
      <c r="C143" s="79"/>
      <c r="D143" s="80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x14ac:dyDescent="0.25">
      <c r="A144" s="78"/>
      <c r="B144" s="7"/>
      <c r="C144" s="79"/>
      <c r="D144" s="80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x14ac:dyDescent="0.25">
      <c r="A145" s="78"/>
      <c r="B145" s="7"/>
      <c r="C145" s="79"/>
      <c r="D145" s="80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x14ac:dyDescent="0.25">
      <c r="A146" s="78"/>
      <c r="B146" s="7"/>
      <c r="C146" s="79"/>
      <c r="D146" s="80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x14ac:dyDescent="0.25">
      <c r="A147" s="78"/>
      <c r="B147" s="7"/>
      <c r="C147" s="79"/>
      <c r="D147" s="80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x14ac:dyDescent="0.25">
      <c r="A148" s="78"/>
      <c r="B148" s="7"/>
      <c r="C148" s="79"/>
      <c r="D148" s="80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x14ac:dyDescent="0.25">
      <c r="A149" s="78"/>
      <c r="B149" s="7"/>
      <c r="C149" s="79"/>
      <c r="D149" s="80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x14ac:dyDescent="0.25">
      <c r="A150" s="78"/>
      <c r="B150" s="7"/>
      <c r="C150" s="79"/>
      <c r="D150" s="80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x14ac:dyDescent="0.25">
      <c r="A151" s="78"/>
      <c r="B151" s="7"/>
      <c r="C151" s="79"/>
      <c r="D151" s="80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x14ac:dyDescent="0.25">
      <c r="A152" s="78"/>
      <c r="B152" s="7"/>
      <c r="C152" s="79"/>
      <c r="D152" s="80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x14ac:dyDescent="0.25">
      <c r="A153" s="78"/>
      <c r="B153" s="7"/>
      <c r="C153" s="79"/>
      <c r="D153" s="80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x14ac:dyDescent="0.25">
      <c r="A154" s="78"/>
      <c r="B154" s="7"/>
      <c r="C154" s="79"/>
      <c r="D154" s="80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x14ac:dyDescent="0.25">
      <c r="A155" s="78"/>
      <c r="B155" s="7"/>
      <c r="C155" s="79"/>
      <c r="D155" s="80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x14ac:dyDescent="0.25">
      <c r="A156" s="78"/>
      <c r="B156" s="7"/>
      <c r="C156" s="79"/>
      <c r="D156" s="80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x14ac:dyDescent="0.25">
      <c r="A157" s="78"/>
      <c r="B157" s="7"/>
      <c r="C157" s="79"/>
      <c r="D157" s="80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25">
      <c r="A158" s="78"/>
      <c r="B158" s="7"/>
      <c r="C158" s="79"/>
      <c r="D158" s="80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25">
      <c r="A159" s="78"/>
      <c r="B159" s="7"/>
      <c r="C159" s="79"/>
      <c r="D159" s="80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25">
      <c r="A160" s="78"/>
      <c r="B160" s="7"/>
      <c r="C160" s="79"/>
      <c r="D160" s="80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25">
      <c r="A161" s="78"/>
      <c r="B161" s="7"/>
      <c r="C161" s="79"/>
      <c r="D161" s="80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25">
      <c r="A162" s="78"/>
      <c r="B162" s="7"/>
      <c r="C162" s="79"/>
      <c r="D162" s="80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x14ac:dyDescent="0.25">
      <c r="A163" s="78"/>
      <c r="B163" s="7"/>
      <c r="C163" s="79"/>
      <c r="D163" s="80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x14ac:dyDescent="0.25">
      <c r="A164" s="78"/>
      <c r="B164" s="7"/>
      <c r="C164" s="79"/>
      <c r="D164" s="80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x14ac:dyDescent="0.25">
      <c r="A165" s="78"/>
      <c r="B165" s="7"/>
      <c r="C165" s="79"/>
      <c r="D165" s="80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x14ac:dyDescent="0.25">
      <c r="A166" s="78"/>
      <c r="B166" s="7"/>
      <c r="C166" s="79"/>
      <c r="D166" s="80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25">
      <c r="A167" s="78"/>
      <c r="B167" s="7"/>
      <c r="C167" s="79"/>
      <c r="D167" s="80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x14ac:dyDescent="0.25">
      <c r="A168" s="78"/>
      <c r="B168" s="7"/>
      <c r="C168" s="79"/>
      <c r="D168" s="80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x14ac:dyDescent="0.25">
      <c r="A169" s="78"/>
      <c r="B169" s="7"/>
      <c r="C169" s="79"/>
      <c r="D169" s="80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x14ac:dyDescent="0.25">
      <c r="A170" s="78"/>
      <c r="B170" s="7"/>
      <c r="C170" s="79"/>
      <c r="D170" s="80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x14ac:dyDescent="0.25">
      <c r="A171" s="78"/>
      <c r="B171" s="7"/>
      <c r="C171" s="79"/>
      <c r="D171" s="80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x14ac:dyDescent="0.25">
      <c r="A172" s="78"/>
      <c r="B172" s="7"/>
      <c r="C172" s="79"/>
      <c r="D172" s="80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x14ac:dyDescent="0.25">
      <c r="A173" s="78"/>
      <c r="B173" s="7"/>
      <c r="C173" s="79"/>
      <c r="D173" s="80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x14ac:dyDescent="0.25">
      <c r="A174" s="78"/>
      <c r="B174" s="7"/>
      <c r="C174" s="79"/>
      <c r="D174" s="80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x14ac:dyDescent="0.25">
      <c r="A175" s="78"/>
      <c r="B175" s="7"/>
      <c r="C175" s="79"/>
      <c r="D175" s="80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x14ac:dyDescent="0.25">
      <c r="A176" s="78"/>
      <c r="B176" s="7"/>
      <c r="C176" s="79"/>
      <c r="D176" s="80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x14ac:dyDescent="0.25">
      <c r="A177" s="78"/>
      <c r="B177" s="7"/>
      <c r="C177" s="79"/>
      <c r="D177" s="80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x14ac:dyDescent="0.25">
      <c r="A178" s="78"/>
      <c r="B178" s="7"/>
      <c r="C178" s="79"/>
      <c r="D178" s="80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25">
      <c r="A179" s="78"/>
      <c r="B179" s="7"/>
      <c r="C179" s="79"/>
      <c r="D179" s="80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25">
      <c r="A180" s="78"/>
      <c r="B180" s="7"/>
      <c r="C180" s="79"/>
      <c r="D180" s="80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x14ac:dyDescent="0.25">
      <c r="A181" s="78"/>
      <c r="B181" s="7"/>
      <c r="C181" s="79"/>
      <c r="D181" s="80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x14ac:dyDescent="0.25">
      <c r="A182" s="78"/>
      <c r="B182" s="7"/>
      <c r="C182" s="79"/>
      <c r="D182" s="80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x14ac:dyDescent="0.25">
      <c r="A183" s="78"/>
      <c r="B183" s="7"/>
      <c r="C183" s="79"/>
      <c r="D183" s="80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x14ac:dyDescent="0.25">
      <c r="A184" s="78"/>
      <c r="B184" s="7"/>
      <c r="C184" s="79"/>
      <c r="D184" s="80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x14ac:dyDescent="0.25">
      <c r="A185" s="78"/>
      <c r="B185" s="7"/>
      <c r="C185" s="79"/>
      <c r="D185" s="80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x14ac:dyDescent="0.25">
      <c r="A186" s="78"/>
      <c r="B186" s="7"/>
      <c r="C186" s="79"/>
      <c r="D186" s="80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x14ac:dyDescent="0.25">
      <c r="A187" s="78"/>
      <c r="B187" s="7"/>
      <c r="C187" s="79"/>
      <c r="D187" s="80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x14ac:dyDescent="0.25">
      <c r="A188" s="78"/>
      <c r="B188" s="7"/>
      <c r="C188" s="79"/>
      <c r="D188" s="80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x14ac:dyDescent="0.25">
      <c r="A189" s="78"/>
      <c r="B189" s="7"/>
      <c r="C189" s="79"/>
      <c r="D189" s="80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x14ac:dyDescent="0.25">
      <c r="A190" s="78"/>
      <c r="B190" s="7"/>
      <c r="C190" s="79"/>
      <c r="D190" s="80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x14ac:dyDescent="0.25">
      <c r="A191" s="78"/>
      <c r="B191" s="7"/>
      <c r="C191" s="79"/>
      <c r="D191" s="80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x14ac:dyDescent="0.25">
      <c r="A192" s="78"/>
      <c r="B192" s="7"/>
      <c r="C192" s="79"/>
      <c r="D192" s="80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x14ac:dyDescent="0.25">
      <c r="A193" s="78"/>
      <c r="B193" s="7"/>
      <c r="C193" s="79"/>
      <c r="D193" s="80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x14ac:dyDescent="0.25">
      <c r="A194" s="78"/>
      <c r="B194" s="7"/>
      <c r="C194" s="79"/>
      <c r="D194" s="80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x14ac:dyDescent="0.25">
      <c r="A195" s="78"/>
      <c r="B195" s="7"/>
      <c r="C195" s="79"/>
      <c r="D195" s="80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x14ac:dyDescent="0.25">
      <c r="A196" s="78"/>
      <c r="B196" s="7"/>
      <c r="C196" s="79"/>
      <c r="D196" s="80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25">
      <c r="A197" s="78"/>
      <c r="B197" s="7"/>
      <c r="C197" s="79"/>
      <c r="D197" s="80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25">
      <c r="A198" s="78"/>
      <c r="B198" s="7"/>
      <c r="C198" s="79"/>
      <c r="D198" s="80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x14ac:dyDescent="0.25">
      <c r="A199" s="78"/>
      <c r="B199" s="7"/>
      <c r="C199" s="79"/>
      <c r="D199" s="80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x14ac:dyDescent="0.25">
      <c r="A200" s="78"/>
      <c r="B200" s="7"/>
      <c r="C200" s="79"/>
      <c r="D200" s="80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x14ac:dyDescent="0.25">
      <c r="A201" s="78"/>
      <c r="B201" s="7"/>
      <c r="C201" s="79"/>
      <c r="D201" s="80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x14ac:dyDescent="0.25">
      <c r="A202" s="78"/>
      <c r="B202" s="7"/>
      <c r="C202" s="79"/>
      <c r="D202" s="80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x14ac:dyDescent="0.25">
      <c r="A203" s="78"/>
      <c r="B203" s="7"/>
      <c r="C203" s="79"/>
      <c r="D203" s="80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x14ac:dyDescent="0.25">
      <c r="A204" s="78"/>
      <c r="B204" s="7"/>
      <c r="C204" s="79"/>
      <c r="D204" s="80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x14ac:dyDescent="0.25">
      <c r="A205" s="78"/>
      <c r="B205" s="7"/>
      <c r="C205" s="79"/>
      <c r="D205" s="80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x14ac:dyDescent="0.25">
      <c r="A206" s="78"/>
      <c r="B206" s="7"/>
      <c r="C206" s="79"/>
      <c r="D206" s="80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x14ac:dyDescent="0.25">
      <c r="A207" s="78"/>
      <c r="B207" s="7"/>
      <c r="C207" s="79"/>
      <c r="D207" s="80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x14ac:dyDescent="0.25">
      <c r="A208" s="78"/>
      <c r="B208" s="7"/>
      <c r="C208" s="79"/>
      <c r="D208" s="80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25">
      <c r="A209" s="78"/>
      <c r="B209" s="7"/>
      <c r="C209" s="79"/>
      <c r="D209" s="80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x14ac:dyDescent="0.25">
      <c r="A210" s="78"/>
      <c r="B210" s="7"/>
      <c r="C210" s="79"/>
      <c r="D210" s="80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x14ac:dyDescent="0.25">
      <c r="A211" s="78"/>
      <c r="B211" s="7"/>
      <c r="C211" s="79"/>
      <c r="D211" s="80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x14ac:dyDescent="0.25">
      <c r="A212" s="78"/>
      <c r="B212" s="7"/>
      <c r="C212" s="79"/>
      <c r="D212" s="80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x14ac:dyDescent="0.25">
      <c r="A213" s="78"/>
      <c r="B213" s="7"/>
      <c r="C213" s="79"/>
      <c r="D213" s="80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x14ac:dyDescent="0.25">
      <c r="A214" s="78"/>
      <c r="B214" s="7"/>
      <c r="C214" s="79"/>
      <c r="D214" s="80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x14ac:dyDescent="0.25">
      <c r="A215" s="78"/>
      <c r="B215" s="7"/>
      <c r="C215" s="79"/>
      <c r="D215" s="80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x14ac:dyDescent="0.25">
      <c r="A216" s="78"/>
      <c r="B216" s="7"/>
      <c r="C216" s="79"/>
      <c r="D216" s="80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x14ac:dyDescent="0.25">
      <c r="A217" s="78"/>
      <c r="B217" s="7"/>
      <c r="C217" s="79"/>
      <c r="D217" s="80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x14ac:dyDescent="0.25">
      <c r="A218" s="78"/>
      <c r="B218" s="7"/>
      <c r="C218" s="79"/>
      <c r="D218" s="80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x14ac:dyDescent="0.25">
      <c r="A219" s="78"/>
      <c r="B219" s="7"/>
      <c r="C219" s="79"/>
      <c r="D219" s="80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x14ac:dyDescent="0.25">
      <c r="A220" s="78"/>
      <c r="B220" s="7"/>
      <c r="C220" s="79"/>
      <c r="D220" s="80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x14ac:dyDescent="0.25">
      <c r="A221" s="78"/>
      <c r="B221" s="7"/>
      <c r="C221" s="79"/>
      <c r="D221" s="80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x14ac:dyDescent="0.25">
      <c r="A222" s="78"/>
      <c r="B222" s="7"/>
      <c r="C222" s="79"/>
      <c r="D222" s="80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x14ac:dyDescent="0.25">
      <c r="A223" s="78"/>
      <c r="B223" s="7"/>
      <c r="C223" s="79"/>
      <c r="D223" s="80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x14ac:dyDescent="0.25">
      <c r="A224" s="78"/>
      <c r="B224" s="7"/>
      <c r="C224" s="79"/>
      <c r="D224" s="80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25">
      <c r="A225" s="78"/>
      <c r="B225" s="7"/>
      <c r="C225" s="79"/>
      <c r="D225" s="80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x14ac:dyDescent="0.25">
      <c r="A226" s="78"/>
      <c r="B226" s="7"/>
      <c r="C226" s="79"/>
      <c r="D226" s="80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x14ac:dyDescent="0.25">
      <c r="A227" s="78"/>
      <c r="B227" s="7"/>
      <c r="C227" s="79"/>
      <c r="D227" s="80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25">
      <c r="A228" s="78"/>
      <c r="B228" s="7"/>
      <c r="C228" s="79"/>
      <c r="D228" s="80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x14ac:dyDescent="0.25">
      <c r="A229" s="78"/>
      <c r="B229" s="7"/>
      <c r="C229" s="79"/>
      <c r="D229" s="80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25">
      <c r="A230" s="78"/>
      <c r="B230" s="7"/>
      <c r="C230" s="79"/>
      <c r="D230" s="80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25">
      <c r="A231" s="78"/>
      <c r="B231" s="7"/>
      <c r="C231" s="79"/>
      <c r="D231" s="80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25">
      <c r="A232" s="78"/>
      <c r="B232" s="7"/>
      <c r="C232" s="79"/>
      <c r="D232" s="80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25">
      <c r="A233" s="78"/>
      <c r="B233" s="7"/>
      <c r="C233" s="79"/>
      <c r="D233" s="80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25">
      <c r="A234" s="78"/>
      <c r="B234" s="7"/>
      <c r="C234" s="79"/>
      <c r="D234" s="80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25">
      <c r="A235" s="78"/>
      <c r="B235" s="7"/>
      <c r="C235" s="79"/>
      <c r="D235" s="80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25">
      <c r="A236" s="78"/>
      <c r="B236" s="7"/>
      <c r="C236" s="79"/>
      <c r="D236" s="80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25">
      <c r="A237" s="78"/>
      <c r="B237" s="7"/>
      <c r="C237" s="79"/>
      <c r="D237" s="80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25">
      <c r="A238" s="78"/>
      <c r="B238" s="7"/>
      <c r="C238" s="79"/>
      <c r="D238" s="80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25">
      <c r="A239" s="78"/>
      <c r="B239" s="7"/>
      <c r="C239" s="79"/>
      <c r="D239" s="80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25">
      <c r="A240" s="78"/>
      <c r="B240" s="7"/>
      <c r="C240" s="79"/>
      <c r="D240" s="80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25">
      <c r="A241" s="78"/>
      <c r="B241" s="7"/>
      <c r="C241" s="79"/>
      <c r="D241" s="80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25">
      <c r="A242" s="78"/>
      <c r="B242" s="7"/>
      <c r="C242" s="79"/>
      <c r="D242" s="80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25">
      <c r="A243" s="78"/>
      <c r="B243" s="7"/>
      <c r="C243" s="79"/>
      <c r="D243" s="80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x14ac:dyDescent="0.25">
      <c r="A244" s="78"/>
      <c r="B244" s="7"/>
      <c r="C244" s="79"/>
      <c r="D244" s="80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25">
      <c r="A245" s="78"/>
      <c r="B245" s="7"/>
      <c r="C245" s="79"/>
      <c r="D245" s="80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x14ac:dyDescent="0.25">
      <c r="A246" s="78"/>
      <c r="B246" s="7"/>
      <c r="C246" s="79"/>
      <c r="D246" s="80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x14ac:dyDescent="0.25">
      <c r="A247" s="78"/>
      <c r="B247" s="7"/>
      <c r="C247" s="79"/>
      <c r="D247" s="80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x14ac:dyDescent="0.25">
      <c r="A248" s="78"/>
      <c r="B248" s="7"/>
      <c r="C248" s="79"/>
      <c r="D248" s="80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x14ac:dyDescent="0.25">
      <c r="A249" s="78"/>
      <c r="B249" s="7"/>
      <c r="C249" s="79"/>
      <c r="D249" s="80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x14ac:dyDescent="0.25">
      <c r="A250" s="78"/>
      <c r="B250" s="7"/>
      <c r="C250" s="79"/>
      <c r="D250" s="80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x14ac:dyDescent="0.25">
      <c r="A251" s="78"/>
      <c r="B251" s="7"/>
      <c r="C251" s="79"/>
      <c r="D251" s="80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x14ac:dyDescent="0.25">
      <c r="A252" s="78"/>
      <c r="B252" s="7"/>
      <c r="C252" s="79"/>
      <c r="D252" s="80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25">
      <c r="A253" s="78"/>
      <c r="B253" s="7"/>
      <c r="C253" s="79"/>
      <c r="D253" s="80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25">
      <c r="A254" s="78"/>
      <c r="B254" s="7"/>
      <c r="C254" s="79"/>
      <c r="D254" s="80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x14ac:dyDescent="0.25">
      <c r="A255" s="78"/>
      <c r="B255" s="7"/>
      <c r="C255" s="79"/>
      <c r="D255" s="80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x14ac:dyDescent="0.25">
      <c r="A256" s="78"/>
      <c r="B256" s="7"/>
      <c r="C256" s="79"/>
      <c r="D256" s="80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25">
      <c r="A257" s="78"/>
      <c r="B257" s="7"/>
      <c r="C257" s="79"/>
      <c r="D257" s="80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25">
      <c r="A258" s="78"/>
      <c r="B258" s="7"/>
      <c r="C258" s="79"/>
      <c r="D258" s="80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x14ac:dyDescent="0.25">
      <c r="A259" s="78"/>
      <c r="B259" s="7"/>
      <c r="C259" s="79"/>
      <c r="D259" s="80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25">
      <c r="A260" s="78"/>
      <c r="B260" s="7"/>
      <c r="C260" s="79"/>
      <c r="D260" s="80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x14ac:dyDescent="0.25">
      <c r="A261" s="78"/>
      <c r="B261" s="7"/>
      <c r="C261" s="79"/>
      <c r="D261" s="80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x14ac:dyDescent="0.25">
      <c r="A262" s="78"/>
      <c r="B262" s="7"/>
      <c r="C262" s="79"/>
      <c r="D262" s="80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25">
      <c r="A263" s="78"/>
      <c r="B263" s="7"/>
      <c r="C263" s="79"/>
      <c r="D263" s="80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x14ac:dyDescent="0.25">
      <c r="A264" s="78"/>
      <c r="B264" s="7"/>
      <c r="C264" s="79"/>
      <c r="D264" s="80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25">
      <c r="A265" s="78"/>
      <c r="B265" s="7"/>
      <c r="C265" s="79"/>
      <c r="D265" s="80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25">
      <c r="A266" s="78"/>
      <c r="B266" s="7"/>
      <c r="C266" s="79"/>
      <c r="D266" s="80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25">
      <c r="A267" s="78"/>
      <c r="B267" s="7"/>
      <c r="C267" s="79"/>
      <c r="D267" s="80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25">
      <c r="A268" s="78"/>
      <c r="B268" s="7"/>
      <c r="C268" s="79"/>
      <c r="D268" s="80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25">
      <c r="A269" s="78"/>
      <c r="B269" s="7"/>
      <c r="C269" s="79"/>
      <c r="D269" s="80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25">
      <c r="A270" s="78"/>
      <c r="B270" s="7"/>
      <c r="C270" s="79"/>
      <c r="D270" s="80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x14ac:dyDescent="0.25">
      <c r="A271" s="78"/>
      <c r="B271" s="7"/>
      <c r="C271" s="79"/>
      <c r="D271" s="80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x14ac:dyDescent="0.25">
      <c r="A272" s="78"/>
      <c r="B272" s="7"/>
      <c r="C272" s="79"/>
      <c r="D272" s="80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x14ac:dyDescent="0.25">
      <c r="A273" s="78"/>
      <c r="B273" s="7"/>
      <c r="C273" s="79"/>
      <c r="D273" s="80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25">
      <c r="A274" s="78"/>
      <c r="B274" s="7"/>
      <c r="C274" s="79"/>
      <c r="D274" s="80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x14ac:dyDescent="0.25">
      <c r="A275" s="78"/>
      <c r="B275" s="7"/>
      <c r="C275" s="79"/>
      <c r="D275" s="80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x14ac:dyDescent="0.25">
      <c r="A276" s="78"/>
      <c r="B276" s="7"/>
      <c r="C276" s="79"/>
      <c r="D276" s="80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x14ac:dyDescent="0.25">
      <c r="A277" s="78"/>
      <c r="B277" s="7"/>
      <c r="C277" s="79"/>
      <c r="D277" s="80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25">
      <c r="A278" s="78"/>
      <c r="B278" s="7"/>
      <c r="C278" s="79"/>
      <c r="D278" s="80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25">
      <c r="A279" s="78"/>
      <c r="B279" s="7"/>
      <c r="C279" s="79"/>
      <c r="D279" s="80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x14ac:dyDescent="0.25">
      <c r="A280" s="78"/>
      <c r="B280" s="7"/>
      <c r="C280" s="79"/>
      <c r="D280" s="80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25">
      <c r="A281" s="78"/>
      <c r="B281" s="7"/>
      <c r="C281" s="79"/>
      <c r="D281" s="80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x14ac:dyDescent="0.25">
      <c r="A282" s="78"/>
      <c r="B282" s="7"/>
      <c r="C282" s="79"/>
      <c r="D282" s="80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x14ac:dyDescent="0.25">
      <c r="A283" s="78"/>
      <c r="B283" s="7"/>
      <c r="C283" s="79"/>
      <c r="D283" s="80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x14ac:dyDescent="0.25">
      <c r="A284" s="78"/>
      <c r="B284" s="7"/>
      <c r="C284" s="79"/>
      <c r="D284" s="80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25">
      <c r="A285" s="78"/>
      <c r="B285" s="7"/>
      <c r="C285" s="79"/>
      <c r="D285" s="80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25">
      <c r="A286" s="78"/>
      <c r="B286" s="7"/>
      <c r="C286" s="79"/>
      <c r="D286" s="80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25">
      <c r="A287" s="78"/>
      <c r="B287" s="7"/>
      <c r="C287" s="79"/>
      <c r="D287" s="80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4" customFormat="1" x14ac:dyDescent="0.25">
      <c r="A288" s="78"/>
      <c r="B288" s="7"/>
      <c r="C288" s="79"/>
      <c r="D288" s="80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27" x14ac:dyDescent="0.25">
      <c r="A289" s="78"/>
      <c r="B289" s="7"/>
      <c r="C289" s="79"/>
      <c r="D289" s="80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27" x14ac:dyDescent="0.25">
      <c r="A290" s="78"/>
      <c r="B290" s="7"/>
      <c r="C290" s="79"/>
      <c r="D290" s="80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27" x14ac:dyDescent="0.25">
      <c r="A291" s="78"/>
      <c r="B291" s="7"/>
      <c r="C291" s="79"/>
      <c r="D291" s="80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27" x14ac:dyDescent="0.25">
      <c r="A292" s="78"/>
      <c r="B292" s="7"/>
      <c r="C292" s="79"/>
      <c r="D292" s="80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27" x14ac:dyDescent="0.25">
      <c r="A293" s="78"/>
      <c r="B293" s="7"/>
      <c r="C293" s="79"/>
      <c r="D293" s="80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27" x14ac:dyDescent="0.25">
      <c r="A294" s="78"/>
      <c r="B294" s="7"/>
      <c r="C294" s="79"/>
      <c r="D294" s="80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27" x14ac:dyDescent="0.25">
      <c r="A295" s="78"/>
      <c r="B295" s="7"/>
      <c r="C295" s="79"/>
      <c r="D295" s="80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27" x14ac:dyDescent="0.25">
      <c r="A296" s="78"/>
      <c r="B296" s="7"/>
      <c r="C296" s="79"/>
      <c r="D296" s="80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27" x14ac:dyDescent="0.25">
      <c r="A297" s="78"/>
      <c r="B297" s="7"/>
      <c r="C297" s="79"/>
      <c r="D297" s="80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x14ac:dyDescent="0.25">
      <c r="A298" s="78"/>
      <c r="B298" s="7"/>
      <c r="C298" s="79"/>
      <c r="D298" s="80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x14ac:dyDescent="0.25">
      <c r="A299" s="78"/>
      <c r="B299" s="7"/>
      <c r="C299" s="79"/>
      <c r="D299" s="80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x14ac:dyDescent="0.25">
      <c r="A300" s="78"/>
      <c r="B300" s="7"/>
      <c r="C300" s="79"/>
      <c r="D300" s="80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x14ac:dyDescent="0.25">
      <c r="A301" s="78"/>
      <c r="B301" s="7"/>
      <c r="C301" s="79"/>
      <c r="D301" s="80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x14ac:dyDescent="0.25">
      <c r="A302" s="78"/>
      <c r="B302" s="7"/>
      <c r="C302" s="79"/>
      <c r="D302" s="80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x14ac:dyDescent="0.25">
      <c r="A303" s="78"/>
      <c r="B303" s="7"/>
      <c r="C303" s="79"/>
      <c r="D303" s="80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x14ac:dyDescent="0.25">
      <c r="A304" s="78"/>
      <c r="B304" s="7"/>
      <c r="C304" s="79"/>
      <c r="D304" s="80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x14ac:dyDescent="0.25">
      <c r="A305" s="78"/>
      <c r="B305" s="7"/>
      <c r="C305" s="79"/>
      <c r="D305" s="80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x14ac:dyDescent="0.25">
      <c r="A306" s="78"/>
      <c r="B306" s="7"/>
      <c r="C306" s="79"/>
      <c r="D306" s="80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x14ac:dyDescent="0.25">
      <c r="A307" s="78"/>
      <c r="B307" s="7"/>
      <c r="C307" s="79"/>
      <c r="D307" s="80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x14ac:dyDescent="0.25">
      <c r="A308" s="78"/>
      <c r="B308" s="7"/>
      <c r="C308" s="79"/>
      <c r="D308" s="80"/>
      <c r="E308" s="81"/>
      <c r="F308" s="82"/>
      <c r="G308" s="82"/>
      <c r="H308" s="8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x14ac:dyDescent="0.25">
      <c r="C309" s="79"/>
      <c r="D309" s="80"/>
      <c r="E309" s="81"/>
      <c r="F309" s="82"/>
      <c r="G309" s="82"/>
      <c r="H309" s="8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x14ac:dyDescent="0.25">
      <c r="C310" s="79"/>
      <c r="D310" s="80"/>
      <c r="E310" s="81"/>
      <c r="F310" s="82"/>
      <c r="G310" s="82"/>
      <c r="H310" s="8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x14ac:dyDescent="0.25">
      <c r="C311" s="79"/>
      <c r="D311" s="80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x14ac:dyDescent="0.25">
      <c r="C312" s="79"/>
      <c r="D312" s="80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x14ac:dyDescent="0.25">
      <c r="C313" s="79"/>
      <c r="D313" s="80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x14ac:dyDescent="0.25">
      <c r="C314" s="79"/>
      <c r="D314" s="80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x14ac:dyDescent="0.25">
      <c r="C315" s="79"/>
      <c r="D315" s="80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x14ac:dyDescent="0.25">
      <c r="C316" s="79"/>
      <c r="D316" s="80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x14ac:dyDescent="0.25">
      <c r="C317" s="79"/>
      <c r="D317" s="80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x14ac:dyDescent="0.25">
      <c r="C318" s="79"/>
      <c r="D318" s="80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x14ac:dyDescent="0.25">
      <c r="C319" s="79"/>
      <c r="D319" s="80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x14ac:dyDescent="0.25">
      <c r="C320" s="79"/>
      <c r="D320" s="80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3:27" x14ac:dyDescent="0.25">
      <c r="C321" s="79"/>
      <c r="D321" s="80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3:27" x14ac:dyDescent="0.25">
      <c r="C322" s="79"/>
      <c r="D322" s="80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3:27" x14ac:dyDescent="0.25">
      <c r="C323" s="79"/>
      <c r="D323" s="80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3:27" x14ac:dyDescent="0.25">
      <c r="C324" s="79"/>
      <c r="D324" s="80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3:27" x14ac:dyDescent="0.25">
      <c r="C325" s="79"/>
      <c r="D325" s="80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</sheetData>
  <mergeCells count="1">
    <mergeCell ref="C54:D54"/>
  </mergeCells>
  <pageMargins left="0.25" right="0.25" top="0.75" bottom="0.75" header="0.3" footer="0.3"/>
  <pageSetup scale="50" orientation="landscape" r:id="rId1"/>
  <headerFooter>
    <oddHeader>&amp;R&amp;14DPU EXHIBIT 1.4.0 - DPU ADJUSTED EBA SUMMARY
Docket No. 15-035-03
CROFT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DPU Ex 1.4.0_DPU Adj Summary</vt:lpstr>
      <vt:lpstr>'DPU Ex 1.4.0_DPU Adj Summary'!Print_Area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laurieharris</cp:lastModifiedBy>
  <cp:lastPrinted>2015-07-14T20:45:51Z</cp:lastPrinted>
  <dcterms:created xsi:type="dcterms:W3CDTF">2015-07-14T20:45:18Z</dcterms:created>
  <dcterms:modified xsi:type="dcterms:W3CDTF">2015-07-15T20:38:31Z</dcterms:modified>
</cp:coreProperties>
</file>