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5docs\1503551\"/>
    </mc:Choice>
  </mc:AlternateContent>
  <bookViews>
    <workbookView xWindow="0" yWindow="0" windowWidth="19170" windowHeight="10920" activeTab="2"/>
  </bookViews>
  <sheets>
    <sheet name="Historical" sheetId="5" r:id="rId1"/>
    <sheet name="Historical CF" sheetId="6" r:id="rId2"/>
    <sheet name="Forecast" sheetId="7" r:id="rId3"/>
    <sheet name="Assumptions" sheetId="8" r:id="rId4"/>
  </sheets>
  <definedNames>
    <definedName name="_xlnm.Print_Area" localSheetId="3">Assumptions!$A$1:$O$59</definedName>
    <definedName name="_xlnm.Print_Area" localSheetId="2">Forecast!$A$1:$W$150</definedName>
    <definedName name="_xlnm.Print_Area" localSheetId="0">Historical!$A$1:$AK$154</definedName>
    <definedName name="_xlnm.Print_Area" localSheetId="1">'Historical CF'!$A$1:$R$119</definedName>
  </definedNames>
  <calcPr calcId="152511" calcMode="manual" iterate="1" iterateCount="1"/>
</workbook>
</file>

<file path=xl/calcChain.xml><?xml version="1.0" encoding="utf-8"?>
<calcChain xmlns="http://schemas.openxmlformats.org/spreadsheetml/2006/main">
  <c r="C61" i="8" l="1"/>
  <c r="C47" i="8"/>
  <c r="H47" i="8"/>
  <c r="I47" i="8"/>
  <c r="J47" i="8"/>
  <c r="K47" i="8"/>
  <c r="L47" i="8"/>
  <c r="G48" i="8"/>
  <c r="H48" i="8"/>
  <c r="I48" i="8"/>
  <c r="J48" i="8"/>
  <c r="K48" i="8"/>
  <c r="L48" i="8"/>
  <c r="G47" i="8"/>
  <c r="C91" i="7"/>
  <c r="B95" i="7"/>
  <c r="B101" i="7"/>
  <c r="B100" i="7"/>
  <c r="B92" i="7"/>
  <c r="B93" i="7"/>
  <c r="B91" i="7"/>
  <c r="B84" i="7"/>
  <c r="B85" i="7"/>
  <c r="B86" i="7"/>
  <c r="B83" i="7"/>
  <c r="B79" i="7"/>
  <c r="B104" i="7"/>
  <c r="B105" i="7"/>
  <c r="H21" i="7"/>
  <c r="I21" i="7"/>
  <c r="J21" i="7"/>
  <c r="G21" i="7"/>
  <c r="D21" i="7"/>
  <c r="E21" i="7"/>
  <c r="F21" i="7"/>
  <c r="C21" i="7"/>
  <c r="C16" i="7" l="1"/>
  <c r="C84" i="7"/>
  <c r="D84" i="7" s="1"/>
  <c r="C83" i="7"/>
  <c r="D83" i="7"/>
  <c r="E83" i="7" s="1"/>
  <c r="F83" i="7" s="1"/>
  <c r="G83" i="7" s="1"/>
  <c r="H83" i="7" s="1"/>
  <c r="I83" i="7" s="1"/>
  <c r="J83" i="7" s="1"/>
  <c r="C79" i="7"/>
  <c r="C66" i="8"/>
  <c r="H83" i="8"/>
  <c r="I83" i="8"/>
  <c r="J83" i="8"/>
  <c r="K83" i="8"/>
  <c r="L83" i="8"/>
  <c r="G83" i="8"/>
  <c r="C77" i="8"/>
  <c r="G95" i="7" s="1"/>
  <c r="H77" i="8"/>
  <c r="I77" i="8"/>
  <c r="J77" i="8"/>
  <c r="K77" i="8"/>
  <c r="L77" i="8"/>
  <c r="G77" i="8"/>
  <c r="H73" i="8"/>
  <c r="I73" i="8"/>
  <c r="J73" i="8"/>
  <c r="K73" i="8"/>
  <c r="L73" i="8"/>
  <c r="G73" i="8"/>
  <c r="H68" i="8"/>
  <c r="I68" i="8"/>
  <c r="J68" i="8"/>
  <c r="K68" i="8"/>
  <c r="L68" i="8"/>
  <c r="G68" i="8"/>
  <c r="H67" i="8"/>
  <c r="I67" i="8"/>
  <c r="J67" i="8"/>
  <c r="K67" i="8"/>
  <c r="L67" i="8"/>
  <c r="G67" i="8"/>
  <c r="C65" i="8"/>
  <c r="H49" i="8"/>
  <c r="I49" i="8"/>
  <c r="J49" i="8"/>
  <c r="K49" i="8"/>
  <c r="L49" i="8"/>
  <c r="G49" i="8"/>
  <c r="M49" i="8" s="1"/>
  <c r="C49" i="8" s="1"/>
  <c r="C48" i="8"/>
  <c r="H46" i="8"/>
  <c r="I46" i="8"/>
  <c r="J46" i="8"/>
  <c r="K46" i="8"/>
  <c r="L46" i="8"/>
  <c r="G46" i="8"/>
  <c r="H43" i="8"/>
  <c r="I43" i="8"/>
  <c r="J43" i="8"/>
  <c r="K43" i="8"/>
  <c r="L43" i="8"/>
  <c r="G43" i="8"/>
  <c r="C42" i="8"/>
  <c r="H42" i="8"/>
  <c r="I42" i="8"/>
  <c r="J42" i="8"/>
  <c r="K42" i="8"/>
  <c r="L42" i="8"/>
  <c r="G42" i="8"/>
  <c r="H41" i="8"/>
  <c r="I41" i="8"/>
  <c r="J41" i="8"/>
  <c r="K41" i="8"/>
  <c r="L41" i="8"/>
  <c r="G41" i="8"/>
  <c r="H40" i="8"/>
  <c r="I40" i="8"/>
  <c r="J40" i="8"/>
  <c r="C40" i="8" s="1"/>
  <c r="K40" i="8"/>
  <c r="L40" i="8"/>
  <c r="G40" i="8"/>
  <c r="H39" i="8"/>
  <c r="I39" i="8"/>
  <c r="J39" i="8"/>
  <c r="K39" i="8"/>
  <c r="L39" i="8"/>
  <c r="G39" i="8"/>
  <c r="H38" i="8"/>
  <c r="I38" i="8"/>
  <c r="J38" i="8"/>
  <c r="K38" i="8"/>
  <c r="L38" i="8"/>
  <c r="G38" i="8"/>
  <c r="H30" i="8"/>
  <c r="I30" i="8"/>
  <c r="J30" i="8"/>
  <c r="K30" i="8"/>
  <c r="L30" i="8"/>
  <c r="H32" i="8"/>
  <c r="I32" i="8"/>
  <c r="J32" i="8"/>
  <c r="K32" i="8"/>
  <c r="L32" i="8"/>
  <c r="G32" i="8"/>
  <c r="G30" i="8"/>
  <c r="H14" i="8"/>
  <c r="I14" i="8"/>
  <c r="J14" i="8"/>
  <c r="K14" i="8"/>
  <c r="L14" i="8"/>
  <c r="G14" i="8"/>
  <c r="H24" i="8"/>
  <c r="I24" i="8"/>
  <c r="J24" i="8"/>
  <c r="K24" i="8"/>
  <c r="C24" i="8" s="1"/>
  <c r="L24" i="8"/>
  <c r="G24" i="8"/>
  <c r="M24" i="8" s="1"/>
  <c r="Q21" i="6"/>
  <c r="Q133" i="5"/>
  <c r="Q132" i="5"/>
  <c r="Q129" i="5"/>
  <c r="Q128" i="5"/>
  <c r="Q127" i="5"/>
  <c r="Q117" i="5"/>
  <c r="Q116" i="5"/>
  <c r="M137" i="5"/>
  <c r="N137" i="5"/>
  <c r="M138" i="5"/>
  <c r="N138" i="5"/>
  <c r="O138" i="5"/>
  <c r="P138" i="5"/>
  <c r="L141" i="5"/>
  <c r="L136" i="5" s="1"/>
  <c r="M141" i="5"/>
  <c r="M136" i="5" s="1"/>
  <c r="M139" i="5" s="1"/>
  <c r="N141" i="5"/>
  <c r="N136" i="5" s="1"/>
  <c r="N139" i="5" s="1"/>
  <c r="O141" i="5"/>
  <c r="O137" i="5" s="1"/>
  <c r="P141" i="5"/>
  <c r="P136" i="5" s="1"/>
  <c r="Q141" i="5"/>
  <c r="Q138" i="5" s="1"/>
  <c r="L132" i="5"/>
  <c r="M132" i="5"/>
  <c r="N132" i="5"/>
  <c r="O132" i="5"/>
  <c r="P132" i="5"/>
  <c r="L133" i="5"/>
  <c r="M133" i="5"/>
  <c r="N133" i="5"/>
  <c r="O133" i="5"/>
  <c r="P133" i="5"/>
  <c r="N127" i="5"/>
  <c r="O127" i="5"/>
  <c r="P127" i="5"/>
  <c r="N128" i="5"/>
  <c r="O128" i="5"/>
  <c r="P128" i="5"/>
  <c r="N129" i="5"/>
  <c r="O129" i="5"/>
  <c r="P129" i="5"/>
  <c r="N120" i="5"/>
  <c r="O120" i="5"/>
  <c r="P120" i="5"/>
  <c r="Q120" i="5"/>
  <c r="N121" i="5"/>
  <c r="O121" i="5"/>
  <c r="P121" i="5"/>
  <c r="Q121" i="5"/>
  <c r="N122" i="5"/>
  <c r="O122" i="5"/>
  <c r="P122" i="5"/>
  <c r="Q122" i="5"/>
  <c r="N123" i="5"/>
  <c r="O123" i="5"/>
  <c r="P123" i="5"/>
  <c r="Q123" i="5"/>
  <c r="N124" i="5"/>
  <c r="O124" i="5"/>
  <c r="P124" i="5"/>
  <c r="Q124" i="5"/>
  <c r="N114" i="5"/>
  <c r="O114" i="5"/>
  <c r="P114" i="5"/>
  <c r="Q114" i="5"/>
  <c r="N115" i="5"/>
  <c r="O115" i="5"/>
  <c r="P115" i="5"/>
  <c r="Q115" i="5"/>
  <c r="N116" i="5"/>
  <c r="O116" i="5"/>
  <c r="P116" i="5"/>
  <c r="N117" i="5"/>
  <c r="O117" i="5"/>
  <c r="P117" i="5"/>
  <c r="L117" i="5"/>
  <c r="K117" i="5"/>
  <c r="L116" i="5"/>
  <c r="K116" i="5"/>
  <c r="L115" i="5"/>
  <c r="K115" i="5"/>
  <c r="L114" i="5"/>
  <c r="K114" i="5"/>
  <c r="Q87" i="5"/>
  <c r="Q61" i="5"/>
  <c r="Q62" i="5" s="1"/>
  <c r="Q52" i="5"/>
  <c r="Q46" i="5"/>
  <c r="Q44" i="5"/>
  <c r="Q15" i="5"/>
  <c r="Q14" i="5"/>
  <c r="Q66" i="6"/>
  <c r="Q8" i="6"/>
  <c r="Q7" i="6"/>
  <c r="Q65" i="6" s="1"/>
  <c r="Q57" i="6"/>
  <c r="Q54" i="6"/>
  <c r="Q41" i="6"/>
  <c r="AJ72" i="5"/>
  <c r="AJ73" i="5"/>
  <c r="Q110" i="5"/>
  <c r="Q111" i="5"/>
  <c r="Q72" i="5"/>
  <c r="Q73" i="5"/>
  <c r="AJ8" i="5"/>
  <c r="AJ9" i="5"/>
  <c r="Q91" i="5"/>
  <c r="Q84" i="5"/>
  <c r="Q76" i="5"/>
  <c r="AJ100" i="5" s="1"/>
  <c r="Q53" i="5"/>
  <c r="Q35" i="5"/>
  <c r="Q23" i="5"/>
  <c r="Q27" i="5" s="1"/>
  <c r="Q16" i="5"/>
  <c r="F95" i="7" l="1"/>
  <c r="C19" i="8"/>
  <c r="C18" i="8"/>
  <c r="C20" i="7" s="1"/>
  <c r="C26" i="7" s="1"/>
  <c r="D95" i="7"/>
  <c r="J95" i="7"/>
  <c r="I95" i="7"/>
  <c r="E95" i="7"/>
  <c r="C95" i="7"/>
  <c r="H95" i="7"/>
  <c r="Q136" i="5"/>
  <c r="L138" i="5"/>
  <c r="Q137" i="5"/>
  <c r="O136" i="5"/>
  <c r="O139" i="5" s="1"/>
  <c r="P137" i="5"/>
  <c r="P139" i="5" s="1"/>
  <c r="L137" i="5"/>
  <c r="L139" i="5" s="1"/>
  <c r="Q117" i="6"/>
  <c r="AJ82" i="5"/>
  <c r="Q68" i="6"/>
  <c r="Q80" i="6" s="1"/>
  <c r="AJ90" i="5"/>
  <c r="AJ81" i="5"/>
  <c r="AJ84" i="5"/>
  <c r="Q101" i="6"/>
  <c r="AJ91" i="5"/>
  <c r="Q114" i="6"/>
  <c r="Q104" i="6"/>
  <c r="Q112" i="6"/>
  <c r="Q81" i="6"/>
  <c r="Q105" i="6"/>
  <c r="Q83" i="6"/>
  <c r="Q95" i="6"/>
  <c r="Q84" i="6"/>
  <c r="Q96" i="6"/>
  <c r="Q37" i="5"/>
  <c r="AJ16" i="5" s="1"/>
  <c r="Q36" i="5"/>
  <c r="Q47" i="5"/>
  <c r="AJ83" i="5"/>
  <c r="AJ75" i="5"/>
  <c r="AJ96" i="5"/>
  <c r="AJ76" i="5"/>
  <c r="AJ87" i="5"/>
  <c r="AJ95" i="5"/>
  <c r="Q85" i="5"/>
  <c r="AJ79" i="5"/>
  <c r="AJ88" i="5"/>
  <c r="AJ99" i="5"/>
  <c r="AJ80" i="5"/>
  <c r="AJ89" i="5"/>
  <c r="J12" i="8"/>
  <c r="L12" i="8"/>
  <c r="H4" i="8"/>
  <c r="I4" i="8"/>
  <c r="J4" i="8"/>
  <c r="K4" i="8"/>
  <c r="L4" i="8"/>
  <c r="G4" i="8"/>
  <c r="J10" i="8"/>
  <c r="L10" i="8"/>
  <c r="P57" i="6"/>
  <c r="Q56" i="6" s="1"/>
  <c r="P20" i="6"/>
  <c r="P90" i="5"/>
  <c r="P87" i="5"/>
  <c r="P61" i="5"/>
  <c r="R61" i="5" s="1"/>
  <c r="P52" i="5"/>
  <c r="P46" i="5"/>
  <c r="P44" i="5"/>
  <c r="P15" i="5"/>
  <c r="P14" i="5"/>
  <c r="B15" i="7"/>
  <c r="B16" i="7"/>
  <c r="B14" i="7"/>
  <c r="B63" i="7"/>
  <c r="B62" i="7"/>
  <c r="B59" i="7"/>
  <c r="B51" i="7"/>
  <c r="B52" i="7"/>
  <c r="B53" i="7"/>
  <c r="B50" i="7"/>
  <c r="B43" i="7"/>
  <c r="B44" i="7"/>
  <c r="B45" i="7"/>
  <c r="B46" i="7"/>
  <c r="B47" i="7"/>
  <c r="B42" i="7"/>
  <c r="B35" i="7"/>
  <c r="B33" i="7"/>
  <c r="B31" i="7"/>
  <c r="B26" i="7"/>
  <c r="B21" i="7"/>
  <c r="B20" i="7"/>
  <c r="B12" i="7"/>
  <c r="R96" i="5"/>
  <c r="R90" i="5"/>
  <c r="R89" i="5"/>
  <c r="R88" i="5"/>
  <c r="R87" i="5"/>
  <c r="R83" i="5"/>
  <c r="R82" i="5"/>
  <c r="R81" i="5"/>
  <c r="R80" i="5"/>
  <c r="R79" i="5"/>
  <c r="R75" i="5"/>
  <c r="R13" i="5"/>
  <c r="R14" i="5"/>
  <c r="R15" i="5"/>
  <c r="R19" i="5"/>
  <c r="R20" i="5"/>
  <c r="R21" i="5"/>
  <c r="R22" i="5"/>
  <c r="R25" i="5"/>
  <c r="R30" i="5"/>
  <c r="R31" i="5"/>
  <c r="R32" i="5"/>
  <c r="R33" i="5"/>
  <c r="R34" i="5"/>
  <c r="R41" i="5"/>
  <c r="R43" i="5"/>
  <c r="R44" i="5"/>
  <c r="R45" i="5"/>
  <c r="R46" i="5"/>
  <c r="R49" i="5"/>
  <c r="R50" i="5"/>
  <c r="R51" i="5"/>
  <c r="R52" i="5"/>
  <c r="R57" i="5"/>
  <c r="R60" i="5"/>
  <c r="R12" i="5"/>
  <c r="B9" i="7"/>
  <c r="D20" i="7" l="1"/>
  <c r="D26" i="7" s="1"/>
  <c r="Q139" i="5"/>
  <c r="Q94" i="6"/>
  <c r="Q107" i="6"/>
  <c r="Q110" i="6"/>
  <c r="Q86" i="6"/>
  <c r="Q109" i="6"/>
  <c r="Q85" i="6"/>
  <c r="Q99" i="6"/>
  <c r="Q77" i="6"/>
  <c r="Q87" i="6"/>
  <c r="Q108" i="6"/>
  <c r="Q98" i="6"/>
  <c r="Q76" i="6"/>
  <c r="Q97" i="6"/>
  <c r="Q88" i="6"/>
  <c r="Q111" i="6"/>
  <c r="Q78" i="6"/>
  <c r="Q55" i="5"/>
  <c r="Q63" i="5" s="1"/>
  <c r="AJ63" i="5" s="1"/>
  <c r="AJ46" i="5"/>
  <c r="AJ44" i="5"/>
  <c r="Q116" i="6"/>
  <c r="Q55" i="6"/>
  <c r="Q115" i="6" s="1"/>
  <c r="AJ62" i="5"/>
  <c r="AJ14" i="5"/>
  <c r="AJ27" i="5"/>
  <c r="AJ85" i="5"/>
  <c r="Q93" i="5"/>
  <c r="AJ52" i="5"/>
  <c r="AJ36" i="5"/>
  <c r="AJ15" i="5"/>
  <c r="AJ47" i="5"/>
  <c r="AJ53" i="5"/>
  <c r="AJ60" i="5"/>
  <c r="AJ34" i="5"/>
  <c r="AJ22" i="5"/>
  <c r="AJ12" i="5"/>
  <c r="AJ57" i="5"/>
  <c r="AJ33" i="5"/>
  <c r="AJ21" i="5"/>
  <c r="AJ30" i="5"/>
  <c r="AJ50" i="5"/>
  <c r="AJ25" i="5"/>
  <c r="AJ43" i="5"/>
  <c r="AJ32" i="5"/>
  <c r="AJ20" i="5"/>
  <c r="AJ42" i="5"/>
  <c r="AJ31" i="5"/>
  <c r="AJ19" i="5"/>
  <c r="AJ41" i="5"/>
  <c r="AJ37" i="5"/>
  <c r="AJ49" i="5"/>
  <c r="AJ61" i="5"/>
  <c r="AJ35" i="5"/>
  <c r="AJ23" i="5"/>
  <c r="AJ13" i="5"/>
  <c r="P55" i="6"/>
  <c r="C59" i="7"/>
  <c r="C88" i="7"/>
  <c r="C50" i="7"/>
  <c r="C31" i="7"/>
  <c r="N111" i="5"/>
  <c r="O111" i="5"/>
  <c r="N73" i="5"/>
  <c r="AG73" i="5" s="1"/>
  <c r="O73" i="5"/>
  <c r="K37" i="8"/>
  <c r="L37" i="8"/>
  <c r="P84" i="5"/>
  <c r="P47" i="5"/>
  <c r="C9" i="7"/>
  <c r="P16" i="5"/>
  <c r="N57" i="6"/>
  <c r="O56" i="6" s="1"/>
  <c r="N54" i="6"/>
  <c r="N41" i="6"/>
  <c r="N8" i="6"/>
  <c r="N66" i="6" s="1"/>
  <c r="O87" i="5"/>
  <c r="O91" i="5" s="1"/>
  <c r="AG96" i="5"/>
  <c r="AG95" i="5"/>
  <c r="AG90" i="5"/>
  <c r="AG83" i="5"/>
  <c r="AG82" i="5"/>
  <c r="AG81" i="5"/>
  <c r="AG9" i="5"/>
  <c r="O61" i="5"/>
  <c r="O52" i="5"/>
  <c r="O46" i="5"/>
  <c r="O44" i="5"/>
  <c r="O15" i="5"/>
  <c r="O14" i="5"/>
  <c r="R6" i="6"/>
  <c r="R99" i="5"/>
  <c r="N87" i="5"/>
  <c r="N91" i="5" s="1"/>
  <c r="N85" i="5"/>
  <c r="AG85" i="5" s="1"/>
  <c r="N84" i="5"/>
  <c r="AG84" i="5" s="1"/>
  <c r="N76" i="5"/>
  <c r="AG99" i="5" s="1"/>
  <c r="N61" i="5"/>
  <c r="N62" i="5" s="1"/>
  <c r="N53" i="5"/>
  <c r="N52" i="5"/>
  <c r="N47" i="5"/>
  <c r="N46" i="5"/>
  <c r="N44" i="5"/>
  <c r="N35" i="5"/>
  <c r="N23" i="5"/>
  <c r="N16" i="5"/>
  <c r="N15" i="5"/>
  <c r="N14" i="5"/>
  <c r="P62" i="5"/>
  <c r="R62" i="5" s="1"/>
  <c r="P53" i="5"/>
  <c r="D59" i="7"/>
  <c r="E59" i="7"/>
  <c r="F59" i="7"/>
  <c r="G59" i="7"/>
  <c r="H59" i="7"/>
  <c r="I59" i="7"/>
  <c r="J59" i="7"/>
  <c r="P73" i="5"/>
  <c r="AI9" i="5"/>
  <c r="D93" i="7"/>
  <c r="E93" i="7"/>
  <c r="F93" i="7"/>
  <c r="G93" i="7"/>
  <c r="H93" i="7"/>
  <c r="I93" i="7"/>
  <c r="J93" i="7"/>
  <c r="C74" i="8"/>
  <c r="M31" i="8"/>
  <c r="O57" i="6"/>
  <c r="P56" i="6" s="1"/>
  <c r="O54" i="6"/>
  <c r="O41" i="6"/>
  <c r="O8" i="6"/>
  <c r="O66" i="6" s="1"/>
  <c r="O84" i="5"/>
  <c r="O76" i="5"/>
  <c r="AH83" i="5" s="1"/>
  <c r="O35" i="5"/>
  <c r="O23" i="5"/>
  <c r="O27" i="5" s="1"/>
  <c r="AH9" i="5"/>
  <c r="P76" i="5"/>
  <c r="P35" i="5"/>
  <c r="R35" i="5" s="1"/>
  <c r="AJ55" i="5" l="1"/>
  <c r="N55" i="5"/>
  <c r="N63" i="5" s="1"/>
  <c r="O68" i="6"/>
  <c r="O117" i="6" s="1"/>
  <c r="K10" i="8"/>
  <c r="K12" i="8"/>
  <c r="AJ93" i="5"/>
  <c r="Q97" i="5"/>
  <c r="Q11" i="6" s="1"/>
  <c r="R84" i="5"/>
  <c r="N27" i="5"/>
  <c r="AG75" i="5"/>
  <c r="AG100" i="5"/>
  <c r="AG76" i="5"/>
  <c r="AG87" i="5"/>
  <c r="N68" i="6"/>
  <c r="N84" i="6" s="1"/>
  <c r="AG91" i="5"/>
  <c r="AG79" i="5"/>
  <c r="AG88" i="5"/>
  <c r="AG80" i="5"/>
  <c r="AG89" i="5"/>
  <c r="AH73" i="5"/>
  <c r="C13" i="8"/>
  <c r="C15" i="7" s="1"/>
  <c r="L45" i="8"/>
  <c r="L65" i="8" s="1"/>
  <c r="L82" i="8" s="1"/>
  <c r="AH99" i="5"/>
  <c r="AH75" i="5"/>
  <c r="AH96" i="5"/>
  <c r="AH81" i="5"/>
  <c r="AH79" i="5"/>
  <c r="AH90" i="5"/>
  <c r="AH88" i="5"/>
  <c r="O55" i="6"/>
  <c r="O62" i="5"/>
  <c r="O53" i="5"/>
  <c r="O47" i="5"/>
  <c r="O36" i="5"/>
  <c r="N93" i="5"/>
  <c r="P55" i="5"/>
  <c r="P85" i="5"/>
  <c r="M47" i="8"/>
  <c r="M48" i="8"/>
  <c r="C28" i="8"/>
  <c r="AH91" i="5"/>
  <c r="O101" i="6"/>
  <c r="O115" i="6"/>
  <c r="O83" i="6"/>
  <c r="O112" i="6"/>
  <c r="O76" i="6"/>
  <c r="O94" i="6"/>
  <c r="O96" i="6"/>
  <c r="O98" i="6"/>
  <c r="O16" i="5"/>
  <c r="O85" i="5"/>
  <c r="AH76" i="5"/>
  <c r="AH80" i="5"/>
  <c r="AH82" i="5"/>
  <c r="AH84" i="5"/>
  <c r="AH87" i="5"/>
  <c r="AH89" i="5"/>
  <c r="AH95" i="5"/>
  <c r="AH100" i="5"/>
  <c r="P23" i="5"/>
  <c r="Q30" i="6" l="1"/>
  <c r="Q90" i="6" s="1"/>
  <c r="Q71" i="6"/>
  <c r="O110" i="6"/>
  <c r="N112" i="6"/>
  <c r="N78" i="6"/>
  <c r="O87" i="6"/>
  <c r="N95" i="6"/>
  <c r="O85" i="6"/>
  <c r="O80" i="6"/>
  <c r="O111" i="6"/>
  <c r="N83" i="6"/>
  <c r="N37" i="5"/>
  <c r="AJ97" i="5"/>
  <c r="O86" i="6"/>
  <c r="O104" i="6"/>
  <c r="O77" i="6"/>
  <c r="N87" i="6"/>
  <c r="O88" i="6"/>
  <c r="O99" i="6"/>
  <c r="N77" i="6"/>
  <c r="N107" i="6"/>
  <c r="N101" i="6"/>
  <c r="O107" i="6"/>
  <c r="O97" i="6"/>
  <c r="O114" i="6"/>
  <c r="N111" i="6"/>
  <c r="N96" i="6"/>
  <c r="O108" i="6"/>
  <c r="O109" i="6"/>
  <c r="O84" i="6"/>
  <c r="O116" i="6"/>
  <c r="O81" i="6"/>
  <c r="O105" i="6"/>
  <c r="O78" i="6"/>
  <c r="O95" i="6"/>
  <c r="N88" i="6"/>
  <c r="P63" i="5"/>
  <c r="P27" i="5"/>
  <c r="P36" i="5" s="1"/>
  <c r="AG57" i="5"/>
  <c r="AG13" i="5"/>
  <c r="AG12" i="5"/>
  <c r="AG50" i="5"/>
  <c r="AG41" i="5"/>
  <c r="AG30" i="5"/>
  <c r="AG49" i="5"/>
  <c r="AG21" i="5"/>
  <c r="AG60" i="5"/>
  <c r="AG47" i="5"/>
  <c r="AG25" i="5"/>
  <c r="AG43" i="5"/>
  <c r="AG14" i="5"/>
  <c r="AG51" i="5"/>
  <c r="AG42" i="5"/>
  <c r="AG31" i="5"/>
  <c r="AG19" i="5"/>
  <c r="AG53" i="5"/>
  <c r="AG61" i="5"/>
  <c r="AG23" i="5"/>
  <c r="AG35" i="5"/>
  <c r="AG16" i="5"/>
  <c r="N110" i="6"/>
  <c r="N108" i="6"/>
  <c r="N76" i="6"/>
  <c r="N105" i="6"/>
  <c r="N86" i="6"/>
  <c r="N85" i="6"/>
  <c r="N98" i="6"/>
  <c r="N117" i="6"/>
  <c r="N114" i="6"/>
  <c r="N81" i="6"/>
  <c r="N97" i="6"/>
  <c r="N109" i="6"/>
  <c r="N94" i="6"/>
  <c r="N99" i="6"/>
  <c r="N80" i="6"/>
  <c r="AG63" i="5"/>
  <c r="AG93" i="5"/>
  <c r="N104" i="6"/>
  <c r="N36" i="5"/>
  <c r="AG27" i="5"/>
  <c r="E20" i="7"/>
  <c r="O55" i="5"/>
  <c r="N97" i="5"/>
  <c r="O37" i="5"/>
  <c r="O93" i="5"/>
  <c r="AH85" i="5"/>
  <c r="F20" i="7" l="1"/>
  <c r="E26" i="7"/>
  <c r="AG55" i="5"/>
  <c r="AG46" i="5"/>
  <c r="AG33" i="5"/>
  <c r="AG22" i="5"/>
  <c r="AG36" i="5"/>
  <c r="AG44" i="5"/>
  <c r="AG62" i="5"/>
  <c r="AG20" i="5"/>
  <c r="AG15" i="5"/>
  <c r="AG34" i="5"/>
  <c r="AG52" i="5"/>
  <c r="AG32" i="5"/>
  <c r="AG37" i="5"/>
  <c r="AG45" i="5"/>
  <c r="AG97" i="5"/>
  <c r="N11" i="6"/>
  <c r="C83" i="8"/>
  <c r="O63" i="5"/>
  <c r="AH16" i="5"/>
  <c r="O97" i="5"/>
  <c r="AH93" i="5"/>
  <c r="AH55" i="5"/>
  <c r="AH62" i="5"/>
  <c r="AH60" i="5"/>
  <c r="AH50" i="5"/>
  <c r="AH45" i="5"/>
  <c r="AH43" i="5"/>
  <c r="AH41" i="5"/>
  <c r="AH34" i="5"/>
  <c r="AH32" i="5"/>
  <c r="AH30" i="5"/>
  <c r="AH25" i="5"/>
  <c r="AH22" i="5"/>
  <c r="AH20" i="5"/>
  <c r="AH12" i="5"/>
  <c r="AH57" i="5"/>
  <c r="AH49" i="5"/>
  <c r="AH44" i="5"/>
  <c r="AH37" i="5"/>
  <c r="AH33" i="5"/>
  <c r="AH27" i="5"/>
  <c r="AH21" i="5"/>
  <c r="AH19" i="5"/>
  <c r="AH13" i="5"/>
  <c r="AH61" i="5"/>
  <c r="AH51" i="5"/>
  <c r="AH46" i="5"/>
  <c r="AH42" i="5"/>
  <c r="AH35" i="5"/>
  <c r="AH31" i="5"/>
  <c r="AH23" i="5"/>
  <c r="AH15" i="5"/>
  <c r="AH53" i="5"/>
  <c r="AH52" i="5"/>
  <c r="AH47" i="5"/>
  <c r="AH36" i="5"/>
  <c r="AH14" i="5"/>
  <c r="P37" i="5"/>
  <c r="G20" i="7" l="1"/>
  <c r="F26" i="7"/>
  <c r="C14" i="8"/>
  <c r="N71" i="6"/>
  <c r="N30" i="6"/>
  <c r="N90" i="6" s="1"/>
  <c r="AH63" i="5"/>
  <c r="O11" i="6"/>
  <c r="AH97" i="5"/>
  <c r="K21" i="7"/>
  <c r="C62" i="7"/>
  <c r="D62" i="7" s="1"/>
  <c r="E62" i="7" s="1"/>
  <c r="F62" i="7" s="1"/>
  <c r="G62" i="7" s="1"/>
  <c r="H62" i="7" s="1"/>
  <c r="I62" i="7" s="1"/>
  <c r="J62" i="7" s="1"/>
  <c r="K62" i="7" s="1"/>
  <c r="B32" i="7"/>
  <c r="C32" i="7" s="1"/>
  <c r="D32" i="7" s="1"/>
  <c r="E32" i="7" s="1"/>
  <c r="F32" i="7" s="1"/>
  <c r="G32" i="7" s="1"/>
  <c r="H32" i="7" s="1"/>
  <c r="I32" i="7" s="1"/>
  <c r="J32" i="7" s="1"/>
  <c r="B34" i="7"/>
  <c r="C34" i="7" s="1"/>
  <c r="D34" i="7" s="1"/>
  <c r="E34" i="7" s="1"/>
  <c r="F34" i="7" s="1"/>
  <c r="G34" i="7" s="1"/>
  <c r="H34" i="7" s="1"/>
  <c r="I34" i="7" s="1"/>
  <c r="J34" i="7" s="1"/>
  <c r="A108" i="6"/>
  <c r="M87" i="5"/>
  <c r="M52" i="5"/>
  <c r="B55" i="7" s="1"/>
  <c r="M44" i="5"/>
  <c r="M47" i="5" s="1"/>
  <c r="M115" i="5" s="1"/>
  <c r="L52" i="5"/>
  <c r="L53" i="5" s="1"/>
  <c r="L15" i="5"/>
  <c r="M15" i="5"/>
  <c r="M14" i="5"/>
  <c r="M57" i="6"/>
  <c r="N56" i="6" s="1"/>
  <c r="M56" i="6"/>
  <c r="M54" i="6"/>
  <c r="M41" i="6"/>
  <c r="M91" i="5"/>
  <c r="M84" i="5"/>
  <c r="M76" i="5"/>
  <c r="M62" i="5"/>
  <c r="M35" i="5"/>
  <c r="M23" i="5"/>
  <c r="M27" i="5" s="1"/>
  <c r="M16" i="5"/>
  <c r="A124" i="7"/>
  <c r="P8" i="6"/>
  <c r="P41" i="6"/>
  <c r="P54" i="6"/>
  <c r="P91" i="5"/>
  <c r="AI100" i="5"/>
  <c r="P111" i="5"/>
  <c r="B22" i="7"/>
  <c r="C22" i="7" s="1"/>
  <c r="D22" i="7" s="1"/>
  <c r="E22" i="7" s="1"/>
  <c r="F22" i="7" s="1"/>
  <c r="G22" i="7" s="1"/>
  <c r="H22" i="7" s="1"/>
  <c r="I22" i="7" s="1"/>
  <c r="J22" i="7" s="1"/>
  <c r="B23" i="7"/>
  <c r="C23" i="7" s="1"/>
  <c r="D23" i="7" s="1"/>
  <c r="A84" i="6"/>
  <c r="A85" i="6"/>
  <c r="A86" i="6"/>
  <c r="A87" i="6"/>
  <c r="A88" i="6"/>
  <c r="A83" i="6"/>
  <c r="L57" i="6"/>
  <c r="L56" i="6"/>
  <c r="L55" i="6" s="1"/>
  <c r="L52" i="6"/>
  <c r="L90" i="5"/>
  <c r="L87" i="5"/>
  <c r="J87" i="5"/>
  <c r="I87" i="5"/>
  <c r="K87" i="5"/>
  <c r="L60" i="5"/>
  <c r="L44" i="5"/>
  <c r="L47" i="5" s="1"/>
  <c r="L14" i="5"/>
  <c r="F14" i="5"/>
  <c r="F15" i="5"/>
  <c r="F16" i="5" s="1"/>
  <c r="F19" i="5"/>
  <c r="F23" i="5" s="1"/>
  <c r="F27" i="5" s="1"/>
  <c r="F30" i="5"/>
  <c r="F32" i="5"/>
  <c r="F44" i="5"/>
  <c r="F47" i="5" s="1"/>
  <c r="F115" i="5" s="1"/>
  <c r="F52" i="5"/>
  <c r="F53" i="5" s="1"/>
  <c r="F57" i="5"/>
  <c r="F60" i="5"/>
  <c r="F62" i="5" s="1"/>
  <c r="F76" i="5"/>
  <c r="Y96" i="5" s="1"/>
  <c r="F79" i="5"/>
  <c r="F84" i="5" s="1"/>
  <c r="F87" i="5"/>
  <c r="F91" i="5" s="1"/>
  <c r="K54" i="6"/>
  <c r="K41" i="6"/>
  <c r="A76" i="8"/>
  <c r="B87" i="7"/>
  <c r="A92" i="7"/>
  <c r="A74" i="8" s="1"/>
  <c r="A93" i="7"/>
  <c r="M93" i="7" s="1"/>
  <c r="M94" i="7"/>
  <c r="A79" i="7"/>
  <c r="M79" i="7" s="1"/>
  <c r="A80" i="7"/>
  <c r="M80" i="7" s="1"/>
  <c r="A82" i="7"/>
  <c r="M82" i="7" s="1"/>
  <c r="A83" i="7"/>
  <c r="M83" i="7" s="1"/>
  <c r="A84" i="7"/>
  <c r="M84" i="7" s="1"/>
  <c r="A85" i="7"/>
  <c r="M85" i="7" s="1"/>
  <c r="A86" i="7"/>
  <c r="M86" i="7" s="1"/>
  <c r="A87" i="7"/>
  <c r="M87" i="7" s="1"/>
  <c r="A88" i="7"/>
  <c r="M88" i="7" s="1"/>
  <c r="A89" i="7"/>
  <c r="M89" i="7" s="1"/>
  <c r="A91" i="7"/>
  <c r="M91" i="7" s="1"/>
  <c r="A95" i="7"/>
  <c r="M95" i="7" s="1"/>
  <c r="A96" i="7"/>
  <c r="A78" i="8" s="1"/>
  <c r="A98" i="7"/>
  <c r="M98" i="7" s="1"/>
  <c r="A100" i="7"/>
  <c r="A82" i="8" s="1"/>
  <c r="A101" i="7"/>
  <c r="M101" i="7" s="1"/>
  <c r="A102" i="7"/>
  <c r="A84" i="8" s="1"/>
  <c r="A104" i="7"/>
  <c r="M104" i="7" s="1"/>
  <c r="A105" i="7"/>
  <c r="A87" i="8" s="1"/>
  <c r="A78" i="7"/>
  <c r="M78" i="7" s="1"/>
  <c r="A4" i="7"/>
  <c r="A72" i="7" s="1"/>
  <c r="M72" i="7" s="1"/>
  <c r="M37" i="8"/>
  <c r="D31" i="7"/>
  <c r="E31" i="7" s="1"/>
  <c r="F31" i="7" s="1"/>
  <c r="G31" i="7" s="1"/>
  <c r="H31" i="7" s="1"/>
  <c r="I31" i="7" s="1"/>
  <c r="J31" i="7" s="1"/>
  <c r="K31" i="7" s="1"/>
  <c r="A12" i="8"/>
  <c r="A13" i="8"/>
  <c r="A14" i="8"/>
  <c r="A15" i="8"/>
  <c r="A17" i="8"/>
  <c r="A18" i="8"/>
  <c r="A20" i="8"/>
  <c r="A21" i="8"/>
  <c r="A22" i="8"/>
  <c r="A23" i="8"/>
  <c r="A24" i="8"/>
  <c r="A25" i="8"/>
  <c r="A27" i="8"/>
  <c r="A28" i="8"/>
  <c r="A29" i="8"/>
  <c r="A30" i="8"/>
  <c r="A31" i="8"/>
  <c r="A32" i="8"/>
  <c r="A33" i="8"/>
  <c r="A34" i="8"/>
  <c r="A35" i="8"/>
  <c r="A37" i="8"/>
  <c r="A38" i="8"/>
  <c r="A39" i="8"/>
  <c r="A40" i="8"/>
  <c r="A41" i="8"/>
  <c r="A42" i="8"/>
  <c r="A43" i="8"/>
  <c r="A44" i="8"/>
  <c r="A46" i="8"/>
  <c r="A47" i="8"/>
  <c r="A48" i="8"/>
  <c r="A49" i="8"/>
  <c r="A50" i="8"/>
  <c r="A51" i="8"/>
  <c r="A53" i="8"/>
  <c r="A55" i="8"/>
  <c r="A56" i="8"/>
  <c r="A57" i="8"/>
  <c r="A58" i="8"/>
  <c r="A59" i="8"/>
  <c r="A61" i="8"/>
  <c r="A62" i="8"/>
  <c r="A64" i="8"/>
  <c r="A65" i="8"/>
  <c r="A66" i="8"/>
  <c r="A67" i="8"/>
  <c r="A68" i="8"/>
  <c r="A69" i="8"/>
  <c r="A70" i="8"/>
  <c r="A71" i="8"/>
  <c r="A9" i="8"/>
  <c r="A10" i="8"/>
  <c r="A119" i="7"/>
  <c r="A32" i="7"/>
  <c r="M32" i="7" s="1"/>
  <c r="A33" i="7"/>
  <c r="A34" i="7"/>
  <c r="M34" i="7" s="1"/>
  <c r="A35" i="7"/>
  <c r="A6" i="7"/>
  <c r="A112" i="7" s="1"/>
  <c r="A122" i="7"/>
  <c r="A123" i="7"/>
  <c r="A125" i="7"/>
  <c r="A127" i="7"/>
  <c r="A128" i="7"/>
  <c r="A129" i="7"/>
  <c r="A130" i="7"/>
  <c r="A131" i="7"/>
  <c r="A133" i="7"/>
  <c r="A134" i="7"/>
  <c r="A135" i="7"/>
  <c r="A136" i="7"/>
  <c r="A138" i="7"/>
  <c r="A139" i="7"/>
  <c r="A140" i="7"/>
  <c r="A142" i="7"/>
  <c r="A143" i="7"/>
  <c r="A144" i="7"/>
  <c r="A145" i="7"/>
  <c r="A121" i="7"/>
  <c r="A57" i="7"/>
  <c r="M57" i="7" s="1"/>
  <c r="A59" i="7"/>
  <c r="M59" i="7" s="1"/>
  <c r="A61" i="7"/>
  <c r="M61" i="7" s="1"/>
  <c r="A62" i="7"/>
  <c r="M62" i="7" s="1"/>
  <c r="A63" i="7"/>
  <c r="M63" i="7" s="1"/>
  <c r="A64" i="7"/>
  <c r="M64" i="7" s="1"/>
  <c r="A65" i="7"/>
  <c r="M65" i="7" s="1"/>
  <c r="A55" i="7"/>
  <c r="M55" i="7" s="1"/>
  <c r="A51" i="7"/>
  <c r="M51" i="7" s="1"/>
  <c r="A52" i="7"/>
  <c r="M52" i="7" s="1"/>
  <c r="A53" i="7"/>
  <c r="A41" i="7"/>
  <c r="M41" i="7" s="1"/>
  <c r="A42" i="7"/>
  <c r="M42" i="7" s="1"/>
  <c r="A43" i="7"/>
  <c r="M43" i="7" s="1"/>
  <c r="A44" i="7"/>
  <c r="M44" i="7" s="1"/>
  <c r="A45" i="7"/>
  <c r="M45" i="7" s="1"/>
  <c r="A46" i="7"/>
  <c r="A47" i="7"/>
  <c r="M47" i="7" s="1"/>
  <c r="A48" i="7"/>
  <c r="M48" i="7" s="1"/>
  <c r="A50" i="7"/>
  <c r="M50" i="7" s="1"/>
  <c r="A31" i="7"/>
  <c r="M31" i="7" s="1"/>
  <c r="M33" i="7"/>
  <c r="M35" i="7"/>
  <c r="A36" i="7"/>
  <c r="M36" i="7" s="1"/>
  <c r="A37" i="7"/>
  <c r="M37" i="7" s="1"/>
  <c r="A38" i="7"/>
  <c r="M38" i="7" s="1"/>
  <c r="A30" i="7"/>
  <c r="M30" i="7" s="1"/>
  <c r="A26" i="7"/>
  <c r="M26" i="7" s="1"/>
  <c r="A28" i="7"/>
  <c r="M28" i="7" s="1"/>
  <c r="A24" i="7"/>
  <c r="M24" i="7" s="1"/>
  <c r="L54" i="6"/>
  <c r="L41" i="6"/>
  <c r="L62" i="5"/>
  <c r="L76" i="5"/>
  <c r="L84" i="5"/>
  <c r="L23" i="5"/>
  <c r="L27" i="5" s="1"/>
  <c r="L35" i="5"/>
  <c r="H79" i="5"/>
  <c r="H84" i="5" s="1"/>
  <c r="G79" i="5"/>
  <c r="E79" i="5"/>
  <c r="E84" i="5" s="1"/>
  <c r="D79" i="5"/>
  <c r="D84" i="5" s="1"/>
  <c r="W84" i="5" s="1"/>
  <c r="C79" i="5"/>
  <c r="B79" i="5"/>
  <c r="J91" i="5"/>
  <c r="K91" i="5"/>
  <c r="J84" i="5"/>
  <c r="K84" i="5"/>
  <c r="AD84" i="5" s="1"/>
  <c r="J76" i="5"/>
  <c r="AC89" i="5" s="1"/>
  <c r="J116" i="5"/>
  <c r="K76" i="5"/>
  <c r="K60" i="5"/>
  <c r="J60" i="5"/>
  <c r="K52" i="5"/>
  <c r="K53" i="5" s="1"/>
  <c r="R53" i="5" s="1"/>
  <c r="J52" i="5"/>
  <c r="J53" i="5" s="1"/>
  <c r="K44" i="5"/>
  <c r="K47" i="5" s="1"/>
  <c r="J44" i="5"/>
  <c r="I52" i="5"/>
  <c r="T51" i="5"/>
  <c r="T44" i="5"/>
  <c r="I44" i="5"/>
  <c r="H44" i="5"/>
  <c r="H47" i="5" s="1"/>
  <c r="H115" i="5" s="1"/>
  <c r="G44" i="5"/>
  <c r="E44" i="5"/>
  <c r="E47" i="5" s="1"/>
  <c r="E115" i="5" s="1"/>
  <c r="D44" i="5"/>
  <c r="D47" i="5" s="1"/>
  <c r="D115" i="5" s="1"/>
  <c r="C44" i="5"/>
  <c r="C47" i="5" s="1"/>
  <c r="C115" i="5" s="1"/>
  <c r="B44" i="5"/>
  <c r="T45" i="5"/>
  <c r="I8" i="6"/>
  <c r="J35" i="5"/>
  <c r="K35" i="5"/>
  <c r="K23" i="5"/>
  <c r="J23" i="5"/>
  <c r="K15" i="5"/>
  <c r="J15" i="5"/>
  <c r="K14" i="5"/>
  <c r="J14" i="5"/>
  <c r="AC81" i="5"/>
  <c r="AC83" i="5"/>
  <c r="AC87" i="5"/>
  <c r="J9" i="5"/>
  <c r="T3" i="5"/>
  <c r="T55" i="5"/>
  <c r="T12" i="5"/>
  <c r="T13" i="5"/>
  <c r="T14" i="5"/>
  <c r="T15" i="5"/>
  <c r="T16" i="5"/>
  <c r="T18" i="5"/>
  <c r="T19" i="5"/>
  <c r="T20" i="5"/>
  <c r="T21" i="5"/>
  <c r="T22" i="5"/>
  <c r="T23" i="5"/>
  <c r="T25" i="5"/>
  <c r="T27" i="5"/>
  <c r="T29" i="5"/>
  <c r="T30" i="5"/>
  <c r="T31" i="5"/>
  <c r="T32" i="5"/>
  <c r="T33" i="5"/>
  <c r="T34" i="5"/>
  <c r="T35" i="5"/>
  <c r="T36" i="5"/>
  <c r="T37" i="5"/>
  <c r="T40" i="5"/>
  <c r="T41" i="5"/>
  <c r="T42" i="5"/>
  <c r="T43" i="5"/>
  <c r="T46" i="5"/>
  <c r="T47" i="5"/>
  <c r="T49" i="5"/>
  <c r="T50" i="5"/>
  <c r="T52" i="5"/>
  <c r="T53" i="5"/>
  <c r="T57" i="5"/>
  <c r="T59" i="5"/>
  <c r="T60" i="5"/>
  <c r="T61" i="5"/>
  <c r="T62" i="5"/>
  <c r="T63" i="5"/>
  <c r="T69" i="5"/>
  <c r="T73" i="5"/>
  <c r="T74" i="5"/>
  <c r="T75" i="5"/>
  <c r="T76" i="5"/>
  <c r="T78" i="5"/>
  <c r="T79" i="5"/>
  <c r="T80" i="5"/>
  <c r="T81" i="5"/>
  <c r="T82" i="5"/>
  <c r="T83" i="5"/>
  <c r="T84" i="5"/>
  <c r="T85" i="5"/>
  <c r="T87" i="5"/>
  <c r="T88" i="5"/>
  <c r="T89" i="5"/>
  <c r="T90" i="5"/>
  <c r="T91" i="5"/>
  <c r="T93" i="5"/>
  <c r="T95" i="5"/>
  <c r="T96" i="5"/>
  <c r="T97" i="5"/>
  <c r="T99" i="5"/>
  <c r="T100" i="5"/>
  <c r="T101" i="5"/>
  <c r="T11" i="5"/>
  <c r="R110" i="5"/>
  <c r="A108" i="5"/>
  <c r="A106" i="5"/>
  <c r="G100" i="5"/>
  <c r="E100" i="5"/>
  <c r="D100" i="5"/>
  <c r="C100" i="5"/>
  <c r="B100" i="5"/>
  <c r="D95" i="5"/>
  <c r="B95" i="5"/>
  <c r="D90" i="5"/>
  <c r="B90" i="5"/>
  <c r="H87" i="5"/>
  <c r="AA87" i="5" s="1"/>
  <c r="G87" i="5"/>
  <c r="E87" i="5"/>
  <c r="E91" i="5" s="1"/>
  <c r="D87" i="5"/>
  <c r="D91" i="5" s="1"/>
  <c r="W91" i="5" s="1"/>
  <c r="C87" i="5"/>
  <c r="C91" i="5" s="1"/>
  <c r="B87" i="5"/>
  <c r="I84" i="5"/>
  <c r="C80" i="5"/>
  <c r="B80" i="5"/>
  <c r="I76" i="5"/>
  <c r="H76" i="5"/>
  <c r="H116" i="5" s="1"/>
  <c r="G76" i="5"/>
  <c r="Z76" i="5" s="1"/>
  <c r="E76" i="5"/>
  <c r="X76" i="5" s="1"/>
  <c r="X75" i="5"/>
  <c r="D76" i="5"/>
  <c r="W81" i="5" s="1"/>
  <c r="D68" i="6"/>
  <c r="C76" i="5"/>
  <c r="V79" i="5" s="1"/>
  <c r="B76" i="5"/>
  <c r="B68" i="6"/>
  <c r="B83" i="6" s="1"/>
  <c r="B73" i="5"/>
  <c r="AK72" i="5"/>
  <c r="R71" i="5"/>
  <c r="A70" i="5"/>
  <c r="T70" i="5" s="1"/>
  <c r="A68" i="5"/>
  <c r="T68" i="5" s="1"/>
  <c r="B61" i="5"/>
  <c r="B62" i="5" s="1"/>
  <c r="I60" i="5"/>
  <c r="H60" i="5"/>
  <c r="H62" i="5" s="1"/>
  <c r="G60" i="5"/>
  <c r="G62" i="5" s="1"/>
  <c r="E60" i="5"/>
  <c r="E62" i="5" s="1"/>
  <c r="E141" i="5" s="1"/>
  <c r="D60" i="5"/>
  <c r="D62" i="5" s="1"/>
  <c r="C60" i="5"/>
  <c r="C62" i="5" s="1"/>
  <c r="H57" i="5"/>
  <c r="G57" i="5"/>
  <c r="E57" i="5"/>
  <c r="D57" i="5"/>
  <c r="C57" i="5"/>
  <c r="B57" i="5"/>
  <c r="H52" i="5"/>
  <c r="H53" i="5" s="1"/>
  <c r="G52" i="5"/>
  <c r="G53" i="5" s="1"/>
  <c r="E52" i="5"/>
  <c r="E53" i="5" s="1"/>
  <c r="D52" i="5"/>
  <c r="D53" i="5" s="1"/>
  <c r="C52" i="5"/>
  <c r="C53" i="5" s="1"/>
  <c r="B52" i="5"/>
  <c r="B49" i="5"/>
  <c r="I47" i="5"/>
  <c r="G47" i="5"/>
  <c r="G115" i="5" s="1"/>
  <c r="B47" i="5"/>
  <c r="B115" i="5" s="1"/>
  <c r="I35" i="5"/>
  <c r="H32" i="5"/>
  <c r="G32" i="5"/>
  <c r="G35" i="5" s="1"/>
  <c r="E32" i="5"/>
  <c r="E35" i="5" s="1"/>
  <c r="D32" i="5"/>
  <c r="D35" i="5" s="1"/>
  <c r="C32" i="5"/>
  <c r="C35" i="5" s="1"/>
  <c r="B32" i="5"/>
  <c r="B35" i="5" s="1"/>
  <c r="G30" i="5"/>
  <c r="H23" i="5"/>
  <c r="H27" i="5" s="1"/>
  <c r="I19" i="5"/>
  <c r="I23" i="5"/>
  <c r="I27" i="5" s="1"/>
  <c r="G19" i="5"/>
  <c r="G23" i="5" s="1"/>
  <c r="G27" i="5" s="1"/>
  <c r="E19" i="5"/>
  <c r="E23" i="5" s="1"/>
  <c r="D19" i="5"/>
  <c r="C19" i="5"/>
  <c r="C23" i="5" s="1"/>
  <c r="B19" i="5"/>
  <c r="B23" i="5" s="1"/>
  <c r="B27" i="5" s="1"/>
  <c r="B16" i="5"/>
  <c r="B114" i="5" s="1"/>
  <c r="I15" i="5"/>
  <c r="H15" i="5"/>
  <c r="G15" i="5"/>
  <c r="E15" i="5"/>
  <c r="D15" i="5"/>
  <c r="C15" i="5"/>
  <c r="C16" i="5" s="1"/>
  <c r="I14" i="5"/>
  <c r="H14" i="5"/>
  <c r="H16" i="5" s="1"/>
  <c r="H114" i="5" s="1"/>
  <c r="G14" i="5"/>
  <c r="E14" i="5"/>
  <c r="D14" i="5"/>
  <c r="D16" i="5" s="1"/>
  <c r="I13" i="5"/>
  <c r="AB9" i="5"/>
  <c r="I73" i="5" s="1"/>
  <c r="U9" i="5"/>
  <c r="B111" i="5" s="1"/>
  <c r="AK8" i="5"/>
  <c r="C9" i="5"/>
  <c r="D9" i="5"/>
  <c r="T6" i="5"/>
  <c r="J52" i="6"/>
  <c r="J45" i="6"/>
  <c r="J54" i="6" s="1"/>
  <c r="J41" i="6"/>
  <c r="H26" i="6"/>
  <c r="B21" i="6"/>
  <c r="C21" i="6"/>
  <c r="D39" i="6"/>
  <c r="H41" i="6"/>
  <c r="I41" i="6"/>
  <c r="H54" i="6"/>
  <c r="I54" i="6"/>
  <c r="H56" i="6"/>
  <c r="B57" i="6"/>
  <c r="H57" i="6"/>
  <c r="B8" i="6"/>
  <c r="B66" i="6" s="1"/>
  <c r="C93" i="7"/>
  <c r="A14" i="7"/>
  <c r="M14" i="7" s="1"/>
  <c r="A15" i="7"/>
  <c r="M15" i="7" s="1"/>
  <c r="A16" i="7"/>
  <c r="M16" i="7" s="1"/>
  <c r="A19" i="7"/>
  <c r="M19" i="7" s="1"/>
  <c r="A20" i="7"/>
  <c r="M20" i="7" s="1"/>
  <c r="A21" i="7"/>
  <c r="M21" i="7" s="1"/>
  <c r="A22" i="7"/>
  <c r="M22" i="7" s="1"/>
  <c r="A12" i="7"/>
  <c r="M12" i="7" s="1"/>
  <c r="N76" i="7"/>
  <c r="M13" i="7"/>
  <c r="A17" i="7"/>
  <c r="M17" i="7" s="1"/>
  <c r="A23" i="7"/>
  <c r="M23" i="7" s="1"/>
  <c r="M54" i="7"/>
  <c r="A11" i="7"/>
  <c r="M11" i="7" s="1"/>
  <c r="R65" i="6"/>
  <c r="A5" i="6"/>
  <c r="A64" i="6" s="1"/>
  <c r="A3" i="6"/>
  <c r="A62" i="6" s="1"/>
  <c r="J16" i="5"/>
  <c r="D23" i="5"/>
  <c r="D27" i="5" s="1"/>
  <c r="J8" i="6"/>
  <c r="E68" i="6"/>
  <c r="E16" i="5"/>
  <c r="E114" i="5" s="1"/>
  <c r="C73" i="5"/>
  <c r="V73" i="5" s="1"/>
  <c r="U73" i="5"/>
  <c r="B117" i="5"/>
  <c r="U95" i="5"/>
  <c r="U90" i="5"/>
  <c r="U89" i="5"/>
  <c r="U83" i="5"/>
  <c r="U81" i="5"/>
  <c r="U96" i="5"/>
  <c r="U88" i="5"/>
  <c r="U87" i="5"/>
  <c r="U82" i="5"/>
  <c r="U75" i="5"/>
  <c r="W89" i="5"/>
  <c r="D85" i="5"/>
  <c r="W87" i="5"/>
  <c r="W82" i="5"/>
  <c r="AA90" i="5"/>
  <c r="AA89" i="5"/>
  <c r="AA81" i="5"/>
  <c r="AA99" i="5"/>
  <c r="AA80" i="5"/>
  <c r="W79" i="5"/>
  <c r="B53" i="5"/>
  <c r="U76" i="5"/>
  <c r="H117" i="5"/>
  <c r="U79" i="5"/>
  <c r="X79" i="5"/>
  <c r="X83" i="5"/>
  <c r="X89" i="5"/>
  <c r="Z89" i="5"/>
  <c r="X95" i="5"/>
  <c r="Z100" i="5"/>
  <c r="X82" i="5"/>
  <c r="X88" i="5"/>
  <c r="M46" i="7"/>
  <c r="D73" i="5"/>
  <c r="E73" i="5" s="1"/>
  <c r="H8" i="6"/>
  <c r="H66" i="6" s="1"/>
  <c r="N77" i="7"/>
  <c r="D9" i="7"/>
  <c r="B77" i="7"/>
  <c r="A154" i="7"/>
  <c r="A155" i="7" s="1"/>
  <c r="N9" i="7"/>
  <c r="O77" i="7"/>
  <c r="C119" i="7" s="1"/>
  <c r="O9" i="7"/>
  <c r="C77" i="7"/>
  <c r="I91" i="5"/>
  <c r="AB91" i="5" s="1"/>
  <c r="K9" i="5"/>
  <c r="AD88" i="5"/>
  <c r="K16" i="5"/>
  <c r="K62" i="5"/>
  <c r="G84" i="5"/>
  <c r="H68" i="6"/>
  <c r="A86" i="8"/>
  <c r="M102" i="7"/>
  <c r="K141" i="5"/>
  <c r="K8" i="6"/>
  <c r="K66" i="6" s="1"/>
  <c r="B64" i="7"/>
  <c r="AI84" i="5"/>
  <c r="V9" i="5"/>
  <c r="D8" i="6"/>
  <c r="D66" i="6" s="1"/>
  <c r="E9" i="5"/>
  <c r="E8" i="6" s="1"/>
  <c r="E66" i="6" s="1"/>
  <c r="E136" i="5"/>
  <c r="C8" i="6"/>
  <c r="C66" i="6" s="1"/>
  <c r="F35" i="5"/>
  <c r="AC9" i="5"/>
  <c r="AD9" i="5" s="1"/>
  <c r="H35" i="5"/>
  <c r="G91" i="5"/>
  <c r="H91" i="5"/>
  <c r="AA91" i="5" s="1"/>
  <c r="AC84" i="5"/>
  <c r="Z75" i="5"/>
  <c r="AC76" i="5"/>
  <c r="AA76" i="5"/>
  <c r="AA75" i="5"/>
  <c r="AI73" i="5"/>
  <c r="AC90" i="5"/>
  <c r="AC88" i="5"/>
  <c r="AC82" i="5"/>
  <c r="AE95" i="5"/>
  <c r="AI75" i="5"/>
  <c r="AI79" i="5"/>
  <c r="AI81" i="5"/>
  <c r="AI83" i="5"/>
  <c r="AI88" i="5"/>
  <c r="AI90" i="5"/>
  <c r="AI96" i="5"/>
  <c r="AI99" i="5"/>
  <c r="P68" i="6"/>
  <c r="AI76" i="5"/>
  <c r="AI80" i="5"/>
  <c r="AI82" i="5"/>
  <c r="AI87" i="5"/>
  <c r="AI89" i="5"/>
  <c r="AI95" i="5"/>
  <c r="C80" i="7"/>
  <c r="O79" i="7" s="1"/>
  <c r="B80" i="7"/>
  <c r="N80" i="7" s="1"/>
  <c r="C111" i="5"/>
  <c r="W9" i="5"/>
  <c r="F9" i="5"/>
  <c r="AI85" i="5"/>
  <c r="X9" i="5"/>
  <c r="D111" i="5"/>
  <c r="E111" i="5"/>
  <c r="Y9" i="5"/>
  <c r="Z9" i="5" s="1"/>
  <c r="H20" i="7" l="1"/>
  <c r="G26" i="7"/>
  <c r="R41" i="6"/>
  <c r="H80" i="6"/>
  <c r="Q106" i="6"/>
  <c r="R16" i="5"/>
  <c r="AD89" i="5"/>
  <c r="G12" i="8"/>
  <c r="G10" i="8"/>
  <c r="AK76" i="5"/>
  <c r="AK87" i="5"/>
  <c r="AK96" i="5"/>
  <c r="AK80" i="5"/>
  <c r="AK90" i="5"/>
  <c r="R76" i="5"/>
  <c r="AK82" i="5"/>
  <c r="AK89" i="5"/>
  <c r="AK79" i="5"/>
  <c r="AK75" i="5"/>
  <c r="AK95" i="5"/>
  <c r="AK88" i="5"/>
  <c r="AK81" i="5"/>
  <c r="AE88" i="5"/>
  <c r="H10" i="8"/>
  <c r="H12" i="8"/>
  <c r="AE100" i="5"/>
  <c r="H110" i="6"/>
  <c r="AD79" i="5"/>
  <c r="Z82" i="5"/>
  <c r="N55" i="6"/>
  <c r="N115" i="6" s="1"/>
  <c r="N116" i="6"/>
  <c r="AK16" i="5"/>
  <c r="A83" i="8"/>
  <c r="AD80" i="5"/>
  <c r="A166" i="7"/>
  <c r="B55" i="5"/>
  <c r="Z83" i="5"/>
  <c r="AA83" i="5"/>
  <c r="I36" i="5"/>
  <c r="Z87" i="5"/>
  <c r="K27" i="5"/>
  <c r="R23" i="5"/>
  <c r="R115" i="5"/>
  <c r="R47" i="5"/>
  <c r="Z79" i="5"/>
  <c r="Z95" i="5"/>
  <c r="V83" i="5"/>
  <c r="Z99" i="5"/>
  <c r="Z81" i="5"/>
  <c r="AA82" i="5"/>
  <c r="AA95" i="5"/>
  <c r="P66" i="6"/>
  <c r="R38" i="6"/>
  <c r="R17" i="6"/>
  <c r="R37" i="6"/>
  <c r="R50" i="6"/>
  <c r="R26" i="6"/>
  <c r="R46" i="6"/>
  <c r="R52" i="6"/>
  <c r="R36" i="6"/>
  <c r="R34" i="6"/>
  <c r="R49" i="6"/>
  <c r="R28" i="6"/>
  <c r="R47" i="6"/>
  <c r="R19" i="6"/>
  <c r="R45" i="6"/>
  <c r="R18" i="6"/>
  <c r="R56" i="6"/>
  <c r="AK47" i="5"/>
  <c r="R121" i="5"/>
  <c r="AE81" i="5"/>
  <c r="Z91" i="5"/>
  <c r="W73" i="5"/>
  <c r="G68" i="6"/>
  <c r="G117" i="6" s="1"/>
  <c r="Z96" i="5"/>
  <c r="V95" i="5"/>
  <c r="AA88" i="5"/>
  <c r="AA100" i="5"/>
  <c r="H55" i="5"/>
  <c r="H63" i="5" s="1"/>
  <c r="I10" i="8"/>
  <c r="I12" i="8"/>
  <c r="R117" i="5"/>
  <c r="AD90" i="5"/>
  <c r="L55" i="5"/>
  <c r="L63" i="5" s="1"/>
  <c r="R114" i="5"/>
  <c r="AE89" i="5"/>
  <c r="AE83" i="5"/>
  <c r="Z80" i="5"/>
  <c r="Z88" i="5"/>
  <c r="Z90" i="5"/>
  <c r="AA96" i="5"/>
  <c r="W80" i="5"/>
  <c r="W95" i="5"/>
  <c r="AK84" i="5"/>
  <c r="P93" i="5"/>
  <c r="AK91" i="5"/>
  <c r="R91" i="5"/>
  <c r="P115" i="6"/>
  <c r="R141" i="5"/>
  <c r="K136" i="5"/>
  <c r="K138" i="5"/>
  <c r="E116" i="6"/>
  <c r="E88" i="6"/>
  <c r="AB79" i="5"/>
  <c r="AB81" i="5"/>
  <c r="I116" i="5"/>
  <c r="AB84" i="5"/>
  <c r="AB100" i="5"/>
  <c r="AB87" i="5"/>
  <c r="AB96" i="5"/>
  <c r="I85" i="5"/>
  <c r="AB85" i="5" s="1"/>
  <c r="AB76" i="5"/>
  <c r="AB83" i="5"/>
  <c r="AB89" i="5"/>
  <c r="AB95" i="5"/>
  <c r="AB80" i="5"/>
  <c r="AB90" i="5"/>
  <c r="I68" i="6"/>
  <c r="I81" i="6" s="1"/>
  <c r="J47" i="5"/>
  <c r="D88" i="6"/>
  <c r="D115" i="6"/>
  <c r="D116" i="6"/>
  <c r="D76" i="6"/>
  <c r="D94" i="6"/>
  <c r="H107" i="6"/>
  <c r="H87" i="6"/>
  <c r="J27" i="5"/>
  <c r="J37" i="5" s="1"/>
  <c r="V81" i="5"/>
  <c r="V90" i="5"/>
  <c r="D117" i="5"/>
  <c r="V75" i="5"/>
  <c r="C117" i="5"/>
  <c r="V76" i="5"/>
  <c r="V82" i="5"/>
  <c r="V88" i="5"/>
  <c r="V87" i="5"/>
  <c r="H85" i="5"/>
  <c r="AA84" i="5"/>
  <c r="L91" i="5"/>
  <c r="AE91" i="5" s="1"/>
  <c r="AE87" i="5"/>
  <c r="W85" i="5"/>
  <c r="D93" i="5"/>
  <c r="J117" i="5"/>
  <c r="I115" i="5"/>
  <c r="AE90" i="5"/>
  <c r="D114" i="6"/>
  <c r="G85" i="5"/>
  <c r="Z84" i="5"/>
  <c r="V89" i="5"/>
  <c r="I101" i="6"/>
  <c r="E137" i="5"/>
  <c r="E138" i="5"/>
  <c r="AE84" i="5"/>
  <c r="L16" i="5"/>
  <c r="X84" i="5"/>
  <c r="E85" i="5"/>
  <c r="X85" i="5" s="1"/>
  <c r="G9" i="5"/>
  <c r="G8" i="6" s="1"/>
  <c r="G66" i="6" s="1"/>
  <c r="F8" i="6"/>
  <c r="F66" i="6" s="1"/>
  <c r="AB99" i="5"/>
  <c r="B84" i="5"/>
  <c r="B85" i="5" s="1"/>
  <c r="U80" i="5"/>
  <c r="D85" i="6"/>
  <c r="AB82" i="5"/>
  <c r="Y95" i="5"/>
  <c r="Y87" i="5"/>
  <c r="Y76" i="5"/>
  <c r="Y100" i="5"/>
  <c r="Y89" i="5"/>
  <c r="AK83" i="5"/>
  <c r="F68" i="6"/>
  <c r="F107" i="6" s="1"/>
  <c r="Y90" i="5"/>
  <c r="Y82" i="5"/>
  <c r="Y83" i="5"/>
  <c r="F117" i="5"/>
  <c r="Y88" i="5"/>
  <c r="Y80" i="5"/>
  <c r="Y75" i="5"/>
  <c r="D117" i="6"/>
  <c r="Y79" i="5"/>
  <c r="F106" i="6"/>
  <c r="K137" i="5"/>
  <c r="G109" i="6"/>
  <c r="G114" i="6"/>
  <c r="V96" i="5"/>
  <c r="G117" i="5"/>
  <c r="I16" i="5"/>
  <c r="AD99" i="5"/>
  <c r="AD95" i="5"/>
  <c r="AD96" i="5"/>
  <c r="AD83" i="5"/>
  <c r="K85" i="5"/>
  <c r="K68" i="6"/>
  <c r="K107" i="6" s="1"/>
  <c r="AD76" i="5"/>
  <c r="AD81" i="5"/>
  <c r="AD75" i="5"/>
  <c r="AD100" i="5"/>
  <c r="AD87" i="5"/>
  <c r="AD82" i="5"/>
  <c r="AD91" i="5"/>
  <c r="AE75" i="5"/>
  <c r="AE80" i="5"/>
  <c r="L68" i="6"/>
  <c r="L117" i="6" s="1"/>
  <c r="AE99" i="5"/>
  <c r="L85" i="5"/>
  <c r="AE76" i="5"/>
  <c r="AE96" i="5"/>
  <c r="AE79" i="5"/>
  <c r="AE82" i="5"/>
  <c r="H117" i="6"/>
  <c r="Y99" i="5"/>
  <c r="H37" i="8"/>
  <c r="H45" i="8" s="1"/>
  <c r="H65" i="8" s="1"/>
  <c r="H82" i="8" s="1"/>
  <c r="K111" i="5"/>
  <c r="K73" i="5"/>
  <c r="AB88" i="5"/>
  <c r="Y81" i="5"/>
  <c r="C68" i="6"/>
  <c r="C99" i="6" s="1"/>
  <c r="G16" i="5"/>
  <c r="G114" i="5" s="1"/>
  <c r="H141" i="5"/>
  <c r="H136" i="5" s="1"/>
  <c r="H121" i="5"/>
  <c r="C84" i="5"/>
  <c r="AC95" i="5"/>
  <c r="J68" i="6"/>
  <c r="J97" i="6" s="1"/>
  <c r="W90" i="5"/>
  <c r="W96" i="5"/>
  <c r="AC80" i="5"/>
  <c r="AC75" i="5"/>
  <c r="AA79" i="5"/>
  <c r="X96" i="5"/>
  <c r="X87" i="5"/>
  <c r="W76" i="5"/>
  <c r="W75" i="5"/>
  <c r="W83" i="5"/>
  <c r="B91" i="5"/>
  <c r="U91" i="5" s="1"/>
  <c r="M73" i="8"/>
  <c r="C73" i="8" s="1"/>
  <c r="AF99" i="5"/>
  <c r="V80" i="5"/>
  <c r="AC79" i="5"/>
  <c r="AC100" i="5"/>
  <c r="X90" i="5"/>
  <c r="X81" i="5"/>
  <c r="E117" i="5"/>
  <c r="X80" i="5"/>
  <c r="AC96" i="5"/>
  <c r="J62" i="5"/>
  <c r="M53" i="5"/>
  <c r="AK53" i="5" s="1"/>
  <c r="L121" i="5"/>
  <c r="W88" i="5"/>
  <c r="J73" i="5"/>
  <c r="J111" i="5"/>
  <c r="AC99" i="5"/>
  <c r="J85" i="5"/>
  <c r="F111" i="5"/>
  <c r="AC91" i="5"/>
  <c r="Y91" i="5"/>
  <c r="G37" i="8"/>
  <c r="G45" i="8" s="1"/>
  <c r="G65" i="8" s="1"/>
  <c r="G82" i="8" s="1"/>
  <c r="H104" i="6"/>
  <c r="H109" i="6"/>
  <c r="C96" i="6"/>
  <c r="H85" i="6"/>
  <c r="P86" i="6"/>
  <c r="C101" i="6"/>
  <c r="L106" i="6"/>
  <c r="N106" i="6"/>
  <c r="H77" i="6"/>
  <c r="H81" i="6"/>
  <c r="H96" i="6"/>
  <c r="N79" i="7"/>
  <c r="J66" i="6"/>
  <c r="R14" i="6"/>
  <c r="R16" i="6"/>
  <c r="R15" i="6"/>
  <c r="G110" i="6"/>
  <c r="D86" i="6"/>
  <c r="D99" i="6"/>
  <c r="D98" i="6"/>
  <c r="G88" i="6"/>
  <c r="E78" i="6"/>
  <c r="N87" i="7"/>
  <c r="N83" i="7"/>
  <c r="G101" i="6"/>
  <c r="D109" i="6"/>
  <c r="D96" i="6"/>
  <c r="D101" i="6"/>
  <c r="B24" i="7"/>
  <c r="B28" i="7" s="1"/>
  <c r="G84" i="6"/>
  <c r="A77" i="8"/>
  <c r="E86" i="6"/>
  <c r="D74" i="6"/>
  <c r="E114" i="6"/>
  <c r="G76" i="6"/>
  <c r="D95" i="6"/>
  <c r="D77" i="6"/>
  <c r="D75" i="6"/>
  <c r="D104" i="6"/>
  <c r="G94" i="6"/>
  <c r="G87" i="6"/>
  <c r="G96" i="6"/>
  <c r="G112" i="6"/>
  <c r="E104" i="6"/>
  <c r="E107" i="6"/>
  <c r="D97" i="6"/>
  <c r="D80" i="6"/>
  <c r="G83" i="6"/>
  <c r="E97" i="6"/>
  <c r="D78" i="6"/>
  <c r="D105" i="6"/>
  <c r="D83" i="6"/>
  <c r="D79" i="6"/>
  <c r="G104" i="6"/>
  <c r="C80" i="6"/>
  <c r="D93" i="6"/>
  <c r="G81" i="6"/>
  <c r="D107" i="6"/>
  <c r="D84" i="6"/>
  <c r="D112" i="6"/>
  <c r="G95" i="6"/>
  <c r="N85" i="7"/>
  <c r="B101" i="6"/>
  <c r="J96" i="6"/>
  <c r="A75" i="8"/>
  <c r="E101" i="6"/>
  <c r="C87" i="7"/>
  <c r="D87" i="7" s="1"/>
  <c r="E87" i="7" s="1"/>
  <c r="F87" i="7" s="1"/>
  <c r="G87" i="7" s="1"/>
  <c r="H87" i="7" s="1"/>
  <c r="I87" i="7" s="1"/>
  <c r="J87" i="7" s="1"/>
  <c r="N84" i="7"/>
  <c r="B88" i="7"/>
  <c r="F105" i="6"/>
  <c r="F80" i="6"/>
  <c r="M105" i="7"/>
  <c r="O99" i="7"/>
  <c r="B74" i="6"/>
  <c r="F110" i="6"/>
  <c r="F85" i="6"/>
  <c r="F115" i="6"/>
  <c r="F77" i="6"/>
  <c r="O100" i="7"/>
  <c r="N100" i="7"/>
  <c r="N86" i="7"/>
  <c r="B93" i="6"/>
  <c r="B116" i="6"/>
  <c r="J86" i="6"/>
  <c r="F97" i="6"/>
  <c r="O80" i="7"/>
  <c r="N91" i="7"/>
  <c r="N104" i="7"/>
  <c r="B98" i="6"/>
  <c r="F104" i="6"/>
  <c r="F94" i="6"/>
  <c r="O105" i="7"/>
  <c r="N99" i="7"/>
  <c r="I107" i="6"/>
  <c r="B115" i="6"/>
  <c r="H114" i="6"/>
  <c r="H84" i="6"/>
  <c r="F111" i="6"/>
  <c r="E81" i="6"/>
  <c r="E117" i="6"/>
  <c r="F84" i="6"/>
  <c r="A110" i="7"/>
  <c r="N92" i="7"/>
  <c r="N94" i="7"/>
  <c r="B114" i="6"/>
  <c r="N101" i="7"/>
  <c r="B99" i="6"/>
  <c r="N105" i="7"/>
  <c r="B95" i="6"/>
  <c r="H115" i="6"/>
  <c r="H94" i="6"/>
  <c r="A73" i="8"/>
  <c r="O93" i="7"/>
  <c r="P97" i="5"/>
  <c r="AI93" i="5"/>
  <c r="AI91" i="5"/>
  <c r="P111" i="6"/>
  <c r="P80" i="6"/>
  <c r="P107" i="6"/>
  <c r="P110" i="6"/>
  <c r="P117" i="6"/>
  <c r="B36" i="7"/>
  <c r="P96" i="6"/>
  <c r="P87" i="6"/>
  <c r="B112" i="6"/>
  <c r="B107" i="6"/>
  <c r="J83" i="6"/>
  <c r="E98" i="6"/>
  <c r="P109" i="6"/>
  <c r="P84" i="6"/>
  <c r="P104" i="6"/>
  <c r="P77" i="6"/>
  <c r="N93" i="7"/>
  <c r="P106" i="6"/>
  <c r="H112" i="6"/>
  <c r="H111" i="6"/>
  <c r="B96" i="6"/>
  <c r="B78" i="6"/>
  <c r="B97" i="6"/>
  <c r="H76" i="6"/>
  <c r="J87" i="6"/>
  <c r="H98" i="6"/>
  <c r="A80" i="8"/>
  <c r="F98" i="6"/>
  <c r="F88" i="6"/>
  <c r="E83" i="6"/>
  <c r="E77" i="6"/>
  <c r="F95" i="6"/>
  <c r="F101" i="6"/>
  <c r="P114" i="6"/>
  <c r="P85" i="6"/>
  <c r="E111" i="6"/>
  <c r="E109" i="6"/>
  <c r="P98" i="6"/>
  <c r="P76" i="6"/>
  <c r="P95" i="6"/>
  <c r="H106" i="6"/>
  <c r="B94" i="6"/>
  <c r="B109" i="6"/>
  <c r="B105" i="6"/>
  <c r="B86" i="6"/>
  <c r="H116" i="6"/>
  <c r="H86" i="6"/>
  <c r="H88" i="6"/>
  <c r="C115" i="6"/>
  <c r="J94" i="6"/>
  <c r="H83" i="6"/>
  <c r="M100" i="7"/>
  <c r="F78" i="6"/>
  <c r="E106" i="6"/>
  <c r="E84" i="6"/>
  <c r="E99" i="6"/>
  <c r="F114" i="6"/>
  <c r="F117" i="6"/>
  <c r="P83" i="6"/>
  <c r="P94" i="6"/>
  <c r="B79" i="6"/>
  <c r="E94" i="6"/>
  <c r="F76" i="6"/>
  <c r="P101" i="6"/>
  <c r="P78" i="6"/>
  <c r="P97" i="6"/>
  <c r="J106" i="6"/>
  <c r="H99" i="6"/>
  <c r="B84" i="6"/>
  <c r="B77" i="6"/>
  <c r="B111" i="6"/>
  <c r="J81" i="6"/>
  <c r="H95" i="6"/>
  <c r="M96" i="7"/>
  <c r="F81" i="6"/>
  <c r="F75" i="6"/>
  <c r="E115" i="6"/>
  <c r="E80" i="6"/>
  <c r="E95" i="6"/>
  <c r="F109" i="6"/>
  <c r="F112" i="6"/>
  <c r="M4" i="7"/>
  <c r="P88" i="6"/>
  <c r="P112" i="6"/>
  <c r="K99" i="6"/>
  <c r="P116" i="6"/>
  <c r="B81" i="6"/>
  <c r="L105" i="6"/>
  <c r="K94" i="6"/>
  <c r="F116" i="6"/>
  <c r="P105" i="6"/>
  <c r="P81" i="6"/>
  <c r="P99" i="6"/>
  <c r="K106" i="6"/>
  <c r="B117" i="6"/>
  <c r="B104" i="6"/>
  <c r="M92" i="7"/>
  <c r="F86" i="6"/>
  <c r="F83" i="6"/>
  <c r="E75" i="6"/>
  <c r="E76" i="6"/>
  <c r="E85" i="6"/>
  <c r="F99" i="6"/>
  <c r="H97" i="6"/>
  <c r="I66" i="6"/>
  <c r="M38" i="8"/>
  <c r="C38" i="8" s="1"/>
  <c r="C42" i="7" s="1"/>
  <c r="D50" i="7" s="1"/>
  <c r="O71" i="6"/>
  <c r="O30" i="6"/>
  <c r="A167" i="7"/>
  <c r="A156" i="7"/>
  <c r="H101" i="6"/>
  <c r="O106" i="6"/>
  <c r="E93" i="5"/>
  <c r="X91" i="5"/>
  <c r="G141" i="5"/>
  <c r="G136" i="5" s="1"/>
  <c r="F85" i="5"/>
  <c r="Y84" i="5"/>
  <c r="F55" i="5"/>
  <c r="F63" i="5" s="1"/>
  <c r="I106" i="6"/>
  <c r="L9" i="5"/>
  <c r="J114" i="5"/>
  <c r="V91" i="5"/>
  <c r="I53" i="5"/>
  <c r="M114" i="5"/>
  <c r="J132" i="5"/>
  <c r="L36" i="5"/>
  <c r="L122" i="5"/>
  <c r="L37" i="5"/>
  <c r="I132" i="5"/>
  <c r="H36" i="5"/>
  <c r="H37" i="5"/>
  <c r="AA27" i="5" s="1"/>
  <c r="H122" i="5"/>
  <c r="K36" i="5"/>
  <c r="K122" i="5"/>
  <c r="K37" i="5"/>
  <c r="AA9" i="5"/>
  <c r="H111" i="5" s="1"/>
  <c r="G111" i="5"/>
  <c r="Z85" i="5"/>
  <c r="G93" i="5"/>
  <c r="F73" i="5"/>
  <c r="X73" i="5"/>
  <c r="AB73" i="5"/>
  <c r="I111" i="5" s="1"/>
  <c r="D37" i="5"/>
  <c r="W16" i="5" s="1"/>
  <c r="D114" i="5"/>
  <c r="B132" i="5"/>
  <c r="B37" i="5"/>
  <c r="U27" i="5" s="1"/>
  <c r="B36" i="5"/>
  <c r="C27" i="5"/>
  <c r="C132" i="5" s="1"/>
  <c r="E27" i="5"/>
  <c r="D36" i="5"/>
  <c r="W53" i="5"/>
  <c r="D55" i="5"/>
  <c r="W55" i="5" s="1"/>
  <c r="G121" i="5"/>
  <c r="G55" i="5"/>
  <c r="D121" i="5"/>
  <c r="D141" i="5"/>
  <c r="D136" i="5" s="1"/>
  <c r="D122" i="5"/>
  <c r="B121" i="5"/>
  <c r="B141" i="5"/>
  <c r="B63" i="5"/>
  <c r="B120" i="5"/>
  <c r="B122" i="5"/>
  <c r="C85" i="5"/>
  <c r="V84" i="5"/>
  <c r="AD53" i="5"/>
  <c r="K121" i="5"/>
  <c r="K55" i="5"/>
  <c r="F141" i="5"/>
  <c r="F121" i="5"/>
  <c r="F122" i="5"/>
  <c r="F114" i="5"/>
  <c r="F37" i="5"/>
  <c r="D15" i="7"/>
  <c r="E15" i="7" s="1"/>
  <c r="F15" i="7" s="1"/>
  <c r="G15" i="7" s="1"/>
  <c r="H15" i="7" s="1"/>
  <c r="I15" i="7" s="1"/>
  <c r="J15" i="7" s="1"/>
  <c r="K15" i="7" s="1"/>
  <c r="B17" i="7"/>
  <c r="C114" i="5"/>
  <c r="C37" i="5"/>
  <c r="V62" i="5" s="1"/>
  <c r="G122" i="5"/>
  <c r="G36" i="5"/>
  <c r="H132" i="5"/>
  <c r="C55" i="5"/>
  <c r="E55" i="5"/>
  <c r="E121" i="5"/>
  <c r="C141" i="5"/>
  <c r="C136" i="5" s="1"/>
  <c r="C122" i="5"/>
  <c r="C121" i="5"/>
  <c r="J121" i="5"/>
  <c r="J141" i="5"/>
  <c r="J136" i="5" s="1"/>
  <c r="J122" i="5"/>
  <c r="G132" i="5"/>
  <c r="F36" i="5"/>
  <c r="Y36" i="5" s="1"/>
  <c r="D79" i="7"/>
  <c r="E79" i="7" s="1"/>
  <c r="F79" i="7" s="1"/>
  <c r="G79" i="7" s="1"/>
  <c r="H79" i="7" s="1"/>
  <c r="I79" i="7" s="1"/>
  <c r="J79" i="7" s="1"/>
  <c r="H78" i="6"/>
  <c r="H105" i="6"/>
  <c r="G106" i="6"/>
  <c r="I117" i="5"/>
  <c r="I62" i="5"/>
  <c r="AB75" i="5"/>
  <c r="M9" i="5"/>
  <c r="M117" i="5"/>
  <c r="M121" i="5"/>
  <c r="N95" i="7"/>
  <c r="M116" i="5"/>
  <c r="M122" i="5"/>
  <c r="B48" i="7"/>
  <c r="B57" i="7" s="1"/>
  <c r="B65" i="7" s="1"/>
  <c r="M67" i="8"/>
  <c r="C67" i="8" s="1"/>
  <c r="C85" i="7" s="1"/>
  <c r="C24" i="7"/>
  <c r="O104" i="7"/>
  <c r="R122" i="5"/>
  <c r="AI27" i="5"/>
  <c r="I116" i="6"/>
  <c r="I109" i="6"/>
  <c r="P108" i="6"/>
  <c r="M68" i="6"/>
  <c r="M80" i="6" s="1"/>
  <c r="AF76" i="5"/>
  <c r="AF80" i="5"/>
  <c r="AF82" i="5"/>
  <c r="AF84" i="5"/>
  <c r="AF87" i="5"/>
  <c r="AF89" i="5"/>
  <c r="AF91" i="5"/>
  <c r="AF95" i="5"/>
  <c r="AF100" i="5"/>
  <c r="AF75" i="5"/>
  <c r="AF79" i="5"/>
  <c r="AF81" i="5"/>
  <c r="AF83" i="5"/>
  <c r="AF88" i="5"/>
  <c r="AF90" i="5"/>
  <c r="M77" i="8" s="1"/>
  <c r="O95" i="7" s="1"/>
  <c r="AF96" i="5"/>
  <c r="M55" i="6"/>
  <c r="M55" i="5"/>
  <c r="M63" i="5" s="1"/>
  <c r="M36" i="5"/>
  <c r="A74" i="7"/>
  <c r="D77" i="7"/>
  <c r="P9" i="7"/>
  <c r="P77" i="7"/>
  <c r="D119" i="7" s="1"/>
  <c r="E9" i="7"/>
  <c r="M106" i="6"/>
  <c r="M37" i="5"/>
  <c r="C46" i="7"/>
  <c r="M85" i="5"/>
  <c r="E23" i="7"/>
  <c r="I20" i="7" l="1"/>
  <c r="H26" i="7"/>
  <c r="M10" i="8"/>
  <c r="K109" i="6"/>
  <c r="J101" i="6"/>
  <c r="K110" i="6"/>
  <c r="J77" i="6"/>
  <c r="G98" i="6"/>
  <c r="G77" i="6"/>
  <c r="G97" i="6"/>
  <c r="G80" i="6"/>
  <c r="I112" i="6"/>
  <c r="K88" i="6"/>
  <c r="J114" i="6"/>
  <c r="I110" i="6"/>
  <c r="C94" i="6"/>
  <c r="J111" i="6"/>
  <c r="I84" i="6"/>
  <c r="I96" i="6"/>
  <c r="K108" i="6"/>
  <c r="K111" i="6"/>
  <c r="AK85" i="5"/>
  <c r="R85" i="5"/>
  <c r="R109" i="6"/>
  <c r="B122" i="7"/>
  <c r="R136" i="5"/>
  <c r="R87" i="6"/>
  <c r="R98" i="6"/>
  <c r="R111" i="6"/>
  <c r="R55" i="5"/>
  <c r="AK55" i="5"/>
  <c r="R114" i="6"/>
  <c r="L97" i="6"/>
  <c r="L120" i="5"/>
  <c r="R94" i="6"/>
  <c r="R101" i="6"/>
  <c r="AK62" i="5"/>
  <c r="I111" i="6"/>
  <c r="G37" i="5"/>
  <c r="AK44" i="5"/>
  <c r="AK19" i="5"/>
  <c r="AK25" i="5"/>
  <c r="AK15" i="5"/>
  <c r="AK61" i="5"/>
  <c r="AK49" i="5"/>
  <c r="AK43" i="5"/>
  <c r="AK60" i="5"/>
  <c r="AK33" i="5"/>
  <c r="AK32" i="5"/>
  <c r="AK45" i="5"/>
  <c r="AK30" i="5"/>
  <c r="R37" i="5"/>
  <c r="AK42" i="5"/>
  <c r="AK46" i="5"/>
  <c r="AK51" i="5"/>
  <c r="AK52" i="5"/>
  <c r="AK14" i="5"/>
  <c r="AK13" i="5"/>
  <c r="AK20" i="5"/>
  <c r="AK31" i="5"/>
  <c r="AK37" i="5"/>
  <c r="AK12" i="5"/>
  <c r="AK50" i="5"/>
  <c r="AK57" i="5"/>
  <c r="AK41" i="5"/>
  <c r="AK34" i="5"/>
  <c r="M46" i="8"/>
  <c r="L81" i="6"/>
  <c r="L84" i="6"/>
  <c r="C107" i="6"/>
  <c r="G107" i="6"/>
  <c r="G85" i="6"/>
  <c r="G105" i="6"/>
  <c r="G116" i="6"/>
  <c r="C84" i="6"/>
  <c r="R95" i="6"/>
  <c r="R80" i="6"/>
  <c r="R116" i="6"/>
  <c r="R68" i="6"/>
  <c r="H120" i="5"/>
  <c r="R85" i="6"/>
  <c r="R104" i="6"/>
  <c r="O85" i="7"/>
  <c r="J36" i="5"/>
  <c r="L107" i="6"/>
  <c r="R106" i="6"/>
  <c r="I77" i="6"/>
  <c r="K132" i="5"/>
  <c r="L111" i="6"/>
  <c r="L87" i="6"/>
  <c r="C116" i="6"/>
  <c r="R107" i="6"/>
  <c r="R81" i="6"/>
  <c r="M85" i="6"/>
  <c r="I104" i="6"/>
  <c r="F120" i="5"/>
  <c r="L98" i="6"/>
  <c r="C79" i="6"/>
  <c r="R137" i="5"/>
  <c r="G86" i="6"/>
  <c r="G111" i="6"/>
  <c r="G115" i="6"/>
  <c r="I99" i="6"/>
  <c r="R116" i="5"/>
  <c r="B124" i="7" s="1"/>
  <c r="R83" i="6"/>
  <c r="R84" i="6"/>
  <c r="R96" i="6"/>
  <c r="R77" i="6"/>
  <c r="R27" i="5"/>
  <c r="AK27" i="5"/>
  <c r="AK35" i="5"/>
  <c r="R78" i="6"/>
  <c r="R99" i="6"/>
  <c r="R88" i="6"/>
  <c r="R79" i="6"/>
  <c r="R110" i="6"/>
  <c r="R112" i="6"/>
  <c r="D63" i="5"/>
  <c r="W63" i="5" s="1"/>
  <c r="C97" i="6"/>
  <c r="R105" i="6"/>
  <c r="I78" i="6"/>
  <c r="R36" i="5"/>
  <c r="AK36" i="5"/>
  <c r="C117" i="6"/>
  <c r="C83" i="6"/>
  <c r="L85" i="6"/>
  <c r="L99" i="6"/>
  <c r="N88" i="7"/>
  <c r="G99" i="6"/>
  <c r="G78" i="6"/>
  <c r="R108" i="6"/>
  <c r="R97" i="6"/>
  <c r="R76" i="6"/>
  <c r="R86" i="6"/>
  <c r="AK23" i="5"/>
  <c r="R93" i="5"/>
  <c r="J93" i="5"/>
  <c r="AC85" i="5"/>
  <c r="AD85" i="5"/>
  <c r="K93" i="5"/>
  <c r="AK93" i="5" s="1"/>
  <c r="AA85" i="5"/>
  <c r="H93" i="5"/>
  <c r="K97" i="6"/>
  <c r="K76" i="6"/>
  <c r="J115" i="5"/>
  <c r="B123" i="7" s="1"/>
  <c r="J76" i="6"/>
  <c r="J107" i="6"/>
  <c r="J85" i="6"/>
  <c r="J84" i="6"/>
  <c r="J99" i="6"/>
  <c r="D97" i="5"/>
  <c r="D127" i="5" s="1"/>
  <c r="D123" i="5"/>
  <c r="W93" i="5"/>
  <c r="I105" i="6"/>
  <c r="C114" i="6"/>
  <c r="C104" i="6"/>
  <c r="C95" i="6"/>
  <c r="AF16" i="5"/>
  <c r="L108" i="6"/>
  <c r="I87" i="6"/>
  <c r="U84" i="5"/>
  <c r="I114" i="6"/>
  <c r="I108" i="6"/>
  <c r="W62" i="5"/>
  <c r="I80" i="6"/>
  <c r="J116" i="6"/>
  <c r="L101" i="6"/>
  <c r="L110" i="6"/>
  <c r="J80" i="6"/>
  <c r="C88" i="6"/>
  <c r="L78" i="6"/>
  <c r="J78" i="6"/>
  <c r="C93" i="6"/>
  <c r="L115" i="6"/>
  <c r="L83" i="6"/>
  <c r="C78" i="6"/>
  <c r="C86" i="6"/>
  <c r="C112" i="6"/>
  <c r="C98" i="6"/>
  <c r="R138" i="5"/>
  <c r="I37" i="5"/>
  <c r="AK22" i="5" s="1"/>
  <c r="I114" i="5"/>
  <c r="M68" i="8"/>
  <c r="C68" i="8" s="1"/>
  <c r="H138" i="5"/>
  <c r="H137" i="5"/>
  <c r="K83" i="6"/>
  <c r="K78" i="6"/>
  <c r="K86" i="6"/>
  <c r="R33" i="6"/>
  <c r="M73" i="5"/>
  <c r="M111" i="5"/>
  <c r="K104" i="6"/>
  <c r="K98" i="6"/>
  <c r="K85" i="6"/>
  <c r="J108" i="6"/>
  <c r="I88" i="6"/>
  <c r="AC16" i="5"/>
  <c r="U63" i="5"/>
  <c r="D120" i="5"/>
  <c r="W35" i="5"/>
  <c r="AD27" i="5"/>
  <c r="K114" i="6"/>
  <c r="L86" i="6"/>
  <c r="L112" i="6"/>
  <c r="C77" i="6"/>
  <c r="L80" i="6"/>
  <c r="K80" i="6"/>
  <c r="K101" i="6"/>
  <c r="K81" i="6"/>
  <c r="L95" i="6"/>
  <c r="K116" i="6"/>
  <c r="I86" i="6"/>
  <c r="J95" i="6"/>
  <c r="C105" i="6"/>
  <c r="C109" i="6"/>
  <c r="K139" i="5"/>
  <c r="L93" i="5"/>
  <c r="AE85" i="5"/>
  <c r="K87" i="6"/>
  <c r="K95" i="6"/>
  <c r="R132" i="5"/>
  <c r="B139" i="7" s="1"/>
  <c r="K77" i="6"/>
  <c r="I93" i="5"/>
  <c r="I97" i="5" s="1"/>
  <c r="L116" i="6"/>
  <c r="L76" i="6"/>
  <c r="L96" i="6"/>
  <c r="L88" i="6"/>
  <c r="J110" i="6"/>
  <c r="J105" i="6"/>
  <c r="B125" i="7"/>
  <c r="I83" i="6"/>
  <c r="I76" i="6"/>
  <c r="I85" i="6"/>
  <c r="I98" i="6"/>
  <c r="I94" i="6"/>
  <c r="I95" i="6"/>
  <c r="U35" i="5"/>
  <c r="L111" i="5"/>
  <c r="L73" i="5"/>
  <c r="J55" i="5"/>
  <c r="L109" i="6"/>
  <c r="J104" i="6"/>
  <c r="J109" i="6"/>
  <c r="L114" i="6"/>
  <c r="K96" i="6"/>
  <c r="L77" i="6"/>
  <c r="J88" i="6"/>
  <c r="I97" i="6"/>
  <c r="J98" i="6"/>
  <c r="L94" i="6"/>
  <c r="K84" i="6"/>
  <c r="K105" i="6"/>
  <c r="K112" i="6"/>
  <c r="L104" i="6"/>
  <c r="J112" i="6"/>
  <c r="AI97" i="5"/>
  <c r="M94" i="6"/>
  <c r="M98" i="6"/>
  <c r="B37" i="7"/>
  <c r="B38" i="7" s="1"/>
  <c r="N37" i="7" s="1"/>
  <c r="M95" i="6"/>
  <c r="M117" i="6"/>
  <c r="M76" i="6"/>
  <c r="B89" i="7"/>
  <c r="N89" i="7" s="1"/>
  <c r="C10" i="8"/>
  <c r="C12" i="7" s="1"/>
  <c r="C92" i="7" s="1"/>
  <c r="O87" i="7"/>
  <c r="M40" i="8"/>
  <c r="M81" i="6"/>
  <c r="C44" i="7"/>
  <c r="M107" i="6"/>
  <c r="M101" i="6"/>
  <c r="M99" i="6"/>
  <c r="M86" i="6"/>
  <c r="P11" i="6"/>
  <c r="E84" i="7"/>
  <c r="F84" i="7" s="1"/>
  <c r="G84" i="7" s="1"/>
  <c r="H84" i="7" s="1"/>
  <c r="I84" i="7" s="1"/>
  <c r="J84" i="7" s="1"/>
  <c r="K84" i="7" s="1"/>
  <c r="M109" i="6"/>
  <c r="M104" i="6"/>
  <c r="M97" i="6"/>
  <c r="M87" i="6"/>
  <c r="M83" i="6"/>
  <c r="M77" i="6"/>
  <c r="M110" i="6"/>
  <c r="M105" i="6"/>
  <c r="M96" i="6"/>
  <c r="M88" i="6"/>
  <c r="M84" i="6"/>
  <c r="M78" i="6"/>
  <c r="M115" i="6"/>
  <c r="M114" i="6"/>
  <c r="R74" i="6"/>
  <c r="R75" i="6"/>
  <c r="M12" i="8"/>
  <c r="C12" i="8" s="1"/>
  <c r="C14" i="7" s="1"/>
  <c r="C125" i="7" s="1"/>
  <c r="M42" i="8"/>
  <c r="O90" i="6"/>
  <c r="A168" i="7"/>
  <c r="A157" i="7"/>
  <c r="D24" i="7"/>
  <c r="D85" i="7"/>
  <c r="U36" i="5"/>
  <c r="AE9" i="5"/>
  <c r="L8" i="6"/>
  <c r="F93" i="5"/>
  <c r="Y85" i="5"/>
  <c r="G137" i="5"/>
  <c r="G138" i="5"/>
  <c r="E123" i="5"/>
  <c r="E97" i="5"/>
  <c r="X93" i="5"/>
  <c r="V35" i="5"/>
  <c r="V55" i="5"/>
  <c r="Z36" i="5"/>
  <c r="I55" i="5"/>
  <c r="I120" i="5" s="1"/>
  <c r="I123" i="5"/>
  <c r="W36" i="5"/>
  <c r="AA36" i="5"/>
  <c r="AA16" i="5"/>
  <c r="AA63" i="5"/>
  <c r="AA52" i="5"/>
  <c r="AA22" i="5"/>
  <c r="AA45" i="5"/>
  <c r="AA33" i="5"/>
  <c r="AA37" i="5"/>
  <c r="AA20" i="5"/>
  <c r="AA34" i="5"/>
  <c r="AA14" i="5"/>
  <c r="AA25" i="5"/>
  <c r="AA13" i="5"/>
  <c r="AA46" i="5"/>
  <c r="AA21" i="5"/>
  <c r="AA12" i="5"/>
  <c r="AA23" i="5"/>
  <c r="AA61" i="5"/>
  <c r="AA35" i="5"/>
  <c r="AA55" i="5"/>
  <c r="AA47" i="5"/>
  <c r="AA50" i="5"/>
  <c r="AA15" i="5"/>
  <c r="AA19" i="5"/>
  <c r="AA51" i="5"/>
  <c r="AA43" i="5"/>
  <c r="AA44" i="5"/>
  <c r="AA42" i="5"/>
  <c r="I133" i="5"/>
  <c r="AA41" i="5"/>
  <c r="AA32" i="5"/>
  <c r="AA49" i="5"/>
  <c r="AA60" i="5"/>
  <c r="AA31" i="5"/>
  <c r="AA57" i="5"/>
  <c r="AA30" i="5"/>
  <c r="AA62" i="5"/>
  <c r="AA53" i="5"/>
  <c r="Y63" i="5"/>
  <c r="AD12" i="5"/>
  <c r="AD32" i="5"/>
  <c r="AD33" i="5"/>
  <c r="AD31" i="5"/>
  <c r="AD14" i="5"/>
  <c r="AD34" i="5"/>
  <c r="AD41" i="5"/>
  <c r="AD35" i="5"/>
  <c r="AD20" i="5"/>
  <c r="AD37" i="5"/>
  <c r="AD21" i="5"/>
  <c r="AD62" i="5"/>
  <c r="AD22" i="5"/>
  <c r="AD42" i="5"/>
  <c r="AD61" i="5"/>
  <c r="AD50" i="5"/>
  <c r="AD25" i="5"/>
  <c r="AD46" i="5"/>
  <c r="AD13" i="5"/>
  <c r="AD57" i="5"/>
  <c r="AD45" i="5"/>
  <c r="AD49" i="5"/>
  <c r="AD19" i="5"/>
  <c r="AD15" i="5"/>
  <c r="AD47" i="5"/>
  <c r="AD44" i="5"/>
  <c r="AD52" i="5"/>
  <c r="AD23" i="5"/>
  <c r="AD43" i="5"/>
  <c r="AD16" i="5"/>
  <c r="AD60" i="5"/>
  <c r="AD30" i="5"/>
  <c r="AD51" i="5"/>
  <c r="AE27" i="5"/>
  <c r="AE53" i="5"/>
  <c r="AE31" i="5"/>
  <c r="AE61" i="5"/>
  <c r="AE57" i="5"/>
  <c r="AE35" i="5"/>
  <c r="AE46" i="5"/>
  <c r="AE22" i="5"/>
  <c r="AE44" i="5"/>
  <c r="AE37" i="5"/>
  <c r="AE43" i="5"/>
  <c r="AE21" i="5"/>
  <c r="AE19" i="5"/>
  <c r="AE14" i="5"/>
  <c r="AE45" i="5"/>
  <c r="AE25" i="5"/>
  <c r="AE41" i="5"/>
  <c r="AE13" i="5"/>
  <c r="AE55" i="5"/>
  <c r="AE62" i="5"/>
  <c r="AE20" i="5"/>
  <c r="AE42" i="5"/>
  <c r="AE34" i="5"/>
  <c r="AE16" i="5"/>
  <c r="AE51" i="5"/>
  <c r="AE49" i="5"/>
  <c r="AE15" i="5"/>
  <c r="AE60" i="5"/>
  <c r="AE12" i="5"/>
  <c r="AE32" i="5"/>
  <c r="AE63" i="5"/>
  <c r="AE33" i="5"/>
  <c r="AE23" i="5"/>
  <c r="AE52" i="5"/>
  <c r="AE50" i="5"/>
  <c r="AE30" i="5"/>
  <c r="AE47" i="5"/>
  <c r="AD36" i="5"/>
  <c r="AE36" i="5"/>
  <c r="J37" i="8"/>
  <c r="AF9" i="5"/>
  <c r="M8" i="6"/>
  <c r="I121" i="5"/>
  <c r="I63" i="5"/>
  <c r="I141" i="5"/>
  <c r="I122" i="5"/>
  <c r="B130" i="7" s="1"/>
  <c r="AB62" i="5"/>
  <c r="D80" i="7"/>
  <c r="B93" i="5"/>
  <c r="U85" i="5"/>
  <c r="V44" i="5"/>
  <c r="V31" i="5"/>
  <c r="V46" i="5"/>
  <c r="V61" i="5"/>
  <c r="V37" i="5"/>
  <c r="V49" i="5"/>
  <c r="V25" i="5"/>
  <c r="V50" i="5"/>
  <c r="V22" i="5"/>
  <c r="V34" i="5"/>
  <c r="V42" i="5"/>
  <c r="V19" i="5"/>
  <c r="V60" i="5"/>
  <c r="V52" i="5"/>
  <c r="V15" i="5"/>
  <c r="D133" i="5"/>
  <c r="V43" i="5"/>
  <c r="V14" i="5"/>
  <c r="V20" i="5"/>
  <c r="V30" i="5"/>
  <c r="V21" i="5"/>
  <c r="V32" i="5"/>
  <c r="V41" i="5"/>
  <c r="V57" i="5"/>
  <c r="V12" i="5"/>
  <c r="V13" i="5"/>
  <c r="V33" i="5"/>
  <c r="V47" i="5"/>
  <c r="F137" i="5"/>
  <c r="F138" i="5"/>
  <c r="B138" i="5"/>
  <c r="B137" i="5"/>
  <c r="G120" i="5"/>
  <c r="G63" i="5"/>
  <c r="Z63" i="5" s="1"/>
  <c r="Z55" i="5"/>
  <c r="U20" i="5"/>
  <c r="U33" i="5"/>
  <c r="U47" i="5"/>
  <c r="U37" i="5"/>
  <c r="U43" i="5"/>
  <c r="U13" i="5"/>
  <c r="C133" i="5"/>
  <c r="U57" i="5"/>
  <c r="U61" i="5"/>
  <c r="U46" i="5"/>
  <c r="U49" i="5"/>
  <c r="U21" i="5"/>
  <c r="U19" i="5"/>
  <c r="U60" i="5"/>
  <c r="U15" i="5"/>
  <c r="U31" i="5"/>
  <c r="U16" i="5"/>
  <c r="U44" i="5"/>
  <c r="U34" i="5"/>
  <c r="U30" i="5"/>
  <c r="B133" i="5"/>
  <c r="U55" i="5"/>
  <c r="U25" i="5"/>
  <c r="U41" i="5"/>
  <c r="U14" i="5"/>
  <c r="U23" i="5"/>
  <c r="U42" i="5"/>
  <c r="U12" i="5"/>
  <c r="U53" i="5"/>
  <c r="U52" i="5"/>
  <c r="U50" i="5"/>
  <c r="U22" i="5"/>
  <c r="U32" i="5"/>
  <c r="U62" i="5"/>
  <c r="AC73" i="5"/>
  <c r="AD73" i="5"/>
  <c r="Z93" i="5"/>
  <c r="G123" i="5"/>
  <c r="G97" i="5"/>
  <c r="V23" i="5"/>
  <c r="J137" i="5"/>
  <c r="J138" i="5"/>
  <c r="C137" i="5"/>
  <c r="C138" i="5"/>
  <c r="E120" i="5"/>
  <c r="E63" i="5"/>
  <c r="Z51" i="5"/>
  <c r="Z37" i="5"/>
  <c r="Z21" i="5"/>
  <c r="Z61" i="5"/>
  <c r="Z34" i="5"/>
  <c r="Z16" i="5"/>
  <c r="Z30" i="5"/>
  <c r="Z49" i="5"/>
  <c r="Z19" i="5"/>
  <c r="Z13" i="5"/>
  <c r="Z50" i="5"/>
  <c r="Z60" i="5"/>
  <c r="Z57" i="5"/>
  <c r="H133" i="5"/>
  <c r="Z44" i="5"/>
  <c r="Z23" i="5"/>
  <c r="Z33" i="5"/>
  <c r="Z62" i="5"/>
  <c r="Z31" i="5"/>
  <c r="Z32" i="5"/>
  <c r="Z47" i="5"/>
  <c r="Z22" i="5"/>
  <c r="Z15" i="5"/>
  <c r="Z41" i="5"/>
  <c r="Z27" i="5"/>
  <c r="Z20" i="5"/>
  <c r="Z14" i="5"/>
  <c r="Z43" i="5"/>
  <c r="Z12" i="5"/>
  <c r="Z25" i="5"/>
  <c r="Z42" i="5"/>
  <c r="Z53" i="5"/>
  <c r="Z52" i="5"/>
  <c r="Z45" i="5"/>
  <c r="Z46" i="5"/>
  <c r="Z35" i="5"/>
  <c r="Y35" i="5"/>
  <c r="G133" i="5"/>
  <c r="Y47" i="5"/>
  <c r="Y49" i="5"/>
  <c r="Y51" i="5"/>
  <c r="Y41" i="5"/>
  <c r="Y37" i="5"/>
  <c r="Y13" i="5"/>
  <c r="Y12" i="5"/>
  <c r="Y15" i="5"/>
  <c r="Y16" i="5"/>
  <c r="Y25" i="5"/>
  <c r="Y19" i="5"/>
  <c r="Y50" i="5"/>
  <c r="Y32" i="5"/>
  <c r="Y61" i="5"/>
  <c r="Y46" i="5"/>
  <c r="Y20" i="5"/>
  <c r="Y27" i="5"/>
  <c r="Y55" i="5"/>
  <c r="Y52" i="5"/>
  <c r="Y21" i="5"/>
  <c r="Y34" i="5"/>
  <c r="Y14" i="5"/>
  <c r="Y42" i="5"/>
  <c r="Y45" i="5"/>
  <c r="Y31" i="5"/>
  <c r="Y53" i="5"/>
  <c r="Y44" i="5"/>
  <c r="Y33" i="5"/>
  <c r="Y57" i="5"/>
  <c r="Y22" i="5"/>
  <c r="Y60" i="5"/>
  <c r="Y30" i="5"/>
  <c r="Y43" i="5"/>
  <c r="Y23" i="5"/>
  <c r="Y62" i="5"/>
  <c r="K120" i="5"/>
  <c r="R120" i="5" s="1"/>
  <c r="AD55" i="5"/>
  <c r="K63" i="5"/>
  <c r="V85" i="5"/>
  <c r="C93" i="5"/>
  <c r="D137" i="5"/>
  <c r="D138" i="5"/>
  <c r="E37" i="5"/>
  <c r="X27" i="5" s="1"/>
  <c r="E122" i="5"/>
  <c r="E132" i="5"/>
  <c r="F132" i="5"/>
  <c r="E36" i="5"/>
  <c r="C36" i="5"/>
  <c r="V36" i="5" s="1"/>
  <c r="D132" i="5"/>
  <c r="V27" i="5"/>
  <c r="W57" i="5"/>
  <c r="W34" i="5"/>
  <c r="W50" i="5"/>
  <c r="W41" i="5"/>
  <c r="W22" i="5"/>
  <c r="W13" i="5"/>
  <c r="W15" i="5"/>
  <c r="W44" i="5"/>
  <c r="W52" i="5"/>
  <c r="W25" i="5"/>
  <c r="W49" i="5"/>
  <c r="W33" i="5"/>
  <c r="W21" i="5"/>
  <c r="W19" i="5"/>
  <c r="W27" i="5"/>
  <c r="W47" i="5"/>
  <c r="W46" i="5"/>
  <c r="W20" i="5"/>
  <c r="W43" i="5"/>
  <c r="W31" i="5"/>
  <c r="W14" i="5"/>
  <c r="W23" i="5"/>
  <c r="W60" i="5"/>
  <c r="W37" i="5"/>
  <c r="W61" i="5"/>
  <c r="W42" i="5"/>
  <c r="W30" i="5"/>
  <c r="W12" i="5"/>
  <c r="W32" i="5"/>
  <c r="Y73" i="5"/>
  <c r="G73" i="5"/>
  <c r="M120" i="5"/>
  <c r="B96" i="7"/>
  <c r="C120" i="5"/>
  <c r="C63" i="5"/>
  <c r="V63" i="5" s="1"/>
  <c r="V53" i="5"/>
  <c r="V16" i="5"/>
  <c r="F136" i="5"/>
  <c r="B136" i="5"/>
  <c r="C28" i="7"/>
  <c r="C51" i="7" s="1"/>
  <c r="AC44" i="5"/>
  <c r="AC41" i="5"/>
  <c r="AC13" i="5"/>
  <c r="AC14" i="5"/>
  <c r="AC12" i="5"/>
  <c r="AC43" i="5"/>
  <c r="AC15" i="5"/>
  <c r="AC20" i="5"/>
  <c r="K133" i="5"/>
  <c r="AC61" i="5"/>
  <c r="AC33" i="5"/>
  <c r="AC52" i="5"/>
  <c r="AC49" i="5"/>
  <c r="AC51" i="5"/>
  <c r="AC35" i="5"/>
  <c r="AC60" i="5"/>
  <c r="AC45" i="5"/>
  <c r="AC36" i="5"/>
  <c r="AC53" i="5"/>
  <c r="AC23" i="5"/>
  <c r="AC37" i="5"/>
  <c r="AC34" i="5"/>
  <c r="AC57" i="5"/>
  <c r="AC31" i="5"/>
  <c r="AC46" i="5"/>
  <c r="AC30" i="5"/>
  <c r="AC62" i="5"/>
  <c r="AC47" i="5"/>
  <c r="AC19" i="5"/>
  <c r="AC25" i="5"/>
  <c r="AC22" i="5"/>
  <c r="AC50" i="5"/>
  <c r="AC21" i="5"/>
  <c r="AC32" i="5"/>
  <c r="AC42" i="5"/>
  <c r="AC55" i="5"/>
  <c r="AC27" i="5"/>
  <c r="O83" i="7"/>
  <c r="AI16" i="5"/>
  <c r="AI61" i="5"/>
  <c r="AI53" i="5"/>
  <c r="AI49" i="5"/>
  <c r="AI44" i="5"/>
  <c r="AI37" i="5"/>
  <c r="AI31" i="5"/>
  <c r="AI19" i="5"/>
  <c r="AI13" i="5"/>
  <c r="AI60" i="5"/>
  <c r="AI52" i="5"/>
  <c r="AI47" i="5"/>
  <c r="AI43" i="5"/>
  <c r="AI34" i="5"/>
  <c r="AI30" i="5"/>
  <c r="AI22" i="5"/>
  <c r="AI14" i="5"/>
  <c r="AI23" i="5"/>
  <c r="AI63" i="5"/>
  <c r="AI57" i="5"/>
  <c r="AI46" i="5"/>
  <c r="AI42" i="5"/>
  <c r="AI33" i="5"/>
  <c r="AI21" i="5"/>
  <c r="AI15" i="5"/>
  <c r="AI62" i="5"/>
  <c r="AI55" i="5"/>
  <c r="AI50" i="5"/>
  <c r="AI41" i="5"/>
  <c r="AI32" i="5"/>
  <c r="AI25" i="5"/>
  <c r="AI20" i="5"/>
  <c r="AI12" i="5"/>
  <c r="AI35" i="5"/>
  <c r="AI36" i="5"/>
  <c r="M111" i="6"/>
  <c r="M108" i="6"/>
  <c r="M93" i="5"/>
  <c r="AF85" i="5"/>
  <c r="M112" i="6"/>
  <c r="M116" i="6"/>
  <c r="AF63" i="5"/>
  <c r="AF61" i="5"/>
  <c r="AF57" i="5"/>
  <c r="AF53" i="5"/>
  <c r="AF51" i="5"/>
  <c r="AF49" i="5"/>
  <c r="AF46" i="5"/>
  <c r="AF44" i="5"/>
  <c r="AF42" i="5"/>
  <c r="AF37" i="5"/>
  <c r="AF35" i="5"/>
  <c r="AF33" i="5"/>
  <c r="AF31" i="5"/>
  <c r="AF27" i="5"/>
  <c r="AF23" i="5"/>
  <c r="AF21" i="5"/>
  <c r="AF19" i="5"/>
  <c r="AF15" i="5"/>
  <c r="AF13" i="5"/>
  <c r="AF62" i="5"/>
  <c r="AF60" i="5"/>
  <c r="AF55" i="5"/>
  <c r="AF52" i="5"/>
  <c r="AF50" i="5"/>
  <c r="AF47" i="5"/>
  <c r="AF45" i="5"/>
  <c r="AF43" i="5"/>
  <c r="AF41" i="5"/>
  <c r="AF36" i="5"/>
  <c r="AF34" i="5"/>
  <c r="AF32" i="5"/>
  <c r="AF30" i="5"/>
  <c r="AF25" i="5"/>
  <c r="AF22" i="5"/>
  <c r="AF20" i="5"/>
  <c r="AF12" i="5"/>
  <c r="AF14" i="5"/>
  <c r="E77" i="7"/>
  <c r="Q77" i="7"/>
  <c r="E119" i="7" s="1"/>
  <c r="F9" i="7"/>
  <c r="Q9" i="7"/>
  <c r="D42" i="7"/>
  <c r="F23" i="7"/>
  <c r="J20" i="7" l="1"/>
  <c r="J26" i="7" s="1"/>
  <c r="I26" i="7"/>
  <c r="C86" i="7"/>
  <c r="J133" i="5"/>
  <c r="C52" i="7"/>
  <c r="R139" i="5"/>
  <c r="H139" i="5"/>
  <c r="E127" i="5"/>
  <c r="AE73" i="5"/>
  <c r="AD63" i="5"/>
  <c r="R63" i="5"/>
  <c r="AK63" i="5"/>
  <c r="G139" i="5"/>
  <c r="X36" i="5"/>
  <c r="AB93" i="5"/>
  <c r="I127" i="5"/>
  <c r="I128" i="5"/>
  <c r="I129" i="5"/>
  <c r="L124" i="5"/>
  <c r="AE93" i="5"/>
  <c r="AM96" i="5" s="1"/>
  <c r="L123" i="5"/>
  <c r="L97" i="5"/>
  <c r="AF73" i="5"/>
  <c r="I124" i="5"/>
  <c r="J120" i="5"/>
  <c r="J63" i="5"/>
  <c r="AB16" i="5"/>
  <c r="J124" i="5"/>
  <c r="J97" i="5"/>
  <c r="AC93" i="5"/>
  <c r="J123" i="5"/>
  <c r="AB55" i="5"/>
  <c r="M39" i="8"/>
  <c r="C39" i="8" s="1"/>
  <c r="B129" i="7"/>
  <c r="W99" i="5"/>
  <c r="W97" i="5"/>
  <c r="D11" i="6"/>
  <c r="D129" i="5"/>
  <c r="W100" i="5"/>
  <c r="D128" i="5"/>
  <c r="AM42" i="5"/>
  <c r="AK99" i="5"/>
  <c r="AK100" i="5"/>
  <c r="AB51" i="5"/>
  <c r="AB50" i="5"/>
  <c r="AB41" i="5"/>
  <c r="AB12" i="5"/>
  <c r="AB45" i="5"/>
  <c r="AB43" i="5"/>
  <c r="AB32" i="5"/>
  <c r="AB57" i="5"/>
  <c r="AB46" i="5"/>
  <c r="AB42" i="5"/>
  <c r="AB31" i="5"/>
  <c r="AB20" i="5"/>
  <c r="AB37" i="5"/>
  <c r="AB30" i="5"/>
  <c r="AB21" i="5"/>
  <c r="AB34" i="5"/>
  <c r="AB60" i="5"/>
  <c r="AB22" i="5"/>
  <c r="AB14" i="5"/>
  <c r="AB27" i="5"/>
  <c r="AB44" i="5"/>
  <c r="AB52" i="5"/>
  <c r="AB33" i="5"/>
  <c r="AB49" i="5"/>
  <c r="AB61" i="5"/>
  <c r="AB23" i="5"/>
  <c r="AB35" i="5"/>
  <c r="AB25" i="5"/>
  <c r="AB13" i="5"/>
  <c r="AB47" i="5"/>
  <c r="AB19" i="5"/>
  <c r="AB15" i="5"/>
  <c r="AB36" i="5"/>
  <c r="AK21" i="5"/>
  <c r="AB53" i="5"/>
  <c r="K124" i="5"/>
  <c r="AD93" i="5"/>
  <c r="K97" i="5"/>
  <c r="K123" i="5"/>
  <c r="R133" i="5"/>
  <c r="B140" i="7" s="1"/>
  <c r="H123" i="5"/>
  <c r="AA93" i="5"/>
  <c r="H97" i="5"/>
  <c r="J45" i="8"/>
  <c r="J65" i="8" s="1"/>
  <c r="J82" i="8" s="1"/>
  <c r="I37" i="8"/>
  <c r="I45" i="8" s="1"/>
  <c r="I65" i="8" s="1"/>
  <c r="I82" i="8" s="1"/>
  <c r="D28" i="7"/>
  <c r="P83" i="7"/>
  <c r="D46" i="7"/>
  <c r="M14" i="8"/>
  <c r="M30" i="8"/>
  <c r="M32" i="8"/>
  <c r="M43" i="8"/>
  <c r="C43" i="8" s="1"/>
  <c r="P85" i="7"/>
  <c r="P30" i="6"/>
  <c r="P71" i="6"/>
  <c r="M41" i="8"/>
  <c r="C41" i="8" s="1"/>
  <c r="O84" i="7"/>
  <c r="E50" i="7"/>
  <c r="E42" i="7" s="1"/>
  <c r="C139" i="7"/>
  <c r="O92" i="7"/>
  <c r="K45" i="8"/>
  <c r="K65" i="8" s="1"/>
  <c r="K82" i="8" s="1"/>
  <c r="A169" i="7"/>
  <c r="A158" i="7"/>
  <c r="E85" i="7"/>
  <c r="E24" i="7"/>
  <c r="E128" i="5"/>
  <c r="X97" i="5"/>
  <c r="X100" i="5"/>
  <c r="E11" i="6"/>
  <c r="X99" i="5"/>
  <c r="E129" i="5"/>
  <c r="L66" i="6"/>
  <c r="E133" i="5"/>
  <c r="J139" i="5"/>
  <c r="I11" i="6"/>
  <c r="AB97" i="5"/>
  <c r="F123" i="5"/>
  <c r="F97" i="5"/>
  <c r="F127" i="5" s="1"/>
  <c r="Y93" i="5"/>
  <c r="X37" i="5"/>
  <c r="X61" i="5"/>
  <c r="X34" i="5"/>
  <c r="X22" i="5"/>
  <c r="X16" i="5"/>
  <c r="X46" i="5"/>
  <c r="X62" i="5"/>
  <c r="X32" i="5"/>
  <c r="X21" i="5"/>
  <c r="X14" i="5"/>
  <c r="X41" i="5"/>
  <c r="X57" i="5"/>
  <c r="X13" i="5"/>
  <c r="X43" i="5"/>
  <c r="X31" i="5"/>
  <c r="X60" i="5"/>
  <c r="X30" i="5"/>
  <c r="X47" i="5"/>
  <c r="X50" i="5"/>
  <c r="X25" i="5"/>
  <c r="X33" i="5"/>
  <c r="X19" i="5"/>
  <c r="X49" i="5"/>
  <c r="X52" i="5"/>
  <c r="X44" i="5"/>
  <c r="X15" i="5"/>
  <c r="X42" i="5"/>
  <c r="X12" i="5"/>
  <c r="F133" i="5"/>
  <c r="X35" i="5"/>
  <c r="X23" i="5"/>
  <c r="X53" i="5"/>
  <c r="G11" i="6"/>
  <c r="G128" i="5"/>
  <c r="G127" i="5"/>
  <c r="G129" i="5"/>
  <c r="Z97" i="5"/>
  <c r="B123" i="5"/>
  <c r="B97" i="5"/>
  <c r="U93" i="5"/>
  <c r="E80" i="7"/>
  <c r="M66" i="6"/>
  <c r="X63" i="5"/>
  <c r="AF93" i="5"/>
  <c r="M124" i="5"/>
  <c r="M123" i="5"/>
  <c r="N96" i="7"/>
  <c r="B98" i="7"/>
  <c r="B102" i="7" s="1"/>
  <c r="H73" i="5"/>
  <c r="AA73" i="5" s="1"/>
  <c r="Z73" i="5"/>
  <c r="V93" i="5"/>
  <c r="C123" i="5"/>
  <c r="C97" i="5"/>
  <c r="P79" i="7"/>
  <c r="P80" i="7"/>
  <c r="P105" i="7"/>
  <c r="P95" i="7"/>
  <c r="P100" i="7"/>
  <c r="P104" i="7"/>
  <c r="P84" i="7"/>
  <c r="P93" i="7"/>
  <c r="D44" i="7"/>
  <c r="P99" i="7"/>
  <c r="D12" i="7"/>
  <c r="P87" i="7"/>
  <c r="I138" i="5"/>
  <c r="B145" i="7" s="1"/>
  <c r="I137" i="5"/>
  <c r="B144" i="7" s="1"/>
  <c r="AB63" i="5"/>
  <c r="M97" i="5"/>
  <c r="M11" i="6" s="1"/>
  <c r="X55" i="5"/>
  <c r="B128" i="7"/>
  <c r="I136" i="5"/>
  <c r="D14" i="7"/>
  <c r="D125" i="7" s="1"/>
  <c r="G9" i="7"/>
  <c r="F77" i="7"/>
  <c r="R77" i="7"/>
  <c r="F119" i="7" s="1"/>
  <c r="R9" i="7"/>
  <c r="G23" i="7"/>
  <c r="F24" i="7"/>
  <c r="N17" i="7"/>
  <c r="N15" i="7"/>
  <c r="N52" i="7"/>
  <c r="N31" i="7"/>
  <c r="N32" i="7"/>
  <c r="N26" i="7"/>
  <c r="N23" i="7"/>
  <c r="N35" i="7"/>
  <c r="N21" i="7"/>
  <c r="N47" i="7"/>
  <c r="N44" i="7"/>
  <c r="N48" i="7"/>
  <c r="N62" i="7"/>
  <c r="N36" i="7"/>
  <c r="N46" i="7"/>
  <c r="N14" i="7"/>
  <c r="N51" i="7"/>
  <c r="N13" i="7"/>
  <c r="N54" i="7"/>
  <c r="N33" i="7"/>
  <c r="N45" i="7"/>
  <c r="N22" i="7"/>
  <c r="N55" i="7"/>
  <c r="N34" i="7"/>
  <c r="N59" i="7"/>
  <c r="N64" i="7"/>
  <c r="N20" i="7"/>
  <c r="N57" i="7"/>
  <c r="N38" i="7"/>
  <c r="N50" i="7"/>
  <c r="N63" i="7"/>
  <c r="N43" i="7"/>
  <c r="N42" i="7"/>
  <c r="N24" i="7"/>
  <c r="C166" i="7"/>
  <c r="B166" i="7" s="1"/>
  <c r="N16" i="7"/>
  <c r="N12" i="7"/>
  <c r="N65" i="7"/>
  <c r="N28" i="7"/>
  <c r="D86" i="7" l="1"/>
  <c r="D88" i="7" s="1"/>
  <c r="D89" i="7" s="1"/>
  <c r="P89" i="7" s="1"/>
  <c r="D51" i="7"/>
  <c r="D52" i="7"/>
  <c r="R123" i="5"/>
  <c r="R97" i="5"/>
  <c r="AK97" i="5"/>
  <c r="R124" i="5"/>
  <c r="P90" i="6"/>
  <c r="L129" i="5"/>
  <c r="L11" i="6"/>
  <c r="AE97" i="5"/>
  <c r="L128" i="5"/>
  <c r="L127" i="5"/>
  <c r="AA97" i="5"/>
  <c r="H11" i="6"/>
  <c r="H128" i="5"/>
  <c r="H129" i="5"/>
  <c r="H127" i="5"/>
  <c r="AC63" i="5"/>
  <c r="M83" i="8"/>
  <c r="D30" i="6"/>
  <c r="D90" i="6" s="1"/>
  <c r="D71" i="6"/>
  <c r="AC97" i="5"/>
  <c r="J11" i="6"/>
  <c r="J128" i="5"/>
  <c r="J129" i="5"/>
  <c r="J127" i="5"/>
  <c r="AD97" i="5"/>
  <c r="K11" i="6"/>
  <c r="K129" i="5"/>
  <c r="K128" i="5"/>
  <c r="K127" i="5"/>
  <c r="D139" i="7"/>
  <c r="AF97" i="5"/>
  <c r="B131" i="7"/>
  <c r="Q83" i="7"/>
  <c r="Q104" i="7"/>
  <c r="F50" i="7"/>
  <c r="F42" i="7" s="1"/>
  <c r="O86" i="7"/>
  <c r="D92" i="7"/>
  <c r="P92" i="7" s="1"/>
  <c r="A159" i="7"/>
  <c r="A170" i="7"/>
  <c r="F28" i="7"/>
  <c r="F85" i="7"/>
  <c r="I30" i="6"/>
  <c r="I71" i="6"/>
  <c r="F11" i="6"/>
  <c r="F129" i="5"/>
  <c r="Y97" i="5"/>
  <c r="F128" i="5"/>
  <c r="E30" i="6"/>
  <c r="E90" i="6" s="1"/>
  <c r="E71" i="6"/>
  <c r="Q95" i="7"/>
  <c r="Q80" i="7"/>
  <c r="Q100" i="7"/>
  <c r="Q87" i="7"/>
  <c r="E44" i="7"/>
  <c r="Q79" i="7"/>
  <c r="E12" i="7"/>
  <c r="Q85" i="7"/>
  <c r="Q99" i="7"/>
  <c r="E14" i="7"/>
  <c r="E125" i="7" s="1"/>
  <c r="Q93" i="7"/>
  <c r="Q84" i="7"/>
  <c r="E46" i="7"/>
  <c r="Q105" i="7"/>
  <c r="V100" i="5"/>
  <c r="V97" i="5"/>
  <c r="C11" i="6"/>
  <c r="C127" i="5"/>
  <c r="V99" i="5"/>
  <c r="C129" i="5"/>
  <c r="C128" i="5"/>
  <c r="I139" i="5"/>
  <c r="M128" i="5"/>
  <c r="M127" i="5"/>
  <c r="M129" i="5"/>
  <c r="N102" i="7"/>
  <c r="C154" i="7"/>
  <c r="B154" i="7" s="1"/>
  <c r="F80" i="7"/>
  <c r="R104" i="7" s="1"/>
  <c r="U100" i="5"/>
  <c r="U97" i="5"/>
  <c r="B129" i="5"/>
  <c r="B128" i="5"/>
  <c r="B11" i="6"/>
  <c r="U99" i="5"/>
  <c r="B127" i="5"/>
  <c r="G30" i="6"/>
  <c r="G90" i="6" s="1"/>
  <c r="G71" i="6"/>
  <c r="M71" i="6"/>
  <c r="M30" i="6"/>
  <c r="H9" i="7"/>
  <c r="S77" i="7"/>
  <c r="G119" i="7" s="1"/>
  <c r="G77" i="7"/>
  <c r="S9" i="7"/>
  <c r="E28" i="7"/>
  <c r="H23" i="7"/>
  <c r="G24" i="7"/>
  <c r="F86" i="7" l="1"/>
  <c r="F51" i="7"/>
  <c r="P88" i="7"/>
  <c r="E86" i="7"/>
  <c r="Q86" i="7" s="1"/>
  <c r="E51" i="7"/>
  <c r="P86" i="7"/>
  <c r="R129" i="5"/>
  <c r="R11" i="6"/>
  <c r="R71" i="6"/>
  <c r="R127" i="5"/>
  <c r="B134" i="7" s="1"/>
  <c r="R83" i="7"/>
  <c r="E52" i="7"/>
  <c r="R128" i="5"/>
  <c r="H71" i="6"/>
  <c r="H30" i="6"/>
  <c r="H90" i="6" s="1"/>
  <c r="J30" i="6"/>
  <c r="J71" i="6"/>
  <c r="L71" i="6"/>
  <c r="L30" i="6"/>
  <c r="L90" i="6" s="1"/>
  <c r="K30" i="6"/>
  <c r="K71" i="6"/>
  <c r="B135" i="7"/>
  <c r="B136" i="7"/>
  <c r="O88" i="7"/>
  <c r="C89" i="7"/>
  <c r="O89" i="7" s="1"/>
  <c r="R95" i="7"/>
  <c r="E92" i="7"/>
  <c r="Q92" i="7" s="1"/>
  <c r="A160" i="7"/>
  <c r="A171" i="7"/>
  <c r="G85" i="7"/>
  <c r="G28" i="7"/>
  <c r="G51" i="7" s="1"/>
  <c r="F71" i="6"/>
  <c r="F30" i="6"/>
  <c r="F90" i="6" s="1"/>
  <c r="I90" i="6"/>
  <c r="I55" i="6"/>
  <c r="R79" i="7"/>
  <c r="F44" i="7"/>
  <c r="R100" i="7"/>
  <c r="R105" i="7"/>
  <c r="R93" i="7"/>
  <c r="F14" i="7"/>
  <c r="F125" i="7" s="1"/>
  <c r="R84" i="7"/>
  <c r="F12" i="7"/>
  <c r="F92" i="7" s="1"/>
  <c r="R99" i="7"/>
  <c r="R80" i="7"/>
  <c r="F46" i="7"/>
  <c r="R87" i="7"/>
  <c r="R85" i="7"/>
  <c r="B143" i="7"/>
  <c r="B30" i="6"/>
  <c r="B90" i="6" s="1"/>
  <c r="B71" i="6"/>
  <c r="G80" i="7"/>
  <c r="C71" i="6"/>
  <c r="C30" i="6"/>
  <c r="C90" i="6" s="1"/>
  <c r="G50" i="7"/>
  <c r="G42" i="7" s="1"/>
  <c r="M90" i="6"/>
  <c r="T77" i="7"/>
  <c r="H119" i="7" s="1"/>
  <c r="H77" i="7"/>
  <c r="T9" i="7"/>
  <c r="I9" i="7"/>
  <c r="E139" i="7"/>
  <c r="F139" i="7"/>
  <c r="I23" i="7"/>
  <c r="H24" i="7"/>
  <c r="E88" i="7" l="1"/>
  <c r="R30" i="6"/>
  <c r="R90" i="6"/>
  <c r="F52" i="7"/>
  <c r="J90" i="6"/>
  <c r="J55" i="6"/>
  <c r="K55" i="6"/>
  <c r="R115" i="6" s="1"/>
  <c r="K90" i="6"/>
  <c r="H50" i="7"/>
  <c r="H42" i="7" s="1"/>
  <c r="G139" i="7"/>
  <c r="G86" i="7"/>
  <c r="R92" i="7"/>
  <c r="A161" i="7"/>
  <c r="A172" i="7"/>
  <c r="H85" i="7"/>
  <c r="H28" i="7"/>
  <c r="I57" i="6"/>
  <c r="I115" i="6"/>
  <c r="H80" i="7"/>
  <c r="E89" i="7"/>
  <c r="Q89" i="7" s="1"/>
  <c r="Q88" i="7"/>
  <c r="R86" i="7"/>
  <c r="F88" i="7"/>
  <c r="S79" i="7"/>
  <c r="S100" i="7"/>
  <c r="S99" i="7"/>
  <c r="G44" i="7"/>
  <c r="G12" i="7"/>
  <c r="S80" i="7"/>
  <c r="S93" i="7"/>
  <c r="G46" i="7"/>
  <c r="S105" i="7"/>
  <c r="G14" i="7"/>
  <c r="G125" i="7" s="1"/>
  <c r="S84" i="7"/>
  <c r="S95" i="7"/>
  <c r="S87" i="7"/>
  <c r="S85" i="7"/>
  <c r="S104" i="7"/>
  <c r="J9" i="7"/>
  <c r="U9" i="7"/>
  <c r="U77" i="7"/>
  <c r="I119" i="7" s="1"/>
  <c r="I77" i="7"/>
  <c r="J23" i="7"/>
  <c r="I24" i="7"/>
  <c r="H86" i="7" l="1"/>
  <c r="H51" i="7"/>
  <c r="G52" i="7"/>
  <c r="S83" i="7"/>
  <c r="J115" i="6"/>
  <c r="J57" i="6"/>
  <c r="K115" i="6"/>
  <c r="K57" i="6"/>
  <c r="T83" i="7"/>
  <c r="T104" i="7"/>
  <c r="G92" i="7"/>
  <c r="S92" i="7" s="1"/>
  <c r="H139" i="7"/>
  <c r="A173" i="7"/>
  <c r="A162" i="7"/>
  <c r="A174" i="7" s="1"/>
  <c r="I85" i="7"/>
  <c r="J24" i="7"/>
  <c r="I117" i="6"/>
  <c r="I80" i="7"/>
  <c r="S86" i="7"/>
  <c r="G88" i="7"/>
  <c r="R88" i="7"/>
  <c r="F89" i="7"/>
  <c r="R89" i="7" s="1"/>
  <c r="T79" i="7"/>
  <c r="T84" i="7"/>
  <c r="H14" i="7"/>
  <c r="H125" i="7" s="1"/>
  <c r="T85" i="7"/>
  <c r="T80" i="7"/>
  <c r="T87" i="7"/>
  <c r="H44" i="7"/>
  <c r="H46" i="7"/>
  <c r="T93" i="7"/>
  <c r="T105" i="7"/>
  <c r="T100" i="7"/>
  <c r="H12" i="7"/>
  <c r="T95" i="7"/>
  <c r="T99" i="7"/>
  <c r="V9" i="7"/>
  <c r="V77" i="7"/>
  <c r="J119" i="7" s="1"/>
  <c r="J77" i="7"/>
  <c r="K59" i="7"/>
  <c r="I50" i="7"/>
  <c r="K117" i="6" l="1"/>
  <c r="R57" i="6"/>
  <c r="R117" i="6"/>
  <c r="H52" i="7"/>
  <c r="J117" i="6"/>
  <c r="U83" i="7"/>
  <c r="U104" i="7"/>
  <c r="H92" i="7"/>
  <c r="T92" i="7" s="1"/>
  <c r="J28" i="7"/>
  <c r="J85" i="7"/>
  <c r="K85" i="7" s="1"/>
  <c r="K20" i="7"/>
  <c r="T86" i="7"/>
  <c r="H88" i="7"/>
  <c r="J80" i="7"/>
  <c r="K79" i="7"/>
  <c r="G89" i="7"/>
  <c r="S89" i="7" s="1"/>
  <c r="S88" i="7"/>
  <c r="U80" i="7"/>
  <c r="U100" i="7"/>
  <c r="I46" i="7"/>
  <c r="U99" i="7"/>
  <c r="U105" i="7"/>
  <c r="U87" i="7"/>
  <c r="I14" i="7"/>
  <c r="I125" i="7" s="1"/>
  <c r="U95" i="7"/>
  <c r="I12" i="7"/>
  <c r="U93" i="7"/>
  <c r="I44" i="7"/>
  <c r="U84" i="7"/>
  <c r="U85" i="7"/>
  <c r="U79" i="7"/>
  <c r="K24" i="7"/>
  <c r="I42" i="7"/>
  <c r="K104" i="7"/>
  <c r="I28" i="7"/>
  <c r="I86" i="7" l="1"/>
  <c r="I51" i="7"/>
  <c r="J86" i="7"/>
  <c r="J51" i="7"/>
  <c r="K51" i="7" s="1"/>
  <c r="I52" i="7"/>
  <c r="W83" i="7"/>
  <c r="W93" i="7"/>
  <c r="W85" i="7"/>
  <c r="J50" i="7"/>
  <c r="J42" i="7" s="1"/>
  <c r="W79" i="7"/>
  <c r="I92" i="7"/>
  <c r="U92" i="7" s="1"/>
  <c r="V104" i="7"/>
  <c r="W80" i="7"/>
  <c r="W84" i="7"/>
  <c r="W100" i="7"/>
  <c r="J44" i="7"/>
  <c r="K44" i="7" s="1"/>
  <c r="V99" i="7"/>
  <c r="V100" i="7"/>
  <c r="V80" i="7"/>
  <c r="J14" i="7"/>
  <c r="V105" i="7"/>
  <c r="V87" i="7"/>
  <c r="W87" i="7"/>
  <c r="V79" i="7"/>
  <c r="J46" i="7"/>
  <c r="V84" i="7"/>
  <c r="J12" i="7"/>
  <c r="J92" i="7" s="1"/>
  <c r="V93" i="7"/>
  <c r="K80" i="7"/>
  <c r="V85" i="7"/>
  <c r="W99" i="7"/>
  <c r="U86" i="7"/>
  <c r="I88" i="7"/>
  <c r="W86" i="7"/>
  <c r="H89" i="7"/>
  <c r="T89" i="7" s="1"/>
  <c r="T88" i="7"/>
  <c r="J139" i="7"/>
  <c r="I139" i="7"/>
  <c r="K28" i="7"/>
  <c r="K26" i="7"/>
  <c r="K83" i="7" l="1"/>
  <c r="J52" i="7"/>
  <c r="V83" i="7"/>
  <c r="K50" i="7"/>
  <c r="V86" i="7"/>
  <c r="K86" i="7"/>
  <c r="J88" i="7"/>
  <c r="J125" i="7"/>
  <c r="K125" i="7" s="1"/>
  <c r="K14" i="7"/>
  <c r="U88" i="7"/>
  <c r="I89" i="7"/>
  <c r="U89" i="7" s="1"/>
  <c r="V95" i="7"/>
  <c r="W95" i="7"/>
  <c r="K95" i="7"/>
  <c r="K12" i="7"/>
  <c r="K139" i="7"/>
  <c r="K42" i="7"/>
  <c r="W88" i="7" l="1"/>
  <c r="K88" i="7"/>
  <c r="J89" i="7"/>
  <c r="V88" i="7"/>
  <c r="K92" i="7"/>
  <c r="W92" i="7"/>
  <c r="V92" i="7"/>
  <c r="W89" i="7" l="1"/>
  <c r="V89" i="7"/>
  <c r="K89" i="7"/>
  <c r="O91" i="7" l="1"/>
  <c r="D16" i="7" l="1"/>
  <c r="E16" i="7" s="1"/>
  <c r="F16" i="7" l="1"/>
  <c r="G16" i="7" l="1"/>
  <c r="H16" i="7" l="1"/>
  <c r="I16" i="7" l="1"/>
  <c r="J16" i="7" l="1"/>
  <c r="K16" i="7" l="1"/>
  <c r="O12" i="7"/>
  <c r="P12" i="7"/>
  <c r="Q12" i="7"/>
  <c r="R12" i="7"/>
  <c r="S12" i="7"/>
  <c r="T12" i="7"/>
  <c r="U12" i="7"/>
  <c r="V12" i="7"/>
  <c r="W12" i="7"/>
  <c r="C13" i="7"/>
  <c r="D13" i="7"/>
  <c r="E13" i="7"/>
  <c r="F13" i="7"/>
  <c r="G13" i="7"/>
  <c r="H13" i="7"/>
  <c r="I13" i="7"/>
  <c r="J13" i="7"/>
  <c r="O13" i="7"/>
  <c r="P13" i="7"/>
  <c r="Q13" i="7"/>
  <c r="R13" i="7"/>
  <c r="S13" i="7"/>
  <c r="T13" i="7"/>
  <c r="U13" i="7"/>
  <c r="V13" i="7"/>
  <c r="W13" i="7"/>
  <c r="O14" i="7"/>
  <c r="P14" i="7"/>
  <c r="Q14" i="7"/>
  <c r="R14" i="7"/>
  <c r="S14" i="7"/>
  <c r="T14" i="7"/>
  <c r="U14" i="7"/>
  <c r="V14" i="7"/>
  <c r="W14" i="7"/>
  <c r="O15" i="7"/>
  <c r="P15" i="7"/>
  <c r="Q15" i="7"/>
  <c r="R15" i="7"/>
  <c r="S15" i="7"/>
  <c r="T15" i="7"/>
  <c r="U15" i="7"/>
  <c r="V15" i="7"/>
  <c r="W15" i="7"/>
  <c r="O16" i="7"/>
  <c r="P16" i="7"/>
  <c r="Q16" i="7"/>
  <c r="R16" i="7"/>
  <c r="S16" i="7"/>
  <c r="T16" i="7"/>
  <c r="U16" i="7"/>
  <c r="V16" i="7"/>
  <c r="W16" i="7"/>
  <c r="C17" i="7"/>
  <c r="D17" i="7"/>
  <c r="E17" i="7"/>
  <c r="F17" i="7"/>
  <c r="G17" i="7"/>
  <c r="H17" i="7"/>
  <c r="I17" i="7"/>
  <c r="J17" i="7"/>
  <c r="K17" i="7"/>
  <c r="O17" i="7"/>
  <c r="P17" i="7"/>
  <c r="Q17" i="7"/>
  <c r="R17" i="7"/>
  <c r="S17" i="7"/>
  <c r="T17" i="7"/>
  <c r="U17" i="7"/>
  <c r="V17" i="7"/>
  <c r="W17" i="7"/>
  <c r="O20" i="7"/>
  <c r="P20" i="7"/>
  <c r="Q20" i="7"/>
  <c r="R20" i="7"/>
  <c r="S20" i="7"/>
  <c r="T20" i="7"/>
  <c r="U20" i="7"/>
  <c r="V20" i="7"/>
  <c r="W20" i="7"/>
  <c r="O21" i="7"/>
  <c r="P21" i="7"/>
  <c r="Q21" i="7"/>
  <c r="R21" i="7"/>
  <c r="S21" i="7"/>
  <c r="T21" i="7"/>
  <c r="U21" i="7"/>
  <c r="V21" i="7"/>
  <c r="W21" i="7"/>
  <c r="O22" i="7"/>
  <c r="P22" i="7"/>
  <c r="Q22" i="7"/>
  <c r="R22" i="7"/>
  <c r="S22" i="7"/>
  <c r="T22" i="7"/>
  <c r="U22" i="7"/>
  <c r="V22" i="7"/>
  <c r="W22" i="7"/>
  <c r="O23" i="7"/>
  <c r="P23" i="7"/>
  <c r="Q23" i="7"/>
  <c r="R23" i="7"/>
  <c r="S23" i="7"/>
  <c r="T23" i="7"/>
  <c r="U23" i="7"/>
  <c r="V23" i="7"/>
  <c r="W23" i="7"/>
  <c r="O24" i="7"/>
  <c r="P24" i="7"/>
  <c r="Q24" i="7"/>
  <c r="R24" i="7"/>
  <c r="S24" i="7"/>
  <c r="T24" i="7"/>
  <c r="U24" i="7"/>
  <c r="V24" i="7"/>
  <c r="W24" i="7"/>
  <c r="O26" i="7"/>
  <c r="P26" i="7"/>
  <c r="Q26" i="7"/>
  <c r="R26" i="7"/>
  <c r="S26" i="7"/>
  <c r="T26" i="7"/>
  <c r="U26" i="7"/>
  <c r="V26" i="7"/>
  <c r="W26" i="7"/>
  <c r="O28" i="7"/>
  <c r="P28" i="7"/>
  <c r="Q28" i="7"/>
  <c r="R28" i="7"/>
  <c r="S28" i="7"/>
  <c r="T28" i="7"/>
  <c r="U28" i="7"/>
  <c r="V28" i="7"/>
  <c r="W28" i="7"/>
  <c r="O31" i="7"/>
  <c r="P31" i="7"/>
  <c r="Q31" i="7"/>
  <c r="R31" i="7"/>
  <c r="S31" i="7"/>
  <c r="T31" i="7"/>
  <c r="U31" i="7"/>
  <c r="V31" i="7"/>
  <c r="W31" i="7"/>
  <c r="O32" i="7"/>
  <c r="P32" i="7"/>
  <c r="Q32" i="7"/>
  <c r="R32" i="7"/>
  <c r="S32" i="7"/>
  <c r="T32" i="7"/>
  <c r="U32" i="7"/>
  <c r="V32" i="7"/>
  <c r="W32" i="7"/>
  <c r="C33" i="7"/>
  <c r="D33" i="7"/>
  <c r="E33" i="7"/>
  <c r="F33" i="7"/>
  <c r="G33" i="7"/>
  <c r="H33" i="7"/>
  <c r="I33" i="7"/>
  <c r="J33" i="7"/>
  <c r="O33" i="7"/>
  <c r="P33" i="7"/>
  <c r="Q33" i="7"/>
  <c r="R33" i="7"/>
  <c r="S33" i="7"/>
  <c r="T33" i="7"/>
  <c r="U33" i="7"/>
  <c r="V33" i="7"/>
  <c r="W33" i="7"/>
  <c r="O34" i="7"/>
  <c r="P34" i="7"/>
  <c r="Q34" i="7"/>
  <c r="R34" i="7"/>
  <c r="S34" i="7"/>
  <c r="T34" i="7"/>
  <c r="U34" i="7"/>
  <c r="V34" i="7"/>
  <c r="W34" i="7"/>
  <c r="C35" i="7"/>
  <c r="D35" i="7"/>
  <c r="E35" i="7"/>
  <c r="F35" i="7"/>
  <c r="G35" i="7"/>
  <c r="H35" i="7"/>
  <c r="I35" i="7"/>
  <c r="J35" i="7"/>
  <c r="K35" i="7"/>
  <c r="O35" i="7"/>
  <c r="P35" i="7"/>
  <c r="Q35" i="7"/>
  <c r="R35" i="7"/>
  <c r="S35" i="7"/>
  <c r="T35" i="7"/>
  <c r="U35" i="7"/>
  <c r="V35" i="7"/>
  <c r="W35" i="7"/>
  <c r="C36" i="7"/>
  <c r="D36" i="7"/>
  <c r="E36" i="7"/>
  <c r="F36" i="7"/>
  <c r="G36" i="7"/>
  <c r="H36" i="7"/>
  <c r="I36" i="7"/>
  <c r="J36" i="7"/>
  <c r="K36" i="7"/>
  <c r="O36" i="7"/>
  <c r="P36" i="7"/>
  <c r="Q36" i="7"/>
  <c r="R36" i="7"/>
  <c r="S36" i="7"/>
  <c r="T36" i="7"/>
  <c r="U36" i="7"/>
  <c r="V36" i="7"/>
  <c r="W36" i="7"/>
  <c r="C37" i="7"/>
  <c r="D37" i="7"/>
  <c r="E37" i="7"/>
  <c r="F37" i="7"/>
  <c r="G37" i="7"/>
  <c r="H37" i="7"/>
  <c r="I37" i="7"/>
  <c r="J37" i="7"/>
  <c r="K37" i="7"/>
  <c r="O37" i="7"/>
  <c r="P37" i="7"/>
  <c r="Q37" i="7"/>
  <c r="R37" i="7"/>
  <c r="S37" i="7"/>
  <c r="T37" i="7"/>
  <c r="U37" i="7"/>
  <c r="V37" i="7"/>
  <c r="W37" i="7"/>
  <c r="C38" i="7"/>
  <c r="D38" i="7"/>
  <c r="E38" i="7"/>
  <c r="F38" i="7"/>
  <c r="G38" i="7"/>
  <c r="H38" i="7"/>
  <c r="I38" i="7"/>
  <c r="J38" i="7"/>
  <c r="K38" i="7"/>
  <c r="O38" i="7"/>
  <c r="P38" i="7"/>
  <c r="Q38" i="7"/>
  <c r="R38" i="7"/>
  <c r="S38" i="7"/>
  <c r="T38" i="7"/>
  <c r="U38" i="7"/>
  <c r="V38" i="7"/>
  <c r="W38" i="7"/>
  <c r="O42" i="7"/>
  <c r="P42" i="7"/>
  <c r="Q42" i="7"/>
  <c r="R42" i="7"/>
  <c r="S42" i="7"/>
  <c r="T42" i="7"/>
  <c r="U42" i="7"/>
  <c r="V42" i="7"/>
  <c r="W42" i="7"/>
  <c r="D43" i="7"/>
  <c r="E43" i="7"/>
  <c r="F43" i="7"/>
  <c r="G43" i="7"/>
  <c r="H43" i="7"/>
  <c r="I43" i="7"/>
  <c r="J43" i="7"/>
  <c r="O43" i="7"/>
  <c r="P43" i="7"/>
  <c r="Q43" i="7"/>
  <c r="R43" i="7"/>
  <c r="S43" i="7"/>
  <c r="T43" i="7"/>
  <c r="U43" i="7"/>
  <c r="V43" i="7"/>
  <c r="W43" i="7"/>
  <c r="O44" i="7"/>
  <c r="P44" i="7"/>
  <c r="Q44" i="7"/>
  <c r="R44" i="7"/>
  <c r="S44" i="7"/>
  <c r="T44" i="7"/>
  <c r="U44" i="7"/>
  <c r="V44" i="7"/>
  <c r="W44" i="7"/>
  <c r="C45" i="7"/>
  <c r="D45" i="7"/>
  <c r="E45" i="7"/>
  <c r="F45" i="7"/>
  <c r="G45" i="7"/>
  <c r="H45" i="7"/>
  <c r="I45" i="7"/>
  <c r="J45" i="7"/>
  <c r="K45" i="7"/>
  <c r="O45" i="7"/>
  <c r="P45" i="7"/>
  <c r="Q45" i="7"/>
  <c r="R45" i="7"/>
  <c r="S45" i="7"/>
  <c r="T45" i="7"/>
  <c r="U45" i="7"/>
  <c r="V45" i="7"/>
  <c r="W45" i="7"/>
  <c r="O46" i="7"/>
  <c r="P46" i="7"/>
  <c r="Q46" i="7"/>
  <c r="R46" i="7"/>
  <c r="S46" i="7"/>
  <c r="T46" i="7"/>
  <c r="U46" i="7"/>
  <c r="V46" i="7"/>
  <c r="W46" i="7"/>
  <c r="C47" i="7"/>
  <c r="D47" i="7"/>
  <c r="E47" i="7"/>
  <c r="F47" i="7"/>
  <c r="G47" i="7"/>
  <c r="H47" i="7"/>
  <c r="I47" i="7"/>
  <c r="J47" i="7"/>
  <c r="K47" i="7"/>
  <c r="O47" i="7"/>
  <c r="P47" i="7"/>
  <c r="Q47" i="7"/>
  <c r="R47" i="7"/>
  <c r="S47" i="7"/>
  <c r="T47" i="7"/>
  <c r="U47" i="7"/>
  <c r="V47" i="7"/>
  <c r="W47" i="7"/>
  <c r="C48" i="7"/>
  <c r="D48" i="7"/>
  <c r="E48" i="7"/>
  <c r="F48" i="7"/>
  <c r="G48" i="7"/>
  <c r="H48" i="7"/>
  <c r="I48" i="7"/>
  <c r="J48" i="7"/>
  <c r="K48" i="7"/>
  <c r="O48" i="7"/>
  <c r="P48" i="7"/>
  <c r="Q48" i="7"/>
  <c r="R48" i="7"/>
  <c r="S48" i="7"/>
  <c r="T48" i="7"/>
  <c r="U48" i="7"/>
  <c r="V48" i="7"/>
  <c r="W48" i="7"/>
  <c r="O50" i="7"/>
  <c r="P50" i="7"/>
  <c r="Q50" i="7"/>
  <c r="R50" i="7"/>
  <c r="S50" i="7"/>
  <c r="T50" i="7"/>
  <c r="U50" i="7"/>
  <c r="V50" i="7"/>
  <c r="W50" i="7"/>
  <c r="O51" i="7"/>
  <c r="P51" i="7"/>
  <c r="Q51" i="7"/>
  <c r="R51" i="7"/>
  <c r="S51" i="7"/>
  <c r="T51" i="7"/>
  <c r="U51" i="7"/>
  <c r="V51" i="7"/>
  <c r="W51" i="7"/>
  <c r="O52" i="7"/>
  <c r="P52" i="7"/>
  <c r="Q52" i="7"/>
  <c r="R52" i="7"/>
  <c r="S52" i="7"/>
  <c r="T52" i="7"/>
  <c r="U52" i="7"/>
  <c r="V52" i="7"/>
  <c r="W52" i="7"/>
  <c r="C53" i="7"/>
  <c r="D53" i="7"/>
  <c r="E53" i="7"/>
  <c r="F53" i="7"/>
  <c r="G53" i="7"/>
  <c r="H53" i="7"/>
  <c r="I53" i="7"/>
  <c r="J53" i="7"/>
  <c r="K53" i="7"/>
  <c r="C54" i="7"/>
  <c r="D54" i="7"/>
  <c r="E54" i="7"/>
  <c r="F54" i="7"/>
  <c r="G54" i="7"/>
  <c r="H54" i="7"/>
  <c r="I54" i="7"/>
  <c r="J54" i="7"/>
  <c r="O54" i="7"/>
  <c r="P54" i="7"/>
  <c r="Q54" i="7"/>
  <c r="R54" i="7"/>
  <c r="S54" i="7"/>
  <c r="T54" i="7"/>
  <c r="U54" i="7"/>
  <c r="V54" i="7"/>
  <c r="W54" i="7"/>
  <c r="C55" i="7"/>
  <c r="D55" i="7"/>
  <c r="E55" i="7"/>
  <c r="F55" i="7"/>
  <c r="G55" i="7"/>
  <c r="H55" i="7"/>
  <c r="I55" i="7"/>
  <c r="J55" i="7"/>
  <c r="K55" i="7"/>
  <c r="O55" i="7"/>
  <c r="P55" i="7"/>
  <c r="Q55" i="7"/>
  <c r="R55" i="7"/>
  <c r="S55" i="7"/>
  <c r="T55" i="7"/>
  <c r="U55" i="7"/>
  <c r="V55" i="7"/>
  <c r="W55" i="7"/>
  <c r="C57" i="7"/>
  <c r="D57" i="7"/>
  <c r="E57" i="7"/>
  <c r="F57" i="7"/>
  <c r="G57" i="7"/>
  <c r="H57" i="7"/>
  <c r="I57" i="7"/>
  <c r="J57" i="7"/>
  <c r="K57" i="7"/>
  <c r="O57" i="7"/>
  <c r="P57" i="7"/>
  <c r="Q57" i="7"/>
  <c r="R57" i="7"/>
  <c r="S57" i="7"/>
  <c r="T57" i="7"/>
  <c r="U57" i="7"/>
  <c r="V57" i="7"/>
  <c r="W57" i="7"/>
  <c r="O59" i="7"/>
  <c r="P59" i="7"/>
  <c r="Q59" i="7"/>
  <c r="R59" i="7"/>
  <c r="S59" i="7"/>
  <c r="T59" i="7"/>
  <c r="U59" i="7"/>
  <c r="V59" i="7"/>
  <c r="W59" i="7"/>
  <c r="O62" i="7"/>
  <c r="P62" i="7"/>
  <c r="Q62" i="7"/>
  <c r="R62" i="7"/>
  <c r="S62" i="7"/>
  <c r="T62" i="7"/>
  <c r="U62" i="7"/>
  <c r="V62" i="7"/>
  <c r="W62" i="7"/>
  <c r="C63" i="7"/>
  <c r="D63" i="7"/>
  <c r="E63" i="7"/>
  <c r="F63" i="7"/>
  <c r="G63" i="7"/>
  <c r="H63" i="7"/>
  <c r="I63" i="7"/>
  <c r="J63" i="7"/>
  <c r="K63" i="7"/>
  <c r="O63" i="7"/>
  <c r="P63" i="7"/>
  <c r="Q63" i="7"/>
  <c r="R63" i="7"/>
  <c r="S63" i="7"/>
  <c r="T63" i="7"/>
  <c r="U63" i="7"/>
  <c r="V63" i="7"/>
  <c r="W63" i="7"/>
  <c r="C64" i="7"/>
  <c r="D64" i="7"/>
  <c r="E64" i="7"/>
  <c r="F64" i="7"/>
  <c r="G64" i="7"/>
  <c r="H64" i="7"/>
  <c r="I64" i="7"/>
  <c r="J64" i="7"/>
  <c r="K64" i="7"/>
  <c r="O64" i="7"/>
  <c r="P64" i="7"/>
  <c r="Q64" i="7"/>
  <c r="R64" i="7"/>
  <c r="S64" i="7"/>
  <c r="T64" i="7"/>
  <c r="U64" i="7"/>
  <c r="V64" i="7"/>
  <c r="W64" i="7"/>
  <c r="C65" i="7"/>
  <c r="D65" i="7"/>
  <c r="E65" i="7"/>
  <c r="F65" i="7"/>
  <c r="G65" i="7"/>
  <c r="H65" i="7"/>
  <c r="I65" i="7"/>
  <c r="J65" i="7"/>
  <c r="K65" i="7"/>
  <c r="O65" i="7"/>
  <c r="P65" i="7"/>
  <c r="Q65" i="7"/>
  <c r="R65" i="7"/>
  <c r="S65" i="7"/>
  <c r="T65" i="7"/>
  <c r="U65" i="7"/>
  <c r="V65" i="7"/>
  <c r="W65" i="7"/>
  <c r="C67" i="7"/>
  <c r="D67" i="7"/>
  <c r="E67" i="7"/>
  <c r="F67" i="7"/>
  <c r="G67" i="7"/>
  <c r="H67" i="7"/>
  <c r="I67" i="7"/>
  <c r="J67" i="7"/>
  <c r="C68" i="7"/>
  <c r="D68" i="7"/>
  <c r="E68" i="7"/>
  <c r="F68" i="7"/>
  <c r="G68" i="7"/>
  <c r="H68" i="7"/>
  <c r="I68" i="7"/>
  <c r="J68" i="7"/>
  <c r="D91" i="7"/>
  <c r="E91" i="7"/>
  <c r="F91" i="7"/>
  <c r="G91" i="7"/>
  <c r="H91" i="7"/>
  <c r="I91" i="7"/>
  <c r="J91" i="7"/>
  <c r="K91" i="7"/>
  <c r="P91" i="7"/>
  <c r="Q91" i="7"/>
  <c r="R91" i="7"/>
  <c r="S91" i="7"/>
  <c r="T91" i="7"/>
  <c r="U91" i="7"/>
  <c r="V91" i="7"/>
  <c r="W91" i="7"/>
  <c r="C94" i="7"/>
  <c r="D94" i="7"/>
  <c r="E94" i="7"/>
  <c r="F94" i="7"/>
  <c r="G94" i="7"/>
  <c r="H94" i="7"/>
  <c r="I94" i="7"/>
  <c r="J94" i="7"/>
  <c r="O94" i="7"/>
  <c r="P94" i="7"/>
  <c r="Q94" i="7"/>
  <c r="R94" i="7"/>
  <c r="S94" i="7"/>
  <c r="T94" i="7"/>
  <c r="U94" i="7"/>
  <c r="V94" i="7"/>
  <c r="W94" i="7"/>
  <c r="C96" i="7"/>
  <c r="D96" i="7"/>
  <c r="E96" i="7"/>
  <c r="F96" i="7"/>
  <c r="G96" i="7"/>
  <c r="H96" i="7"/>
  <c r="I96" i="7"/>
  <c r="J96" i="7"/>
  <c r="K96" i="7"/>
  <c r="O96" i="7"/>
  <c r="P96" i="7"/>
  <c r="Q96" i="7"/>
  <c r="R96" i="7"/>
  <c r="S96" i="7"/>
  <c r="T96" i="7"/>
  <c r="U96" i="7"/>
  <c r="V96" i="7"/>
  <c r="W96" i="7"/>
  <c r="C98" i="7"/>
  <c r="D98" i="7"/>
  <c r="E98" i="7"/>
  <c r="F98" i="7"/>
  <c r="G98" i="7"/>
  <c r="H98" i="7"/>
  <c r="I98" i="7"/>
  <c r="J98" i="7"/>
  <c r="K98" i="7"/>
  <c r="C101" i="7"/>
  <c r="D101" i="7"/>
  <c r="E101" i="7"/>
  <c r="F101" i="7"/>
  <c r="G101" i="7"/>
  <c r="H101" i="7"/>
  <c r="I101" i="7"/>
  <c r="J101" i="7"/>
  <c r="K101" i="7"/>
  <c r="O101" i="7"/>
  <c r="P101" i="7"/>
  <c r="Q101" i="7"/>
  <c r="R101" i="7"/>
  <c r="S101" i="7"/>
  <c r="T101" i="7"/>
  <c r="U101" i="7"/>
  <c r="V101" i="7"/>
  <c r="W101" i="7"/>
  <c r="C102" i="7"/>
  <c r="D102" i="7"/>
  <c r="E102" i="7"/>
  <c r="F102" i="7"/>
  <c r="G102" i="7"/>
  <c r="H102" i="7"/>
  <c r="I102" i="7"/>
  <c r="J102" i="7"/>
  <c r="K102" i="7"/>
  <c r="O102" i="7"/>
  <c r="P102" i="7"/>
  <c r="Q102" i="7"/>
  <c r="R102" i="7"/>
  <c r="S102" i="7"/>
  <c r="T102" i="7"/>
  <c r="U102" i="7"/>
  <c r="V102" i="7"/>
  <c r="W102" i="7"/>
  <c r="C122" i="7"/>
  <c r="D122" i="7"/>
  <c r="E122" i="7"/>
  <c r="F122" i="7"/>
  <c r="G122" i="7"/>
  <c r="H122" i="7"/>
  <c r="I122" i="7"/>
  <c r="J122" i="7"/>
  <c r="K122" i="7"/>
  <c r="C123" i="7"/>
  <c r="D123" i="7"/>
  <c r="E123" i="7"/>
  <c r="F123" i="7"/>
  <c r="G123" i="7"/>
  <c r="H123" i="7"/>
  <c r="I123" i="7"/>
  <c r="J123" i="7"/>
  <c r="K123" i="7"/>
  <c r="C124" i="7"/>
  <c r="D124" i="7"/>
  <c r="E124" i="7"/>
  <c r="F124" i="7"/>
  <c r="G124" i="7"/>
  <c r="H124" i="7"/>
  <c r="I124" i="7"/>
  <c r="J124" i="7"/>
  <c r="K124" i="7"/>
  <c r="C128" i="7"/>
  <c r="D128" i="7"/>
  <c r="E128" i="7"/>
  <c r="F128" i="7"/>
  <c r="G128" i="7"/>
  <c r="H128" i="7"/>
  <c r="I128" i="7"/>
  <c r="J128" i="7"/>
  <c r="K128" i="7"/>
  <c r="C129" i="7"/>
  <c r="D129" i="7"/>
  <c r="E129" i="7"/>
  <c r="F129" i="7"/>
  <c r="G129" i="7"/>
  <c r="H129" i="7"/>
  <c r="I129" i="7"/>
  <c r="J129" i="7"/>
  <c r="K129" i="7"/>
  <c r="C130" i="7"/>
  <c r="D130" i="7"/>
  <c r="E130" i="7"/>
  <c r="F130" i="7"/>
  <c r="G130" i="7"/>
  <c r="H130" i="7"/>
  <c r="I130" i="7"/>
  <c r="J130" i="7"/>
  <c r="K130" i="7"/>
  <c r="C131" i="7"/>
  <c r="D131" i="7"/>
  <c r="E131" i="7"/>
  <c r="F131" i="7"/>
  <c r="G131" i="7"/>
  <c r="H131" i="7"/>
  <c r="I131" i="7"/>
  <c r="J131" i="7"/>
  <c r="K131" i="7"/>
  <c r="C134" i="7"/>
  <c r="D134" i="7"/>
  <c r="E134" i="7"/>
  <c r="F134" i="7"/>
  <c r="G134" i="7"/>
  <c r="H134" i="7"/>
  <c r="I134" i="7"/>
  <c r="J134" i="7"/>
  <c r="K134" i="7"/>
  <c r="C135" i="7"/>
  <c r="D135" i="7"/>
  <c r="E135" i="7"/>
  <c r="F135" i="7"/>
  <c r="G135" i="7"/>
  <c r="H135" i="7"/>
  <c r="I135" i="7"/>
  <c r="J135" i="7"/>
  <c r="K135" i="7"/>
  <c r="C136" i="7"/>
  <c r="D136" i="7"/>
  <c r="E136" i="7"/>
  <c r="F136" i="7"/>
  <c r="G136" i="7"/>
  <c r="H136" i="7"/>
  <c r="I136" i="7"/>
  <c r="J136" i="7"/>
  <c r="K136" i="7"/>
  <c r="C140" i="7"/>
  <c r="D140" i="7"/>
  <c r="E140" i="7"/>
  <c r="F140" i="7"/>
  <c r="G140" i="7"/>
  <c r="H140" i="7"/>
  <c r="I140" i="7"/>
  <c r="J140" i="7"/>
  <c r="K140" i="7"/>
  <c r="C143" i="7"/>
  <c r="D143" i="7"/>
  <c r="E143" i="7"/>
  <c r="F143" i="7"/>
  <c r="G143" i="7"/>
  <c r="H143" i="7"/>
  <c r="I143" i="7"/>
  <c r="J143" i="7"/>
  <c r="K143" i="7"/>
  <c r="C144" i="7"/>
  <c r="D144" i="7"/>
  <c r="E144" i="7"/>
  <c r="F144" i="7"/>
  <c r="G144" i="7"/>
  <c r="H144" i="7"/>
  <c r="I144" i="7"/>
  <c r="J144" i="7"/>
  <c r="K144" i="7"/>
  <c r="C145" i="7"/>
  <c r="D145" i="7"/>
  <c r="E145" i="7"/>
  <c r="F145" i="7"/>
  <c r="G145" i="7"/>
  <c r="H145" i="7"/>
  <c r="I145" i="7"/>
  <c r="J145" i="7"/>
  <c r="K145" i="7"/>
  <c r="C146" i="7"/>
  <c r="D146" i="7"/>
  <c r="E146" i="7"/>
  <c r="F146" i="7"/>
  <c r="G146" i="7"/>
  <c r="H146" i="7"/>
  <c r="I146" i="7"/>
  <c r="J146" i="7"/>
  <c r="C148" i="7"/>
  <c r="D148" i="7"/>
  <c r="E148" i="7"/>
  <c r="F148" i="7"/>
  <c r="G148" i="7"/>
  <c r="H148" i="7"/>
  <c r="I148" i="7"/>
  <c r="J148" i="7"/>
  <c r="K148" i="7"/>
  <c r="B155" i="7"/>
  <c r="C155" i="7"/>
  <c r="B156" i="7"/>
  <c r="C156" i="7"/>
  <c r="B157" i="7"/>
  <c r="C157" i="7"/>
  <c r="B158" i="7"/>
  <c r="C158" i="7"/>
  <c r="B159" i="7"/>
  <c r="C159" i="7"/>
  <c r="B160" i="7"/>
  <c r="C160" i="7"/>
  <c r="B161" i="7"/>
  <c r="C161" i="7"/>
  <c r="B162" i="7"/>
  <c r="C162" i="7"/>
  <c r="B167" i="7"/>
  <c r="C167" i="7"/>
  <c r="B168" i="7"/>
  <c r="C168" i="7"/>
  <c r="B169" i="7"/>
  <c r="C169" i="7"/>
  <c r="B170" i="7"/>
  <c r="C170" i="7"/>
  <c r="B171" i="7"/>
  <c r="C171" i="7"/>
  <c r="B172" i="7"/>
  <c r="C172" i="7"/>
  <c r="B173" i="7"/>
  <c r="C173" i="7"/>
  <c r="B174" i="7"/>
  <c r="C174" i="7"/>
</calcChain>
</file>

<file path=xl/sharedStrings.xml><?xml version="1.0" encoding="utf-8"?>
<sst xmlns="http://schemas.openxmlformats.org/spreadsheetml/2006/main" count="432" uniqueCount="242">
  <si>
    <t>Account Name</t>
  </si>
  <si>
    <t>Accounts Payable</t>
  </si>
  <si>
    <t>Accounts Receivable</t>
  </si>
  <si>
    <t>Average</t>
  </si>
  <si>
    <t>Avg. Annual</t>
  </si>
  <si>
    <t>Cash &amp; Equivalents</t>
  </si>
  <si>
    <t>Common Stock</t>
  </si>
  <si>
    <t>Current</t>
  </si>
  <si>
    <t>Current Assets:</t>
  </si>
  <si>
    <t>Current Liabilities:</t>
  </si>
  <si>
    <t>Days Revenues Receivable</t>
  </si>
  <si>
    <t>Deferred Income Taxes</t>
  </si>
  <si>
    <t>Earnings Before Taxes</t>
  </si>
  <si>
    <t>Earnings From Operations</t>
  </si>
  <si>
    <t>Historical Income Statements</t>
  </si>
  <si>
    <t>Income Taxes</t>
  </si>
  <si>
    <t>Long-term Solvency Ratios:</t>
  </si>
  <si>
    <t>Net Income</t>
  </si>
  <si>
    <t>Net Worth/Fixed Assets</t>
  </si>
  <si>
    <t>Net Worth/Non Current Debt</t>
  </si>
  <si>
    <t>Net Worth/Total Debt</t>
  </si>
  <si>
    <t>Operating Expenses:</t>
  </si>
  <si>
    <t>Other Current Assets</t>
  </si>
  <si>
    <t>Pct. Change</t>
  </si>
  <si>
    <t>Plant &amp; Equipment:</t>
  </si>
  <si>
    <t>Quick</t>
  </si>
  <si>
    <t>Ratio Group And Name</t>
  </si>
  <si>
    <t>Retained Earnings</t>
  </si>
  <si>
    <t>Return On Total Assets</t>
  </si>
  <si>
    <t>Short-term Liquidity Ratios: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</si>
  <si>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</si>
  <si>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</si>
  <si>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</si>
  <si>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</si>
  <si>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</si>
  <si>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</si>
  <si>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</si>
  <si>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</si>
  <si>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Wt. Average</t>
  </si>
  <si>
    <t>Common Size</t>
  </si>
  <si>
    <t>Historical Balance Sheets</t>
  </si>
  <si>
    <t>Historical Financial Ratios</t>
  </si>
  <si>
    <t>PacifiCorp</t>
  </si>
  <si>
    <t>Extraordinary Items</t>
  </si>
  <si>
    <t>Revenues</t>
  </si>
  <si>
    <t>Total Revenues</t>
  </si>
  <si>
    <t>Preferred Stock Dividends</t>
  </si>
  <si>
    <t>Common Stock Dividends</t>
  </si>
  <si>
    <t>Material, Supplies, Fuel</t>
  </si>
  <si>
    <t>Other PP&amp;E</t>
  </si>
  <si>
    <t>Accumulated Depreciation &amp; Amort.</t>
  </si>
  <si>
    <t>Net Plant &amp; Equipment</t>
  </si>
  <si>
    <t>Regulatory Assets</t>
  </si>
  <si>
    <t>Intangible Assets-net</t>
  </si>
  <si>
    <t>Deferred Charges and Other</t>
  </si>
  <si>
    <t>Investments in Affiliates</t>
  </si>
  <si>
    <t>Current Maturities LTD</t>
  </si>
  <si>
    <t>Long-Term Debt</t>
  </si>
  <si>
    <t>Total LTD &amp; Deferrals</t>
  </si>
  <si>
    <t>Preferred Stock</t>
  </si>
  <si>
    <t>Total Plant &amp; Equipment:</t>
  </si>
  <si>
    <t xml:space="preserve">Other </t>
  </si>
  <si>
    <t>Common Equity:</t>
  </si>
  <si>
    <t>Total Common Equity</t>
  </si>
  <si>
    <t>Return On Common Equity</t>
  </si>
  <si>
    <t>Return On Total Capital</t>
  </si>
  <si>
    <t>Profitability Ratios:</t>
  </si>
  <si>
    <t>Other Financial Indicators:</t>
  </si>
  <si>
    <t>Common Stock Rating</t>
  </si>
  <si>
    <t>Commercial Paper Ratings</t>
  </si>
  <si>
    <t>Other Assets:</t>
  </si>
  <si>
    <t>Total Other Assets</t>
  </si>
  <si>
    <t>Cash flows from operating activities:</t>
  </si>
  <si>
    <t xml:space="preserve">   Net income</t>
  </si>
  <si>
    <t xml:space="preserve">   Adjustments to reconcile net income</t>
  </si>
  <si>
    <t xml:space="preserve">     to net cash provided by operating activities:</t>
  </si>
  <si>
    <t xml:space="preserve">       Gain on disposal of discontinued operations</t>
  </si>
  <si>
    <t>-</t>
  </si>
  <si>
    <t xml:space="preserve">       Cumulative effect of accounting change, net of tax</t>
  </si>
  <si>
    <t xml:space="preserve">       Unrealized gain on derivative contracts</t>
  </si>
  <si>
    <t xml:space="preserve">       Depreciation and amortization</t>
  </si>
  <si>
    <t xml:space="preserve">       Deferred income taxes and investment tax credits - net</t>
  </si>
  <si>
    <t xml:space="preserve">       (Gain) loss on sale of subsidiary and assets</t>
  </si>
  <si>
    <t xml:space="preserve">       Regulatory asset/liability establishment and amortization</t>
  </si>
  <si>
    <t xml:space="preserve">       Other</t>
  </si>
  <si>
    <t xml:space="preserve">   Changes in: </t>
  </si>
  <si>
    <t xml:space="preserve">      Accounts receivable, prepayments and other current assets</t>
  </si>
  <si>
    <t xml:space="preserve">      Inventories</t>
  </si>
  <si>
    <t xml:space="preserve">      Accounts payable and accrued liabilities</t>
  </si>
  <si>
    <t xml:space="preserve">      Other</t>
  </si>
  <si>
    <t>Net cash provided by operating activities</t>
  </si>
  <si>
    <t>Cash flows from investing activities:</t>
  </si>
  <si>
    <t>Investments affilated and partent companies-net</t>
  </si>
  <si>
    <t xml:space="preserve">     Capital expenditures</t>
  </si>
  <si>
    <t xml:space="preserve">     Proceeds from sales of assets</t>
  </si>
  <si>
    <t xml:space="preserve">     Proceeds from sales of finance assets and principal payments</t>
  </si>
  <si>
    <t xml:space="preserve">     Proceeds from available-for-sale securities</t>
  </si>
  <si>
    <t xml:space="preserve">     Purchases of available-for-sale securities</t>
  </si>
  <si>
    <t xml:space="preserve">     Other</t>
  </si>
  <si>
    <t>Net cash used in investing activities</t>
  </si>
  <si>
    <t>Cash flows from financing activities:</t>
  </si>
  <si>
    <t xml:space="preserve">     Changes in short-term debt</t>
  </si>
  <si>
    <t xml:space="preserve">     Proceeds from long-term debt, net of issuance costs</t>
  </si>
  <si>
    <t xml:space="preserve">     Proceeds from issuance of common stock to PHI</t>
  </si>
  <si>
    <t xml:space="preserve">     Dividends paid</t>
  </si>
  <si>
    <t xml:space="preserve">     Repayments and redemptions of long-term debt</t>
  </si>
  <si>
    <t xml:space="preserve">     Repayment of preferred securities</t>
  </si>
  <si>
    <t xml:space="preserve">     Redemptions of preferred stock</t>
  </si>
  <si>
    <t>Net cash provided by (used in) financing activities</t>
  </si>
  <si>
    <t>Change in cash and cash equivalents</t>
  </si>
  <si>
    <t>Cash and cash equivalents at beginning of period</t>
  </si>
  <si>
    <t>Cash and cash equivalents at end of period</t>
  </si>
  <si>
    <t>Historical Cash Flow Statements</t>
  </si>
  <si>
    <t>Cash Flows as a Percent of Revenues</t>
  </si>
  <si>
    <t>Exhibit 1</t>
  </si>
  <si>
    <t>page 3 of 7</t>
  </si>
  <si>
    <t>page 6 of 7</t>
  </si>
  <si>
    <t>page 5 of 7</t>
  </si>
  <si>
    <t>page 7 of 7</t>
  </si>
  <si>
    <t>page 4 of 7</t>
  </si>
  <si>
    <t>page 1 of 7</t>
  </si>
  <si>
    <t>page 2 of 7</t>
  </si>
  <si>
    <t>Forecast Balance Sheets</t>
  </si>
  <si>
    <t>Historical</t>
  </si>
  <si>
    <t>Forecast</t>
  </si>
  <si>
    <t>Wtd. Avg.</t>
  </si>
  <si>
    <t>Pct. Of Assets</t>
  </si>
  <si>
    <t>Difference</t>
  </si>
  <si>
    <t>Previous Value</t>
  </si>
  <si>
    <t>Difference in Total Assets &amp; Total Liabilities</t>
  </si>
  <si>
    <t>Forecast Year</t>
  </si>
  <si>
    <t>Asset Value</t>
  </si>
  <si>
    <t>FORECAST ASSUMPTIONS</t>
  </si>
  <si>
    <t>Company Name</t>
  </si>
  <si>
    <t>Inflation (GDP)</t>
  </si>
  <si>
    <t>of total assets</t>
  </si>
  <si>
    <t>Surplus Cash</t>
  </si>
  <si>
    <t>Additonal Loans</t>
  </si>
  <si>
    <t>Period</t>
  </si>
  <si>
    <t>estimate: Value Line 3-5 year at 2.50 percent, add 0.25% for higer commodity prices</t>
  </si>
  <si>
    <t>Short-term debt Rate</t>
  </si>
  <si>
    <t>Rate on Cash balances</t>
  </si>
  <si>
    <t>Plant in Service</t>
  </si>
  <si>
    <t>Construction Work in Progress</t>
  </si>
  <si>
    <t xml:space="preserve">     Proceeds from issuance of common stock/equity contribution</t>
  </si>
  <si>
    <t xml:space="preserve">    Investments in affilated companies-net</t>
  </si>
  <si>
    <t>Forecast Income Statements</t>
  </si>
  <si>
    <t>Forecast Financial Ratios</t>
  </si>
  <si>
    <t>Difference in Net Income</t>
  </si>
  <si>
    <t>Common Equity</t>
  </si>
  <si>
    <t>Australian Electric Operations</t>
  </si>
  <si>
    <t>Operating Sales and Revenues:</t>
  </si>
  <si>
    <t>*</t>
  </si>
  <si>
    <t>Average includes both fuel and power costs.</t>
  </si>
  <si>
    <t>Percent change includes both fuel and power costs.</t>
  </si>
  <si>
    <t>Asset-Utilization Ratios:</t>
  </si>
  <si>
    <t>Regulatory Capital Structure</t>
  </si>
  <si>
    <t>Long Term Debt (incl. current portion)</t>
  </si>
  <si>
    <t>Total Capital (Millions of Dollars)</t>
  </si>
  <si>
    <t>A- / BBB+</t>
  </si>
  <si>
    <t>Other operations and maintenance</t>
  </si>
  <si>
    <t>Depreciation and amortization</t>
  </si>
  <si>
    <t>Other Operating Expenses</t>
  </si>
  <si>
    <t>Taxes, other than income taxes</t>
  </si>
  <si>
    <t>Interest expense (net)</t>
  </si>
  <si>
    <t>Interest income</t>
  </si>
  <si>
    <t>Loss (Gain) on Sale of Assets</t>
  </si>
  <si>
    <t>Other (Income) Expense</t>
  </si>
  <si>
    <t>Financial Assets/Derivatives</t>
  </si>
  <si>
    <t>Derivative Contacts</t>
  </si>
  <si>
    <t>Derivative Contracts</t>
  </si>
  <si>
    <t>Short-term Debt</t>
  </si>
  <si>
    <t>Accrued Expenses</t>
  </si>
  <si>
    <t>Energy Costs</t>
  </si>
  <si>
    <t>Other Long-term Liabilities</t>
  </si>
  <si>
    <t>Forecast Common Size Balance Sheets</t>
  </si>
  <si>
    <t>Description</t>
  </si>
  <si>
    <t>Comments</t>
  </si>
  <si>
    <t>percent of assets</t>
  </si>
  <si>
    <t>computer calculation</t>
  </si>
  <si>
    <t>fixed amount</t>
  </si>
  <si>
    <t>percent of revenues</t>
  </si>
  <si>
    <t>percent of LTD</t>
  </si>
  <si>
    <t xml:space="preserve">average </t>
  </si>
  <si>
    <t>constant at 2009 amount</t>
  </si>
  <si>
    <t>Common Size Forecast Income Statements</t>
  </si>
  <si>
    <t>Interest Expense (Income) on Additional Loans (Surplus Cash)</t>
  </si>
  <si>
    <t>of plant in service</t>
  </si>
  <si>
    <t>cost of average s-t and l-t debt</t>
  </si>
  <si>
    <t>of average cash balance</t>
  </si>
  <si>
    <t>computer calculation based on average surplus cash and additional loans times s-t and l-t debt interest</t>
  </si>
  <si>
    <t>constant</t>
  </si>
  <si>
    <t>of EBT</t>
  </si>
  <si>
    <t>last year's LTD less last year's current maturities</t>
  </si>
  <si>
    <t>revenue growth rate</t>
  </si>
  <si>
    <t>Additional Loans Rate</t>
  </si>
  <si>
    <t>Revenues/Fixed Assets</t>
  </si>
  <si>
    <t>Revenues/Total Assets</t>
  </si>
  <si>
    <t>A/BBB+</t>
  </si>
  <si>
    <t xml:space="preserve">      Derivative Collateral, net</t>
  </si>
  <si>
    <t>page 3 of 5</t>
  </si>
  <si>
    <t>page 1 of 5</t>
  </si>
  <si>
    <t>page 5 of 5</t>
  </si>
  <si>
    <t>page 4 of 5</t>
  </si>
  <si>
    <t>page 2 of 5</t>
  </si>
  <si>
    <t>Manually estimated to keep capital structure in expected range of 50-53%</t>
  </si>
  <si>
    <t>Exhibit 2</t>
  </si>
  <si>
    <t>Total Other (Income)/Expense</t>
  </si>
  <si>
    <t>Days Revenues Cash</t>
  </si>
  <si>
    <t xml:space="preserve">     Common Stock Dividends paid</t>
  </si>
  <si>
    <t>Times Interest Earned plus Depr.</t>
  </si>
  <si>
    <t xml:space="preserve">     Preferred Stock Dividends paid</t>
  </si>
  <si>
    <t>estimated growth rate,</t>
  </si>
  <si>
    <t xml:space="preserve">of revenues, </t>
  </si>
  <si>
    <t>avg pct. of  assets</t>
  </si>
  <si>
    <t>of assets</t>
  </si>
  <si>
    <t>Pct.of net plant</t>
  </si>
  <si>
    <t xml:space="preserve">      Income taxes, net</t>
  </si>
  <si>
    <t>per March 2013 10-Q, Company retiring all preferred stock</t>
  </si>
  <si>
    <t>A-2</t>
  </si>
  <si>
    <t>Bond Rating (senior secured/stand alone)</t>
  </si>
  <si>
    <t>Revenue forecast</t>
  </si>
  <si>
    <t>estimated from 2012-2013</t>
  </si>
  <si>
    <t>assumes one-half 2012-2013: reflects new policy</t>
  </si>
  <si>
    <t>2009-2014</t>
  </si>
  <si>
    <t>Fiscal Years Ended December 31, 2009-2014; Three Months Ended March 31, 2015</t>
  </si>
  <si>
    <t>3 Months</t>
  </si>
  <si>
    <t>NMF</t>
  </si>
  <si>
    <t>2010-2014 average</t>
  </si>
  <si>
    <t>2012-2014</t>
  </si>
  <si>
    <t>2013-2014</t>
  </si>
  <si>
    <t>Inflation rate</t>
  </si>
  <si>
    <t>2014 value</t>
  </si>
  <si>
    <t xml:space="preserve"> </t>
  </si>
  <si>
    <t>Fixed at 2014 amount--tied to CWIP balance, generally</t>
  </si>
  <si>
    <t>2014 10-K forecast suggests total Cap ex under 800 billion/year in 2016-2017</t>
  </si>
  <si>
    <t>2019 and after</t>
  </si>
  <si>
    <t>Plant in Service after 2017</t>
  </si>
  <si>
    <t>80% of revenue growth for 2015-2017, then 90% of revenue growth to reflect no major plant additions</t>
  </si>
  <si>
    <t>percent of plant in service, then growing at 2.68-2.45=0.23% rate to reflect slower replacement. The 2.68 is the depreciation expense rate, 2.45 is the plant in service average growth rate</t>
  </si>
  <si>
    <t>Percent of net plant</t>
  </si>
  <si>
    <t>75% of Actual 2009 to 2014 growth rate,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</si>
</sst>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7" formatCode="&quot;$&quot;#,##0.00_);\(&quot;$&quot;#,##0.00\)"/>
    <numFmt numFmtId="164" formatCode="0.000%"/>
    <numFmt numFmtId="165" formatCode="#,##0.0_);\(#,##0.0\)"/>
    <numFmt numFmtId="166" formatCode="&quot;$&quot;#,##0.0_);\(&quot;$&quot;#,##0.0\)"/>
    <numFmt numFmtId="167" formatCode="#,##0.0"/>
    <numFmt numFmtId="168" formatCode="#,##0.000_);\(#,##0.000\)"/>
    <numFmt numFmtId="169" formatCode="0.00_);\(0.00\)"/>
    <numFmt numFmtId="170" formatCode="&quot;$&quot;#,##0.00000_);\(&quot;$&quot;#,##0.00000\)"/>
  </numFmts>
  <fonts count="23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double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0"/>
      </top>
      <bottom style="double">
        <color indexed="64"/>
      </bottom>
      <diagonal/>
    </border>
    <border>
      <left/>
      <right/>
      <top style="thin">
        <color indexed="0"/>
      </top>
      <bottom style="double">
        <color indexed="64"/>
      </bottom>
      <diagonal/>
    </border>
  </borders>
  <cellStyleXfs count="12">
    <xf numFmtId="0" fontId="0" fillId="0" borderId="0"/>
    <xf numFmtId="4" fontId="10" fillId="2" borderId="0"/>
    <xf numFmtId="3" fontId="10" fillId="2" borderId="0"/>
    <xf numFmtId="7" fontId="10" fillId="2" borderId="0"/>
    <xf numFmtId="5" fontId="10" fillId="2" borderId="0"/>
    <xf numFmtId="0" fontId="10" fillId="2" borderId="0"/>
    <xf numFmtId="2" fontId="10" fillId="2" borderId="0"/>
    <xf numFmtId="0" fontId="1" fillId="2" borderId="0"/>
    <xf numFmtId="0" fontId="2" fillId="2" borderId="0"/>
    <xf numFmtId="0" fontId="10" fillId="0" borderId="0" applyFill="0" applyBorder="0"/>
    <xf numFmtId="10" fontId="10" fillId="2" borderId="0"/>
    <xf numFmtId="0" fontId="10" fillId="2" borderId="1"/>
  </cellStyleXfs>
  <cellXfs count="320">
    <xf numFmtId="5" fontId="0" fillId="2" borderId="0" xfId="0" applyNumberFormat="1" applyFill="1"/>
    <xf numFmtId="10" fontId="0" fillId="2" borderId="0" xfId="0" applyNumberFormat="1" applyFill="1"/>
    <xf numFmtId="5" fontId="5" fillId="2" borderId="0" xfId="0" applyNumberFormat="1" applyFont="1" applyFill="1"/>
    <xf numFmtId="5" fontId="5" fillId="2" borderId="2" xfId="0" applyNumberFormat="1" applyFont="1" applyFill="1" applyBorder="1"/>
    <xf numFmtId="0" fontId="5" fillId="2" borderId="2" xfId="0" applyFont="1" applyFill="1" applyBorder="1"/>
    <xf numFmtId="10" fontId="5" fillId="2" borderId="0" xfId="0" applyNumberFormat="1" applyFont="1" applyFill="1"/>
    <xf numFmtId="10" fontId="5" fillId="2" borderId="2" xfId="0" applyNumberFormat="1" applyFont="1" applyFill="1" applyBorder="1"/>
    <xf numFmtId="10" fontId="5" fillId="2" borderId="3" xfId="0" applyNumberFormat="1" applyFont="1" applyFill="1" applyBorder="1"/>
    <xf numFmtId="2" fontId="5" fillId="2" borderId="0" xfId="0" applyNumberFormat="1" applyFont="1" applyFill="1"/>
    <xf numFmtId="5" fontId="3" fillId="2" borderId="0" xfId="0" applyNumberFormat="1" applyFont="1" applyFill="1" applyAlignment="1">
      <alignment horizontal="centerContinuous"/>
    </xf>
    <xf numFmtId="5" fontId="0" fillId="2" borderId="0" xfId="0" applyNumberFormat="1" applyFill="1" applyAlignment="1">
      <alignment horizontal="centerContinuous"/>
    </xf>
    <xf numFmtId="5" fontId="4" fillId="2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>
      <alignment horizontal="centerContinuous"/>
    </xf>
    <xf numFmtId="10" fontId="5" fillId="2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>
      <alignment horizontal="right"/>
    </xf>
    <xf numFmtId="10" fontId="5" fillId="2" borderId="0" xfId="0" applyNumberFormat="1" applyFont="1" applyFill="1" applyAlignment="1">
      <alignment horizontal="right"/>
    </xf>
    <xf numFmtId="10" fontId="5" fillId="2" borderId="2" xfId="0" applyNumberFormat="1" applyFont="1" applyFill="1" applyBorder="1" applyAlignment="1">
      <alignment horizontal="right"/>
    </xf>
    <xf numFmtId="10" fontId="5" fillId="2" borderId="4" xfId="0" applyNumberFormat="1" applyFont="1" applyFill="1" applyBorder="1"/>
    <xf numFmtId="10" fontId="5" fillId="2" borderId="0" xfId="0" applyNumberFormat="1" applyFont="1" applyFill="1" applyBorder="1"/>
    <xf numFmtId="5" fontId="5" fillId="2" borderId="0" xfId="0" applyNumberFormat="1" applyFont="1" applyFill="1" applyBorder="1"/>
    <xf numFmtId="5" fontId="5" fillId="2" borderId="4" xfId="0" applyNumberFormat="1" applyFont="1" applyFill="1" applyBorder="1"/>
    <xf numFmtId="5" fontId="0" fillId="2" borderId="0" xfId="0" applyNumberFormat="1" applyFill="1" applyBorder="1"/>
    <xf numFmtId="0" fontId="5" fillId="2" borderId="0" xfId="0" applyFont="1" applyFill="1" applyBorder="1"/>
    <xf numFmtId="10" fontId="5" fillId="2" borderId="0" xfId="0" applyNumberFormat="1" applyFont="1" applyFill="1" applyBorder="1" applyAlignment="1">
      <alignment horizontal="right"/>
    </xf>
    <xf numFmtId="0" fontId="10" fillId="2" borderId="0" xfId="9" applyFill="1"/>
    <xf numFmtId="0" fontId="9" fillId="0" borderId="0" xfId="9" applyFont="1" applyFill="1" applyBorder="1" applyAlignment="1">
      <alignment vertical="center"/>
    </xf>
    <xf numFmtId="165" fontId="9" fillId="2" borderId="0" xfId="9" applyNumberFormat="1" applyFont="1" applyFill="1" applyBorder="1" applyAlignment="1">
      <alignment horizontal="right"/>
    </xf>
    <xf numFmtId="0" fontId="9" fillId="0" borderId="0" xfId="9" applyFont="1" applyBorder="1" applyAlignment="1">
      <alignment vertical="center"/>
    </xf>
    <xf numFmtId="165" fontId="9" fillId="0" borderId="0" xfId="9" applyNumberFormat="1" applyFont="1" applyFill="1" applyBorder="1" applyAlignment="1">
      <alignment horizontal="right"/>
    </xf>
    <xf numFmtId="0" fontId="7" fillId="3" borderId="0" xfId="9" applyFont="1" applyFill="1" applyBorder="1" applyAlignment="1"/>
    <xf numFmtId="0" fontId="9" fillId="0" borderId="5" xfId="9" applyFont="1" applyBorder="1" applyAlignment="1">
      <alignment vertical="center"/>
    </xf>
    <xf numFmtId="165" fontId="9" fillId="2" borderId="5" xfId="9" applyNumberFormat="1" applyFont="1" applyFill="1" applyBorder="1" applyAlignment="1">
      <alignment horizontal="right"/>
    </xf>
    <xf numFmtId="0" fontId="10" fillId="2" borderId="0" xfId="9" applyFont="1" applyFill="1"/>
    <xf numFmtId="167" fontId="10" fillId="2" borderId="0" xfId="9" applyNumberFormat="1" applyFill="1"/>
    <xf numFmtId="0" fontId="11" fillId="0" borderId="0" xfId="9" applyFont="1" applyFill="1" applyBorder="1" applyAlignment="1">
      <alignment horizontal="right"/>
    </xf>
    <xf numFmtId="0" fontId="11" fillId="2" borderId="0" xfId="9" applyNumberFormat="1" applyFont="1" applyFill="1" applyBorder="1" applyAlignment="1">
      <alignment horizontal="right"/>
    </xf>
    <xf numFmtId="0" fontId="11" fillId="2" borderId="0" xfId="9" applyFont="1" applyFill="1"/>
    <xf numFmtId="0" fontId="9" fillId="2" borderId="0" xfId="9" applyFont="1" applyFill="1"/>
    <xf numFmtId="167" fontId="9" fillId="2" borderId="0" xfId="9" applyNumberFormat="1" applyFont="1" applyFill="1"/>
    <xf numFmtId="0" fontId="10" fillId="2" borderId="0" xfId="9" applyFill="1" applyAlignment="1">
      <alignment horizontal="centerContinuous"/>
    </xf>
    <xf numFmtId="5" fontId="13" fillId="2" borderId="0" xfId="9" applyNumberFormat="1" applyFont="1" applyFill="1" applyAlignment="1">
      <alignment horizontal="centerContinuous"/>
    </xf>
    <xf numFmtId="167" fontId="10" fillId="2" borderId="0" xfId="9" applyNumberFormat="1" applyFill="1" applyAlignment="1">
      <alignment horizontal="centerContinuous"/>
    </xf>
    <xf numFmtId="0" fontId="15" fillId="2" borderId="0" xfId="9" applyFont="1" applyFill="1" applyAlignment="1">
      <alignment horizontal="centerContinuous"/>
    </xf>
    <xf numFmtId="0" fontId="10" fillId="2" borderId="0" xfId="9" applyFont="1" applyFill="1" applyAlignment="1">
      <alignment horizontal="centerContinuous"/>
    </xf>
    <xf numFmtId="0" fontId="11" fillId="2" borderId="0" xfId="9" applyFont="1" applyFill="1" applyAlignment="1">
      <alignment horizontal="center"/>
    </xf>
    <xf numFmtId="167" fontId="10" fillId="2" borderId="0" xfId="9" applyNumberFormat="1" applyFont="1" applyFill="1" applyAlignment="1">
      <alignment horizontal="centerContinuous"/>
    </xf>
    <xf numFmtId="0" fontId="9" fillId="0" borderId="0" xfId="9" quotePrefix="1" applyFont="1" applyBorder="1" applyAlignment="1">
      <alignment horizontal="left" vertical="center"/>
    </xf>
    <xf numFmtId="0" fontId="14" fillId="2" borderId="0" xfId="9" applyFont="1" applyFill="1" applyAlignment="1">
      <alignment horizontal="centerContinuous"/>
    </xf>
    <xf numFmtId="5" fontId="13" fillId="0" borderId="0" xfId="9" applyNumberFormat="1" applyFont="1" applyAlignment="1">
      <alignment horizontal="centerContinuous"/>
    </xf>
    <xf numFmtId="0" fontId="13" fillId="0" borderId="0" xfId="9" applyFont="1" applyAlignment="1">
      <alignment horizontal="centerContinuous"/>
    </xf>
    <xf numFmtId="0" fontId="12" fillId="2" borderId="0" xfId="9" applyFont="1" applyFill="1" applyAlignment="1">
      <alignment horizontal="centerContinuous"/>
    </xf>
    <xf numFmtId="5" fontId="11" fillId="2" borderId="0" xfId="9" applyNumberFormat="1" applyFont="1" applyFill="1" applyAlignment="1">
      <alignment horizontal="centerContinuous"/>
    </xf>
    <xf numFmtId="5" fontId="9" fillId="2" borderId="0" xfId="0" applyNumberFormat="1" applyFont="1" applyFill="1"/>
    <xf numFmtId="10" fontId="16" fillId="2" borderId="0" xfId="0" applyNumberFormat="1" applyFont="1" applyFill="1"/>
    <xf numFmtId="10" fontId="9" fillId="2" borderId="0" xfId="0" quotePrefix="1" applyNumberFormat="1" applyFont="1" applyFill="1" applyAlignment="1">
      <alignment horizontal="left"/>
    </xf>
    <xf numFmtId="10" fontId="9" fillId="2" borderId="0" xfId="0" applyNumberFormat="1" applyFont="1" applyFill="1"/>
    <xf numFmtId="0" fontId="9" fillId="2" borderId="0" xfId="9" applyFont="1" applyFill="1" applyAlignment="1">
      <alignment horizontal="centerContinuous"/>
    </xf>
    <xf numFmtId="10" fontId="9" fillId="2" borderId="0" xfId="10" applyFont="1"/>
    <xf numFmtId="10" fontId="9" fillId="2" borderId="0" xfId="9" applyNumberFormat="1" applyFont="1" applyFill="1"/>
    <xf numFmtId="10" fontId="9" fillId="2" borderId="0" xfId="10" applyFont="1" applyAlignment="1">
      <alignment horizontal="center"/>
    </xf>
    <xf numFmtId="0" fontId="7" fillId="3" borderId="0" xfId="9" quotePrefix="1" applyFont="1" applyFill="1" applyBorder="1" applyAlignment="1">
      <alignment horizontal="left"/>
    </xf>
    <xf numFmtId="165" fontId="9" fillId="0" borderId="0" xfId="9" applyNumberFormat="1" applyFont="1" applyBorder="1" applyAlignment="1">
      <alignment horizontal="right"/>
    </xf>
    <xf numFmtId="165" fontId="5" fillId="2" borderId="0" xfId="0" applyNumberFormat="1" applyFont="1" applyFill="1" applyAlignment="1">
      <alignment horizontal="centerContinuous"/>
    </xf>
    <xf numFmtId="165" fontId="9" fillId="0" borderId="0" xfId="9" applyNumberFormat="1" applyFont="1" applyBorder="1" applyAlignment="1" applyProtection="1">
      <alignment horizontal="right"/>
      <protection locked="0"/>
    </xf>
    <xf numFmtId="165" fontId="7" fillId="3" borderId="0" xfId="9" applyNumberFormat="1" applyFont="1" applyFill="1" applyBorder="1" applyAlignment="1">
      <alignment horizontal="right"/>
    </xf>
    <xf numFmtId="165" fontId="9" fillId="0" borderId="5" xfId="9" applyNumberFormat="1" applyFont="1" applyBorder="1" applyAlignment="1">
      <alignment horizontal="right"/>
    </xf>
    <xf numFmtId="165" fontId="7" fillId="3" borderId="5" xfId="3" applyNumberFormat="1" applyFont="1" applyFill="1" applyBorder="1" applyAlignment="1">
      <alignment horizontal="right"/>
    </xf>
    <xf numFmtId="165" fontId="10" fillId="2" borderId="0" xfId="9" applyNumberFormat="1" applyFill="1"/>
    <xf numFmtId="165" fontId="7" fillId="3" borderId="0" xfId="3" applyNumberFormat="1" applyFont="1" applyFill="1" applyBorder="1"/>
    <xf numFmtId="0" fontId="9" fillId="0" borderId="0" xfId="9" quotePrefix="1" applyFont="1" applyFill="1" applyBorder="1" applyAlignment="1">
      <alignment horizontal="left" vertical="center"/>
    </xf>
    <xf numFmtId="10" fontId="9" fillId="2" borderId="4" xfId="10" applyFont="1" applyBorder="1"/>
    <xf numFmtId="10" fontId="5" fillId="2" borderId="6" xfId="0" applyNumberFormat="1" applyFont="1" applyFill="1" applyBorder="1"/>
    <xf numFmtId="10" fontId="5" fillId="2" borderId="7" xfId="0" applyNumberFormat="1" applyFont="1" applyFill="1" applyBorder="1"/>
    <xf numFmtId="10" fontId="0" fillId="2" borderId="0" xfId="0" applyNumberFormat="1" applyFill="1" applyAlignment="1">
      <alignment horizontal="centerContinuous"/>
    </xf>
    <xf numFmtId="5" fontId="5" fillId="2" borderId="8" xfId="0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8" xfId="0" applyFont="1" applyFill="1" applyBorder="1"/>
    <xf numFmtId="5" fontId="5" fillId="2" borderId="8" xfId="0" applyNumberFormat="1" applyFont="1" applyFill="1" applyBorder="1"/>
    <xf numFmtId="5" fontId="5" fillId="2" borderId="6" xfId="0" applyNumberFormat="1" applyFont="1" applyFill="1" applyBorder="1"/>
    <xf numFmtId="5" fontId="5" fillId="2" borderId="2" xfId="0" applyNumberFormat="1" applyFont="1" applyFill="1" applyBorder="1" applyAlignment="1">
      <alignment horizontal="right"/>
    </xf>
    <xf numFmtId="5" fontId="5" fillId="2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/>
    <xf numFmtId="0" fontId="5" fillId="2" borderId="0" xfId="0" applyFont="1" applyFill="1"/>
    <xf numFmtId="7" fontId="5" fillId="2" borderId="0" xfId="0" applyNumberFormat="1" applyFont="1" applyFill="1"/>
    <xf numFmtId="0" fontId="9" fillId="2" borderId="0" xfId="0" applyNumberFormat="1" applyFont="1" applyFill="1"/>
    <xf numFmtId="5" fontId="5" fillId="2" borderId="10" xfId="0" applyNumberFormat="1" applyFont="1" applyFill="1" applyBorder="1"/>
    <xf numFmtId="5" fontId="5" fillId="2" borderId="11" xfId="0" applyNumberFormat="1" applyFont="1" applyFill="1" applyBorder="1"/>
    <xf numFmtId="0" fontId="9" fillId="0" borderId="0" xfId="0" applyFont="1"/>
    <xf numFmtId="0" fontId="5" fillId="2" borderId="8" xfId="0" applyNumberFormat="1" applyFont="1" applyFill="1" applyBorder="1"/>
    <xf numFmtId="39" fontId="5" fillId="2" borderId="8" xfId="0" applyNumberFormat="1" applyFont="1" applyFill="1" applyBorder="1"/>
    <xf numFmtId="10" fontId="5" fillId="2" borderId="8" xfId="0" applyNumberFormat="1" applyFont="1" applyFill="1" applyBorder="1"/>
    <xf numFmtId="10" fontId="5" fillId="2" borderId="10" xfId="0" applyNumberFormat="1" applyFont="1" applyFill="1" applyBorder="1"/>
    <xf numFmtId="10" fontId="5" fillId="2" borderId="11" xfId="0" applyNumberFormat="1" applyFont="1" applyFill="1" applyBorder="1"/>
    <xf numFmtId="10" fontId="5" fillId="2" borderId="12" xfId="0" applyNumberFormat="1" applyFont="1" applyFill="1" applyBorder="1"/>
    <xf numFmtId="10" fontId="5" fillId="2" borderId="13" xfId="0" applyNumberFormat="1" applyFont="1" applyFill="1" applyBorder="1"/>
    <xf numFmtId="10" fontId="5" fillId="2" borderId="14" xfId="0" applyNumberFormat="1" applyFont="1" applyFill="1" applyBorder="1"/>
    <xf numFmtId="10" fontId="5" fillId="2" borderId="15" xfId="0" applyNumberFormat="1" applyFont="1" applyFill="1" applyBorder="1"/>
    <xf numFmtId="10" fontId="5" fillId="2" borderId="5" xfId="0" applyNumberFormat="1" applyFont="1" applyFill="1" applyBorder="1"/>
    <xf numFmtId="0" fontId="5" fillId="2" borderId="8" xfId="0" applyNumberFormat="1" applyFont="1" applyFill="1" applyBorder="1" applyAlignment="1">
      <alignment horizontal="right"/>
    </xf>
    <xf numFmtId="2" fontId="5" fillId="2" borderId="0" xfId="0" quotePrefix="1" applyNumberFormat="1" applyFont="1" applyFill="1" applyAlignment="1">
      <alignment horizontal="right" wrapText="1"/>
    </xf>
    <xf numFmtId="5" fontId="5" fillId="2" borderId="16" xfId="0" applyNumberFormat="1" applyFont="1" applyFill="1" applyBorder="1"/>
    <xf numFmtId="37" fontId="9" fillId="2" borderId="0" xfId="0" applyNumberFormat="1" applyFont="1" applyFill="1"/>
    <xf numFmtId="169" fontId="5" fillId="2" borderId="0" xfId="0" applyNumberFormat="1" applyFont="1" applyFill="1"/>
    <xf numFmtId="10" fontId="5" fillId="2" borderId="16" xfId="0" applyNumberFormat="1" applyFont="1" applyFill="1" applyBorder="1"/>
    <xf numFmtId="5" fontId="11" fillId="2" borderId="0" xfId="0" applyNumberFormat="1" applyFont="1" applyFill="1" applyBorder="1"/>
    <xf numFmtId="5" fontId="12" fillId="2" borderId="0" xfId="0" applyNumberFormat="1" applyFont="1" applyFill="1" applyBorder="1" applyAlignment="1">
      <alignment horizontal="centerContinuous"/>
    </xf>
    <xf numFmtId="5" fontId="5" fillId="2" borderId="0" xfId="0" applyNumberFormat="1" applyFont="1" applyFill="1" applyBorder="1" applyAlignment="1">
      <alignment horizontal="centerContinuous"/>
    </xf>
    <xf numFmtId="5" fontId="11" fillId="2" borderId="0" xfId="0" applyNumberFormat="1" applyFont="1" applyFill="1" applyBorder="1" applyAlignment="1">
      <alignment horizontal="centerContinuous"/>
    </xf>
    <xf numFmtId="10" fontId="11" fillId="2" borderId="0" xfId="0" applyNumberFormat="1" applyFont="1" applyFill="1" applyBorder="1"/>
    <xf numFmtId="10" fontId="11" fillId="2" borderId="0" xfId="0" applyNumberFormat="1" applyFont="1" applyFill="1" applyBorder="1" applyAlignment="1">
      <alignment horizontal="centerContinuous"/>
    </xf>
    <xf numFmtId="39" fontId="5" fillId="2" borderId="0" xfId="0" applyNumberFormat="1" applyFont="1" applyFill="1" applyBorder="1"/>
    <xf numFmtId="5" fontId="9" fillId="2" borderId="0" xfId="0" applyNumberFormat="1" applyFont="1" applyFill="1" applyBorder="1"/>
    <xf numFmtId="5" fontId="9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right"/>
    </xf>
    <xf numFmtId="5" fontId="9" fillId="2" borderId="0" xfId="0" applyNumberFormat="1" applyFont="1" applyFill="1" applyAlignment="1">
      <alignment wrapText="1"/>
    </xf>
    <xf numFmtId="0" fontId="9" fillId="2" borderId="0" xfId="0" applyFont="1" applyFill="1" applyAlignment="1">
      <alignment wrapText="1"/>
    </xf>
    <xf numFmtId="5" fontId="9" fillId="2" borderId="0" xfId="0" quotePrefix="1" applyNumberFormat="1" applyFont="1" applyFill="1" applyAlignment="1">
      <alignment horizontal="left" wrapText="1"/>
    </xf>
    <xf numFmtId="5" fontId="9" fillId="2" borderId="0" xfId="0" applyNumberFormat="1" applyFont="1" applyFill="1" applyAlignment="1">
      <alignment horizontal="left" wrapText="1"/>
    </xf>
    <xf numFmtId="10" fontId="9" fillId="2" borderId="0" xfId="0" applyNumberFormat="1" applyFont="1" applyFill="1" applyAlignment="1">
      <alignment wrapText="1"/>
    </xf>
    <xf numFmtId="5" fontId="9" fillId="2" borderId="0" xfId="0" applyNumberFormat="1" applyFont="1" applyFill="1" applyAlignment="1">
      <alignment vertical="center"/>
    </xf>
    <xf numFmtId="10" fontId="9" fillId="2" borderId="0" xfId="0" applyNumberFormat="1" applyFont="1" applyFill="1" applyAlignment="1">
      <alignment vertical="center"/>
    </xf>
    <xf numFmtId="5" fontId="9" fillId="2" borderId="0" xfId="0" quotePrefix="1" applyNumberFormat="1" applyFont="1" applyFill="1" applyAlignment="1">
      <alignment horizontal="left" vertical="center"/>
    </xf>
    <xf numFmtId="166" fontId="9" fillId="2" borderId="0" xfId="0" applyNumberFormat="1" applyFont="1" applyFill="1" applyAlignment="1">
      <alignment vertical="center"/>
    </xf>
    <xf numFmtId="2" fontId="9" fillId="2" borderId="0" xfId="0" applyNumberFormat="1" applyFont="1" applyFill="1" applyAlignment="1">
      <alignment vertical="center"/>
    </xf>
    <xf numFmtId="37" fontId="9" fillId="2" borderId="0" xfId="0" applyNumberFormat="1" applyFont="1" applyFill="1" applyAlignment="1">
      <alignment vertical="center"/>
    </xf>
    <xf numFmtId="5" fontId="9" fillId="2" borderId="0" xfId="0" applyNumberFormat="1" applyFont="1" applyFill="1" applyAlignment="1">
      <alignment vertical="center" wrapText="1"/>
    </xf>
    <xf numFmtId="5" fontId="9" fillId="2" borderId="0" xfId="0" quotePrefix="1" applyNumberFormat="1" applyFont="1" applyFill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10" fontId="9" fillId="2" borderId="0" xfId="0" applyNumberFormat="1" applyFont="1" applyFill="1" applyAlignment="1">
      <alignment vertical="center" wrapText="1"/>
    </xf>
    <xf numFmtId="5" fontId="0" fillId="2" borderId="6" xfId="0" applyNumberFormat="1" applyFill="1" applyBorder="1"/>
    <xf numFmtId="164" fontId="9" fillId="2" borderId="0" xfId="0" applyNumberFormat="1" applyFont="1" applyFill="1"/>
    <xf numFmtId="10" fontId="9" fillId="2" borderId="6" xfId="0" applyNumberFormat="1" applyFont="1" applyFill="1" applyBorder="1"/>
    <xf numFmtId="0" fontId="9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 wrapText="1"/>
    </xf>
    <xf numFmtId="10" fontId="5" fillId="2" borderId="17" xfId="0" applyNumberFormat="1" applyFont="1" applyFill="1" applyBorder="1"/>
    <xf numFmtId="5" fontId="9" fillId="2" borderId="0" xfId="0" applyNumberFormat="1" applyFont="1" applyFill="1" applyAlignment="1">
      <alignment horizontal="left"/>
    </xf>
    <xf numFmtId="22" fontId="11" fillId="2" borderId="0" xfId="0" applyNumberFormat="1" applyFont="1" applyFill="1" applyBorder="1" applyAlignment="1">
      <alignment horizontal="centerContinuous"/>
    </xf>
    <xf numFmtId="22" fontId="11" fillId="2" borderId="0" xfId="0" applyNumberFormat="1" applyFont="1" applyFill="1" applyAlignment="1">
      <alignment horizontal="centerContinuous"/>
    </xf>
    <xf numFmtId="5" fontId="0" fillId="0" borderId="0" xfId="0" applyNumberFormat="1" applyFill="1"/>
    <xf numFmtId="10" fontId="16" fillId="0" borderId="0" xfId="0" applyNumberFormat="1" applyFont="1" applyFill="1"/>
    <xf numFmtId="5" fontId="9" fillId="0" borderId="0" xfId="0" applyNumberFormat="1" applyFont="1" applyFill="1"/>
    <xf numFmtId="10" fontId="9" fillId="0" borderId="0" xfId="0" applyNumberFormat="1" applyFont="1" applyFill="1"/>
    <xf numFmtId="5" fontId="3" fillId="0" borderId="0" xfId="0" applyNumberFormat="1" applyFont="1" applyFill="1" applyAlignment="1">
      <alignment horizontal="centerContinuous"/>
    </xf>
    <xf numFmtId="5" fontId="5" fillId="0" borderId="0" xfId="0" applyNumberFormat="1" applyFont="1" applyFill="1" applyAlignment="1">
      <alignment horizontal="centerContinuous"/>
    </xf>
    <xf numFmtId="10" fontId="9" fillId="0" borderId="0" xfId="0" applyNumberFormat="1" applyFont="1" applyFill="1" applyAlignment="1">
      <alignment horizontal="centerContinuous"/>
    </xf>
    <xf numFmtId="5" fontId="4" fillId="0" borderId="0" xfId="0" applyNumberFormat="1" applyFont="1" applyFill="1" applyAlignment="1">
      <alignment horizontal="centerContinuous"/>
    </xf>
    <xf numFmtId="5" fontId="0" fillId="0" borderId="0" xfId="0" applyNumberFormat="1" applyFill="1" applyAlignment="1">
      <alignment horizontal="centerContinuous"/>
    </xf>
    <xf numFmtId="10" fontId="5" fillId="0" borderId="0" xfId="0" applyNumberFormat="1" applyFont="1" applyFill="1" applyAlignment="1">
      <alignment horizontal="centerContinuous"/>
    </xf>
    <xf numFmtId="5" fontId="5" fillId="0" borderId="0" xfId="0" applyNumberFormat="1" applyFont="1" applyFill="1"/>
    <xf numFmtId="5" fontId="5" fillId="0" borderId="0" xfId="0" applyNumberFormat="1" applyFont="1" applyFill="1" applyAlignment="1">
      <alignment horizontal="right"/>
    </xf>
    <xf numFmtId="10" fontId="5" fillId="0" borderId="0" xfId="0" applyNumberFormat="1" applyFont="1" applyFill="1"/>
    <xf numFmtId="5" fontId="5" fillId="0" borderId="0" xfId="0" applyNumberFormat="1" applyFont="1" applyFill="1" applyBorder="1"/>
    <xf numFmtId="5" fontId="5" fillId="0" borderId="2" xfId="0" applyNumberFormat="1" applyFont="1" applyFill="1" applyBorder="1"/>
    <xf numFmtId="5" fontId="5" fillId="0" borderId="16" xfId="0" applyNumberFormat="1" applyFont="1" applyFill="1" applyBorder="1"/>
    <xf numFmtId="168" fontId="9" fillId="0" borderId="0" xfId="0" applyNumberFormat="1" applyFont="1" applyFill="1" applyBorder="1"/>
    <xf numFmtId="10" fontId="5" fillId="0" borderId="4" xfId="0" applyNumberFormat="1" applyFont="1" applyFill="1" applyBorder="1"/>
    <xf numFmtId="168" fontId="11" fillId="0" borderId="0" xfId="0" applyNumberFormat="1" applyFont="1" applyFill="1" applyBorder="1"/>
    <xf numFmtId="5" fontId="9" fillId="0" borderId="0" xfId="0" applyNumberFormat="1" applyFont="1" applyFill="1" applyBorder="1"/>
    <xf numFmtId="5" fontId="5" fillId="0" borderId="0" xfId="0" applyNumberFormat="1" applyFont="1" applyFill="1" applyAlignment="1">
      <alignment horizontal="left"/>
    </xf>
    <xf numFmtId="10" fontId="5" fillId="0" borderId="6" xfId="0" applyNumberFormat="1" applyFont="1" applyFill="1" applyBorder="1"/>
    <xf numFmtId="10" fontId="9" fillId="0" borderId="0" xfId="0" quotePrefix="1" applyNumberFormat="1" applyFont="1" applyFill="1" applyAlignment="1">
      <alignment horizontal="left"/>
    </xf>
    <xf numFmtId="166" fontId="7" fillId="0" borderId="16" xfId="3" applyNumberFormat="1" applyFont="1" applyFill="1" applyBorder="1"/>
    <xf numFmtId="166" fontId="5" fillId="0" borderId="2" xfId="0" applyNumberFormat="1" applyFont="1" applyFill="1" applyBorder="1"/>
    <xf numFmtId="166" fontId="5" fillId="0" borderId="16" xfId="0" applyNumberFormat="1" applyFont="1" applyFill="1" applyBorder="1"/>
    <xf numFmtId="166" fontId="5" fillId="0" borderId="0" xfId="0" applyNumberFormat="1" applyFont="1" applyFill="1"/>
    <xf numFmtId="0" fontId="7" fillId="0" borderId="0" xfId="0" applyFont="1" applyFill="1"/>
    <xf numFmtId="166" fontId="9" fillId="0" borderId="0" xfId="0" applyNumberFormat="1" applyFont="1" applyFill="1"/>
    <xf numFmtId="166" fontId="5" fillId="0" borderId="0" xfId="0" applyNumberFormat="1" applyFont="1" applyFill="1" applyAlignment="1">
      <alignment horizontal="right"/>
    </xf>
    <xf numFmtId="166" fontId="9" fillId="0" borderId="2" xfId="0" applyNumberFormat="1" applyFont="1" applyFill="1" applyBorder="1"/>
    <xf numFmtId="166" fontId="5" fillId="0" borderId="5" xfId="0" applyNumberFormat="1" applyFont="1" applyFill="1" applyBorder="1"/>
    <xf numFmtId="166" fontId="5" fillId="0" borderId="0" xfId="0" applyNumberFormat="1" applyFont="1" applyFill="1" applyBorder="1"/>
    <xf numFmtId="168" fontId="9" fillId="0" borderId="0" xfId="0" applyNumberFormat="1" applyFont="1" applyFill="1"/>
    <xf numFmtId="166" fontId="5" fillId="2" borderId="0" xfId="0" quotePrefix="1" applyNumberFormat="1" applyFont="1" applyFill="1" applyAlignment="1">
      <alignment horizontal="left"/>
    </xf>
    <xf numFmtId="0" fontId="9" fillId="0" borderId="0" xfId="0" applyFont="1" applyFill="1"/>
    <xf numFmtId="0" fontId="5" fillId="0" borderId="0" xfId="0" applyFont="1" applyFill="1" applyBorder="1"/>
    <xf numFmtId="10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/>
    <xf numFmtId="10" fontId="5" fillId="0" borderId="0" xfId="10" applyNumberFormat="1" applyFont="1" applyFill="1"/>
    <xf numFmtId="10" fontId="9" fillId="0" borderId="16" xfId="0" applyNumberFormat="1" applyFont="1" applyFill="1" applyBorder="1"/>
    <xf numFmtId="10" fontId="0" fillId="0" borderId="0" xfId="0" applyNumberFormat="1" applyFill="1"/>
    <xf numFmtId="0" fontId="5" fillId="0" borderId="0" xfId="0" applyFont="1" applyFill="1"/>
    <xf numFmtId="0" fontId="8" fillId="0" borderId="0" xfId="0" applyFont="1" applyFill="1"/>
    <xf numFmtId="5" fontId="11" fillId="0" borderId="0" xfId="0" applyNumberFormat="1" applyFont="1" applyFill="1"/>
    <xf numFmtId="10" fontId="11" fillId="0" borderId="0" xfId="0" applyNumberFormat="1" applyFont="1" applyFill="1"/>
    <xf numFmtId="5" fontId="17" fillId="0" borderId="0" xfId="0" applyNumberFormat="1" applyFont="1" applyFill="1"/>
    <xf numFmtId="0" fontId="11" fillId="0" borderId="2" xfId="0" applyFont="1" applyFill="1" applyBorder="1"/>
    <xf numFmtId="5" fontId="11" fillId="0" borderId="0" xfId="0" applyNumberFormat="1" applyFont="1" applyFill="1" applyAlignment="1">
      <alignment horizontal="centerContinuous"/>
    </xf>
    <xf numFmtId="10" fontId="11" fillId="0" borderId="0" xfId="0" applyNumberFormat="1" applyFont="1" applyFill="1" applyAlignment="1">
      <alignment horizontal="right"/>
    </xf>
    <xf numFmtId="5" fontId="11" fillId="0" borderId="0" xfId="0" applyNumberFormat="1" applyFont="1" applyFill="1" applyAlignment="1">
      <alignment horizontal="right"/>
    </xf>
    <xf numFmtId="0" fontId="11" fillId="0" borderId="2" xfId="0" applyFont="1" applyFill="1" applyBorder="1" applyAlignment="1">
      <alignment horizontal="right"/>
    </xf>
    <xf numFmtId="10" fontId="11" fillId="0" borderId="2" xfId="0" applyNumberFormat="1" applyFont="1" applyFill="1" applyBorder="1" applyAlignment="1">
      <alignment horizontal="right"/>
    </xf>
    <xf numFmtId="5" fontId="11" fillId="2" borderId="0" xfId="0" applyNumberFormat="1" applyFont="1" applyFill="1"/>
    <xf numFmtId="5" fontId="11" fillId="2" borderId="0" xfId="0" applyNumberFormat="1" applyFont="1" applyFill="1" applyAlignment="1">
      <alignment horizontal="right"/>
    </xf>
    <xf numFmtId="10" fontId="11" fillId="2" borderId="0" xfId="0" applyNumberFormat="1" applyFont="1" applyFill="1" applyAlignment="1">
      <alignment horizontal="right"/>
    </xf>
    <xf numFmtId="5" fontId="11" fillId="2" borderId="2" xfId="0" applyNumberFormat="1" applyFont="1" applyFill="1" applyBorder="1"/>
    <xf numFmtId="0" fontId="11" fillId="2" borderId="2" xfId="0" applyFont="1" applyFill="1" applyBorder="1"/>
    <xf numFmtId="10" fontId="11" fillId="2" borderId="2" xfId="0" applyNumberFormat="1" applyFont="1" applyFill="1" applyBorder="1" applyAlignment="1">
      <alignment horizontal="right"/>
    </xf>
    <xf numFmtId="5" fontId="17" fillId="2" borderId="0" xfId="0" applyNumberFormat="1" applyFont="1" applyFill="1"/>
    <xf numFmtId="10" fontId="11" fillId="2" borderId="0" xfId="0" applyNumberFormat="1" applyFont="1" applyFill="1"/>
    <xf numFmtId="10" fontId="11" fillId="2" borderId="4" xfId="0" applyNumberFormat="1" applyFont="1" applyFill="1" applyBorder="1"/>
    <xf numFmtId="10" fontId="11" fillId="2" borderId="2" xfId="0" applyNumberFormat="1" applyFont="1" applyFill="1" applyBorder="1"/>
    <xf numFmtId="10" fontId="11" fillId="2" borderId="5" xfId="0" applyNumberFormat="1" applyFont="1" applyFill="1" applyBorder="1"/>
    <xf numFmtId="10" fontId="11" fillId="2" borderId="3" xfId="0" applyNumberFormat="1" applyFont="1" applyFill="1" applyBorder="1"/>
    <xf numFmtId="10" fontId="11" fillId="2" borderId="7" xfId="0" applyNumberFormat="1" applyFont="1" applyFill="1" applyBorder="1"/>
    <xf numFmtId="10" fontId="11" fillId="0" borderId="4" xfId="0" applyNumberFormat="1" applyFont="1" applyFill="1" applyBorder="1"/>
    <xf numFmtId="5" fontId="11" fillId="0" borderId="2" xfId="0" applyNumberFormat="1" applyFont="1" applyFill="1" applyBorder="1"/>
    <xf numFmtId="5" fontId="11" fillId="0" borderId="5" xfId="0" applyNumberFormat="1" applyFont="1" applyFill="1" applyBorder="1"/>
    <xf numFmtId="5" fontId="11" fillId="0" borderId="3" xfId="0" applyNumberFormat="1" applyFont="1" applyFill="1" applyBorder="1"/>
    <xf numFmtId="5" fontId="11" fillId="0" borderId="7" xfId="0" applyNumberFormat="1" applyFont="1" applyFill="1" applyBorder="1"/>
    <xf numFmtId="5" fontId="11" fillId="0" borderId="0" xfId="0" applyNumberFormat="1" applyFont="1" applyFill="1" applyBorder="1"/>
    <xf numFmtId="5" fontId="11" fillId="0" borderId="4" xfId="0" applyNumberFormat="1" applyFont="1" applyFill="1" applyBorder="1"/>
    <xf numFmtId="10" fontId="11" fillId="0" borderId="6" xfId="0" applyNumberFormat="1" applyFont="1" applyFill="1" applyBorder="1"/>
    <xf numFmtId="10" fontId="17" fillId="0" borderId="0" xfId="0" applyNumberFormat="1" applyFont="1" applyFill="1"/>
    <xf numFmtId="10" fontId="17" fillId="2" borderId="0" xfId="0" applyNumberFormat="1" applyFont="1" applyFill="1"/>
    <xf numFmtId="5" fontId="13" fillId="2" borderId="0" xfId="0" applyNumberFormat="1" applyFont="1" applyFill="1" applyAlignment="1">
      <alignment horizontal="centerContinuous"/>
    </xf>
    <xf numFmtId="5" fontId="12" fillId="2" borderId="0" xfId="0" applyNumberFormat="1" applyFont="1" applyFill="1" applyAlignment="1">
      <alignment horizontal="centerContinuous"/>
    </xf>
    <xf numFmtId="5" fontId="11" fillId="2" borderId="4" xfId="0" applyNumberFormat="1" applyFont="1" applyFill="1" applyBorder="1"/>
    <xf numFmtId="5" fontId="7" fillId="0" borderId="0" xfId="0" applyNumberFormat="1" applyFont="1" applyFill="1" applyAlignment="1">
      <alignment horizontal="left"/>
    </xf>
    <xf numFmtId="166" fontId="11" fillId="0" borderId="0" xfId="0" applyNumberFormat="1" applyFont="1" applyFill="1"/>
    <xf numFmtId="0" fontId="19" fillId="0" borderId="0" xfId="0" applyFont="1" applyFill="1"/>
    <xf numFmtId="166" fontId="11" fillId="0" borderId="0" xfId="0" applyNumberFormat="1" applyFont="1" applyFill="1" applyBorder="1"/>
    <xf numFmtId="166" fontId="11" fillId="0" borderId="3" xfId="0" applyNumberFormat="1" applyFont="1" applyFill="1" applyBorder="1"/>
    <xf numFmtId="166" fontId="11" fillId="0" borderId="7" xfId="0" applyNumberFormat="1" applyFont="1" applyFill="1" applyBorder="1"/>
    <xf numFmtId="5" fontId="17" fillId="0" borderId="0" xfId="0" quotePrefix="1" applyNumberFormat="1" applyFont="1" applyFill="1" applyAlignment="1">
      <alignment horizontal="left"/>
    </xf>
    <xf numFmtId="5" fontId="9" fillId="0" borderId="4" xfId="0" applyNumberFormat="1" applyFont="1" applyFill="1" applyBorder="1"/>
    <xf numFmtId="0" fontId="18" fillId="2" borderId="0" xfId="9" applyFont="1" applyFill="1" applyAlignment="1">
      <alignment horizontal="centerContinuous"/>
    </xf>
    <xf numFmtId="167" fontId="18" fillId="2" borderId="0" xfId="9" applyNumberFormat="1" applyFont="1" applyFill="1" applyAlignment="1">
      <alignment horizontal="centerContinuous"/>
    </xf>
    <xf numFmtId="0" fontId="11" fillId="2" borderId="0" xfId="9" applyFont="1" applyFill="1" applyAlignment="1">
      <alignment horizontal="centerContinuous"/>
    </xf>
    <xf numFmtId="10" fontId="11" fillId="2" borderId="0" xfId="0" quotePrefix="1" applyNumberFormat="1" applyFont="1" applyFill="1" applyAlignment="1">
      <alignment horizontal="right"/>
    </xf>
    <xf numFmtId="0" fontId="11" fillId="0" borderId="0" xfId="9" applyFont="1" applyBorder="1" applyAlignment="1"/>
    <xf numFmtId="16" fontId="11" fillId="2" borderId="0" xfId="0" quotePrefix="1" applyNumberFormat="1" applyFont="1" applyFill="1" applyAlignment="1">
      <alignment horizontal="left"/>
    </xf>
    <xf numFmtId="0" fontId="11" fillId="0" borderId="16" xfId="9" applyFont="1" applyFill="1" applyBorder="1" applyAlignment="1">
      <alignment horizontal="right"/>
    </xf>
    <xf numFmtId="0" fontId="11" fillId="0" borderId="0" xfId="9" applyFont="1" applyFill="1" applyBorder="1" applyAlignment="1">
      <alignment vertical="center"/>
    </xf>
    <xf numFmtId="0" fontId="11" fillId="0" borderId="5" xfId="9" applyFont="1" applyBorder="1" applyAlignment="1">
      <alignment vertical="center"/>
    </xf>
    <xf numFmtId="165" fontId="11" fillId="0" borderId="5" xfId="9" applyNumberFormat="1" applyFont="1" applyBorder="1" applyAlignment="1">
      <alignment horizontal="right"/>
    </xf>
    <xf numFmtId="165" fontId="11" fillId="2" borderId="5" xfId="9" applyNumberFormat="1" applyFont="1" applyFill="1" applyBorder="1" applyAlignment="1">
      <alignment horizontal="right"/>
    </xf>
    <xf numFmtId="165" fontId="19" fillId="3" borderId="5" xfId="9" applyNumberFormat="1" applyFont="1" applyFill="1" applyBorder="1" applyAlignment="1">
      <alignment horizontal="right"/>
    </xf>
    <xf numFmtId="0" fontId="18" fillId="2" borderId="0" xfId="9" applyFont="1" applyFill="1" applyAlignment="1">
      <alignment horizontal="center"/>
    </xf>
    <xf numFmtId="16" fontId="11" fillId="2" borderId="0" xfId="0" quotePrefix="1" applyNumberFormat="1" applyFont="1" applyFill="1" applyAlignment="1">
      <alignment horizontal="right"/>
    </xf>
    <xf numFmtId="0" fontId="18" fillId="2" borderId="0" xfId="9" applyFont="1" applyFill="1"/>
    <xf numFmtId="10" fontId="11" fillId="2" borderId="2" xfId="0" quotePrefix="1" applyNumberFormat="1" applyFont="1" applyFill="1" applyBorder="1" applyAlignment="1">
      <alignment horizontal="right"/>
    </xf>
    <xf numFmtId="10" fontId="11" fillId="2" borderId="4" xfId="10" applyFont="1" applyBorder="1"/>
    <xf numFmtId="166" fontId="11" fillId="0" borderId="0" xfId="9" applyNumberFormat="1" applyFont="1" applyFill="1" applyBorder="1" applyAlignment="1">
      <alignment horizontal="right"/>
    </xf>
    <xf numFmtId="5" fontId="20" fillId="0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/>
    <xf numFmtId="10" fontId="5" fillId="2" borderId="0" xfId="0" applyNumberFormat="1" applyFont="1" applyFill="1" applyAlignment="1"/>
    <xf numFmtId="10" fontId="9" fillId="2" borderId="0" xfId="0" quotePrefix="1" applyNumberFormat="1" applyFont="1" applyFill="1" applyAlignment="1">
      <alignment horizontal="centerContinuous"/>
    </xf>
    <xf numFmtId="10" fontId="17" fillId="2" borderId="0" xfId="0" applyNumberFormat="1" applyFont="1" applyFill="1" applyAlignment="1">
      <alignment horizontal="center"/>
    </xf>
    <xf numFmtId="10" fontId="9" fillId="2" borderId="0" xfId="0" quotePrefix="1" applyNumberFormat="1" applyFont="1" applyFill="1" applyAlignment="1">
      <alignment horizontal="center" vertical="center"/>
    </xf>
    <xf numFmtId="5" fontId="20" fillId="2" borderId="0" xfId="0" applyNumberFormat="1" applyFont="1" applyFill="1" applyAlignment="1">
      <alignment horizontal="centerContinuous"/>
    </xf>
    <xf numFmtId="10" fontId="11" fillId="2" borderId="6" xfId="0" applyNumberFormat="1" applyFont="1" applyFill="1" applyBorder="1"/>
    <xf numFmtId="0" fontId="11" fillId="2" borderId="2" xfId="0" applyFont="1" applyFill="1" applyBorder="1" applyAlignment="1">
      <alignment horizontal="right"/>
    </xf>
    <xf numFmtId="10" fontId="11" fillId="2" borderId="0" xfId="9" applyNumberFormat="1" applyFont="1" applyFill="1"/>
    <xf numFmtId="5" fontId="5" fillId="2" borderId="14" xfId="0" applyNumberFormat="1" applyFont="1" applyFill="1" applyBorder="1"/>
    <xf numFmtId="10" fontId="5" fillId="2" borderId="18" xfId="0" applyNumberFormat="1" applyFont="1" applyFill="1" applyBorder="1"/>
    <xf numFmtId="10" fontId="5" fillId="2" borderId="19" xfId="0" applyNumberFormat="1" applyFont="1" applyFill="1" applyBorder="1"/>
    <xf numFmtId="5" fontId="11" fillId="2" borderId="0" xfId="0" applyNumberFormat="1" applyFont="1" applyFill="1" applyAlignment="1">
      <alignment horizontal="centerContinuous"/>
    </xf>
    <xf numFmtId="5" fontId="9" fillId="2" borderId="2" xfId="0" applyNumberFormat="1" applyFont="1" applyFill="1" applyBorder="1"/>
    <xf numFmtId="5" fontId="9" fillId="2" borderId="4" xfId="0" applyNumberFormat="1" applyFont="1" applyFill="1" applyBorder="1"/>
    <xf numFmtId="0" fontId="9" fillId="2" borderId="0" xfId="0" applyFont="1" applyFill="1"/>
    <xf numFmtId="0" fontId="9" fillId="2" borderId="2" xfId="0" applyFont="1" applyFill="1" applyBorder="1"/>
    <xf numFmtId="5" fontId="11" fillId="2" borderId="10" xfId="0" applyNumberFormat="1" applyFont="1" applyFill="1" applyBorder="1"/>
    <xf numFmtId="5" fontId="11" fillId="2" borderId="8" xfId="0" applyNumberFormat="1" applyFont="1" applyFill="1" applyBorder="1"/>
    <xf numFmtId="5" fontId="11" fillId="2" borderId="17" xfId="0" applyNumberFormat="1" applyFont="1" applyFill="1" applyBorder="1"/>
    <xf numFmtId="5" fontId="11" fillId="2" borderId="3" xfId="0" applyNumberFormat="1" applyFont="1" applyFill="1" applyBorder="1"/>
    <xf numFmtId="5" fontId="9" fillId="2" borderId="0" xfId="0" applyNumberFormat="1" applyFont="1" applyFill="1" applyAlignment="1">
      <alignment horizontal="left" vertical="center" wrapText="1"/>
    </xf>
    <xf numFmtId="10" fontId="11" fillId="2" borderId="10" xfId="0" applyNumberFormat="1" applyFont="1" applyFill="1" applyBorder="1"/>
    <xf numFmtId="10" fontId="11" fillId="2" borderId="12" xfId="0" applyNumberFormat="1" applyFont="1" applyFill="1" applyBorder="1"/>
    <xf numFmtId="10" fontId="11" fillId="2" borderId="8" xfId="0" applyNumberFormat="1" applyFont="1" applyFill="1" applyBorder="1"/>
    <xf numFmtId="10" fontId="11" fillId="2" borderId="14" xfId="0" applyNumberFormat="1" applyFont="1" applyFill="1" applyBorder="1"/>
    <xf numFmtId="5" fontId="11" fillId="2" borderId="14" xfId="0" applyNumberFormat="1" applyFont="1" applyFill="1" applyBorder="1"/>
    <xf numFmtId="170" fontId="5" fillId="0" borderId="0" xfId="0" applyNumberFormat="1" applyFont="1" applyFill="1"/>
    <xf numFmtId="5" fontId="9" fillId="0" borderId="0" xfId="0" applyNumberFormat="1" applyFont="1" applyFill="1" applyAlignment="1">
      <alignment horizontal="right"/>
    </xf>
    <xf numFmtId="0" fontId="21" fillId="2" borderId="0" xfId="9" applyFont="1" applyFill="1" applyBorder="1"/>
    <xf numFmtId="10" fontId="22" fillId="2" borderId="0" xfId="0" applyNumberFormat="1" applyFont="1" applyFill="1" applyAlignment="1">
      <alignment horizontal="centerContinuous"/>
    </xf>
    <xf numFmtId="10" fontId="17" fillId="2" borderId="0" xfId="0" applyNumberFormat="1" applyFont="1" applyFill="1" applyAlignment="1">
      <alignment horizontal="left"/>
    </xf>
    <xf numFmtId="10" fontId="9" fillId="2" borderId="0" xfId="0" applyNumberFormat="1" applyFont="1" applyFill="1" applyAlignment="1">
      <alignment horizontal="left"/>
    </xf>
    <xf numFmtId="10" fontId="9" fillId="0" borderId="0" xfId="0" applyNumberFormat="1" applyFont="1" applyFill="1" applyBorder="1"/>
    <xf numFmtId="5" fontId="5" fillId="0" borderId="0" xfId="1" applyNumberFormat="1" applyFont="1" applyFill="1" applyBorder="1"/>
    <xf numFmtId="10" fontId="11" fillId="2" borderId="5" xfId="9" applyNumberFormat="1" applyFont="1" applyFill="1" applyBorder="1"/>
    <xf numFmtId="10" fontId="11" fillId="2" borderId="0" xfId="0" applyNumberFormat="1" applyFont="1" applyFill="1" applyBorder="1" applyAlignment="1">
      <alignment horizontal="right"/>
    </xf>
    <xf numFmtId="165" fontId="11" fillId="0" borderId="0" xfId="9" applyNumberFormat="1" applyFont="1" applyBorder="1" applyAlignment="1">
      <alignment horizontal="right"/>
    </xf>
    <xf numFmtId="0" fontId="5" fillId="0" borderId="0" xfId="9" quotePrefix="1" applyFont="1" applyBorder="1" applyAlignment="1">
      <alignment horizontal="left" vertical="center"/>
    </xf>
    <xf numFmtId="10" fontId="5" fillId="2" borderId="5" xfId="9" applyNumberFormat="1" applyFont="1" applyFill="1" applyBorder="1"/>
    <xf numFmtId="5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wrapText="1"/>
    </xf>
    <xf numFmtId="5" fontId="5" fillId="2" borderId="0" xfId="0" applyNumberFormat="1" applyFont="1" applyFill="1" applyAlignment="1">
      <alignment vertical="center" wrapText="1"/>
    </xf>
    <xf numFmtId="5" fontId="5" fillId="2" borderId="0" xfId="0" applyNumberFormat="1" applyFont="1" applyFill="1" applyAlignment="1">
      <alignment horizontal="left" wrapText="1"/>
    </xf>
    <xf numFmtId="5" fontId="5" fillId="2" borderId="0" xfId="0" applyNumberFormat="1" applyFont="1" applyFill="1" applyAlignment="1">
      <alignment wrapText="1"/>
    </xf>
    <xf numFmtId="0" fontId="5" fillId="2" borderId="0" xfId="0" applyFont="1" applyFill="1" applyAlignment="1">
      <alignment vertical="center" wrapText="1"/>
    </xf>
    <xf numFmtId="10" fontId="9" fillId="2" borderId="0" xfId="9" applyNumberFormat="1" applyFont="1" applyFill="1" applyBorder="1" applyAlignment="1">
      <alignment horizontal="right"/>
    </xf>
    <xf numFmtId="10" fontId="10" fillId="2" borderId="0" xfId="9" applyNumberFormat="1" applyFill="1"/>
    <xf numFmtId="0" fontId="5" fillId="0" borderId="0" xfId="9" applyFont="1" applyBorder="1" applyAlignment="1">
      <alignment vertical="center"/>
    </xf>
    <xf numFmtId="5" fontId="5" fillId="0" borderId="5" xfId="0" applyNumberFormat="1" applyFont="1" applyFill="1" applyBorder="1"/>
    <xf numFmtId="5" fontId="5" fillId="0" borderId="0" xfId="0" applyNumberFormat="1" applyFont="1" applyFill="1" applyBorder="1" applyProtection="1"/>
    <xf numFmtId="0" fontId="5" fillId="2" borderId="0" xfId="0" applyNumberFormat="1" applyFont="1" applyFill="1"/>
    <xf numFmtId="166" fontId="9" fillId="2" borderId="0" xfId="0" applyNumberFormat="1" applyFont="1" applyFill="1" applyAlignment="1">
      <alignment vertical="center" wrapText="1"/>
    </xf>
    <xf numFmtId="0" fontId="9" fillId="2" borderId="0" xfId="0" applyNumberFormat="1" applyFont="1" applyFill="1" applyAlignment="1">
      <alignment wrapText="1"/>
    </xf>
    <xf numFmtId="5" fontId="9" fillId="2" borderId="0" xfId="0" applyNumberFormat="1" applyFont="1" applyFill="1" applyAlignment="1">
      <alignment horizontal="center" wrapText="1"/>
    </xf>
    <xf numFmtId="5" fontId="0" fillId="2" borderId="0" xfId="0" applyNumberFormat="1" applyFill="1" applyAlignment="1">
      <alignment wrapText="1"/>
    </xf>
    <xf numFmtId="0" fontId="5" fillId="2" borderId="0" xfId="0" applyNumberFormat="1" applyFont="1" applyFill="1" applyAlignment="1">
      <alignment horizontal="left" wrapText="1"/>
    </xf>
    <xf numFmtId="5" fontId="5" fillId="2" borderId="0" xfId="0" quotePrefix="1" applyNumberFormat="1" applyFont="1" applyFill="1" applyAlignment="1">
      <alignment horizontal="left" wrapText="1"/>
    </xf>
    <xf numFmtId="2" fontId="9" fillId="2" borderId="0" xfId="0" applyNumberFormat="1" applyFont="1" applyFill="1"/>
    <xf numFmtId="10" fontId="5" fillId="0" borderId="20" xfId="0" applyNumberFormat="1" applyFont="1" applyFill="1" applyBorder="1"/>
    <xf numFmtId="10" fontId="5" fillId="0" borderId="0" xfId="0" applyNumberFormat="1" applyFont="1" applyFill="1" applyBorder="1"/>
    <xf numFmtId="10" fontId="11" fillId="0" borderId="7" xfId="0" applyNumberFormat="1" applyFont="1" applyFill="1" applyBorder="1"/>
    <xf numFmtId="10" fontId="5" fillId="0" borderId="5" xfId="0" applyNumberFormat="1" applyFont="1" applyFill="1" applyBorder="1"/>
    <xf numFmtId="10" fontId="5" fillId="0" borderId="4" xfId="10" applyNumberFormat="1" applyFont="1" applyFill="1" applyBorder="1"/>
    <xf numFmtId="10" fontId="5" fillId="2" borderId="0" xfId="9" applyNumberFormat="1" applyFont="1" applyFill="1"/>
    <xf numFmtId="5" fontId="11" fillId="2" borderId="21" xfId="0" applyNumberFormat="1" applyFont="1" applyFill="1" applyBorder="1"/>
    <xf numFmtId="5" fontId="11" fillId="2" borderId="22" xfId="0" applyNumberFormat="1" applyFont="1" applyFill="1" applyBorder="1"/>
    <xf numFmtId="5" fontId="11" fillId="2" borderId="12" xfId="0" applyNumberFormat="1" applyFont="1" applyFill="1" applyBorder="1"/>
    <xf numFmtId="17" fontId="11" fillId="0" borderId="2" xfId="0" applyNumberFormat="1" applyFont="1" applyFill="1" applyBorder="1"/>
    <xf numFmtId="17" fontId="11" fillId="2" borderId="2" xfId="0" applyNumberFormat="1" applyFont="1" applyFill="1" applyBorder="1" applyAlignment="1">
      <alignment horizontal="right"/>
    </xf>
    <xf numFmtId="17" fontId="11" fillId="2" borderId="2" xfId="0" applyNumberFormat="1" applyFont="1" applyFill="1" applyBorder="1"/>
    <xf numFmtId="5" fontId="11" fillId="0" borderId="0" xfId="9" applyNumberFormat="1" applyFont="1" applyFill="1" applyBorder="1" applyAlignment="1">
      <alignment horizontal="right"/>
    </xf>
    <xf numFmtId="17" fontId="11" fillId="0" borderId="16" xfId="9" applyNumberFormat="1" applyFont="1" applyFill="1" applyBorder="1" applyAlignment="1">
      <alignment horizontal="right"/>
    </xf>
    <xf numFmtId="5" fontId="11" fillId="2" borderId="0" xfId="0" quotePrefix="1" applyNumberFormat="1" applyFont="1" applyFill="1" applyAlignment="1">
      <alignment horizontal="right"/>
    </xf>
    <xf numFmtId="10" fontId="5" fillId="0" borderId="0" xfId="0" applyNumberFormat="1" applyFont="1" applyFill="1" applyAlignment="1">
      <alignment horizontal="center"/>
    </xf>
    <xf numFmtId="0" fontId="11" fillId="0" borderId="0" xfId="9" applyFont="1" applyBorder="1" applyAlignment="1">
      <alignment horizontal="center"/>
    </xf>
  </cellXfs>
  <cellStyles count="12">
    <cellStyle name="Comma" xfId="1" builtinId="3"/>
    <cellStyle name="Comma0" xfId="2"/>
    <cellStyle name="Currency" xfId="3" builtinId="4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Normal_Financial Cash flow" xfId="9"/>
    <cellStyle name="Percent" xfId="10" builtinId="5"/>
    <cellStyle name="Total" xfId="11" builtinId="25" customBuiltin="1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7"/>
  <sheetViews>
    <sheetView showGridLines="0" zoomScale="75" zoomScaleNormal="75" workbookViewId="0">
      <pane xSplit="6" ySplit="9" topLeftCell="K47" activePane="bottomRight" state="frozen"/>
      <selection pane="topRight" activeCell="G1" sqref="G1"/>
      <selection pane="bottomLeft" activeCell="A10" sqref="A10"/>
      <selection pane="bottomRight" activeCell="R78" sqref="R78"/>
    </sheetView>
  </sheetViews>
  <sheetFormatPr defaultColWidth="13.7109375" defaultRowHeight="12.75" x14ac:dyDescent="0.2"/>
  <cols>
    <col min="1" max="1" width="32.42578125" customWidth="1"/>
    <col min="2" max="8" width="10.7109375" hidden="1" customWidth="1"/>
    <col min="9" max="9" width="4.7109375" hidden="1" customWidth="1"/>
    <col min="10" max="10" width="10.7109375" hidden="1" customWidth="1"/>
    <col min="11" max="17" width="10.7109375" customWidth="1"/>
    <col min="18" max="18" width="15.140625" customWidth="1"/>
    <col min="19" max="19" width="4.7109375" style="1" customWidth="1"/>
    <col min="20" max="20" width="33.140625" customWidth="1"/>
    <col min="21" max="25" width="13.7109375" style="52" hidden="1" customWidth="1"/>
    <col min="26" max="29" width="10.7109375" style="52" hidden="1" customWidth="1"/>
    <col min="30" max="36" width="10.7109375" style="52" customWidth="1"/>
    <col min="37" max="37" width="13.28515625" style="52" customWidth="1"/>
    <col min="38" max="41" width="12.7109375" style="52" customWidth="1"/>
    <col min="42" max="60" width="13.7109375" style="52"/>
  </cols>
  <sheetData>
    <row r="1" spans="1:38" x14ac:dyDescent="0.2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212" t="s">
        <v>114</v>
      </c>
      <c r="S1" s="140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7" t="s">
        <v>114</v>
      </c>
    </row>
    <row r="2" spans="1:38" x14ac:dyDescent="0.2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41" t="s">
        <v>115</v>
      </c>
      <c r="S2" s="140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248" t="s">
        <v>119</v>
      </c>
    </row>
    <row r="3" spans="1:38" ht="18.75" x14ac:dyDescent="0.3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41"/>
      <c r="S3" s="140"/>
      <c r="T3" s="9" t="str">
        <f xml:space="preserve">       A4</f>
        <v>PacifiCorp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246"/>
    </row>
    <row r="4" spans="1:38" ht="18.75" x14ac:dyDescent="0.3">
      <c r="A4" s="142" t="s">
        <v>42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4"/>
      <c r="S4" s="140"/>
      <c r="T4" s="11" t="s">
        <v>39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3"/>
    </row>
    <row r="5" spans="1:38" ht="15.75" x14ac:dyDescent="0.25">
      <c r="A5" s="145" t="s">
        <v>40</v>
      </c>
      <c r="B5" s="146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7"/>
      <c r="S5" s="140"/>
      <c r="T5" s="11" t="s">
        <v>40</v>
      </c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3"/>
    </row>
    <row r="6" spans="1:38" ht="14.25" x14ac:dyDescent="0.2">
      <c r="A6" s="243" t="s">
        <v>225</v>
      </c>
      <c r="B6" s="146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7"/>
      <c r="S6" s="140"/>
      <c r="T6" s="249" t="str">
        <f>A6</f>
        <v>Fiscal Years Ended December 31, 2009-2014; Three Months Ended March 31, 2015</v>
      </c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3"/>
    </row>
    <row r="7" spans="1:38" x14ac:dyDescent="0.2">
      <c r="A7" s="143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7" t="s">
        <v>224</v>
      </c>
      <c r="S7" s="140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5"/>
    </row>
    <row r="8" spans="1:38" x14ac:dyDescent="0.2">
      <c r="A8" s="148"/>
      <c r="B8" s="182"/>
      <c r="C8" s="182"/>
      <c r="D8" s="182"/>
      <c r="E8" s="182"/>
      <c r="F8" s="182"/>
      <c r="G8" s="182"/>
      <c r="H8" s="188"/>
      <c r="I8" s="188"/>
      <c r="J8" s="188"/>
      <c r="K8" s="188"/>
      <c r="L8" s="188"/>
      <c r="M8" s="188"/>
      <c r="N8" s="188"/>
      <c r="O8" s="188"/>
      <c r="P8" s="188"/>
      <c r="Q8" s="188" t="s">
        <v>226</v>
      </c>
      <c r="R8" s="187" t="s">
        <v>4</v>
      </c>
      <c r="S8" s="140"/>
      <c r="T8" s="191"/>
      <c r="U8" s="191"/>
      <c r="V8" s="191"/>
      <c r="W8" s="191"/>
      <c r="X8" s="191"/>
      <c r="Y8" s="191"/>
      <c r="Z8" s="191"/>
      <c r="AA8" s="192"/>
      <c r="AB8" s="192"/>
      <c r="AC8" s="192"/>
      <c r="AD8" s="192"/>
      <c r="AE8" s="192"/>
      <c r="AF8" s="192"/>
      <c r="AG8" s="192"/>
      <c r="AH8" s="192"/>
      <c r="AI8" s="192"/>
      <c r="AJ8" s="192" t="str">
        <f>Q8</f>
        <v>3 Months</v>
      </c>
      <c r="AK8" s="193" t="str">
        <f>R7</f>
        <v>2009-2014</v>
      </c>
      <c r="AL8" s="191"/>
    </row>
    <row r="9" spans="1:38" x14ac:dyDescent="0.2">
      <c r="A9" s="185" t="s">
        <v>0</v>
      </c>
      <c r="B9" s="185">
        <v>2000</v>
      </c>
      <c r="C9" s="185">
        <f>B9+1</f>
        <v>2001</v>
      </c>
      <c r="D9" s="185">
        <f>C9+1</f>
        <v>2002</v>
      </c>
      <c r="E9" s="185">
        <f>D9+1</f>
        <v>2003</v>
      </c>
      <c r="F9" s="185">
        <f>E9+1</f>
        <v>2004</v>
      </c>
      <c r="G9" s="185">
        <f>F9+1</f>
        <v>2005</v>
      </c>
      <c r="H9" s="189">
        <v>2006</v>
      </c>
      <c r="I9" s="189">
        <v>2007</v>
      </c>
      <c r="J9" s="185">
        <f>I9+1</f>
        <v>2008</v>
      </c>
      <c r="K9" s="185">
        <f>J9+1</f>
        <v>2009</v>
      </c>
      <c r="L9" s="185">
        <f>K9+1</f>
        <v>2010</v>
      </c>
      <c r="M9" s="185">
        <f>L9+1</f>
        <v>2011</v>
      </c>
      <c r="N9" s="185">
        <v>2012</v>
      </c>
      <c r="O9" s="185">
        <v>2013</v>
      </c>
      <c r="P9" s="185">
        <v>2014</v>
      </c>
      <c r="Q9" s="312">
        <v>42064</v>
      </c>
      <c r="R9" s="190" t="s">
        <v>23</v>
      </c>
      <c r="S9" s="140"/>
      <c r="T9" s="194" t="s">
        <v>0</v>
      </c>
      <c r="U9" s="195">
        <f>B9</f>
        <v>2000</v>
      </c>
      <c r="V9" s="195">
        <f t="shared" ref="V9:AA9" si="0">U9+1</f>
        <v>2001</v>
      </c>
      <c r="W9" s="195">
        <f t="shared" si="0"/>
        <v>2002</v>
      </c>
      <c r="X9" s="195">
        <f t="shared" si="0"/>
        <v>2003</v>
      </c>
      <c r="Y9" s="195">
        <f t="shared" si="0"/>
        <v>2004</v>
      </c>
      <c r="Z9" s="195">
        <f t="shared" si="0"/>
        <v>2005</v>
      </c>
      <c r="AA9" s="195">
        <f t="shared" si="0"/>
        <v>2006</v>
      </c>
      <c r="AB9" s="195">
        <f>I9</f>
        <v>2007</v>
      </c>
      <c r="AC9" s="195">
        <f>AB9+1</f>
        <v>2008</v>
      </c>
      <c r="AD9" s="195">
        <f>AC9+1</f>
        <v>2009</v>
      </c>
      <c r="AE9" s="251">
        <f>L9</f>
        <v>2010</v>
      </c>
      <c r="AF9" s="251">
        <f>M9</f>
        <v>2011</v>
      </c>
      <c r="AG9" s="251">
        <f>N9</f>
        <v>2012</v>
      </c>
      <c r="AH9" s="251">
        <f>O9</f>
        <v>2013</v>
      </c>
      <c r="AI9" s="251">
        <f>P9</f>
        <v>2014</v>
      </c>
      <c r="AJ9" s="313">
        <f>Q9</f>
        <v>42064</v>
      </c>
      <c r="AK9" s="196" t="s">
        <v>3</v>
      </c>
      <c r="AL9" s="191"/>
    </row>
    <row r="10" spans="1:38" ht="7.5" customHeight="1" x14ac:dyDescent="0.2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7"/>
      <c r="S10" s="140"/>
      <c r="T10" s="19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3"/>
    </row>
    <row r="11" spans="1:38" x14ac:dyDescent="0.2">
      <c r="A11" s="184" t="s">
        <v>8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50"/>
      <c r="S11" s="141"/>
      <c r="T11" s="197" t="str">
        <f>A11</f>
        <v>Current Assets: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5"/>
    </row>
    <row r="12" spans="1:38" x14ac:dyDescent="0.2">
      <c r="A12" s="148" t="s">
        <v>5</v>
      </c>
      <c r="B12" s="148">
        <v>154.19999999999999</v>
      </c>
      <c r="C12" s="148">
        <v>139.4</v>
      </c>
      <c r="D12" s="148">
        <v>157.9</v>
      </c>
      <c r="E12" s="148">
        <v>152.5</v>
      </c>
      <c r="F12" s="148">
        <v>58.5</v>
      </c>
      <c r="G12" s="148">
        <v>199.3</v>
      </c>
      <c r="H12" s="148">
        <v>119.6</v>
      </c>
      <c r="I12" s="148">
        <v>228</v>
      </c>
      <c r="J12" s="148">
        <v>59</v>
      </c>
      <c r="K12" s="148">
        <v>117</v>
      </c>
      <c r="L12" s="148">
        <v>31</v>
      </c>
      <c r="M12" s="148">
        <v>47</v>
      </c>
      <c r="N12" s="148">
        <v>80</v>
      </c>
      <c r="O12" s="148">
        <v>53</v>
      </c>
      <c r="P12" s="2">
        <v>23</v>
      </c>
      <c r="Q12" s="2">
        <v>12</v>
      </c>
      <c r="R12" s="150">
        <f>RATE(5,,-K12,P12)</f>
        <v>-0.27771533415359961</v>
      </c>
      <c r="S12" s="141"/>
      <c r="T12" s="2" t="str">
        <f t="shared" ref="T12:T76" si="1">A12</f>
        <v>Cash &amp; Equivalents</v>
      </c>
      <c r="U12" s="5">
        <f t="shared" ref="U12:AJ16" si="2">B12/B$37</f>
        <v>1.2531389423897407E-2</v>
      </c>
      <c r="V12" s="5">
        <f t="shared" si="2"/>
        <v>1.2520433275251937E-2</v>
      </c>
      <c r="W12" s="5">
        <f t="shared" si="2"/>
        <v>1.4516069721262043E-2</v>
      </c>
      <c r="X12" s="5">
        <f t="shared" si="2"/>
        <v>1.303886865370475E-2</v>
      </c>
      <c r="Y12" s="5">
        <f t="shared" si="2"/>
        <v>5.0098055167807085E-3</v>
      </c>
      <c r="Z12" s="5">
        <f t="shared" si="2"/>
        <v>1.5917386130389993E-2</v>
      </c>
      <c r="AA12" s="5">
        <f t="shared" si="2"/>
        <v>9.3941702732635336E-3</v>
      </c>
      <c r="AB12" s="5">
        <f t="shared" si="2"/>
        <v>1.5294827933185751E-2</v>
      </c>
      <c r="AC12" s="5">
        <f t="shared" si="2"/>
        <v>3.436826469388944E-3</v>
      </c>
      <c r="AD12" s="5">
        <f t="shared" si="2"/>
        <v>6.1689338816830119E-3</v>
      </c>
      <c r="AE12" s="5">
        <f t="shared" si="2"/>
        <v>1.5387670008934777E-3</v>
      </c>
      <c r="AF12" s="5">
        <f t="shared" si="2"/>
        <v>2.2268549227707759E-3</v>
      </c>
      <c r="AG12" s="5">
        <f t="shared" si="2"/>
        <v>3.6818851251840942E-3</v>
      </c>
      <c r="AH12" s="5">
        <f t="shared" si="2"/>
        <v>2.4470197146682672E-3</v>
      </c>
      <c r="AI12" s="5">
        <f t="shared" si="2"/>
        <v>1.0329186688822023E-3</v>
      </c>
      <c r="AJ12" s="5">
        <f t="shared" si="2"/>
        <v>5.4122316435143423E-4</v>
      </c>
      <c r="AK12" s="55">
        <f>SUM(K12:P12)/SUM(K$37:P$37)</f>
        <v>2.7885470954620568E-3</v>
      </c>
    </row>
    <row r="13" spans="1:38" x14ac:dyDescent="0.2">
      <c r="A13" s="148" t="s">
        <v>2</v>
      </c>
      <c r="B13" s="148">
        <v>561.6</v>
      </c>
      <c r="C13" s="148">
        <v>567</v>
      </c>
      <c r="D13" s="148">
        <v>249.1</v>
      </c>
      <c r="E13" s="148">
        <v>258.2</v>
      </c>
      <c r="F13" s="148">
        <v>235.1</v>
      </c>
      <c r="G13" s="148">
        <v>293</v>
      </c>
      <c r="H13" s="148">
        <v>266.8</v>
      </c>
      <c r="I13" s="148">
        <f>391+192</f>
        <v>583</v>
      </c>
      <c r="J13" s="148">
        <v>609</v>
      </c>
      <c r="K13" s="148">
        <v>619</v>
      </c>
      <c r="L13" s="148">
        <v>628</v>
      </c>
      <c r="M13" s="148">
        <v>653</v>
      </c>
      <c r="N13" s="148">
        <v>671</v>
      </c>
      <c r="O13" s="148">
        <v>700</v>
      </c>
      <c r="P13" s="2">
        <v>701</v>
      </c>
      <c r="Q13" s="2">
        <v>620</v>
      </c>
      <c r="R13" s="150">
        <f t="shared" ref="R13:R63" si="3">RATE(5,,-K13,P13)</f>
        <v>2.5192626137222198E-2</v>
      </c>
      <c r="S13" s="141"/>
      <c r="T13" s="2" t="str">
        <f t="shared" si="1"/>
        <v>Accounts Receivable</v>
      </c>
      <c r="U13" s="5">
        <f t="shared" si="2"/>
        <v>4.5639612843455156E-2</v>
      </c>
      <c r="V13" s="5">
        <f t="shared" si="2"/>
        <v>5.0926009089439367E-2</v>
      </c>
      <c r="W13" s="5">
        <f t="shared" si="2"/>
        <v>2.2900272118849745E-2</v>
      </c>
      <c r="X13" s="5">
        <f t="shared" si="2"/>
        <v>2.2076300894338138E-2</v>
      </c>
      <c r="Y13" s="5">
        <f t="shared" si="2"/>
        <v>2.0133423538378537E-2</v>
      </c>
      <c r="Z13" s="5">
        <f t="shared" si="2"/>
        <v>2.3400873739108215E-2</v>
      </c>
      <c r="AA13" s="5">
        <f t="shared" si="2"/>
        <v>2.0956225994203267E-2</v>
      </c>
      <c r="AB13" s="5">
        <f t="shared" si="2"/>
        <v>3.9109143355470583E-2</v>
      </c>
      <c r="AC13" s="5">
        <f t="shared" si="2"/>
        <v>3.5475039319624861E-2</v>
      </c>
      <c r="AD13" s="5">
        <f t="shared" si="2"/>
        <v>3.2637351049246019E-2</v>
      </c>
      <c r="AE13" s="5">
        <f t="shared" si="2"/>
        <v>3.1172441179390449E-2</v>
      </c>
      <c r="AF13" s="5">
        <f t="shared" si="2"/>
        <v>3.0939069458921633E-2</v>
      </c>
      <c r="AG13" s="5">
        <f t="shared" si="2"/>
        <v>3.0881811487481592E-2</v>
      </c>
      <c r="AH13" s="5">
        <f t="shared" si="2"/>
        <v>3.2319128306939379E-2</v>
      </c>
      <c r="AI13" s="5">
        <f t="shared" si="2"/>
        <v>3.1481564647235817E-2</v>
      </c>
      <c r="AJ13" s="5">
        <f t="shared" si="2"/>
        <v>2.7963196824824104E-2</v>
      </c>
      <c r="AK13" s="55">
        <f t="shared" ref="AK13:AK15" si="4">SUM(K13:P13)/SUM(K$37:P$37)</f>
        <v>3.1555866276852675E-2</v>
      </c>
    </row>
    <row r="14" spans="1:38" x14ac:dyDescent="0.2">
      <c r="A14" s="148" t="s">
        <v>48</v>
      </c>
      <c r="B14" s="148">
        <v>177.4</v>
      </c>
      <c r="C14" s="148">
        <v>160.4</v>
      </c>
      <c r="D14" s="148">
        <f>93.5+59.9</f>
        <v>153.4</v>
      </c>
      <c r="E14" s="148">
        <f>99.4+71.8</f>
        <v>171.2</v>
      </c>
      <c r="F14" s="148">
        <f>56+101</f>
        <v>157</v>
      </c>
      <c r="G14" s="148">
        <f>114.7+58.5</f>
        <v>173.2</v>
      </c>
      <c r="H14" s="151">
        <f>131.2+80.9</f>
        <v>212.1</v>
      </c>
      <c r="I14" s="151">
        <f>163+129</f>
        <v>292</v>
      </c>
      <c r="J14" s="151">
        <f>155+184</f>
        <v>339</v>
      </c>
      <c r="K14" s="151">
        <f>192+187</f>
        <v>379</v>
      </c>
      <c r="L14" s="151">
        <f>186+188</f>
        <v>374</v>
      </c>
      <c r="M14" s="151">
        <f>196+237</f>
        <v>433</v>
      </c>
      <c r="N14" s="151">
        <f>202+266</f>
        <v>468</v>
      </c>
      <c r="O14" s="151">
        <f>213+241</f>
        <v>454</v>
      </c>
      <c r="P14" s="2">
        <f>218+199</f>
        <v>417</v>
      </c>
      <c r="Q14" s="2">
        <f>226+186</f>
        <v>412</v>
      </c>
      <c r="R14" s="150">
        <f t="shared" si="3"/>
        <v>1.9293768172810422E-2</v>
      </c>
      <c r="S14" s="140"/>
      <c r="T14" s="2" t="str">
        <f t="shared" si="1"/>
        <v>Material, Supplies, Fuel</v>
      </c>
      <c r="U14" s="5">
        <f t="shared" si="2"/>
        <v>1.4416786535664075E-2</v>
      </c>
      <c r="V14" s="5">
        <f t="shared" si="2"/>
        <v>1.4406581760045988E-2</v>
      </c>
      <c r="W14" s="5">
        <f t="shared" si="2"/>
        <v>1.410237552401265E-2</v>
      </c>
      <c r="X14" s="5">
        <f t="shared" si="2"/>
        <v>1.4637733203372151E-2</v>
      </c>
      <c r="Y14" s="5">
        <f t="shared" si="2"/>
        <v>1.3445119079223439E-2</v>
      </c>
      <c r="Z14" s="5">
        <f t="shared" si="2"/>
        <v>1.3832871438954071E-2</v>
      </c>
      <c r="AA14" s="5">
        <f t="shared" si="2"/>
        <v>1.6659728385946451E-2</v>
      </c>
      <c r="AB14" s="5">
        <f t="shared" si="2"/>
        <v>1.9588112967062452E-2</v>
      </c>
      <c r="AC14" s="5">
        <f t="shared" si="2"/>
        <v>1.9747189374963593E-2</v>
      </c>
      <c r="AD14" s="5">
        <f t="shared" si="2"/>
        <v>1.9983127702203944E-2</v>
      </c>
      <c r="AE14" s="18">
        <f t="shared" si="2"/>
        <v>1.8564479301101954E-2</v>
      </c>
      <c r="AF14" s="18">
        <f t="shared" si="2"/>
        <v>2.0515493224675448E-2</v>
      </c>
      <c r="AG14" s="18">
        <f t="shared" si="2"/>
        <v>2.1539027982326951E-2</v>
      </c>
      <c r="AH14" s="18">
        <f t="shared" si="2"/>
        <v>2.0961263216214967E-2</v>
      </c>
      <c r="AI14" s="18">
        <f t="shared" si="2"/>
        <v>1.8727264561907757E-2</v>
      </c>
      <c r="AJ14" s="18">
        <f t="shared" si="2"/>
        <v>1.8581995309399243E-2</v>
      </c>
      <c r="AK14" s="55">
        <f t="shared" si="4"/>
        <v>2.0060061014363799E-2</v>
      </c>
    </row>
    <row r="15" spans="1:38" x14ac:dyDescent="0.2">
      <c r="A15" s="148" t="s">
        <v>22</v>
      </c>
      <c r="B15" s="152">
        <v>68</v>
      </c>
      <c r="C15" s="152">
        <f>370.4+73.5+46.7</f>
        <v>490.59999999999997</v>
      </c>
      <c r="D15" s="152">
        <f>127+51.3+21.5</f>
        <v>199.8</v>
      </c>
      <c r="E15" s="152">
        <f>109.2+2.5+107.2+31.1+17.5</f>
        <v>267.5</v>
      </c>
      <c r="F15" s="152">
        <f>127.8+2.4+118.9+31.5+25.2</f>
        <v>305.8</v>
      </c>
      <c r="G15" s="152">
        <f>143.8+36.5+252.7+115.8</f>
        <v>548.79999999999995</v>
      </c>
      <c r="H15" s="153">
        <f>148.2+221.7+46.9</f>
        <v>416.79999999999995</v>
      </c>
      <c r="I15" s="153">
        <f>34+143+55+141</f>
        <v>373</v>
      </c>
      <c r="J15" s="153">
        <f>174+74+78+43</f>
        <v>369</v>
      </c>
      <c r="K15" s="153">
        <f>108+39+61+249</f>
        <v>457</v>
      </c>
      <c r="L15" s="153">
        <f>345+114+83+120</f>
        <v>662</v>
      </c>
      <c r="M15" s="153">
        <f>70+11+129+140</f>
        <v>350</v>
      </c>
      <c r="N15" s="153">
        <f>112+62+75</f>
        <v>249</v>
      </c>
      <c r="O15" s="153">
        <f>66+94+75</f>
        <v>235</v>
      </c>
      <c r="P15" s="2">
        <f>133+28+131+92</f>
        <v>384</v>
      </c>
      <c r="Q15" s="2">
        <f>60+53+124+76</f>
        <v>313</v>
      </c>
      <c r="R15" s="150">
        <f t="shared" si="3"/>
        <v>-3.4209331629004802E-2</v>
      </c>
      <c r="S15" s="154"/>
      <c r="T15" s="2" t="str">
        <f t="shared" si="1"/>
        <v>Other Current Assets</v>
      </c>
      <c r="U15" s="6">
        <f t="shared" si="2"/>
        <v>5.5261639482816066E-3</v>
      </c>
      <c r="V15" s="6">
        <f t="shared" si="2"/>
        <v>4.4064021268569578E-2</v>
      </c>
      <c r="W15" s="6">
        <f t="shared" si="2"/>
        <v>1.8368022357873062E-2</v>
      </c>
      <c r="X15" s="6">
        <f t="shared" si="2"/>
        <v>2.2871458130268987E-2</v>
      </c>
      <c r="Y15" s="6">
        <f t="shared" si="2"/>
        <v>2.6188009009086164E-2</v>
      </c>
      <c r="Z15" s="6">
        <f t="shared" si="2"/>
        <v>4.3830715044445689E-2</v>
      </c>
      <c r="AA15" s="103">
        <f t="shared" si="2"/>
        <v>3.2738212122878266E-2</v>
      </c>
      <c r="AB15" s="103">
        <f t="shared" si="2"/>
        <v>2.5021801838062654E-2</v>
      </c>
      <c r="AC15" s="103">
        <f t="shared" si="2"/>
        <v>2.1494728257703734E-2</v>
      </c>
      <c r="AD15" s="103">
        <f t="shared" si="2"/>
        <v>2.4095750289992619E-2</v>
      </c>
      <c r="AE15" s="103">
        <f t="shared" si="2"/>
        <v>3.2860121115854263E-2</v>
      </c>
      <c r="AF15" s="103">
        <f t="shared" si="2"/>
        <v>1.6582962190846207E-2</v>
      </c>
      <c r="AG15" s="103">
        <f t="shared" si="2"/>
        <v>1.1459867452135493E-2</v>
      </c>
      <c r="AH15" s="103">
        <f t="shared" si="2"/>
        <v>1.0849993074472505E-2</v>
      </c>
      <c r="AI15" s="103">
        <f t="shared" si="2"/>
        <v>1.7245250819598507E-2</v>
      </c>
      <c r="AJ15" s="103">
        <f t="shared" si="2"/>
        <v>1.4116904203499909E-2</v>
      </c>
      <c r="AK15" s="55">
        <f t="shared" si="4"/>
        <v>1.8566480233888395E-2</v>
      </c>
    </row>
    <row r="16" spans="1:38" x14ac:dyDescent="0.2">
      <c r="A16" s="182" t="s">
        <v>32</v>
      </c>
      <c r="B16" s="182">
        <f t="shared" ref="B16:L16" si="5">SUM(B11:B15)</f>
        <v>961.19999999999993</v>
      </c>
      <c r="C16" s="182">
        <f t="shared" si="5"/>
        <v>1357.3999999999999</v>
      </c>
      <c r="D16" s="182">
        <f t="shared" si="5"/>
        <v>760.2</v>
      </c>
      <c r="E16" s="182">
        <f t="shared" si="5"/>
        <v>849.4</v>
      </c>
      <c r="F16" s="182">
        <f t="shared" si="5"/>
        <v>756.40000000000009</v>
      </c>
      <c r="G16" s="182">
        <f t="shared" si="5"/>
        <v>1214.3</v>
      </c>
      <c r="H16" s="182">
        <f t="shared" si="5"/>
        <v>1015.3</v>
      </c>
      <c r="I16" s="182">
        <f t="shared" si="5"/>
        <v>1476</v>
      </c>
      <c r="J16" s="182">
        <f t="shared" si="5"/>
        <v>1376</v>
      </c>
      <c r="K16" s="182">
        <f t="shared" si="5"/>
        <v>1572</v>
      </c>
      <c r="L16" s="182">
        <f t="shared" si="5"/>
        <v>1695</v>
      </c>
      <c r="M16" s="182">
        <f t="shared" ref="M16:P16" si="6">SUM(M11:M15)</f>
        <v>1483</v>
      </c>
      <c r="N16" s="182">
        <f t="shared" ref="N16:O16" si="7">SUM(N11:N15)</f>
        <v>1468</v>
      </c>
      <c r="O16" s="182">
        <f t="shared" si="7"/>
        <v>1442</v>
      </c>
      <c r="P16" s="210">
        <f t="shared" si="6"/>
        <v>1525</v>
      </c>
      <c r="Q16" s="210">
        <f t="shared" ref="Q16" si="8">SUM(Q11:Q15)</f>
        <v>1357</v>
      </c>
      <c r="R16" s="204">
        <f t="shared" si="3"/>
        <v>-6.0524663724638716E-3</v>
      </c>
      <c r="S16" s="154"/>
      <c r="T16" s="191" t="str">
        <f t="shared" si="1"/>
        <v>Total Current Assets</v>
      </c>
      <c r="U16" s="198">
        <f t="shared" si="2"/>
        <v>7.8113952751298232E-2</v>
      </c>
      <c r="V16" s="198">
        <f t="shared" si="2"/>
        <v>0.12191704539330686</v>
      </c>
      <c r="W16" s="198">
        <f t="shared" si="2"/>
        <v>6.9886739721997507E-2</v>
      </c>
      <c r="X16" s="198">
        <f t="shared" si="2"/>
        <v>7.262436088168403E-2</v>
      </c>
      <c r="Y16" s="198">
        <f t="shared" si="2"/>
        <v>6.4776357143468855E-2</v>
      </c>
      <c r="Z16" s="198">
        <f t="shared" si="2"/>
        <v>9.6981846352897971E-2</v>
      </c>
      <c r="AA16" s="198">
        <f t="shared" si="2"/>
        <v>7.974833677629152E-2</v>
      </c>
      <c r="AB16" s="198">
        <f t="shared" si="2"/>
        <v>9.901388609378145E-2</v>
      </c>
      <c r="AC16" s="198">
        <f t="shared" si="2"/>
        <v>8.0153783421681127E-2</v>
      </c>
      <c r="AD16" s="198">
        <f t="shared" si="2"/>
        <v>8.2885162923125588E-2</v>
      </c>
      <c r="AE16" s="198">
        <f t="shared" si="2"/>
        <v>8.4135808597240153E-2</v>
      </c>
      <c r="AF16" s="198">
        <f t="shared" si="2"/>
        <v>7.026437979721406E-2</v>
      </c>
      <c r="AG16" s="198">
        <f t="shared" si="2"/>
        <v>6.7562592047128125E-2</v>
      </c>
      <c r="AH16" s="198">
        <f t="shared" si="2"/>
        <v>6.6577404312295113E-2</v>
      </c>
      <c r="AI16" s="198">
        <f t="shared" si="2"/>
        <v>6.8486998697624285E-2</v>
      </c>
      <c r="AJ16" s="198">
        <f t="shared" si="2"/>
        <v>6.1203319502074686E-2</v>
      </c>
      <c r="AK16" s="199">
        <f>SUM(K16:P16)/SUM(K$37:P$37)</f>
        <v>7.2970954620566922E-2</v>
      </c>
    </row>
    <row r="17" spans="1:37" ht="7.5" customHeight="1" x14ac:dyDescent="0.2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91"/>
      <c r="Q17" s="191"/>
      <c r="R17" s="150"/>
      <c r="S17" s="154"/>
      <c r="T17" s="2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5"/>
    </row>
    <row r="18" spans="1:37" x14ac:dyDescent="0.2">
      <c r="A18" s="184" t="s">
        <v>24</v>
      </c>
      <c r="B18" s="148"/>
      <c r="C18" s="148"/>
      <c r="D18" s="148"/>
      <c r="E18" s="148"/>
      <c r="F18" s="148"/>
      <c r="G18" s="271"/>
      <c r="H18" s="271"/>
      <c r="I18" s="271"/>
      <c r="J18" s="148"/>
      <c r="K18" s="148"/>
      <c r="L18" s="148"/>
      <c r="M18" s="148"/>
      <c r="N18" s="148"/>
      <c r="O18" s="148"/>
      <c r="P18" s="2"/>
      <c r="Q18" s="2"/>
      <c r="R18" s="150"/>
      <c r="S18" s="154"/>
      <c r="T18" s="197" t="str">
        <f t="shared" si="1"/>
        <v>Plant &amp; Equipment: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5"/>
    </row>
    <row r="19" spans="1:37" x14ac:dyDescent="0.2">
      <c r="A19" s="140" t="s">
        <v>142</v>
      </c>
      <c r="B19" s="148">
        <f>12862.7-312.4</f>
        <v>12550.300000000001</v>
      </c>
      <c r="C19" s="148">
        <f>12678.9-268.7</f>
        <v>12410.199999999999</v>
      </c>
      <c r="D19" s="148">
        <f>13098.9-364.4</f>
        <v>12734.5</v>
      </c>
      <c r="E19" s="148">
        <f>13516.8-332.5</f>
        <v>13184.3</v>
      </c>
      <c r="F19" s="148">
        <f>14158.2-345.4</f>
        <v>13812.800000000001</v>
      </c>
      <c r="G19" s="148">
        <f>14852.4-593.4</f>
        <v>14259</v>
      </c>
      <c r="H19" s="148">
        <v>15102.4</v>
      </c>
      <c r="I19" s="148">
        <f>6814+2878+4885+671+1766</f>
        <v>17014</v>
      </c>
      <c r="J19" s="148">
        <v>18879</v>
      </c>
      <c r="K19" s="148">
        <v>20330</v>
      </c>
      <c r="L19" s="148">
        <v>22034</v>
      </c>
      <c r="M19" s="148">
        <v>23055</v>
      </c>
      <c r="N19" s="148">
        <v>24024</v>
      </c>
      <c r="O19" s="148">
        <v>24868</v>
      </c>
      <c r="P19" s="2">
        <v>25813</v>
      </c>
      <c r="Q19" s="2">
        <v>25947</v>
      </c>
      <c r="R19" s="150">
        <f t="shared" si="3"/>
        <v>4.8914817584860583E-2</v>
      </c>
      <c r="S19" s="154"/>
      <c r="T19" s="2" t="str">
        <f t="shared" si="1"/>
        <v>Plant in Service</v>
      </c>
      <c r="U19" s="5">
        <f t="shared" ref="U19:AH19" si="9">B19/B$37</f>
        <v>1.0199266970605685</v>
      </c>
      <c r="V19" s="5">
        <f t="shared" si="9"/>
        <v>1.1146419012376727</v>
      </c>
      <c r="W19" s="5">
        <f t="shared" si="9"/>
        <v>1.1707086121938663</v>
      </c>
      <c r="X19" s="5">
        <f t="shared" si="9"/>
        <v>1.127267908137964</v>
      </c>
      <c r="Y19" s="5">
        <f t="shared" si="9"/>
        <v>1.1828964383280098</v>
      </c>
      <c r="Z19" s="5">
        <f t="shared" si="9"/>
        <v>1.1388158998155087</v>
      </c>
      <c r="AA19" s="5">
        <f t="shared" si="9"/>
        <v>1.1862417820646756</v>
      </c>
      <c r="AB19" s="5">
        <f t="shared" si="9"/>
        <v>1.1413429932246595</v>
      </c>
      <c r="AC19" s="5">
        <f t="shared" si="9"/>
        <v>1.0997262189083707</v>
      </c>
      <c r="AD19" s="5">
        <f t="shared" si="9"/>
        <v>1.0719181693556892</v>
      </c>
      <c r="AE19" s="5">
        <f t="shared" si="9"/>
        <v>1.0937158741189319</v>
      </c>
      <c r="AF19" s="5">
        <f t="shared" si="9"/>
        <v>1.0923434094570263</v>
      </c>
      <c r="AG19" s="5">
        <f t="shared" si="9"/>
        <v>1.1056701030927836</v>
      </c>
      <c r="AH19" s="5">
        <f t="shared" si="9"/>
        <v>1.1481601181956693</v>
      </c>
      <c r="AI19" s="5">
        <f t="shared" ref="AI19:AJ23" si="10">P19/P$37</f>
        <v>1.15924911303723</v>
      </c>
      <c r="AJ19" s="5">
        <f t="shared" si="10"/>
        <v>1.1702597871188887</v>
      </c>
      <c r="AK19" s="55">
        <f t="shared" ref="AK19:AK20" si="11">SUM(K19:P19)/SUM(K$37:P$37)</f>
        <v>1.113226134485827</v>
      </c>
    </row>
    <row r="20" spans="1:37" x14ac:dyDescent="0.2">
      <c r="A20" s="148" t="s">
        <v>143</v>
      </c>
      <c r="B20" s="148">
        <v>312.39999999999998</v>
      </c>
      <c r="C20" s="148">
        <v>268.7</v>
      </c>
      <c r="D20" s="148">
        <v>364.4</v>
      </c>
      <c r="E20" s="148">
        <v>332.5</v>
      </c>
      <c r="F20" s="148">
        <v>345.4</v>
      </c>
      <c r="G20" s="148">
        <v>593.4</v>
      </c>
      <c r="H20" s="148">
        <v>618.29999999999995</v>
      </c>
      <c r="I20" s="148">
        <v>960</v>
      </c>
      <c r="J20" s="148">
        <v>1220</v>
      </c>
      <c r="K20" s="148">
        <v>1830</v>
      </c>
      <c r="L20" s="148">
        <v>1004</v>
      </c>
      <c r="M20" s="148">
        <v>1207</v>
      </c>
      <c r="N20" s="148">
        <v>1255</v>
      </c>
      <c r="O20" s="148">
        <v>1325</v>
      </c>
      <c r="P20" s="14">
        <v>932</v>
      </c>
      <c r="Q20" s="14">
        <v>1009</v>
      </c>
      <c r="R20" s="150">
        <f t="shared" si="3"/>
        <v>-0.12623837974309848</v>
      </c>
      <c r="S20" s="154"/>
      <c r="T20" s="2" t="str">
        <f t="shared" si="1"/>
        <v>Construction Work in Progress</v>
      </c>
      <c r="U20" s="5">
        <f t="shared" ref="U20:W23" si="12">B20/B$37</f>
        <v>2.538784731534079E-2</v>
      </c>
      <c r="V20" s="5">
        <f t="shared" si="12"/>
        <v>2.4133718945912448E-2</v>
      </c>
      <c r="W20" s="5">
        <f t="shared" si="12"/>
        <v>3.3500036772817529E-2</v>
      </c>
      <c r="X20" s="5"/>
      <c r="Y20" s="5">
        <f t="shared" ref="Y20:AH23" si="13">F20/F$37</f>
        <v>2.9579261974291563E-2</v>
      </c>
      <c r="Z20" s="5">
        <f t="shared" si="13"/>
        <v>4.7392759306439637E-2</v>
      </c>
      <c r="AA20" s="5">
        <f t="shared" si="13"/>
        <v>4.8565346822398346E-2</v>
      </c>
      <c r="AB20" s="5">
        <f t="shared" si="13"/>
        <v>6.4399275508150527E-2</v>
      </c>
      <c r="AC20" s="5">
        <f t="shared" si="13"/>
        <v>7.1066581231432405E-2</v>
      </c>
      <c r="AD20" s="5">
        <f t="shared" si="13"/>
        <v>9.6488453021195825E-2</v>
      </c>
      <c r="AE20" s="18">
        <f t="shared" si="13"/>
        <v>4.9836195770872629E-2</v>
      </c>
      <c r="AF20" s="18">
        <f t="shared" si="13"/>
        <v>5.7187529612432481E-2</v>
      </c>
      <c r="AG20" s="18">
        <f t="shared" si="13"/>
        <v>5.7759572901325482E-2</v>
      </c>
      <c r="AH20" s="18">
        <f t="shared" si="13"/>
        <v>6.1175492866706684E-2</v>
      </c>
      <c r="AI20" s="18">
        <f t="shared" si="10"/>
        <v>4.1855660843400547E-2</v>
      </c>
      <c r="AJ20" s="18">
        <f t="shared" si="10"/>
        <v>4.5507847735883095E-2</v>
      </c>
      <c r="AK20" s="55">
        <f t="shared" si="11"/>
        <v>6.0005402313461291E-2</v>
      </c>
    </row>
    <row r="21" spans="1:37" hidden="1" x14ac:dyDescent="0.2">
      <c r="A21" s="148" t="s">
        <v>150</v>
      </c>
      <c r="B21" s="148">
        <v>1281</v>
      </c>
      <c r="C21" s="148">
        <v>0</v>
      </c>
      <c r="D21" s="148">
        <v>0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48"/>
      <c r="K21" s="148"/>
      <c r="L21" s="148">
        <v>0</v>
      </c>
      <c r="M21" s="148">
        <v>0</v>
      </c>
      <c r="N21" s="148">
        <v>0</v>
      </c>
      <c r="O21" s="148">
        <v>0</v>
      </c>
      <c r="P21" s="19"/>
      <c r="Q21" s="19"/>
      <c r="R21" s="150" t="e">
        <f t="shared" si="3"/>
        <v>#NUM!</v>
      </c>
      <c r="S21" s="154"/>
      <c r="T21" s="2" t="str">
        <f t="shared" si="1"/>
        <v>Australian Electric Operations</v>
      </c>
      <c r="U21" s="5">
        <f t="shared" si="12"/>
        <v>0.10410317673159909</v>
      </c>
      <c r="V21" s="5">
        <f t="shared" si="12"/>
        <v>0</v>
      </c>
      <c r="W21" s="5">
        <f t="shared" si="12"/>
        <v>0</v>
      </c>
      <c r="X21" s="5">
        <f>E21/E$37</f>
        <v>0</v>
      </c>
      <c r="Y21" s="5">
        <f t="shared" si="13"/>
        <v>0</v>
      </c>
      <c r="Z21" s="5">
        <f t="shared" si="13"/>
        <v>0</v>
      </c>
      <c r="AA21" s="5">
        <f t="shared" si="13"/>
        <v>0</v>
      </c>
      <c r="AB21" s="5">
        <f t="shared" si="13"/>
        <v>0</v>
      </c>
      <c r="AC21" s="5">
        <f t="shared" si="13"/>
        <v>0</v>
      </c>
      <c r="AD21" s="5">
        <f t="shared" si="13"/>
        <v>0</v>
      </c>
      <c r="AE21" s="18">
        <f t="shared" si="13"/>
        <v>0</v>
      </c>
      <c r="AF21" s="18">
        <f t="shared" si="13"/>
        <v>0</v>
      </c>
      <c r="AG21" s="18">
        <f t="shared" si="13"/>
        <v>0</v>
      </c>
      <c r="AH21" s="18">
        <f t="shared" si="13"/>
        <v>0</v>
      </c>
      <c r="AI21" s="18">
        <f t="shared" si="10"/>
        <v>0</v>
      </c>
      <c r="AJ21" s="18">
        <f t="shared" si="10"/>
        <v>0</v>
      </c>
      <c r="AK21" s="55">
        <f>SUM(F21:K21)/SUM(F$37:K$37)</f>
        <v>0</v>
      </c>
    </row>
    <row r="22" spans="1:37" ht="12.75" hidden="1" customHeight="1" x14ac:dyDescent="0.2">
      <c r="A22" s="148" t="s">
        <v>49</v>
      </c>
      <c r="B22" s="152">
        <v>49.4</v>
      </c>
      <c r="C22" s="152">
        <v>33.5</v>
      </c>
      <c r="D22" s="152">
        <v>0</v>
      </c>
      <c r="E22" s="152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2"/>
      <c r="Q22" s="2"/>
      <c r="R22" s="150" t="e">
        <f t="shared" si="3"/>
        <v>#NUM!</v>
      </c>
      <c r="S22" s="154"/>
      <c r="T22" s="2" t="str">
        <f t="shared" si="1"/>
        <v>Other PP&amp;E</v>
      </c>
      <c r="U22" s="18">
        <f t="shared" si="12"/>
        <v>4.0145955741928141E-3</v>
      </c>
      <c r="V22" s="18">
        <f t="shared" si="12"/>
        <v>3.008855916219081E-3</v>
      </c>
      <c r="W22" s="18">
        <f t="shared" si="12"/>
        <v>0</v>
      </c>
      <c r="X22" s="18">
        <f>E22/E$37</f>
        <v>0</v>
      </c>
      <c r="Y22" s="18">
        <f t="shared" si="13"/>
        <v>0</v>
      </c>
      <c r="Z22" s="18">
        <f t="shared" si="13"/>
        <v>0</v>
      </c>
      <c r="AA22" s="18">
        <f t="shared" si="13"/>
        <v>0</v>
      </c>
      <c r="AB22" s="18">
        <f t="shared" si="13"/>
        <v>0</v>
      </c>
      <c r="AC22" s="18">
        <f t="shared" si="13"/>
        <v>0</v>
      </c>
      <c r="AD22" s="18">
        <f t="shared" si="13"/>
        <v>0</v>
      </c>
      <c r="AE22" s="103">
        <f t="shared" si="13"/>
        <v>0</v>
      </c>
      <c r="AF22" s="103">
        <f t="shared" si="13"/>
        <v>0</v>
      </c>
      <c r="AG22" s="103">
        <f t="shared" si="13"/>
        <v>0</v>
      </c>
      <c r="AH22" s="103">
        <f t="shared" si="13"/>
        <v>0</v>
      </c>
      <c r="AI22" s="103">
        <f t="shared" si="10"/>
        <v>0</v>
      </c>
      <c r="AJ22" s="103">
        <f t="shared" si="10"/>
        <v>0</v>
      </c>
      <c r="AK22" s="55">
        <f>SUM(F22:K22)/SUM(F$37:K$37)</f>
        <v>0</v>
      </c>
    </row>
    <row r="23" spans="1:37" ht="12.75" customHeight="1" x14ac:dyDescent="0.2">
      <c r="A23" s="182" t="s">
        <v>60</v>
      </c>
      <c r="B23" s="210">
        <f t="shared" ref="B23:L23" si="14">SUM(B19:B22)</f>
        <v>14193.1</v>
      </c>
      <c r="C23" s="210">
        <f t="shared" si="14"/>
        <v>12712.4</v>
      </c>
      <c r="D23" s="210">
        <f t="shared" si="14"/>
        <v>13098.9</v>
      </c>
      <c r="E23" s="210">
        <f t="shared" si="14"/>
        <v>13516.8</v>
      </c>
      <c r="F23" s="210">
        <f t="shared" si="14"/>
        <v>14158.2</v>
      </c>
      <c r="G23" s="210">
        <f t="shared" si="14"/>
        <v>14852.4</v>
      </c>
      <c r="H23" s="210">
        <f t="shared" si="14"/>
        <v>15720.699999999999</v>
      </c>
      <c r="I23" s="210">
        <f t="shared" si="14"/>
        <v>17974</v>
      </c>
      <c r="J23" s="210">
        <f t="shared" si="14"/>
        <v>20099</v>
      </c>
      <c r="K23" s="210">
        <f t="shared" si="14"/>
        <v>22160</v>
      </c>
      <c r="L23" s="210">
        <f t="shared" si="14"/>
        <v>23038</v>
      </c>
      <c r="M23" s="210">
        <f t="shared" ref="M23:P23" si="15">SUM(M19:M22)</f>
        <v>24262</v>
      </c>
      <c r="N23" s="210">
        <f t="shared" ref="N23:O23" si="16">SUM(N19:N22)</f>
        <v>25279</v>
      </c>
      <c r="O23" s="210">
        <f t="shared" si="16"/>
        <v>26193</v>
      </c>
      <c r="P23" s="210">
        <f t="shared" si="15"/>
        <v>26745</v>
      </c>
      <c r="Q23" s="210">
        <f t="shared" ref="Q23" si="17">SUM(Q19:Q22)</f>
        <v>26956</v>
      </c>
      <c r="R23" s="155">
        <f t="shared" si="3"/>
        <v>3.8328008825321606E-2</v>
      </c>
      <c r="S23" s="156"/>
      <c r="T23" s="191" t="str">
        <f t="shared" si="1"/>
        <v>Total Plant &amp; Equipment:</v>
      </c>
      <c r="U23" s="199">
        <f t="shared" si="12"/>
        <v>1.1534323166817011</v>
      </c>
      <c r="V23" s="199">
        <f t="shared" si="12"/>
        <v>1.1417844760998042</v>
      </c>
      <c r="W23" s="199">
        <f t="shared" si="12"/>
        <v>1.2042086489666837</v>
      </c>
      <c r="X23" s="199">
        <f>E23/E$37</f>
        <v>1.1556969168419433</v>
      </c>
      <c r="Y23" s="199">
        <f t="shared" si="13"/>
        <v>1.2124757003023012</v>
      </c>
      <c r="Z23" s="199">
        <f t="shared" si="13"/>
        <v>1.1862086591219483</v>
      </c>
      <c r="AA23" s="199">
        <f t="shared" si="13"/>
        <v>1.2348071288870737</v>
      </c>
      <c r="AB23" s="199">
        <f t="shared" si="13"/>
        <v>1.2057422687328101</v>
      </c>
      <c r="AC23" s="199">
        <f t="shared" si="13"/>
        <v>1.1707928001398031</v>
      </c>
      <c r="AD23" s="199">
        <f t="shared" si="13"/>
        <v>1.168406622376885</v>
      </c>
      <c r="AE23" s="199">
        <f t="shared" si="13"/>
        <v>1.1435520698898045</v>
      </c>
      <c r="AF23" s="199">
        <f t="shared" si="13"/>
        <v>1.149530939069459</v>
      </c>
      <c r="AG23" s="199">
        <f t="shared" si="13"/>
        <v>1.163429675994109</v>
      </c>
      <c r="AH23" s="199">
        <f t="shared" si="13"/>
        <v>1.2093356110623759</v>
      </c>
      <c r="AI23" s="199">
        <f t="shared" si="10"/>
        <v>1.2011047738806306</v>
      </c>
      <c r="AJ23" s="199">
        <f t="shared" si="10"/>
        <v>1.2157676348547717</v>
      </c>
      <c r="AK23" s="199">
        <f>SUM(K23:P23)/SUM(K$37:P$37)</f>
        <v>1.1732315367992883</v>
      </c>
    </row>
    <row r="24" spans="1:37" ht="7.5" customHeight="1" x14ac:dyDescent="0.2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2"/>
      <c r="Q24" s="2"/>
      <c r="R24" s="150"/>
      <c r="S24" s="157"/>
      <c r="T24" s="2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55"/>
    </row>
    <row r="25" spans="1:37" ht="12.75" customHeight="1" x14ac:dyDescent="0.2">
      <c r="A25" s="148" t="s">
        <v>50</v>
      </c>
      <c r="B25" s="151">
        <v>4994.8</v>
      </c>
      <c r="C25" s="148">
        <v>4789.5</v>
      </c>
      <c r="D25" s="148">
        <v>5129.3999999999996</v>
      </c>
      <c r="E25" s="148">
        <v>4818.3</v>
      </c>
      <c r="F25" s="148">
        <v>5121.7</v>
      </c>
      <c r="G25" s="148">
        <v>5361.8</v>
      </c>
      <c r="H25" s="148">
        <v>5611.5</v>
      </c>
      <c r="I25" s="148">
        <v>6125</v>
      </c>
      <c r="J25" s="148">
        <v>6275</v>
      </c>
      <c r="K25" s="148">
        <v>6623</v>
      </c>
      <c r="L25" s="148">
        <v>6646</v>
      </c>
      <c r="M25" s="148">
        <v>6888</v>
      </c>
      <c r="N25" s="148">
        <v>7222</v>
      </c>
      <c r="O25" s="148">
        <v>7686</v>
      </c>
      <c r="P25" s="14">
        <v>8026</v>
      </c>
      <c r="Q25" s="14">
        <v>8173</v>
      </c>
      <c r="R25" s="150">
        <f t="shared" si="3"/>
        <v>3.9175454483907378E-2</v>
      </c>
      <c r="S25" s="140"/>
      <c r="T25" s="2" t="str">
        <f t="shared" si="1"/>
        <v>Accumulated Depreciation &amp; Amort.</v>
      </c>
      <c r="U25" s="5">
        <f t="shared" ref="U25:AH25" si="18">B25/B$37</f>
        <v>0.4059129954246613</v>
      </c>
      <c r="V25" s="5">
        <f t="shared" si="18"/>
        <v>0.43017657942481458</v>
      </c>
      <c r="W25" s="5">
        <f t="shared" si="18"/>
        <v>0.47155622563800831</v>
      </c>
      <c r="X25" s="5">
        <f t="shared" si="18"/>
        <v>0.41196839891243014</v>
      </c>
      <c r="Y25" s="5">
        <f t="shared" si="18"/>
        <v>0.43861061393667955</v>
      </c>
      <c r="Z25" s="5">
        <f t="shared" si="18"/>
        <v>0.42822800277935302</v>
      </c>
      <c r="AA25" s="5">
        <f t="shared" si="18"/>
        <v>0.44076410107373176</v>
      </c>
      <c r="AB25" s="5">
        <f t="shared" si="18"/>
        <v>0.41088079425773127</v>
      </c>
      <c r="AC25" s="5">
        <f t="shared" si="18"/>
        <v>0.36552688297314617</v>
      </c>
      <c r="AD25" s="5">
        <f t="shared" si="18"/>
        <v>0.3492038384477486</v>
      </c>
      <c r="AE25" s="5">
        <f t="shared" si="18"/>
        <v>0.32989178993348556</v>
      </c>
      <c r="AF25" s="5">
        <f t="shared" si="18"/>
        <v>0.32635269591585331</v>
      </c>
      <c r="AG25" s="5">
        <f t="shared" si="18"/>
        <v>0.33238217967599409</v>
      </c>
      <c r="AH25" s="5">
        <f t="shared" si="18"/>
        <v>0.35486402881019435</v>
      </c>
      <c r="AI25" s="5">
        <f t="shared" ref="AI25:AJ25" si="19">P25/P$37</f>
        <v>0.36044370593254593</v>
      </c>
      <c r="AJ25" s="5">
        <f t="shared" si="19"/>
        <v>0.36861807685368936</v>
      </c>
      <c r="AK25" s="55">
        <f>SUM(K25:P25)/SUM(K$37:P$37)</f>
        <v>0.34233983729502987</v>
      </c>
    </row>
    <row r="26" spans="1:37" ht="7.5" customHeight="1" x14ac:dyDescent="0.2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"/>
      <c r="Q26" s="14"/>
      <c r="R26" s="150"/>
      <c r="S26" s="140"/>
      <c r="T26" s="2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55"/>
    </row>
    <row r="27" spans="1:37" ht="12.75" customHeight="1" x14ac:dyDescent="0.2">
      <c r="A27" s="182" t="s">
        <v>51</v>
      </c>
      <c r="B27" s="182">
        <f t="shared" ref="B27:G27" si="20">B23-B25</f>
        <v>9198.2999999999993</v>
      </c>
      <c r="C27" s="182">
        <f t="shared" si="20"/>
        <v>7922.9</v>
      </c>
      <c r="D27" s="182">
        <f t="shared" si="20"/>
        <v>7969.5</v>
      </c>
      <c r="E27" s="182">
        <f t="shared" si="20"/>
        <v>8698.5</v>
      </c>
      <c r="F27" s="182">
        <f t="shared" si="20"/>
        <v>9036.5</v>
      </c>
      <c r="G27" s="182">
        <f t="shared" si="20"/>
        <v>9490.5999999999985</v>
      </c>
      <c r="H27" s="182">
        <f t="shared" ref="H27:L27" si="21">H23-H25</f>
        <v>10109.199999999999</v>
      </c>
      <c r="I27" s="182">
        <f t="shared" si="21"/>
        <v>11849</v>
      </c>
      <c r="J27" s="182">
        <f t="shared" si="21"/>
        <v>13824</v>
      </c>
      <c r="K27" s="182">
        <f t="shared" si="21"/>
        <v>15537</v>
      </c>
      <c r="L27" s="182">
        <f t="shared" si="21"/>
        <v>16392</v>
      </c>
      <c r="M27" s="182">
        <f t="shared" ref="M27:P27" si="22">M23-M25</f>
        <v>17374</v>
      </c>
      <c r="N27" s="182">
        <f t="shared" ref="N27:O27" si="23">N23-N25</f>
        <v>18057</v>
      </c>
      <c r="O27" s="182">
        <f t="shared" si="23"/>
        <v>18507</v>
      </c>
      <c r="P27" s="182">
        <f t="shared" si="22"/>
        <v>18719</v>
      </c>
      <c r="Q27" s="182">
        <f t="shared" ref="Q27" si="24">Q23-Q25</f>
        <v>18783</v>
      </c>
      <c r="R27" s="183">
        <f t="shared" si="3"/>
        <v>3.7965923225340759E-2</v>
      </c>
      <c r="S27" s="157"/>
      <c r="T27" s="191" t="str">
        <f t="shared" si="1"/>
        <v>Net Plant &amp; Equipment</v>
      </c>
      <c r="U27" s="198">
        <f t="shared" ref="U27:AH27" si="25">B27/B$37</f>
        <v>0.74751932125703968</v>
      </c>
      <c r="V27" s="198">
        <f t="shared" si="25"/>
        <v>0.71160789667498969</v>
      </c>
      <c r="W27" s="198">
        <f t="shared" si="25"/>
        <v>0.73265242332867542</v>
      </c>
      <c r="X27" s="198">
        <f t="shared" si="25"/>
        <v>0.74372851792951322</v>
      </c>
      <c r="Y27" s="198">
        <f t="shared" si="25"/>
        <v>0.77386508636562168</v>
      </c>
      <c r="Z27" s="198">
        <f t="shared" si="25"/>
        <v>0.75798065634259515</v>
      </c>
      <c r="AA27" s="198">
        <f t="shared" si="25"/>
        <v>0.79404302781334202</v>
      </c>
      <c r="AB27" s="198">
        <f t="shared" si="25"/>
        <v>0.79486147447507882</v>
      </c>
      <c r="AC27" s="198">
        <f t="shared" si="25"/>
        <v>0.80526591716665696</v>
      </c>
      <c r="AD27" s="198">
        <f t="shared" si="25"/>
        <v>0.81920278392913637</v>
      </c>
      <c r="AE27" s="198">
        <f t="shared" si="25"/>
        <v>0.81366027995631884</v>
      </c>
      <c r="AF27" s="198">
        <f t="shared" si="25"/>
        <v>0.82317824315360566</v>
      </c>
      <c r="AG27" s="198">
        <f t="shared" si="25"/>
        <v>0.83104749631811492</v>
      </c>
      <c r="AH27" s="198">
        <f t="shared" si="25"/>
        <v>0.85447158225218156</v>
      </c>
      <c r="AI27" s="198">
        <f t="shared" ref="AI27:AJ27" si="26">P27/P$37</f>
        <v>0.84066106794808459</v>
      </c>
      <c r="AJ27" s="198">
        <f t="shared" si="26"/>
        <v>0.84714955800108249</v>
      </c>
      <c r="AK27" s="108">
        <f>SUM(K27:P27)/SUM(K$37:P$37)</f>
        <v>0.83089169950425834</v>
      </c>
    </row>
    <row r="28" spans="1:37" ht="7.5" customHeight="1" x14ac:dyDescent="0.2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"/>
      <c r="Q28" s="14"/>
      <c r="R28" s="150"/>
      <c r="S28" s="154"/>
      <c r="T28" s="2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5"/>
    </row>
    <row r="29" spans="1:37" x14ac:dyDescent="0.2">
      <c r="A29" s="184" t="s">
        <v>70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2"/>
      <c r="Q29" s="2"/>
      <c r="R29" s="150"/>
      <c r="S29" s="154"/>
      <c r="T29" s="197" t="str">
        <f t="shared" si="1"/>
        <v>Other Assets: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5"/>
    </row>
    <row r="30" spans="1:37" x14ac:dyDescent="0.2">
      <c r="A30" s="148" t="s">
        <v>52</v>
      </c>
      <c r="B30" s="148">
        <v>789.7</v>
      </c>
      <c r="C30" s="148">
        <v>1081.8</v>
      </c>
      <c r="D30" s="148">
        <v>1158.3</v>
      </c>
      <c r="E30" s="148">
        <v>1175.2</v>
      </c>
      <c r="F30" s="148">
        <f>1032.3</f>
        <v>1032.3</v>
      </c>
      <c r="G30" s="148">
        <f>972.8</f>
        <v>972.8</v>
      </c>
      <c r="H30" s="148">
        <v>884.3</v>
      </c>
      <c r="I30" s="148">
        <v>1091</v>
      </c>
      <c r="J30" s="148">
        <v>1624</v>
      </c>
      <c r="K30" s="148">
        <v>1539</v>
      </c>
      <c r="L30" s="148">
        <v>1654</v>
      </c>
      <c r="M30" s="148">
        <v>1810</v>
      </c>
      <c r="N30" s="148">
        <v>1773</v>
      </c>
      <c r="O30" s="148">
        <v>1290</v>
      </c>
      <c r="P30" s="2">
        <v>1574</v>
      </c>
      <c r="Q30" s="2">
        <v>1608</v>
      </c>
      <c r="R30" s="150">
        <f t="shared" si="3"/>
        <v>4.5075877753967316E-3</v>
      </c>
      <c r="S30" s="154"/>
      <c r="T30" s="2" t="str">
        <f t="shared" si="1"/>
        <v>Regulatory Assets</v>
      </c>
      <c r="U30" s="5">
        <f t="shared" ref="U30:AH37" si="27">B30/B$37</f>
        <v>6.4176642205264492E-2</v>
      </c>
      <c r="V30" s="5">
        <f t="shared" si="27"/>
        <v>9.7163591945247804E-2</v>
      </c>
      <c r="W30" s="5">
        <f t="shared" si="27"/>
        <v>0.10648488637199381</v>
      </c>
      <c r="X30" s="5">
        <f t="shared" si="27"/>
        <v>0.1004805143726808</v>
      </c>
      <c r="Y30" s="5">
        <f t="shared" si="27"/>
        <v>8.8403798888422647E-2</v>
      </c>
      <c r="Z30" s="5">
        <f t="shared" si="27"/>
        <v>7.7694095472370203E-2</v>
      </c>
      <c r="AA30" s="5">
        <f t="shared" si="27"/>
        <v>6.9458735557248685E-2</v>
      </c>
      <c r="AB30" s="5">
        <f t="shared" si="27"/>
        <v>7.3187093311866902E-2</v>
      </c>
      <c r="AC30" s="5">
        <f t="shared" si="27"/>
        <v>9.4600104852332959E-2</v>
      </c>
      <c r="AD30" s="5">
        <f t="shared" si="27"/>
        <v>8.1145207212907314E-2</v>
      </c>
      <c r="AE30" s="5">
        <f t="shared" si="27"/>
        <v>8.2100665144445542E-2</v>
      </c>
      <c r="AF30" s="5">
        <f t="shared" si="27"/>
        <v>8.57576044726618E-2</v>
      </c>
      <c r="AG30" s="5">
        <f t="shared" si="27"/>
        <v>8.159977908689249E-2</v>
      </c>
      <c r="AH30" s="5">
        <f t="shared" si="27"/>
        <v>5.955953645135971E-2</v>
      </c>
      <c r="AI30" s="5">
        <f t="shared" ref="AI30:AJ37" si="28">P30/P$37</f>
        <v>7.0687564557416802E-2</v>
      </c>
      <c r="AJ30" s="5">
        <f t="shared" si="28"/>
        <v>7.2523904023092195E-2</v>
      </c>
      <c r="AK30" s="55">
        <f t="shared" ref="AK30:AK34" si="29">SUM(K30:P30)/SUM(K$37:P$37)</f>
        <v>7.6585737892462188E-2</v>
      </c>
    </row>
    <row r="31" spans="1:37" hidden="1" x14ac:dyDescent="0.2">
      <c r="A31" s="148" t="s">
        <v>53</v>
      </c>
      <c r="B31" s="148">
        <v>382.7</v>
      </c>
      <c r="C31" s="148">
        <v>0</v>
      </c>
      <c r="D31" s="148">
        <v>0</v>
      </c>
      <c r="E31" s="148">
        <v>0</v>
      </c>
      <c r="F31" s="148">
        <v>0</v>
      </c>
      <c r="G31" s="148">
        <v>0</v>
      </c>
      <c r="H31" s="148">
        <v>0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48">
        <v>0</v>
      </c>
      <c r="O31" s="148">
        <v>0</v>
      </c>
      <c r="P31" s="2"/>
      <c r="Q31" s="2"/>
      <c r="R31" s="150" t="e">
        <f t="shared" si="3"/>
        <v>#NUM!</v>
      </c>
      <c r="S31" s="154"/>
      <c r="T31" s="2" t="str">
        <f t="shared" si="1"/>
        <v>Intangible Assets-net</v>
      </c>
      <c r="U31" s="5">
        <f t="shared" si="27"/>
        <v>3.1100925632461335E-2</v>
      </c>
      <c r="V31" s="5">
        <f t="shared" si="27"/>
        <v>0</v>
      </c>
      <c r="W31" s="5">
        <f t="shared" si="27"/>
        <v>0</v>
      </c>
      <c r="X31" s="5">
        <f t="shared" si="27"/>
        <v>0</v>
      </c>
      <c r="Y31" s="5">
        <f t="shared" si="27"/>
        <v>0</v>
      </c>
      <c r="Z31" s="5">
        <f t="shared" si="27"/>
        <v>0</v>
      </c>
      <c r="AA31" s="5">
        <f t="shared" si="27"/>
        <v>0</v>
      </c>
      <c r="AB31" s="5">
        <f t="shared" si="27"/>
        <v>0</v>
      </c>
      <c r="AC31" s="5">
        <f t="shared" si="27"/>
        <v>0</v>
      </c>
      <c r="AD31" s="5">
        <f t="shared" si="27"/>
        <v>0</v>
      </c>
      <c r="AE31" s="5">
        <f t="shared" si="27"/>
        <v>0</v>
      </c>
      <c r="AF31" s="5">
        <f t="shared" si="27"/>
        <v>0</v>
      </c>
      <c r="AG31" s="5">
        <f t="shared" si="27"/>
        <v>0</v>
      </c>
      <c r="AH31" s="5">
        <f t="shared" si="27"/>
        <v>0</v>
      </c>
      <c r="AI31" s="5">
        <f t="shared" si="28"/>
        <v>0</v>
      </c>
      <c r="AJ31" s="5">
        <f t="shared" si="28"/>
        <v>0</v>
      </c>
      <c r="AK31" s="55">
        <f t="shared" si="29"/>
        <v>0</v>
      </c>
    </row>
    <row r="32" spans="1:37" x14ac:dyDescent="0.2">
      <c r="A32" s="140" t="s">
        <v>168</v>
      </c>
      <c r="B32" s="148">
        <f>196.8+288.3</f>
        <v>485.1</v>
      </c>
      <c r="C32" s="148">
        <f>189.9+278.3</f>
        <v>468.20000000000005</v>
      </c>
      <c r="D32" s="148">
        <f>468.4+155</f>
        <v>623.4</v>
      </c>
      <c r="E32" s="148">
        <f>506.9+122.3</f>
        <v>629.19999999999993</v>
      </c>
      <c r="F32" s="148">
        <f>422.2+110.3</f>
        <v>532.5</v>
      </c>
      <c r="G32" s="148">
        <f>170+360.3</f>
        <v>530.29999999999995</v>
      </c>
      <c r="H32" s="148">
        <f>94.7+345.3</f>
        <v>440</v>
      </c>
      <c r="I32" s="148">
        <v>215</v>
      </c>
      <c r="J32" s="148">
        <v>86</v>
      </c>
      <c r="K32" s="148">
        <v>43</v>
      </c>
      <c r="L32" s="148">
        <v>9</v>
      </c>
      <c r="M32" s="148">
        <v>4</v>
      </c>
      <c r="N32" s="148">
        <v>1</v>
      </c>
      <c r="O32" s="148">
        <v>0</v>
      </c>
      <c r="P32" s="2">
        <v>0</v>
      </c>
      <c r="Q32" s="2">
        <v>0</v>
      </c>
      <c r="R32" s="150">
        <f t="shared" si="3"/>
        <v>-0.99999940914518248</v>
      </c>
      <c r="S32" s="154"/>
      <c r="T32" s="2" t="str">
        <f t="shared" si="1"/>
        <v>Financial Assets/Derivatives</v>
      </c>
      <c r="U32" s="5">
        <f t="shared" si="27"/>
        <v>3.9422678401638343E-2</v>
      </c>
      <c r="V32" s="5">
        <f t="shared" si="27"/>
        <v>4.2052129551455937E-2</v>
      </c>
      <c r="W32" s="5">
        <f t="shared" si="27"/>
        <v>5.7310436125615941E-2</v>
      </c>
      <c r="X32" s="5">
        <f t="shared" si="27"/>
        <v>5.3797089553514935E-2</v>
      </c>
      <c r="Y32" s="5">
        <f t="shared" si="27"/>
        <v>4.5602075857875679E-2</v>
      </c>
      <c r="Z32" s="5">
        <f t="shared" si="27"/>
        <v>4.2353185473887667E-2</v>
      </c>
      <c r="AA32" s="5">
        <f t="shared" si="27"/>
        <v>3.4560492644113337E-2</v>
      </c>
      <c r="AB32" s="5">
        <f t="shared" si="27"/>
        <v>1.4422754410679547E-2</v>
      </c>
      <c r="AC32" s="5">
        <f t="shared" si="27"/>
        <v>5.0096114638550704E-3</v>
      </c>
      <c r="AD32" s="5">
        <f t="shared" si="27"/>
        <v>2.2672150163450385E-3</v>
      </c>
      <c r="AE32" s="5">
        <f t="shared" si="27"/>
        <v>4.4673880671100964E-4</v>
      </c>
      <c r="AF32" s="5">
        <f t="shared" si="27"/>
        <v>1.895195678953852E-4</v>
      </c>
      <c r="AG32" s="5">
        <f t="shared" si="27"/>
        <v>4.6023564064801177E-5</v>
      </c>
      <c r="AH32" s="5">
        <f t="shared" si="27"/>
        <v>0</v>
      </c>
      <c r="AI32" s="5">
        <f t="shared" si="28"/>
        <v>0</v>
      </c>
      <c r="AJ32" s="5">
        <f t="shared" si="28"/>
        <v>0</v>
      </c>
      <c r="AK32" s="55">
        <f t="shared" si="29"/>
        <v>4.528409813143511E-4</v>
      </c>
    </row>
    <row r="33" spans="1:39" hidden="1" x14ac:dyDescent="0.2">
      <c r="A33" s="148" t="s">
        <v>55</v>
      </c>
      <c r="B33" s="148">
        <v>116</v>
      </c>
      <c r="C33" s="148">
        <v>0</v>
      </c>
      <c r="D33" s="148">
        <v>0</v>
      </c>
      <c r="E33" s="148">
        <v>0</v>
      </c>
      <c r="F33" s="148">
        <v>0</v>
      </c>
      <c r="G33" s="148">
        <v>0</v>
      </c>
      <c r="H33" s="148">
        <v>0</v>
      </c>
      <c r="I33" s="148">
        <v>0</v>
      </c>
      <c r="J33" s="148">
        <v>0</v>
      </c>
      <c r="K33" s="148">
        <v>0</v>
      </c>
      <c r="L33" s="148">
        <v>0</v>
      </c>
      <c r="M33" s="148">
        <v>0</v>
      </c>
      <c r="N33" s="148">
        <v>0</v>
      </c>
      <c r="O33" s="148">
        <v>0</v>
      </c>
      <c r="P33" s="2">
        <v>0</v>
      </c>
      <c r="Q33" s="2">
        <v>0</v>
      </c>
      <c r="R33" s="150" t="e">
        <f t="shared" si="3"/>
        <v>#NUM!</v>
      </c>
      <c r="S33" s="154"/>
      <c r="T33" s="2" t="str">
        <f t="shared" si="1"/>
        <v>Investments in Affiliates</v>
      </c>
      <c r="U33" s="5">
        <f t="shared" si="27"/>
        <v>9.4269855588333291E-3</v>
      </c>
      <c r="V33" s="5">
        <f t="shared" si="27"/>
        <v>0</v>
      </c>
      <c r="W33" s="5">
        <f t="shared" si="27"/>
        <v>0</v>
      </c>
      <c r="X33" s="5">
        <f t="shared" si="27"/>
        <v>0</v>
      </c>
      <c r="Y33" s="5">
        <f t="shared" si="27"/>
        <v>0</v>
      </c>
      <c r="Z33" s="5">
        <f t="shared" si="27"/>
        <v>0</v>
      </c>
      <c r="AA33" s="5">
        <f t="shared" si="27"/>
        <v>0</v>
      </c>
      <c r="AB33" s="5">
        <f t="shared" si="27"/>
        <v>0</v>
      </c>
      <c r="AC33" s="5">
        <f t="shared" si="27"/>
        <v>0</v>
      </c>
      <c r="AD33" s="5">
        <f t="shared" si="27"/>
        <v>0</v>
      </c>
      <c r="AE33" s="5">
        <f t="shared" si="27"/>
        <v>0</v>
      </c>
      <c r="AF33" s="5">
        <f t="shared" si="27"/>
        <v>0</v>
      </c>
      <c r="AG33" s="5">
        <f t="shared" si="27"/>
        <v>0</v>
      </c>
      <c r="AH33" s="5">
        <f t="shared" si="27"/>
        <v>0</v>
      </c>
      <c r="AI33" s="5">
        <f t="shared" si="28"/>
        <v>0</v>
      </c>
      <c r="AJ33" s="5">
        <f t="shared" si="28"/>
        <v>0</v>
      </c>
      <c r="AK33" s="55">
        <f t="shared" si="29"/>
        <v>0</v>
      </c>
    </row>
    <row r="34" spans="1:39" x14ac:dyDescent="0.2">
      <c r="A34" s="148" t="s">
        <v>54</v>
      </c>
      <c r="B34" s="152">
        <v>372.1</v>
      </c>
      <c r="C34" s="152">
        <v>303.5</v>
      </c>
      <c r="D34" s="152">
        <v>366.2</v>
      </c>
      <c r="E34" s="152">
        <v>343.5</v>
      </c>
      <c r="F34" s="152">
        <v>319.39999999999998</v>
      </c>
      <c r="G34" s="152">
        <v>312.89999999999998</v>
      </c>
      <c r="H34" s="153">
        <v>282.5</v>
      </c>
      <c r="I34" s="153">
        <v>276</v>
      </c>
      <c r="J34" s="153">
        <v>257</v>
      </c>
      <c r="K34" s="153">
        <v>275</v>
      </c>
      <c r="L34" s="153">
        <v>396</v>
      </c>
      <c r="M34" s="153">
        <v>435</v>
      </c>
      <c r="N34" s="153">
        <v>429</v>
      </c>
      <c r="O34" s="153">
        <v>420</v>
      </c>
      <c r="P34" s="2">
        <v>449</v>
      </c>
      <c r="Q34" s="2">
        <v>424</v>
      </c>
      <c r="R34" s="150">
        <f t="shared" si="3"/>
        <v>0.10301832952367675</v>
      </c>
      <c r="S34" s="154"/>
      <c r="T34" s="2" t="str">
        <f t="shared" si="1"/>
        <v>Deferred Charges and Other</v>
      </c>
      <c r="U34" s="6">
        <f t="shared" si="27"/>
        <v>3.02394941934645E-2</v>
      </c>
      <c r="V34" s="6">
        <f t="shared" si="27"/>
        <v>2.7259336434999733E-2</v>
      </c>
      <c r="W34" s="6">
        <f t="shared" si="27"/>
        <v>3.3665514451717289E-2</v>
      </c>
      <c r="X34" s="6">
        <f t="shared" si="27"/>
        <v>2.936951726260709E-2</v>
      </c>
      <c r="Y34" s="6">
        <f t="shared" si="27"/>
        <v>2.7352681744611248E-2</v>
      </c>
      <c r="Z34" s="6">
        <f t="shared" si="27"/>
        <v>2.4990216358249009E-2</v>
      </c>
      <c r="AA34" s="103">
        <f t="shared" si="27"/>
        <v>2.2189407209004582E-2</v>
      </c>
      <c r="AB34" s="103">
        <f t="shared" si="27"/>
        <v>1.8514791708593277E-2</v>
      </c>
      <c r="AC34" s="103">
        <f t="shared" si="27"/>
        <v>1.4970583095473874E-2</v>
      </c>
      <c r="AD34" s="103">
        <f t="shared" si="27"/>
        <v>1.4499630918485711E-2</v>
      </c>
      <c r="AE34" s="103">
        <f t="shared" si="27"/>
        <v>1.9656507495284425E-2</v>
      </c>
      <c r="AF34" s="103">
        <f t="shared" si="27"/>
        <v>2.0610253008623139E-2</v>
      </c>
      <c r="AG34" s="103">
        <f t="shared" si="27"/>
        <v>1.9744108983799705E-2</v>
      </c>
      <c r="AH34" s="103">
        <f t="shared" si="27"/>
        <v>1.9391476984163627E-2</v>
      </c>
      <c r="AI34" s="103">
        <f t="shared" si="28"/>
        <v>2.0164368796874298E-2</v>
      </c>
      <c r="AJ34" s="103">
        <f t="shared" si="28"/>
        <v>1.9123218473750675E-2</v>
      </c>
      <c r="AK34" s="55">
        <f t="shared" si="29"/>
        <v>1.9098767001398245E-2</v>
      </c>
    </row>
    <row r="35" spans="1:39" x14ac:dyDescent="0.2">
      <c r="A35" s="182" t="s">
        <v>71</v>
      </c>
      <c r="B35" s="205">
        <f t="shared" ref="B35:L35" si="30">SUM(B30:B34)</f>
        <v>2145.6</v>
      </c>
      <c r="C35" s="205">
        <f t="shared" si="30"/>
        <v>1853.5</v>
      </c>
      <c r="D35" s="205">
        <f t="shared" si="30"/>
        <v>2147.8999999999996</v>
      </c>
      <c r="E35" s="205">
        <f t="shared" si="30"/>
        <v>2147.9</v>
      </c>
      <c r="F35" s="205">
        <f t="shared" si="30"/>
        <v>1884.1999999999998</v>
      </c>
      <c r="G35" s="205">
        <f t="shared" si="30"/>
        <v>1816</v>
      </c>
      <c r="H35" s="206">
        <f t="shared" si="30"/>
        <v>1606.8</v>
      </c>
      <c r="I35" s="206">
        <f t="shared" si="30"/>
        <v>1582</v>
      </c>
      <c r="J35" s="206">
        <f>SUM(J30:J34)</f>
        <v>1967</v>
      </c>
      <c r="K35" s="206">
        <f>SUM(K30:K34)</f>
        <v>1857</v>
      </c>
      <c r="L35" s="206">
        <f t="shared" si="30"/>
        <v>2059</v>
      </c>
      <c r="M35" s="206">
        <f t="shared" ref="M35:P35" si="31">SUM(M30:M34)</f>
        <v>2249</v>
      </c>
      <c r="N35" s="206">
        <f t="shared" ref="N35:O35" si="32">SUM(N30:N34)</f>
        <v>2203</v>
      </c>
      <c r="O35" s="206">
        <f t="shared" si="32"/>
        <v>1710</v>
      </c>
      <c r="P35" s="206">
        <f t="shared" si="31"/>
        <v>2023</v>
      </c>
      <c r="Q35" s="206">
        <f t="shared" ref="Q35" si="33">SUM(Q30:Q34)</f>
        <v>2032</v>
      </c>
      <c r="R35" s="204">
        <f t="shared" si="3"/>
        <v>1.7271308826818398E-2</v>
      </c>
      <c r="S35" s="154"/>
      <c r="T35" s="191" t="str">
        <f t="shared" si="1"/>
        <v>Total Other Assets</v>
      </c>
      <c r="U35" s="200">
        <f t="shared" si="27"/>
        <v>0.17436672599166197</v>
      </c>
      <c r="V35" s="200">
        <f t="shared" si="27"/>
        <v>0.16647505793170347</v>
      </c>
      <c r="W35" s="200">
        <f t="shared" si="27"/>
        <v>0.19746083694932701</v>
      </c>
      <c r="X35" s="200">
        <f t="shared" si="27"/>
        <v>0.18364712118880283</v>
      </c>
      <c r="Y35" s="200">
        <f t="shared" si="27"/>
        <v>0.16135855649090955</v>
      </c>
      <c r="Z35" s="200">
        <f t="shared" si="27"/>
        <v>0.14503749730450688</v>
      </c>
      <c r="AA35" s="201">
        <f t="shared" si="27"/>
        <v>0.12620863541036659</v>
      </c>
      <c r="AB35" s="201">
        <f t="shared" si="27"/>
        <v>0.10612463943113973</v>
      </c>
      <c r="AC35" s="201">
        <f t="shared" si="27"/>
        <v>0.11458029941166191</v>
      </c>
      <c r="AD35" s="201">
        <f t="shared" si="27"/>
        <v>9.7912053147738057E-2</v>
      </c>
      <c r="AE35" s="201">
        <f t="shared" si="27"/>
        <v>0.10220391144644098</v>
      </c>
      <c r="AF35" s="201">
        <f t="shared" si="27"/>
        <v>0.10655737704918032</v>
      </c>
      <c r="AG35" s="201">
        <f t="shared" si="27"/>
        <v>0.101389911634757</v>
      </c>
      <c r="AH35" s="201">
        <f t="shared" si="27"/>
        <v>7.895101343552334E-2</v>
      </c>
      <c r="AI35" s="201">
        <f t="shared" si="28"/>
        <v>9.0851933354291106E-2</v>
      </c>
      <c r="AJ35" s="201">
        <f t="shared" si="28"/>
        <v>9.164712249684287E-2</v>
      </c>
      <c r="AK35" s="199">
        <f>SUM(K35:P35)/SUM(K$37:P$37)</f>
        <v>9.6137345875174779E-2</v>
      </c>
    </row>
    <row r="36" spans="1:39" x14ac:dyDescent="0.2">
      <c r="A36" s="148" t="s">
        <v>36</v>
      </c>
      <c r="B36" s="152">
        <f t="shared" ref="B36:L36" si="34">B27+B35</f>
        <v>11343.9</v>
      </c>
      <c r="C36" s="152">
        <f t="shared" si="34"/>
        <v>9776.4</v>
      </c>
      <c r="D36" s="152">
        <f t="shared" si="34"/>
        <v>10117.4</v>
      </c>
      <c r="E36" s="152">
        <f t="shared" si="34"/>
        <v>10846.4</v>
      </c>
      <c r="F36" s="152">
        <f t="shared" si="34"/>
        <v>10920.7</v>
      </c>
      <c r="G36" s="152">
        <f t="shared" si="34"/>
        <v>11306.599999999999</v>
      </c>
      <c r="H36" s="151">
        <f t="shared" si="34"/>
        <v>11715.999999999998</v>
      </c>
      <c r="I36" s="151">
        <f t="shared" si="34"/>
        <v>13431</v>
      </c>
      <c r="J36" s="151">
        <f>J27+J35</f>
        <v>15791</v>
      </c>
      <c r="K36" s="151">
        <f>K27+K35</f>
        <v>17394</v>
      </c>
      <c r="L36" s="151">
        <f t="shared" si="34"/>
        <v>18451</v>
      </c>
      <c r="M36" s="151">
        <f t="shared" ref="M36:P36" si="35">M27+M35</f>
        <v>19623</v>
      </c>
      <c r="N36" s="151">
        <f t="shared" ref="N36:O36" si="36">N27+N35</f>
        <v>20260</v>
      </c>
      <c r="O36" s="151">
        <f t="shared" si="36"/>
        <v>20217</v>
      </c>
      <c r="P36" s="151">
        <f t="shared" si="35"/>
        <v>20742</v>
      </c>
      <c r="Q36" s="151">
        <f t="shared" ref="Q36" si="37">Q27+Q35</f>
        <v>20815</v>
      </c>
      <c r="R36" s="155">
        <f t="shared" si="3"/>
        <v>3.5834168697805147E-2</v>
      </c>
      <c r="S36" s="156"/>
      <c r="T36" s="2" t="str">
        <f t="shared" si="1"/>
        <v>Total Non-Current Assets</v>
      </c>
      <c r="U36" s="6">
        <f t="shared" si="27"/>
        <v>0.92188604724870171</v>
      </c>
      <c r="V36" s="6">
        <f t="shared" si="27"/>
        <v>0.87808295460669317</v>
      </c>
      <c r="W36" s="6">
        <f t="shared" si="27"/>
        <v>0.93011326027800245</v>
      </c>
      <c r="X36" s="6">
        <f t="shared" si="27"/>
        <v>0.927375639118316</v>
      </c>
      <c r="Y36" s="6">
        <f t="shared" si="27"/>
        <v>0.93522364285653137</v>
      </c>
      <c r="Z36" s="6">
        <f t="shared" si="27"/>
        <v>0.90301815364710214</v>
      </c>
      <c r="AA36" s="97">
        <f t="shared" si="27"/>
        <v>0.92025166322370855</v>
      </c>
      <c r="AB36" s="97">
        <f t="shared" si="27"/>
        <v>0.90098611390621852</v>
      </c>
      <c r="AC36" s="97">
        <f t="shared" si="27"/>
        <v>0.91984621657831889</v>
      </c>
      <c r="AD36" s="97">
        <f t="shared" si="27"/>
        <v>0.91711483707687436</v>
      </c>
      <c r="AE36" s="97">
        <f t="shared" si="27"/>
        <v>0.91586419140275988</v>
      </c>
      <c r="AF36" s="97">
        <f t="shared" si="27"/>
        <v>0.92973562020278588</v>
      </c>
      <c r="AG36" s="97">
        <f t="shared" si="27"/>
        <v>0.93243740795287189</v>
      </c>
      <c r="AH36" s="97">
        <f t="shared" si="27"/>
        <v>0.93342259568770491</v>
      </c>
      <c r="AI36" s="97">
        <f t="shared" si="28"/>
        <v>0.93151300130237569</v>
      </c>
      <c r="AJ36" s="97">
        <f t="shared" si="28"/>
        <v>0.93879668049792531</v>
      </c>
      <c r="AK36" s="199">
        <f>SUM(K36:P36)/SUM(K$37:P$37)</f>
        <v>0.92702904537943309</v>
      </c>
    </row>
    <row r="37" spans="1:39" ht="13.5" thickBot="1" x14ac:dyDescent="0.25">
      <c r="A37" s="182" t="s">
        <v>31</v>
      </c>
      <c r="B37" s="207">
        <f t="shared" ref="B37:G37" si="38">B16+B27+B35</f>
        <v>12305.1</v>
      </c>
      <c r="C37" s="207">
        <f t="shared" si="38"/>
        <v>11133.8</v>
      </c>
      <c r="D37" s="207">
        <f t="shared" si="38"/>
        <v>10877.6</v>
      </c>
      <c r="E37" s="207">
        <f t="shared" si="38"/>
        <v>11695.8</v>
      </c>
      <c r="F37" s="207">
        <f t="shared" si="38"/>
        <v>11677.099999999999</v>
      </c>
      <c r="G37" s="207">
        <f t="shared" si="38"/>
        <v>12520.899999999998</v>
      </c>
      <c r="H37" s="208">
        <f t="shared" ref="H37:L37" si="39">H16+H27+H35</f>
        <v>12731.299999999997</v>
      </c>
      <c r="I37" s="208">
        <f t="shared" si="39"/>
        <v>14907</v>
      </c>
      <c r="J37" s="208">
        <f t="shared" si="39"/>
        <v>17167</v>
      </c>
      <c r="K37" s="208">
        <f t="shared" si="39"/>
        <v>18966</v>
      </c>
      <c r="L37" s="208">
        <f t="shared" si="39"/>
        <v>20146</v>
      </c>
      <c r="M37" s="208">
        <f t="shared" ref="M37:P37" si="40">M16+M27+M35</f>
        <v>21106</v>
      </c>
      <c r="N37" s="208">
        <f t="shared" ref="N37:O37" si="41">N16+N27+N35</f>
        <v>21728</v>
      </c>
      <c r="O37" s="208">
        <f t="shared" si="41"/>
        <v>21659</v>
      </c>
      <c r="P37" s="208">
        <f t="shared" si="40"/>
        <v>22267</v>
      </c>
      <c r="Q37" s="208">
        <f t="shared" ref="Q37" si="42">Q16+Q27+Q35</f>
        <v>22172</v>
      </c>
      <c r="R37" s="305">
        <f t="shared" si="3"/>
        <v>3.2612059196067189E-2</v>
      </c>
      <c r="S37" s="157"/>
      <c r="T37" s="191" t="str">
        <f t="shared" si="1"/>
        <v>Total Assets</v>
      </c>
      <c r="U37" s="202">
        <f t="shared" si="27"/>
        <v>1</v>
      </c>
      <c r="V37" s="202">
        <f t="shared" si="27"/>
        <v>1</v>
      </c>
      <c r="W37" s="202">
        <f t="shared" si="27"/>
        <v>1</v>
      </c>
      <c r="X37" s="202">
        <f t="shared" si="27"/>
        <v>1</v>
      </c>
      <c r="Y37" s="202">
        <f t="shared" si="27"/>
        <v>1</v>
      </c>
      <c r="Z37" s="202">
        <f t="shared" si="27"/>
        <v>1</v>
      </c>
      <c r="AA37" s="203">
        <f t="shared" si="27"/>
        <v>1</v>
      </c>
      <c r="AB37" s="203">
        <f t="shared" si="27"/>
        <v>1</v>
      </c>
      <c r="AC37" s="203">
        <f t="shared" si="27"/>
        <v>1</v>
      </c>
      <c r="AD37" s="203">
        <f t="shared" si="27"/>
        <v>1</v>
      </c>
      <c r="AE37" s="203">
        <f t="shared" si="27"/>
        <v>1</v>
      </c>
      <c r="AF37" s="203">
        <f t="shared" si="27"/>
        <v>1</v>
      </c>
      <c r="AG37" s="203">
        <f t="shared" si="27"/>
        <v>1</v>
      </c>
      <c r="AH37" s="203">
        <f t="shared" si="27"/>
        <v>1</v>
      </c>
      <c r="AI37" s="203">
        <f t="shared" si="28"/>
        <v>1</v>
      </c>
      <c r="AJ37" s="203">
        <f t="shared" si="28"/>
        <v>1</v>
      </c>
      <c r="AK37" s="199">
        <f>SUM(K37:P37)/SUM(K$37:P$37)</f>
        <v>1</v>
      </c>
    </row>
    <row r="38" spans="1:39" ht="13.5" thickTop="1" x14ac:dyDescent="0.2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303"/>
      <c r="S38" s="154"/>
      <c r="T38" s="2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131"/>
    </row>
    <row r="39" spans="1:39" ht="7.5" customHeight="1" x14ac:dyDescent="0.2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92"/>
      <c r="Q39" s="192"/>
      <c r="R39" s="304"/>
      <c r="S39" s="154"/>
      <c r="T39" s="2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5"/>
    </row>
    <row r="40" spans="1:39" x14ac:dyDescent="0.2">
      <c r="A40" s="184" t="s">
        <v>9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9"/>
      <c r="Q40" s="19"/>
      <c r="R40" s="150"/>
      <c r="S40" s="157"/>
      <c r="T40" s="197" t="str">
        <f t="shared" si="1"/>
        <v>Current Liabilities: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5"/>
    </row>
    <row r="41" spans="1:39" x14ac:dyDescent="0.2">
      <c r="A41" s="148" t="s">
        <v>56</v>
      </c>
      <c r="B41" s="148">
        <v>186.9</v>
      </c>
      <c r="C41" s="148">
        <v>51.2</v>
      </c>
      <c r="D41" s="148">
        <v>144.5</v>
      </c>
      <c r="E41" s="148">
        <v>136.69999999999999</v>
      </c>
      <c r="F41" s="148">
        <v>240</v>
      </c>
      <c r="G41" s="148">
        <v>269.89999999999998</v>
      </c>
      <c r="H41" s="148">
        <v>216.9</v>
      </c>
      <c r="I41" s="148">
        <v>414</v>
      </c>
      <c r="J41" s="148">
        <v>144</v>
      </c>
      <c r="K41" s="148">
        <v>16</v>
      </c>
      <c r="L41" s="148">
        <v>588</v>
      </c>
      <c r="M41" s="148">
        <v>19</v>
      </c>
      <c r="N41" s="148">
        <v>267</v>
      </c>
      <c r="O41" s="148">
        <v>238</v>
      </c>
      <c r="P41" s="2">
        <v>134</v>
      </c>
      <c r="Q41" s="2">
        <v>179</v>
      </c>
      <c r="R41" s="150">
        <f t="shared" si="3"/>
        <v>0.52966723080419786</v>
      </c>
      <c r="S41" s="157"/>
      <c r="T41" s="2" t="str">
        <f t="shared" si="1"/>
        <v>Current Maturities LTD</v>
      </c>
      <c r="U41" s="5">
        <f t="shared" ref="U41:AH44" si="43">B41/B$37</f>
        <v>1.5188824146085769E-2</v>
      </c>
      <c r="V41" s="5">
        <f t="shared" si="43"/>
        <v>4.5986096391169235E-3</v>
      </c>
      <c r="W41" s="5">
        <f t="shared" si="43"/>
        <v>1.3284180333897182E-2</v>
      </c>
      <c r="X41" s="5">
        <f t="shared" si="43"/>
        <v>1.1687956360402879E-2</v>
      </c>
      <c r="Y41" s="5">
        <f t="shared" si="43"/>
        <v>2.0553048273972137E-2</v>
      </c>
      <c r="Z41" s="5">
        <f t="shared" si="43"/>
        <v>2.1555958437492515E-2</v>
      </c>
      <c r="AA41" s="5">
        <f t="shared" si="43"/>
        <v>1.7036751942064051E-2</v>
      </c>
      <c r="AB41" s="5">
        <f t="shared" si="43"/>
        <v>2.7772187562889919E-2</v>
      </c>
      <c r="AC41" s="5">
        <f t="shared" si="43"/>
        <v>8.3881866371526767E-3</v>
      </c>
      <c r="AD41" s="5">
        <f t="shared" si="43"/>
        <v>8.4361488980280502E-4</v>
      </c>
      <c r="AE41" s="5">
        <f t="shared" si="43"/>
        <v>2.9186935371785964E-2</v>
      </c>
      <c r="AF41" s="5">
        <f t="shared" si="43"/>
        <v>9.0021794750307972E-4</v>
      </c>
      <c r="AG41" s="5">
        <f t="shared" si="43"/>
        <v>1.2288291605301914E-2</v>
      </c>
      <c r="AH41" s="5">
        <f t="shared" si="43"/>
        <v>1.0988503624359389E-2</v>
      </c>
      <c r="AI41" s="5">
        <f t="shared" ref="AI41:AJ47" si="44">P41/P$37</f>
        <v>6.0178739839223967E-3</v>
      </c>
      <c r="AJ41" s="5">
        <f t="shared" si="44"/>
        <v>8.0732455349088947E-3</v>
      </c>
      <c r="AK41" s="55">
        <f t="shared" ref="AK41:AK46" si="45">SUM(K41:P41)/SUM(K$37:P$37)</f>
        <v>1.0026058217872124E-2</v>
      </c>
    </row>
    <row r="42" spans="1:39" x14ac:dyDescent="0.2">
      <c r="A42" s="140" t="s">
        <v>171</v>
      </c>
      <c r="B42" s="148">
        <v>109</v>
      </c>
      <c r="C42" s="148">
        <v>240.5</v>
      </c>
      <c r="D42" s="148">
        <v>177.5</v>
      </c>
      <c r="E42" s="148">
        <v>25</v>
      </c>
      <c r="F42" s="148">
        <v>124.9</v>
      </c>
      <c r="G42" s="148">
        <v>468.8</v>
      </c>
      <c r="H42" s="148">
        <v>184.4</v>
      </c>
      <c r="I42" s="148">
        <v>0</v>
      </c>
      <c r="J42" s="148">
        <v>85</v>
      </c>
      <c r="K42" s="148">
        <v>0</v>
      </c>
      <c r="L42" s="148">
        <v>36</v>
      </c>
      <c r="M42" s="148">
        <v>688</v>
      </c>
      <c r="N42" s="148">
        <v>0</v>
      </c>
      <c r="O42" s="148">
        <v>0</v>
      </c>
      <c r="P42" s="2">
        <v>20</v>
      </c>
      <c r="Q42" s="2">
        <v>210</v>
      </c>
      <c r="R42" s="318" t="s">
        <v>227</v>
      </c>
      <c r="S42" s="157"/>
      <c r="T42" s="2" t="str">
        <f t="shared" si="1"/>
        <v>Short-term Debt</v>
      </c>
      <c r="U42" s="5">
        <f t="shared" si="43"/>
        <v>8.8581157406278695E-3</v>
      </c>
      <c r="V42" s="5">
        <f t="shared" si="43"/>
        <v>2.1600890980617581E-2</v>
      </c>
      <c r="W42" s="5">
        <f t="shared" si="43"/>
        <v>1.6317937780392734E-2</v>
      </c>
      <c r="X42" s="5">
        <f t="shared" si="43"/>
        <v>2.1375194514270082E-3</v>
      </c>
      <c r="Y42" s="5">
        <f t="shared" si="43"/>
        <v>1.0696148872579666E-2</v>
      </c>
      <c r="Z42" s="5">
        <f t="shared" si="43"/>
        <v>3.7441397982573142E-2</v>
      </c>
      <c r="AA42" s="5">
        <f t="shared" si="43"/>
        <v>1.4483988280851134E-2</v>
      </c>
      <c r="AB42" s="5">
        <f t="shared" si="43"/>
        <v>0</v>
      </c>
      <c r="AC42" s="5">
        <f t="shared" si="43"/>
        <v>4.9513601677637327E-3</v>
      </c>
      <c r="AD42" s="5">
        <f t="shared" si="43"/>
        <v>0</v>
      </c>
      <c r="AE42" s="5">
        <f t="shared" si="43"/>
        <v>1.7869552268440386E-3</v>
      </c>
      <c r="AF42" s="5">
        <f t="shared" si="43"/>
        <v>3.2597365678006252E-2</v>
      </c>
      <c r="AG42" s="5">
        <f t="shared" si="43"/>
        <v>0</v>
      </c>
      <c r="AH42" s="5">
        <f t="shared" si="43"/>
        <v>0</v>
      </c>
      <c r="AI42" s="5">
        <f t="shared" si="44"/>
        <v>8.9819014685408899E-4</v>
      </c>
      <c r="AJ42" s="5">
        <f t="shared" si="44"/>
        <v>9.4714053761500994E-3</v>
      </c>
      <c r="AK42" s="55">
        <f t="shared" si="45"/>
        <v>5.9107664929452146E-3</v>
      </c>
      <c r="AM42" s="55">
        <f>AVERAGE(AA42:AE42)</f>
        <v>4.2444607350917811E-3</v>
      </c>
    </row>
    <row r="43" spans="1:39" x14ac:dyDescent="0.2">
      <c r="A43" s="148" t="s">
        <v>1</v>
      </c>
      <c r="B43" s="148">
        <v>437.4</v>
      </c>
      <c r="C43" s="148">
        <v>609.9</v>
      </c>
      <c r="D43" s="148">
        <v>292.7</v>
      </c>
      <c r="E43" s="148">
        <v>243.4</v>
      </c>
      <c r="F43" s="148">
        <v>262.60000000000002</v>
      </c>
      <c r="G43" s="148">
        <v>350.4</v>
      </c>
      <c r="H43" s="148">
        <v>361.3</v>
      </c>
      <c r="I43" s="148">
        <v>451</v>
      </c>
      <c r="J43" s="148">
        <v>757</v>
      </c>
      <c r="K43" s="148">
        <v>553</v>
      </c>
      <c r="L43" s="148">
        <v>479</v>
      </c>
      <c r="M43" s="148">
        <v>582</v>
      </c>
      <c r="N43" s="148">
        <v>467</v>
      </c>
      <c r="O43" s="148">
        <v>504</v>
      </c>
      <c r="P43" s="2">
        <v>465</v>
      </c>
      <c r="Q43" s="2">
        <v>418</v>
      </c>
      <c r="R43" s="150">
        <f t="shared" si="3"/>
        <v>-3.4070200936192702E-2</v>
      </c>
      <c r="S43" s="154"/>
      <c r="T43" s="2" t="str">
        <f t="shared" si="1"/>
        <v>Accounts Payable</v>
      </c>
      <c r="U43" s="5">
        <f t="shared" si="43"/>
        <v>3.5546236926152566E-2</v>
      </c>
      <c r="V43" s="5">
        <f t="shared" si="43"/>
        <v>5.4779140994090071E-2</v>
      </c>
      <c r="W43" s="5">
        <f t="shared" si="43"/>
        <v>2.6908509229977198E-2</v>
      </c>
      <c r="X43" s="5">
        <f t="shared" si="43"/>
        <v>2.0810889379093353E-2</v>
      </c>
      <c r="Y43" s="5">
        <f t="shared" si="43"/>
        <v>2.248846031977118E-2</v>
      </c>
      <c r="Z43" s="5">
        <f t="shared" si="43"/>
        <v>2.7985208731001767E-2</v>
      </c>
      <c r="AA43" s="5">
        <f t="shared" si="43"/>
        <v>2.8378877255268518E-2</v>
      </c>
      <c r="AB43" s="5">
        <f t="shared" si="43"/>
        <v>3.0254242973099886E-2</v>
      </c>
      <c r="AC43" s="5">
        <f t="shared" si="43"/>
        <v>4.4096231141142889E-2</v>
      </c>
      <c r="AD43" s="5">
        <f t="shared" si="43"/>
        <v>2.9157439628809449E-2</v>
      </c>
      <c r="AE43" s="5">
        <f t="shared" si="43"/>
        <v>2.3776432046063736E-2</v>
      </c>
      <c r="AF43" s="5">
        <f t="shared" si="43"/>
        <v>2.7575097128778547E-2</v>
      </c>
      <c r="AG43" s="5">
        <f t="shared" si="43"/>
        <v>2.149300441826215E-2</v>
      </c>
      <c r="AH43" s="5">
        <f t="shared" si="43"/>
        <v>2.3269772380996354E-2</v>
      </c>
      <c r="AI43" s="5">
        <f t="shared" si="44"/>
        <v>2.0882920914357568E-2</v>
      </c>
      <c r="AJ43" s="5">
        <f t="shared" si="44"/>
        <v>1.8852606891574961E-2</v>
      </c>
      <c r="AK43" s="55">
        <f t="shared" si="45"/>
        <v>2.4230964789627558E-2</v>
      </c>
    </row>
    <row r="44" spans="1:39" x14ac:dyDescent="0.2">
      <c r="A44" s="140" t="s">
        <v>172</v>
      </c>
      <c r="B44" s="148">
        <f>153.8+97.3+4.2+4.6</f>
        <v>259.90000000000003</v>
      </c>
      <c r="C44" s="148">
        <f>61.9+84.1+377.5+18.7</f>
        <v>542.20000000000005</v>
      </c>
      <c r="D44" s="148">
        <f>91.8+115.9+100.8+151.7</f>
        <v>460.2</v>
      </c>
      <c r="E44" s="148">
        <f>141.3+63.1+67.9+91.7+39.6</f>
        <v>403.6</v>
      </c>
      <c r="F44" s="148">
        <f>131.5+54.2+66.1+76.9+3.7+2.6</f>
        <v>335</v>
      </c>
      <c r="G44" s="148">
        <f>134.3+39.8+64.8+136.7+2+3.7+3.9</f>
        <v>385.2</v>
      </c>
      <c r="H44" s="148">
        <f>118+47+63+97.9+16.9+3.7+3.8</f>
        <v>350.29999999999995</v>
      </c>
      <c r="I44" s="148">
        <f>80+28+74</f>
        <v>182</v>
      </c>
      <c r="J44" s="148">
        <f>77+89+73</f>
        <v>239</v>
      </c>
      <c r="K44" s="148">
        <f>76+111+67</f>
        <v>254</v>
      </c>
      <c r="L44" s="148">
        <f>81+110+63</f>
        <v>254</v>
      </c>
      <c r="M44" s="148">
        <f>72+105+66</f>
        <v>243</v>
      </c>
      <c r="N44" s="148">
        <f>77+113+54</f>
        <v>244</v>
      </c>
      <c r="O44" s="148">
        <f>79+110+58</f>
        <v>247</v>
      </c>
      <c r="P44" s="2">
        <f>76+110+59</f>
        <v>245</v>
      </c>
      <c r="Q44" s="2">
        <f>109+104+85</f>
        <v>298</v>
      </c>
      <c r="R44" s="150">
        <f t="shared" si="3"/>
        <v>-7.1892441480967129E-3</v>
      </c>
      <c r="S44" s="154"/>
      <c r="T44" s="2" t="str">
        <f>A44</f>
        <v>Accrued Expenses</v>
      </c>
      <c r="U44" s="5">
        <f t="shared" si="43"/>
        <v>2.1121323678799851E-2</v>
      </c>
      <c r="V44" s="5">
        <f t="shared" si="43"/>
        <v>4.8698557545492113E-2</v>
      </c>
      <c r="W44" s="5">
        <f t="shared" si="43"/>
        <v>4.2307126572037945E-2</v>
      </c>
      <c r="X44" s="5">
        <f t="shared" si="43"/>
        <v>3.4508114023837619E-2</v>
      </c>
      <c r="Y44" s="5">
        <f t="shared" si="43"/>
        <v>2.868862988241944E-2</v>
      </c>
      <c r="Z44" s="5">
        <f t="shared" si="43"/>
        <v>3.0764561652916328E-2</v>
      </c>
      <c r="AA44" s="5">
        <f t="shared" si="43"/>
        <v>2.7514864939165679E-2</v>
      </c>
      <c r="AB44" s="5">
        <f t="shared" si="43"/>
        <v>1.2209029315086871E-2</v>
      </c>
      <c r="AC44" s="5">
        <f t="shared" si="43"/>
        <v>1.3922059765829789E-2</v>
      </c>
      <c r="AD44" s="5">
        <f t="shared" si="43"/>
        <v>1.3392386375619529E-2</v>
      </c>
      <c r="AE44" s="5">
        <f t="shared" si="43"/>
        <v>1.2607961878288493E-2</v>
      </c>
      <c r="AF44" s="5">
        <f t="shared" si="43"/>
        <v>1.1513313749644651E-2</v>
      </c>
      <c r="AG44" s="5">
        <f t="shared" si="43"/>
        <v>1.1229749631811487E-2</v>
      </c>
      <c r="AH44" s="5">
        <f t="shared" si="43"/>
        <v>1.1404035274020037E-2</v>
      </c>
      <c r="AI44" s="5">
        <f t="shared" ref="AI44:AJ44" si="46">P44/P$37</f>
        <v>1.1002829298962591E-2</v>
      </c>
      <c r="AJ44" s="5">
        <f t="shared" si="46"/>
        <v>1.3440375248060616E-2</v>
      </c>
      <c r="AK44" s="55">
        <f t="shared" si="45"/>
        <v>1.1813588407270878E-2</v>
      </c>
    </row>
    <row r="45" spans="1:39" x14ac:dyDescent="0.2">
      <c r="A45" s="140" t="s">
        <v>169</v>
      </c>
      <c r="B45" s="148"/>
      <c r="C45" s="148"/>
      <c r="D45" s="148"/>
      <c r="E45" s="148"/>
      <c r="F45" s="148"/>
      <c r="G45" s="148"/>
      <c r="H45" s="148"/>
      <c r="I45" s="148">
        <v>117</v>
      </c>
      <c r="J45" s="148">
        <v>130</v>
      </c>
      <c r="K45" s="148">
        <v>85</v>
      </c>
      <c r="L45" s="148">
        <v>84</v>
      </c>
      <c r="M45" s="148">
        <v>90</v>
      </c>
      <c r="N45" s="148">
        <v>49</v>
      </c>
      <c r="O45" s="148">
        <v>27</v>
      </c>
      <c r="P45" s="148">
        <v>0</v>
      </c>
      <c r="Q45" s="148">
        <v>0</v>
      </c>
      <c r="R45" s="150">
        <f t="shared" si="3"/>
        <v>-0.99999940914518248</v>
      </c>
      <c r="S45" s="154"/>
      <c r="T45" s="2" t="str">
        <f t="shared" si="1"/>
        <v>Derivative Contacts</v>
      </c>
      <c r="U45" s="5"/>
      <c r="V45" s="5"/>
      <c r="W45" s="5"/>
      <c r="X45" s="5"/>
      <c r="Y45" s="5">
        <f t="shared" ref="Y45:AH47" si="47">F45/F$37</f>
        <v>0</v>
      </c>
      <c r="Z45" s="5">
        <f t="shared" si="47"/>
        <v>0</v>
      </c>
      <c r="AA45" s="5">
        <f t="shared" si="47"/>
        <v>0</v>
      </c>
      <c r="AB45" s="5">
        <f t="shared" si="47"/>
        <v>7.8486617025558467E-3</v>
      </c>
      <c r="AC45" s="5">
        <f t="shared" si="47"/>
        <v>7.5726684918739438E-3</v>
      </c>
      <c r="AD45" s="5">
        <f t="shared" si="47"/>
        <v>4.4817041020774016E-3</v>
      </c>
      <c r="AE45" s="5">
        <f t="shared" si="47"/>
        <v>4.1695621959694229E-3</v>
      </c>
      <c r="AF45" s="5">
        <f t="shared" si="47"/>
        <v>4.2641902776461666E-3</v>
      </c>
      <c r="AG45" s="5">
        <f t="shared" si="47"/>
        <v>2.2551546391752575E-3</v>
      </c>
      <c r="AH45" s="5">
        <f t="shared" si="47"/>
        <v>1.2465949489819475E-3</v>
      </c>
      <c r="AI45" s="5"/>
      <c r="AJ45" s="5"/>
      <c r="AK45" s="55">
        <f t="shared" si="45"/>
        <v>2.6614338375492565E-3</v>
      </c>
    </row>
    <row r="46" spans="1:39" x14ac:dyDescent="0.2">
      <c r="A46" s="148" t="s">
        <v>61</v>
      </c>
      <c r="B46" s="152">
        <v>103</v>
      </c>
      <c r="C46" s="152">
        <v>157.4</v>
      </c>
      <c r="D46" s="152">
        <v>142</v>
      </c>
      <c r="E46" s="152">
        <v>127.3</v>
      </c>
      <c r="F46" s="152">
        <v>111.8</v>
      </c>
      <c r="G46" s="152">
        <v>123.4</v>
      </c>
      <c r="H46" s="153">
        <v>103.2</v>
      </c>
      <c r="I46" s="153">
        <v>149</v>
      </c>
      <c r="J46" s="153">
        <v>111</v>
      </c>
      <c r="K46" s="153">
        <v>105</v>
      </c>
      <c r="L46" s="153">
        <v>121</v>
      </c>
      <c r="M46" s="153">
        <v>192</v>
      </c>
      <c r="N46" s="153">
        <f>48+62+147</f>
        <v>257</v>
      </c>
      <c r="O46" s="153">
        <f>22+55+208-O45</f>
        <v>258</v>
      </c>
      <c r="P46" s="2">
        <f>34+222</f>
        <v>256</v>
      </c>
      <c r="Q46" s="2">
        <f>34+216</f>
        <v>250</v>
      </c>
      <c r="R46" s="150">
        <f t="shared" si="3"/>
        <v>0.19511619965887292</v>
      </c>
      <c r="S46" s="154"/>
      <c r="T46" s="2" t="str">
        <f t="shared" si="1"/>
        <v xml:space="preserve">Other </v>
      </c>
      <c r="U46" s="6">
        <f t="shared" ref="U46:X47" si="48">B46/B$37</f>
        <v>8.3705130393089047E-3</v>
      </c>
      <c r="V46" s="6">
        <f t="shared" si="48"/>
        <v>1.4137131976503981E-2</v>
      </c>
      <c r="W46" s="6">
        <f t="shared" si="48"/>
        <v>1.3054350224314186E-2</v>
      </c>
      <c r="X46" s="6">
        <f t="shared" si="48"/>
        <v>1.0884249046666326E-2</v>
      </c>
      <c r="Y46" s="6">
        <f t="shared" si="47"/>
        <v>9.5742949876253536E-3</v>
      </c>
      <c r="Z46" s="6">
        <f t="shared" si="47"/>
        <v>9.8555215679384089E-3</v>
      </c>
      <c r="AA46" s="103">
        <f t="shared" si="47"/>
        <v>8.1060064565284008E-3</v>
      </c>
      <c r="AB46" s="103">
        <f t="shared" si="47"/>
        <v>9.9953042194941971E-3</v>
      </c>
      <c r="AC46" s="103">
        <f t="shared" si="47"/>
        <v>6.4658938661385215E-3</v>
      </c>
      <c r="AD46" s="103">
        <f t="shared" si="47"/>
        <v>5.5362227143309082E-3</v>
      </c>
      <c r="AE46" s="103">
        <f t="shared" si="47"/>
        <v>6.0061550680035741E-3</v>
      </c>
      <c r="AF46" s="103">
        <f t="shared" si="47"/>
        <v>9.0969392589784898E-3</v>
      </c>
      <c r="AG46" s="103">
        <f t="shared" si="47"/>
        <v>1.1828055964653902E-2</v>
      </c>
      <c r="AH46" s="103">
        <f t="shared" si="47"/>
        <v>1.1911907290271943E-2</v>
      </c>
      <c r="AI46" s="103">
        <f t="shared" si="44"/>
        <v>1.1496833879732339E-2</v>
      </c>
      <c r="AJ46" s="103">
        <f t="shared" si="44"/>
        <v>1.1275482590654881E-2</v>
      </c>
      <c r="AK46" s="55">
        <f t="shared" si="45"/>
        <v>9.4461039786449732E-3</v>
      </c>
    </row>
    <row r="47" spans="1:39" x14ac:dyDescent="0.2">
      <c r="A47" s="182" t="s">
        <v>33</v>
      </c>
      <c r="B47" s="182">
        <f t="shared" ref="B47:L47" si="49">SUM(B40:B46)</f>
        <v>1096.2</v>
      </c>
      <c r="C47" s="182">
        <f t="shared" si="49"/>
        <v>1601.2</v>
      </c>
      <c r="D47" s="182">
        <f t="shared" si="49"/>
        <v>1216.9000000000001</v>
      </c>
      <c r="E47" s="182">
        <f t="shared" si="49"/>
        <v>936</v>
      </c>
      <c r="F47" s="182">
        <f t="shared" si="49"/>
        <v>1074.3</v>
      </c>
      <c r="G47" s="182">
        <f t="shared" si="49"/>
        <v>1597.7</v>
      </c>
      <c r="H47" s="182">
        <f t="shared" si="49"/>
        <v>1216.1000000000001</v>
      </c>
      <c r="I47" s="182">
        <f t="shared" si="49"/>
        <v>1313</v>
      </c>
      <c r="J47" s="182">
        <f t="shared" si="49"/>
        <v>1466</v>
      </c>
      <c r="K47" s="182">
        <f t="shared" si="49"/>
        <v>1013</v>
      </c>
      <c r="L47" s="182">
        <f t="shared" si="49"/>
        <v>1562</v>
      </c>
      <c r="M47" s="182">
        <f t="shared" ref="M47:P47" si="50">SUM(M40:M46)</f>
        <v>1814</v>
      </c>
      <c r="N47" s="182">
        <f t="shared" ref="N47:O47" si="51">SUM(N40:N46)</f>
        <v>1284</v>
      </c>
      <c r="O47" s="182">
        <f t="shared" si="51"/>
        <v>1274</v>
      </c>
      <c r="P47" s="210">
        <f t="shared" si="50"/>
        <v>1120</v>
      </c>
      <c r="Q47" s="210">
        <f t="shared" ref="Q47" si="52">SUM(Q40:Q46)</f>
        <v>1355</v>
      </c>
      <c r="R47" s="204">
        <f t="shared" si="3"/>
        <v>2.0285501955247635E-2</v>
      </c>
      <c r="S47" s="154"/>
      <c r="T47" s="191" t="str">
        <f t="shared" si="1"/>
        <v>Total Current Liabilities</v>
      </c>
      <c r="U47" s="198">
        <f t="shared" si="48"/>
        <v>8.9085013530974963E-2</v>
      </c>
      <c r="V47" s="198">
        <f t="shared" si="48"/>
        <v>0.14381433113582068</v>
      </c>
      <c r="W47" s="198">
        <f t="shared" si="48"/>
        <v>0.11187210414061925</v>
      </c>
      <c r="X47" s="198">
        <f t="shared" si="48"/>
        <v>8.0028728261427179E-2</v>
      </c>
      <c r="Y47" s="198">
        <f t="shared" si="47"/>
        <v>9.2000582336367764E-2</v>
      </c>
      <c r="Z47" s="198">
        <f t="shared" si="47"/>
        <v>0.12760264837192217</v>
      </c>
      <c r="AA47" s="198">
        <f t="shared" si="47"/>
        <v>9.552048887387779E-2</v>
      </c>
      <c r="AB47" s="198">
        <f t="shared" si="47"/>
        <v>8.8079425773126718E-2</v>
      </c>
      <c r="AC47" s="198">
        <f t="shared" si="47"/>
        <v>8.5396400069901554E-2</v>
      </c>
      <c r="AD47" s="198">
        <f t="shared" si="47"/>
        <v>5.341136771064009E-2</v>
      </c>
      <c r="AE47" s="198">
        <f t="shared" si="47"/>
        <v>7.7534001786955228E-2</v>
      </c>
      <c r="AF47" s="198">
        <f t="shared" si="47"/>
        <v>8.5947124040557182E-2</v>
      </c>
      <c r="AG47" s="198">
        <f t="shared" si="47"/>
        <v>5.9094256259204711E-2</v>
      </c>
      <c r="AH47" s="198">
        <f t="shared" si="47"/>
        <v>5.8820813518629667E-2</v>
      </c>
      <c r="AI47" s="198">
        <f t="shared" si="44"/>
        <v>5.0298648223828984E-2</v>
      </c>
      <c r="AJ47" s="198">
        <f t="shared" si="44"/>
        <v>6.1113115641349448E-2</v>
      </c>
      <c r="AK47" s="199">
        <f>SUM(K47:P47)/SUM(K$37:P$37)</f>
        <v>6.4088915723909998E-2</v>
      </c>
      <c r="AL47" s="191"/>
    </row>
    <row r="48" spans="1:39" ht="7.5" customHeight="1" x14ac:dyDescent="0.2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2"/>
      <c r="Q48" s="2"/>
      <c r="R48" s="150"/>
      <c r="S48" s="154"/>
      <c r="T48" s="2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5"/>
    </row>
    <row r="49" spans="1:37" x14ac:dyDescent="0.2">
      <c r="A49" s="182" t="s">
        <v>57</v>
      </c>
      <c r="B49" s="182">
        <f>4221.5+340.9</f>
        <v>4562.3999999999996</v>
      </c>
      <c r="C49" s="182">
        <v>2906.9</v>
      </c>
      <c r="D49" s="182">
        <v>3553.8</v>
      </c>
      <c r="E49" s="182">
        <v>3417.6</v>
      </c>
      <c r="F49" s="182">
        <v>3520.2</v>
      </c>
      <c r="G49" s="182">
        <v>3629</v>
      </c>
      <c r="H49" s="182">
        <v>3721</v>
      </c>
      <c r="I49" s="182">
        <v>4753</v>
      </c>
      <c r="J49" s="182">
        <v>5424</v>
      </c>
      <c r="K49" s="182">
        <v>6400</v>
      </c>
      <c r="L49" s="182">
        <v>5813</v>
      </c>
      <c r="M49" s="182">
        <v>6194</v>
      </c>
      <c r="N49" s="182">
        <v>6594</v>
      </c>
      <c r="O49" s="182">
        <v>6639</v>
      </c>
      <c r="P49" s="191">
        <v>6919</v>
      </c>
      <c r="Q49" s="191">
        <v>6874</v>
      </c>
      <c r="R49" s="150">
        <f t="shared" si="3"/>
        <v>1.5716883173657558E-2</v>
      </c>
      <c r="S49" s="154"/>
      <c r="T49" s="191" t="str">
        <f t="shared" si="1"/>
        <v>Long-Term Debt</v>
      </c>
      <c r="U49" s="198">
        <f t="shared" ref="U49:AH50" si="53">B49/B$37</f>
        <v>0.37077309408294118</v>
      </c>
      <c r="V49" s="198">
        <f t="shared" si="53"/>
        <v>0.26108785859275363</v>
      </c>
      <c r="W49" s="198">
        <f t="shared" si="53"/>
        <v>0.32670809737442086</v>
      </c>
      <c r="X49" s="198">
        <f t="shared" si="53"/>
        <v>0.29220745908787771</v>
      </c>
      <c r="Y49" s="198">
        <f t="shared" si="53"/>
        <v>0.30146183555848627</v>
      </c>
      <c r="Z49" s="198">
        <f t="shared" si="53"/>
        <v>0.28983539521919355</v>
      </c>
      <c r="AA49" s="198">
        <f t="shared" si="53"/>
        <v>0.2922718025653312</v>
      </c>
      <c r="AB49" s="198">
        <f t="shared" si="53"/>
        <v>0.31884349634399944</v>
      </c>
      <c r="AC49" s="198">
        <f t="shared" si="53"/>
        <v>0.31595502999941749</v>
      </c>
      <c r="AD49" s="198">
        <f t="shared" si="53"/>
        <v>0.33744595592112203</v>
      </c>
      <c r="AE49" s="198">
        <f t="shared" si="53"/>
        <v>0.28854363149012213</v>
      </c>
      <c r="AF49" s="198">
        <f t="shared" si="53"/>
        <v>0.293471050886004</v>
      </c>
      <c r="AG49" s="198">
        <f t="shared" si="53"/>
        <v>0.30347938144329895</v>
      </c>
      <c r="AH49" s="198">
        <f t="shared" si="53"/>
        <v>0.30652384689967221</v>
      </c>
      <c r="AI49" s="198">
        <f t="shared" ref="AI49:AJ53" si="54">P49/P$37</f>
        <v>0.31072888130417209</v>
      </c>
      <c r="AJ49" s="198">
        <f t="shared" si="54"/>
        <v>0.31003066931264656</v>
      </c>
      <c r="AK49" s="55">
        <f t="shared" ref="AK49:AK52" si="55">SUM(K49:P49)/SUM(K$37:P$37)</f>
        <v>0.30633500699122918</v>
      </c>
    </row>
    <row r="50" spans="1:37" x14ac:dyDescent="0.2">
      <c r="A50" s="148" t="s">
        <v>11</v>
      </c>
      <c r="B50" s="148">
        <v>1642.2</v>
      </c>
      <c r="C50" s="148">
        <v>1645</v>
      </c>
      <c r="D50" s="148">
        <v>1434.8</v>
      </c>
      <c r="E50" s="148">
        <v>1511.1</v>
      </c>
      <c r="F50" s="148">
        <v>1564.6</v>
      </c>
      <c r="G50" s="148">
        <v>1629</v>
      </c>
      <c r="H50" s="148">
        <v>1621.2</v>
      </c>
      <c r="I50" s="148">
        <v>1701</v>
      </c>
      <c r="J50" s="148">
        <v>2025</v>
      </c>
      <c r="K50" s="148">
        <v>2625</v>
      </c>
      <c r="L50" s="148">
        <v>3448</v>
      </c>
      <c r="M50" s="148">
        <v>3863</v>
      </c>
      <c r="N50" s="148">
        <v>4168</v>
      </c>
      <c r="O50" s="148">
        <v>4359</v>
      </c>
      <c r="P50" s="2">
        <v>4609</v>
      </c>
      <c r="Q50" s="2">
        <v>4623</v>
      </c>
      <c r="R50" s="150">
        <f t="shared" si="3"/>
        <v>0.11916850522758692</v>
      </c>
      <c r="S50" s="154"/>
      <c r="T50" s="2" t="str">
        <f t="shared" si="1"/>
        <v>Deferred Income Taxes</v>
      </c>
      <c r="U50" s="5">
        <f t="shared" si="53"/>
        <v>0.13345685935100079</v>
      </c>
      <c r="V50" s="5">
        <f t="shared" si="53"/>
        <v>0.14774829797553396</v>
      </c>
      <c r="W50" s="5">
        <f t="shared" si="53"/>
        <v>0.13190409649187321</v>
      </c>
      <c r="X50" s="5">
        <f t="shared" si="53"/>
        <v>0.12920022572205406</v>
      </c>
      <c r="Y50" s="5">
        <f t="shared" si="53"/>
        <v>0.13398874720607001</v>
      </c>
      <c r="Z50" s="5">
        <f t="shared" si="53"/>
        <v>0.13010246867237982</v>
      </c>
      <c r="AA50" s="5">
        <f t="shared" si="53"/>
        <v>0.12733970607871942</v>
      </c>
      <c r="AB50" s="5">
        <f t="shared" si="53"/>
        <v>0.11410746629100423</v>
      </c>
      <c r="AC50" s="5">
        <f t="shared" si="53"/>
        <v>0.11795887458495952</v>
      </c>
      <c r="AD50" s="5">
        <f t="shared" si="53"/>
        <v>0.13840556785827271</v>
      </c>
      <c r="AE50" s="5">
        <f t="shared" si="53"/>
        <v>0.1711506006155068</v>
      </c>
      <c r="AF50" s="5">
        <f t="shared" si="53"/>
        <v>0.18302852269496825</v>
      </c>
      <c r="AG50" s="5">
        <f t="shared" si="53"/>
        <v>0.19182621502209132</v>
      </c>
      <c r="AH50" s="5">
        <f t="shared" si="53"/>
        <v>0.20125582898564107</v>
      </c>
      <c r="AI50" s="5">
        <f t="shared" si="54"/>
        <v>0.20698791934252481</v>
      </c>
      <c r="AJ50" s="5">
        <f t="shared" si="54"/>
        <v>0.20850622406639005</v>
      </c>
      <c r="AK50" s="55">
        <f t="shared" si="55"/>
        <v>0.18329731791025805</v>
      </c>
    </row>
    <row r="51" spans="1:37" x14ac:dyDescent="0.2">
      <c r="A51" s="140" t="s">
        <v>170</v>
      </c>
      <c r="B51" s="148"/>
      <c r="C51" s="148"/>
      <c r="D51" s="148"/>
      <c r="E51" s="148"/>
      <c r="F51" s="148"/>
      <c r="G51" s="148"/>
      <c r="H51" s="148"/>
      <c r="I51" s="148">
        <v>497</v>
      </c>
      <c r="J51" s="148">
        <v>490</v>
      </c>
      <c r="K51" s="148">
        <v>410</v>
      </c>
      <c r="L51" s="148">
        <v>399</v>
      </c>
      <c r="M51" s="148">
        <v>66</v>
      </c>
      <c r="N51" s="148">
        <v>26</v>
      </c>
      <c r="O51" s="148">
        <v>26</v>
      </c>
      <c r="P51" s="148">
        <v>0</v>
      </c>
      <c r="Q51" s="148">
        <v>0</v>
      </c>
      <c r="R51" s="150">
        <f t="shared" si="3"/>
        <v>-0.99999940914518248</v>
      </c>
      <c r="S51" s="154"/>
      <c r="T51" s="2" t="str">
        <f t="shared" si="1"/>
        <v>Derivative Contracts</v>
      </c>
      <c r="U51" s="5"/>
      <c r="V51" s="5"/>
      <c r="W51" s="5"/>
      <c r="X51" s="5"/>
      <c r="Y51" s="5">
        <f t="shared" ref="Y51:AH53" si="56">F51/F$37</f>
        <v>0</v>
      </c>
      <c r="Z51" s="5">
        <f t="shared" si="56"/>
        <v>0</v>
      </c>
      <c r="AA51" s="5">
        <f t="shared" si="56"/>
        <v>0</v>
      </c>
      <c r="AB51" s="5">
        <f t="shared" si="56"/>
        <v>3.3340041591198764E-2</v>
      </c>
      <c r="AC51" s="5">
        <f t="shared" si="56"/>
        <v>2.8543135084755637E-2</v>
      </c>
      <c r="AD51" s="5">
        <f t="shared" si="56"/>
        <v>2.1617631551196878E-2</v>
      </c>
      <c r="AE51" s="5">
        <f t="shared" si="56"/>
        <v>1.9805420430854759E-2</v>
      </c>
      <c r="AF51" s="5">
        <f t="shared" si="56"/>
        <v>3.1270728702738559E-3</v>
      </c>
      <c r="AG51" s="5">
        <f t="shared" si="56"/>
        <v>1.1966126656848307E-3</v>
      </c>
      <c r="AH51" s="5">
        <f t="shared" si="56"/>
        <v>1.2004247656863198E-3</v>
      </c>
      <c r="AI51" s="5"/>
      <c r="AJ51" s="5"/>
      <c r="AK51" s="55">
        <f t="shared" si="55"/>
        <v>7.364624380322868E-3</v>
      </c>
    </row>
    <row r="52" spans="1:37" ht="12.75" customHeight="1" x14ac:dyDescent="0.2">
      <c r="A52" s="148" t="s">
        <v>174</v>
      </c>
      <c r="B52" s="151">
        <f>115.2+101.6+691.1</f>
        <v>907.90000000000009</v>
      </c>
      <c r="C52" s="151">
        <f>107.2+256+645.4</f>
        <v>1008.5999999999999</v>
      </c>
      <c r="D52" s="151">
        <f>99.3+219.7+560.5+443.7</f>
        <v>1323.2</v>
      </c>
      <c r="E52" s="151">
        <f>801.9+91.4+643.5+650.1</f>
        <v>2186.9</v>
      </c>
      <c r="F52" s="151">
        <f>3706.3-1564.6</f>
        <v>2141.7000000000003</v>
      </c>
      <c r="G52" s="151">
        <f>3868.3-1629</f>
        <v>2239.3000000000002</v>
      </c>
      <c r="H52" s="151">
        <f>3701.1-H50</f>
        <v>2079.8999999999996</v>
      </c>
      <c r="I52" s="151">
        <f>799+764</f>
        <v>1563</v>
      </c>
      <c r="J52" s="151">
        <f>821+874</f>
        <v>1695</v>
      </c>
      <c r="K52" s="151">
        <f>838+948</f>
        <v>1786</v>
      </c>
      <c r="L52" s="153">
        <f>825+788</f>
        <v>1613</v>
      </c>
      <c r="M52" s="153">
        <f>826+1031</f>
        <v>1857</v>
      </c>
      <c r="N52" s="153">
        <f>1187-26+851</f>
        <v>2012</v>
      </c>
      <c r="O52" s="153">
        <f>879+721-O51</f>
        <v>1574</v>
      </c>
      <c r="P52" s="2">
        <f>910+953</f>
        <v>1863</v>
      </c>
      <c r="Q52" s="2">
        <f>919+961</f>
        <v>1880</v>
      </c>
      <c r="R52" s="150">
        <f t="shared" si="3"/>
        <v>8.4776553375185016E-3</v>
      </c>
      <c r="S52" s="156"/>
      <c r="T52" s="2" t="str">
        <f t="shared" si="1"/>
        <v>Other Long-term Liabilities</v>
      </c>
      <c r="U52" s="6">
        <f t="shared" ref="U52:X53" si="57">B52/B$37</f>
        <v>7.378241542124811E-2</v>
      </c>
      <c r="V52" s="6">
        <f t="shared" si="57"/>
        <v>9.0589017226822832E-2</v>
      </c>
      <c r="W52" s="6">
        <f t="shared" si="57"/>
        <v>0.12164448040008825</v>
      </c>
      <c r="X52" s="6">
        <f t="shared" si="57"/>
        <v>0.18698165153302898</v>
      </c>
      <c r="Y52" s="6">
        <f t="shared" si="56"/>
        <v>0.18341026453485887</v>
      </c>
      <c r="Z52" s="6">
        <f t="shared" si="56"/>
        <v>0.17884497120814002</v>
      </c>
      <c r="AA52" s="103">
        <f t="shared" si="56"/>
        <v>0.16336901966020753</v>
      </c>
      <c r="AB52" s="103">
        <f t="shared" si="56"/>
        <v>0.10485007043670759</v>
      </c>
      <c r="AC52" s="103">
        <f t="shared" si="56"/>
        <v>9.8735946874817959E-2</v>
      </c>
      <c r="AD52" s="103">
        <f t="shared" si="56"/>
        <v>9.4168512074238112E-2</v>
      </c>
      <c r="AE52" s="103">
        <f t="shared" si="56"/>
        <v>8.0065521691650945E-2</v>
      </c>
      <c r="AF52" s="103">
        <f t="shared" si="56"/>
        <v>8.7984459395432577E-2</v>
      </c>
      <c r="AG52" s="103">
        <f t="shared" si="56"/>
        <v>9.2599410898379975E-2</v>
      </c>
      <c r="AH52" s="103">
        <f t="shared" si="56"/>
        <v>7.267186850731798E-2</v>
      </c>
      <c r="AI52" s="103">
        <f t="shared" si="54"/>
        <v>8.3666412179458388E-2</v>
      </c>
      <c r="AJ52" s="103">
        <f t="shared" si="54"/>
        <v>8.4791629081724704E-2</v>
      </c>
      <c r="AK52" s="55">
        <f t="shared" si="55"/>
        <v>8.5046714122282957E-2</v>
      </c>
    </row>
    <row r="53" spans="1:37" x14ac:dyDescent="0.2">
      <c r="A53" s="209" t="s">
        <v>58</v>
      </c>
      <c r="B53" s="210">
        <f t="shared" ref="B53:L53" si="58">SUM(B49:B52)</f>
        <v>7112.5</v>
      </c>
      <c r="C53" s="210">
        <f t="shared" si="58"/>
        <v>5560.5</v>
      </c>
      <c r="D53" s="210">
        <f t="shared" si="58"/>
        <v>6311.8</v>
      </c>
      <c r="E53" s="210">
        <f t="shared" si="58"/>
        <v>7115.6</v>
      </c>
      <c r="F53" s="210">
        <f t="shared" si="58"/>
        <v>7226.5</v>
      </c>
      <c r="G53" s="210">
        <f t="shared" si="58"/>
        <v>7497.3</v>
      </c>
      <c r="H53" s="210">
        <f t="shared" si="58"/>
        <v>7422.0999999999995</v>
      </c>
      <c r="I53" s="210">
        <f t="shared" si="58"/>
        <v>8514</v>
      </c>
      <c r="J53" s="210">
        <f t="shared" si="58"/>
        <v>9634</v>
      </c>
      <c r="K53" s="210">
        <f t="shared" si="58"/>
        <v>11221</v>
      </c>
      <c r="L53" s="210">
        <f t="shared" si="58"/>
        <v>11273</v>
      </c>
      <c r="M53" s="210">
        <f t="shared" ref="M53:P53" si="59">SUM(M49:M52)</f>
        <v>11980</v>
      </c>
      <c r="N53" s="210">
        <f t="shared" ref="N53:O53" si="60">SUM(N49:N52)</f>
        <v>12800</v>
      </c>
      <c r="O53" s="210">
        <f t="shared" si="60"/>
        <v>12598</v>
      </c>
      <c r="P53" s="210">
        <f t="shared" si="59"/>
        <v>13391</v>
      </c>
      <c r="Q53" s="210">
        <f t="shared" ref="Q53" si="61">SUM(Q49:Q52)</f>
        <v>13377</v>
      </c>
      <c r="R53" s="204">
        <f t="shared" si="3"/>
        <v>3.5991732265282649E-2</v>
      </c>
      <c r="S53" s="157"/>
      <c r="T53" s="191" t="str">
        <f t="shared" si="1"/>
        <v>Total LTD &amp; Deferrals</v>
      </c>
      <c r="U53" s="198">
        <f t="shared" si="57"/>
        <v>0.57801236885519014</v>
      </c>
      <c r="V53" s="198">
        <f t="shared" si="57"/>
        <v>0.49942517379511042</v>
      </c>
      <c r="W53" s="198">
        <f t="shared" si="57"/>
        <v>0.58025667426638228</v>
      </c>
      <c r="X53" s="198">
        <f t="shared" si="57"/>
        <v>0.60838933634296077</v>
      </c>
      <c r="Y53" s="198">
        <f t="shared" si="56"/>
        <v>0.61886084729941515</v>
      </c>
      <c r="Z53" s="198">
        <f t="shared" si="56"/>
        <v>0.59878283509971342</v>
      </c>
      <c r="AA53" s="198">
        <f t="shared" si="56"/>
        <v>0.58298052830425806</v>
      </c>
      <c r="AB53" s="198">
        <f t="shared" si="56"/>
        <v>0.57114107466291009</v>
      </c>
      <c r="AC53" s="198">
        <f t="shared" si="56"/>
        <v>0.56119298654395056</v>
      </c>
      <c r="AD53" s="198">
        <f t="shared" si="56"/>
        <v>0.5916376674048297</v>
      </c>
      <c r="AE53" s="198">
        <f t="shared" si="56"/>
        <v>0.55956517422813457</v>
      </c>
      <c r="AF53" s="198">
        <f t="shared" si="56"/>
        <v>0.56761110584667862</v>
      </c>
      <c r="AG53" s="198">
        <f t="shared" si="56"/>
        <v>0.5891016200294551</v>
      </c>
      <c r="AH53" s="198">
        <f t="shared" si="56"/>
        <v>0.58165196915831752</v>
      </c>
      <c r="AI53" s="198">
        <f t="shared" si="54"/>
        <v>0.60138321282615526</v>
      </c>
      <c r="AJ53" s="198">
        <f t="shared" si="54"/>
        <v>0.6033285224607613</v>
      </c>
      <c r="AK53" s="199">
        <f>SUM(K53:P53)/SUM(K$37:P$37)</f>
        <v>0.58204366340409308</v>
      </c>
    </row>
    <row r="54" spans="1:37" ht="7.5" customHeight="1" x14ac:dyDescent="0.2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2"/>
      <c r="Q54" s="2"/>
      <c r="R54" s="150"/>
      <c r="S54" s="154"/>
      <c r="T54" s="2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5"/>
    </row>
    <row r="55" spans="1:37" x14ac:dyDescent="0.2">
      <c r="A55" s="182" t="s">
        <v>34</v>
      </c>
      <c r="B55" s="182">
        <f t="shared" ref="B55:G55" si="62">B53+B47</f>
        <v>8208.7000000000007</v>
      </c>
      <c r="C55" s="182">
        <f t="shared" si="62"/>
        <v>7161.7</v>
      </c>
      <c r="D55" s="182">
        <f t="shared" si="62"/>
        <v>7528.7000000000007</v>
      </c>
      <c r="E55" s="182">
        <f t="shared" si="62"/>
        <v>8051.6</v>
      </c>
      <c r="F55" s="182">
        <f t="shared" si="62"/>
        <v>8300.7999999999993</v>
      </c>
      <c r="G55" s="182">
        <f t="shared" si="62"/>
        <v>9095</v>
      </c>
      <c r="H55" s="182">
        <f t="shared" ref="H55:L55" si="63">H53+H47</f>
        <v>8638.1999999999989</v>
      </c>
      <c r="I55" s="182">
        <f t="shared" si="63"/>
        <v>9827</v>
      </c>
      <c r="J55" s="182">
        <f t="shared" si="63"/>
        <v>11100</v>
      </c>
      <c r="K55" s="182">
        <f t="shared" si="63"/>
        <v>12234</v>
      </c>
      <c r="L55" s="182">
        <f t="shared" si="63"/>
        <v>12835</v>
      </c>
      <c r="M55" s="182">
        <f t="shared" ref="M55:P55" si="64">M53+M47</f>
        <v>13794</v>
      </c>
      <c r="N55" s="182">
        <f t="shared" ref="N55:O55" si="65">N53+N47</f>
        <v>14084</v>
      </c>
      <c r="O55" s="182">
        <f t="shared" si="65"/>
        <v>13872</v>
      </c>
      <c r="P55" s="182">
        <f t="shared" si="64"/>
        <v>14511</v>
      </c>
      <c r="Q55" s="182">
        <f t="shared" ref="Q55" si="66">Q53+Q47</f>
        <v>14732</v>
      </c>
      <c r="R55" s="183">
        <f t="shared" si="3"/>
        <v>3.4726979853613692E-2</v>
      </c>
      <c r="S55" s="154"/>
      <c r="T55" s="191" t="str">
        <f t="shared" si="1"/>
        <v>Total Liabilities</v>
      </c>
      <c r="U55" s="198">
        <f t="shared" ref="U55:AH55" si="67">B55/B$37</f>
        <v>0.66709738238616512</v>
      </c>
      <c r="V55" s="198">
        <f t="shared" si="67"/>
        <v>0.64323950493093107</v>
      </c>
      <c r="W55" s="198">
        <f t="shared" si="67"/>
        <v>0.6921287784070016</v>
      </c>
      <c r="X55" s="198">
        <f t="shared" si="67"/>
        <v>0.68841806460438792</v>
      </c>
      <c r="Y55" s="198">
        <f t="shared" si="67"/>
        <v>0.71086142963578292</v>
      </c>
      <c r="Z55" s="198">
        <f t="shared" si="67"/>
        <v>0.72638548347163556</v>
      </c>
      <c r="AA55" s="198">
        <f t="shared" si="67"/>
        <v>0.67850101717813582</v>
      </c>
      <c r="AB55" s="198">
        <f t="shared" si="67"/>
        <v>0.65922050043603675</v>
      </c>
      <c r="AC55" s="198">
        <f t="shared" si="67"/>
        <v>0.64658938661385212</v>
      </c>
      <c r="AD55" s="198">
        <f t="shared" si="67"/>
        <v>0.64504903511546974</v>
      </c>
      <c r="AE55" s="198">
        <f t="shared" si="67"/>
        <v>0.63709917601508981</v>
      </c>
      <c r="AF55" s="198">
        <f t="shared" si="67"/>
        <v>0.65355822988723589</v>
      </c>
      <c r="AG55" s="198">
        <f t="shared" si="67"/>
        <v>0.64819587628865982</v>
      </c>
      <c r="AH55" s="198">
        <f t="shared" si="67"/>
        <v>0.64047278267694718</v>
      </c>
      <c r="AI55" s="198">
        <f t="shared" ref="AI55:AJ55" si="68">P55/P$37</f>
        <v>0.65168186104998427</v>
      </c>
      <c r="AJ55" s="198">
        <f t="shared" si="68"/>
        <v>0.66444163810211077</v>
      </c>
      <c r="AK55" s="198">
        <f t="shared" ref="AK55:AK61" si="69">SUM(K55:P55)/SUM(K$37:P$37)</f>
        <v>0.64613257912800304</v>
      </c>
    </row>
    <row r="56" spans="1:37" ht="7.5" customHeight="1" x14ac:dyDescent="0.2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2"/>
      <c r="Q56" s="2"/>
      <c r="R56" s="150"/>
      <c r="S56" s="157"/>
      <c r="T56" s="2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5"/>
    </row>
    <row r="57" spans="1:37" x14ac:dyDescent="0.2">
      <c r="A57" s="148" t="s">
        <v>59</v>
      </c>
      <c r="B57" s="148">
        <f>175+41.5</f>
        <v>216.5</v>
      </c>
      <c r="C57" s="148">
        <f>341.2+175+41.5</f>
        <v>557.70000000000005</v>
      </c>
      <c r="D57" s="148">
        <f>341.5+74.2+41.3</f>
        <v>457</v>
      </c>
      <c r="E57" s="148">
        <f>341.8+66.7+41.3</f>
        <v>449.8</v>
      </c>
      <c r="F57" s="148">
        <f>56.3+41.3</f>
        <v>97.6</v>
      </c>
      <c r="G57" s="148">
        <f>48.8+41.3</f>
        <v>90.1</v>
      </c>
      <c r="H57" s="148">
        <f>41.3+41.3</f>
        <v>82.6</v>
      </c>
      <c r="I57" s="148">
        <v>41</v>
      </c>
      <c r="J57" s="148">
        <v>41</v>
      </c>
      <c r="K57" s="148">
        <v>41</v>
      </c>
      <c r="L57" s="148">
        <v>41</v>
      </c>
      <c r="M57" s="148">
        <v>41</v>
      </c>
      <c r="N57" s="148">
        <v>41</v>
      </c>
      <c r="O57" s="148">
        <v>2</v>
      </c>
      <c r="P57" s="2">
        <v>2</v>
      </c>
      <c r="Q57" s="2">
        <v>2</v>
      </c>
      <c r="R57" s="150">
        <f t="shared" si="3"/>
        <v>-0.45342567414997265</v>
      </c>
      <c r="S57" s="157"/>
      <c r="T57" s="2" t="str">
        <f t="shared" si="1"/>
        <v>Preferred Stock</v>
      </c>
      <c r="U57" s="5">
        <f t="shared" ref="U57:AH57" si="70">B57/B$37</f>
        <v>1.7594330805925998E-2</v>
      </c>
      <c r="V57" s="5">
        <f t="shared" si="70"/>
        <v>5.0090714760459149E-2</v>
      </c>
      <c r="W57" s="5">
        <f t="shared" si="70"/>
        <v>4.2012944031771714E-2</v>
      </c>
      <c r="X57" s="5">
        <f t="shared" si="70"/>
        <v>3.8458249970074729E-2</v>
      </c>
      <c r="Y57" s="5">
        <f t="shared" si="70"/>
        <v>8.3582396314153349E-3</v>
      </c>
      <c r="Z57" s="5">
        <f t="shared" si="70"/>
        <v>7.1959683409339595E-3</v>
      </c>
      <c r="AA57" s="5">
        <f t="shared" si="70"/>
        <v>6.4879470281903667E-3</v>
      </c>
      <c r="AB57" s="5">
        <f t="shared" si="70"/>
        <v>2.7503857248272622E-3</v>
      </c>
      <c r="AC57" s="5">
        <f t="shared" si="70"/>
        <v>2.3883031397448594E-3</v>
      </c>
      <c r="AD57" s="5">
        <f t="shared" si="70"/>
        <v>2.1617631551196881E-3</v>
      </c>
      <c r="AE57" s="5">
        <f t="shared" si="70"/>
        <v>2.0351434527945992E-3</v>
      </c>
      <c r="AF57" s="5">
        <f t="shared" si="70"/>
        <v>1.9425755709276983E-3</v>
      </c>
      <c r="AG57" s="5">
        <f t="shared" si="70"/>
        <v>1.8869661266568483E-3</v>
      </c>
      <c r="AH57" s="5">
        <f t="shared" si="70"/>
        <v>9.2340366591255372E-5</v>
      </c>
      <c r="AI57" s="5">
        <f t="shared" ref="AI57:AJ57" si="71">P57/P$37</f>
        <v>8.9819014685408897E-5</v>
      </c>
      <c r="AJ57" s="5">
        <f t="shared" si="71"/>
        <v>9.0203860725239038E-5</v>
      </c>
      <c r="AK57" s="55">
        <f t="shared" si="69"/>
        <v>1.3346892080844032E-3</v>
      </c>
    </row>
    <row r="58" spans="1:37" ht="7.5" customHeight="1" x14ac:dyDescent="0.2">
      <c r="A58" s="13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2"/>
      <c r="Q58" s="2"/>
      <c r="R58" s="150"/>
      <c r="S58" s="157"/>
      <c r="T58" s="2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5"/>
    </row>
    <row r="59" spans="1:37" x14ac:dyDescent="0.2">
      <c r="A59" s="184" t="s">
        <v>62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2"/>
      <c r="Q59" s="2"/>
      <c r="R59" s="150"/>
      <c r="S59" s="157"/>
      <c r="T59" s="191" t="str">
        <f t="shared" si="1"/>
        <v>Common Equity:</v>
      </c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 s="55"/>
    </row>
    <row r="60" spans="1:37" x14ac:dyDescent="0.2">
      <c r="A60" s="158" t="s">
        <v>6</v>
      </c>
      <c r="B60" s="148">
        <v>3284.9</v>
      </c>
      <c r="C60" s="148">
        <f>3284.9+0.9</f>
        <v>3285.8</v>
      </c>
      <c r="D60" s="148">
        <f>2742.1+0.7-24</f>
        <v>2718.7999999999997</v>
      </c>
      <c r="E60" s="148">
        <f>2892.1-1.7-1.9</f>
        <v>2888.5</v>
      </c>
      <c r="F60" s="148">
        <f>2892.1+4.5-8</f>
        <v>2888.6</v>
      </c>
      <c r="G60" s="148">
        <f>2894.1+4.3-9</f>
        <v>2889.4</v>
      </c>
      <c r="H60" s="148">
        <f>3381.9+2.7-4.1</f>
        <v>3380.5</v>
      </c>
      <c r="I60" s="148">
        <f>3804-4</f>
        <v>3800</v>
      </c>
      <c r="J60" s="148">
        <f>4254-2+80</f>
        <v>4332</v>
      </c>
      <c r="K60" s="148">
        <f>4379-6+84</f>
        <v>4457</v>
      </c>
      <c r="L60" s="148">
        <f>4479-7</f>
        <v>4472</v>
      </c>
      <c r="M60" s="148">
        <v>4479</v>
      </c>
      <c r="N60" s="148">
        <v>4479</v>
      </c>
      <c r="O60" s="148">
        <v>4479</v>
      </c>
      <c r="P60" s="19">
        <v>4479</v>
      </c>
      <c r="Q60" s="19">
        <v>4479</v>
      </c>
      <c r="R60" s="150">
        <f t="shared" si="3"/>
        <v>9.8526770979738987E-4</v>
      </c>
      <c r="S60" s="154"/>
      <c r="T60" s="2" t="str">
        <f t="shared" si="1"/>
        <v>Common Stock</v>
      </c>
      <c r="U60" s="5">
        <f t="shared" ref="U60:AH63" si="72">B60/B$37</f>
        <v>0.26695435226044484</v>
      </c>
      <c r="V60" s="5">
        <f t="shared" si="72"/>
        <v>0.29511936625410917</v>
      </c>
      <c r="W60" s="5">
        <f t="shared" si="72"/>
        <v>0.24994484077370005</v>
      </c>
      <c r="X60" s="5">
        <f t="shared" si="72"/>
        <v>0.24696899741787651</v>
      </c>
      <c r="Y60" s="5">
        <f t="shared" si="72"/>
        <v>0.24737306351748295</v>
      </c>
      <c r="Z60" s="5">
        <f t="shared" si="72"/>
        <v>0.23076615898218183</v>
      </c>
      <c r="AA60" s="5">
        <f t="shared" si="72"/>
        <v>0.26552669405323892</v>
      </c>
      <c r="AB60" s="5">
        <f t="shared" si="72"/>
        <v>0.25491379888642918</v>
      </c>
      <c r="AC60" s="5">
        <f t="shared" si="72"/>
        <v>0.25234461466767638</v>
      </c>
      <c r="AD60" s="5">
        <f t="shared" si="72"/>
        <v>0.23499947274069388</v>
      </c>
      <c r="AE60" s="5">
        <f t="shared" si="72"/>
        <v>0.22197954929018168</v>
      </c>
      <c r="AF60" s="5">
        <f t="shared" si="72"/>
        <v>0.21221453615085759</v>
      </c>
      <c r="AG60" s="5">
        <f t="shared" si="72"/>
        <v>0.20613954344624447</v>
      </c>
      <c r="AH60" s="5">
        <f t="shared" si="72"/>
        <v>0.2067962509811164</v>
      </c>
      <c r="AI60" s="5">
        <f t="shared" ref="AI60:AJ63" si="73">P60/P$37</f>
        <v>0.20114968338797323</v>
      </c>
      <c r="AJ60" s="5">
        <f t="shared" si="73"/>
        <v>0.20201154609417282</v>
      </c>
      <c r="AK60" s="55">
        <f t="shared" si="69"/>
        <v>0.21327221304182026</v>
      </c>
    </row>
    <row r="61" spans="1:37" x14ac:dyDescent="0.2">
      <c r="A61" s="158" t="s">
        <v>27</v>
      </c>
      <c r="B61" s="152">
        <f>622.2-27.2</f>
        <v>595</v>
      </c>
      <c r="C61" s="152">
        <v>128.6</v>
      </c>
      <c r="D61" s="152">
        <v>173.1</v>
      </c>
      <c r="E61" s="152">
        <v>305.89999999999998</v>
      </c>
      <c r="F61" s="152">
        <v>390.1</v>
      </c>
      <c r="G61" s="152">
        <v>446.4</v>
      </c>
      <c r="H61" s="153">
        <v>630</v>
      </c>
      <c r="I61" s="153">
        <v>1239</v>
      </c>
      <c r="J61" s="153">
        <v>1694</v>
      </c>
      <c r="K61" s="153">
        <v>2234</v>
      </c>
      <c r="L61" s="153">
        <v>2798</v>
      </c>
      <c r="M61" s="153">
        <v>2792</v>
      </c>
      <c r="N61" s="153">
        <f>3136-12</f>
        <v>3124</v>
      </c>
      <c r="O61" s="153">
        <f>3315-9</f>
        <v>3306</v>
      </c>
      <c r="P61" s="19">
        <f>3288-13</f>
        <v>3275</v>
      </c>
      <c r="Q61" s="19">
        <f>2972-13</f>
        <v>2959</v>
      </c>
      <c r="R61" s="150">
        <f t="shared" si="3"/>
        <v>7.9507408329131932E-2</v>
      </c>
      <c r="S61" s="154"/>
      <c r="T61" s="2" t="str">
        <f t="shared" si="1"/>
        <v>Retained Earnings</v>
      </c>
      <c r="U61" s="6">
        <f t="shared" si="72"/>
        <v>4.8353934547464061E-2</v>
      </c>
      <c r="V61" s="6">
        <f t="shared" si="72"/>
        <v>1.155041405450071E-2</v>
      </c>
      <c r="W61" s="6">
        <f t="shared" si="72"/>
        <v>1.5913436787526658E-2</v>
      </c>
      <c r="X61" s="6">
        <f t="shared" si="72"/>
        <v>2.6154688007660871E-2</v>
      </c>
      <c r="Y61" s="6">
        <f t="shared" si="72"/>
        <v>3.3407267215318878E-2</v>
      </c>
      <c r="Z61" s="6">
        <f t="shared" si="72"/>
        <v>3.5652389205248831E-2</v>
      </c>
      <c r="AA61" s="103">
        <f t="shared" si="72"/>
        <v>4.9484341740434999E-2</v>
      </c>
      <c r="AB61" s="103">
        <f t="shared" si="72"/>
        <v>8.3115314952706784E-2</v>
      </c>
      <c r="AC61" s="103">
        <f t="shared" si="72"/>
        <v>9.8677695578726632E-2</v>
      </c>
      <c r="AD61" s="103">
        <f t="shared" si="72"/>
        <v>0.11778972898871665</v>
      </c>
      <c r="AE61" s="103">
        <f t="shared" si="72"/>
        <v>0.13888613124193389</v>
      </c>
      <c r="AF61" s="103">
        <f t="shared" si="72"/>
        <v>0.13228465839097886</v>
      </c>
      <c r="AG61" s="103">
        <f t="shared" si="72"/>
        <v>0.14377761413843887</v>
      </c>
      <c r="AH61" s="103">
        <f t="shared" si="72"/>
        <v>0.15263862597534511</v>
      </c>
      <c r="AI61" s="103">
        <f t="shared" si="73"/>
        <v>0.14707863654735709</v>
      </c>
      <c r="AJ61" s="103">
        <f t="shared" si="73"/>
        <v>0.13345661194299116</v>
      </c>
      <c r="AK61" s="55">
        <f t="shared" si="69"/>
        <v>0.13926051862209229</v>
      </c>
    </row>
    <row r="62" spans="1:37" x14ac:dyDescent="0.2">
      <c r="A62" s="182" t="s">
        <v>63</v>
      </c>
      <c r="B62" s="205">
        <f t="shared" ref="B62:L62" si="74">SUM(B59:B61)</f>
        <v>3879.9</v>
      </c>
      <c r="C62" s="205">
        <f t="shared" si="74"/>
        <v>3414.4</v>
      </c>
      <c r="D62" s="205">
        <f t="shared" si="74"/>
        <v>2891.8999999999996</v>
      </c>
      <c r="E62" s="205">
        <f t="shared" si="74"/>
        <v>3194.4</v>
      </c>
      <c r="F62" s="205">
        <f t="shared" si="74"/>
        <v>3278.7</v>
      </c>
      <c r="G62" s="205">
        <f t="shared" si="74"/>
        <v>3335.8</v>
      </c>
      <c r="H62" s="209">
        <f t="shared" si="74"/>
        <v>4010.5</v>
      </c>
      <c r="I62" s="209">
        <f t="shared" si="74"/>
        <v>5039</v>
      </c>
      <c r="J62" s="209">
        <f>SUM(J59:J61)</f>
        <v>6026</v>
      </c>
      <c r="K62" s="209">
        <f>SUM(K59:K61)</f>
        <v>6691</v>
      </c>
      <c r="L62" s="209">
        <f t="shared" si="74"/>
        <v>7270</v>
      </c>
      <c r="M62" s="209">
        <f t="shared" ref="M62:P62" si="75">SUM(M59:M61)</f>
        <v>7271</v>
      </c>
      <c r="N62" s="209">
        <f t="shared" ref="N62:O62" si="76">SUM(N59:N61)</f>
        <v>7603</v>
      </c>
      <c r="O62" s="209">
        <f t="shared" si="76"/>
        <v>7785</v>
      </c>
      <c r="P62" s="206">
        <f t="shared" si="75"/>
        <v>7754</v>
      </c>
      <c r="Q62" s="206">
        <f t="shared" ref="Q62" si="77">SUM(Q59:Q61)</f>
        <v>7438</v>
      </c>
      <c r="R62" s="204">
        <f t="shared" si="3"/>
        <v>2.9928209080820962E-2</v>
      </c>
      <c r="S62" s="154"/>
      <c r="T62" s="191" t="str">
        <f t="shared" si="1"/>
        <v>Total Common Equity</v>
      </c>
      <c r="U62" s="200">
        <f t="shared" si="72"/>
        <v>0.3153082868079089</v>
      </c>
      <c r="V62" s="200">
        <f t="shared" si="72"/>
        <v>0.30666978030860986</v>
      </c>
      <c r="W62" s="200">
        <f t="shared" si="72"/>
        <v>0.26585827756122671</v>
      </c>
      <c r="X62" s="200">
        <f t="shared" si="72"/>
        <v>0.27312368542553739</v>
      </c>
      <c r="Y62" s="200">
        <f t="shared" si="72"/>
        <v>0.28078033073280184</v>
      </c>
      <c r="Z62" s="200">
        <f t="shared" si="72"/>
        <v>0.26641854818743066</v>
      </c>
      <c r="AA62" s="201">
        <f t="shared" si="72"/>
        <v>0.3150110357936739</v>
      </c>
      <c r="AB62" s="201">
        <f t="shared" si="72"/>
        <v>0.33802911383913598</v>
      </c>
      <c r="AC62" s="201">
        <f t="shared" si="72"/>
        <v>0.35102231024640296</v>
      </c>
      <c r="AD62" s="201">
        <f t="shared" si="72"/>
        <v>0.35278920172941053</v>
      </c>
      <c r="AE62" s="201">
        <f t="shared" si="72"/>
        <v>0.36086568053211554</v>
      </c>
      <c r="AF62" s="201">
        <f t="shared" si="72"/>
        <v>0.34449919454183642</v>
      </c>
      <c r="AG62" s="201">
        <f t="shared" si="72"/>
        <v>0.34991715758468334</v>
      </c>
      <c r="AH62" s="201">
        <f t="shared" si="72"/>
        <v>0.35943487695646154</v>
      </c>
      <c r="AI62" s="201">
        <f t="shared" si="73"/>
        <v>0.34822831993533032</v>
      </c>
      <c r="AJ62" s="201">
        <f t="shared" si="73"/>
        <v>0.33546815803716401</v>
      </c>
      <c r="AK62" s="199">
        <f>SUM(K62:P62)/SUM(K$37:P$37)</f>
        <v>0.35253273166391252</v>
      </c>
    </row>
    <row r="63" spans="1:37" ht="13.5" thickBot="1" x14ac:dyDescent="0.25">
      <c r="A63" s="182" t="s">
        <v>35</v>
      </c>
      <c r="B63" s="207">
        <f t="shared" ref="B63:L63" si="78">B62+B55+B57</f>
        <v>12305.1</v>
      </c>
      <c r="C63" s="207">
        <f t="shared" si="78"/>
        <v>11133.800000000001</v>
      </c>
      <c r="D63" s="207">
        <f t="shared" si="78"/>
        <v>10877.6</v>
      </c>
      <c r="E63" s="207">
        <f t="shared" si="78"/>
        <v>11695.8</v>
      </c>
      <c r="F63" s="207">
        <f t="shared" si="78"/>
        <v>11677.1</v>
      </c>
      <c r="G63" s="207">
        <f t="shared" si="78"/>
        <v>12520.9</v>
      </c>
      <c r="H63" s="208">
        <f t="shared" si="78"/>
        <v>12731.3</v>
      </c>
      <c r="I63" s="208">
        <f t="shared" si="78"/>
        <v>14907</v>
      </c>
      <c r="J63" s="208">
        <f>J62+J55+J57</f>
        <v>17167</v>
      </c>
      <c r="K63" s="208">
        <f>K62+K55+K57</f>
        <v>18966</v>
      </c>
      <c r="L63" s="208">
        <f t="shared" si="78"/>
        <v>20146</v>
      </c>
      <c r="M63" s="208">
        <f t="shared" ref="M63:P63" si="79">M62+M55+M57</f>
        <v>21106</v>
      </c>
      <c r="N63" s="208">
        <f t="shared" ref="N63:O63" si="80">N62+N55+N57</f>
        <v>21728</v>
      </c>
      <c r="O63" s="208">
        <f t="shared" si="80"/>
        <v>21659</v>
      </c>
      <c r="P63" s="208">
        <f t="shared" si="79"/>
        <v>22267</v>
      </c>
      <c r="Q63" s="208">
        <f t="shared" ref="Q63" si="81">Q62+Q55+Q57</f>
        <v>22172</v>
      </c>
      <c r="R63" s="305">
        <f t="shared" si="3"/>
        <v>3.2612059196067189E-2</v>
      </c>
      <c r="S63" s="154"/>
      <c r="T63" s="191" t="str">
        <f t="shared" si="1"/>
        <v>Total Liabilities &amp; Equity</v>
      </c>
      <c r="U63" s="202">
        <f t="shared" si="72"/>
        <v>1</v>
      </c>
      <c r="V63" s="202">
        <f t="shared" si="72"/>
        <v>1.0000000000000002</v>
      </c>
      <c r="W63" s="202">
        <f t="shared" si="72"/>
        <v>1</v>
      </c>
      <c r="X63" s="202">
        <f t="shared" si="72"/>
        <v>1</v>
      </c>
      <c r="Y63" s="202">
        <f t="shared" si="72"/>
        <v>1.0000000000000002</v>
      </c>
      <c r="Z63" s="202">
        <f t="shared" si="72"/>
        <v>1.0000000000000002</v>
      </c>
      <c r="AA63" s="203">
        <f t="shared" si="72"/>
        <v>1.0000000000000002</v>
      </c>
      <c r="AB63" s="203">
        <f t="shared" si="72"/>
        <v>1</v>
      </c>
      <c r="AC63" s="203">
        <f t="shared" si="72"/>
        <v>1</v>
      </c>
      <c r="AD63" s="203">
        <f t="shared" si="72"/>
        <v>1</v>
      </c>
      <c r="AE63" s="203">
        <f t="shared" si="72"/>
        <v>1</v>
      </c>
      <c r="AF63" s="203">
        <f t="shared" si="72"/>
        <v>1</v>
      </c>
      <c r="AG63" s="203">
        <f t="shared" si="72"/>
        <v>1</v>
      </c>
      <c r="AH63" s="203">
        <f t="shared" si="72"/>
        <v>1</v>
      </c>
      <c r="AI63" s="203">
        <f t="shared" si="73"/>
        <v>1</v>
      </c>
      <c r="AJ63" s="203">
        <f t="shared" si="73"/>
        <v>1</v>
      </c>
      <c r="AK63" s="199">
        <f>SUM(K63:P63)/SUM(K$37:P$37)</f>
        <v>1</v>
      </c>
    </row>
    <row r="64" spans="1:37" ht="13.5" thickTop="1" x14ac:dyDescent="0.2">
      <c r="A64" s="182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2"/>
      <c r="Q64" s="2"/>
      <c r="R64" s="211"/>
      <c r="S64" s="157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250"/>
    </row>
    <row r="65" spans="1:39" x14ac:dyDescent="0.2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2"/>
      <c r="Q65" s="2"/>
      <c r="R65" s="141"/>
      <c r="S65" s="140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13" t="s">
        <v>114</v>
      </c>
    </row>
    <row r="66" spans="1:39" x14ac:dyDescent="0.2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2"/>
      <c r="Q66" s="2"/>
      <c r="R66" s="212" t="s">
        <v>114</v>
      </c>
      <c r="S66" s="140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54" t="s">
        <v>121</v>
      </c>
    </row>
    <row r="67" spans="1:39" x14ac:dyDescent="0.2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2"/>
      <c r="Q67" s="2"/>
      <c r="R67" s="160" t="s">
        <v>120</v>
      </c>
      <c r="S67" s="140"/>
      <c r="T67" s="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3"/>
    </row>
    <row r="68" spans="1:39" ht="18.75" x14ac:dyDescent="0.3">
      <c r="A68" s="142" t="str">
        <f>A4</f>
        <v>PacifiCorp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2"/>
      <c r="Q68" s="12"/>
      <c r="R68" s="144"/>
      <c r="S68" s="140"/>
      <c r="T68" s="214" t="str">
        <f t="shared" si="1"/>
        <v>PacifiCorp</v>
      </c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3"/>
    </row>
    <row r="69" spans="1:39" ht="15.75" x14ac:dyDescent="0.25">
      <c r="A69" s="145" t="s">
        <v>14</v>
      </c>
      <c r="B69" s="146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2"/>
      <c r="Q69" s="12"/>
      <c r="R69" s="147"/>
      <c r="S69" s="140"/>
      <c r="T69" s="215" t="str">
        <f t="shared" si="1"/>
        <v>Historical Income Statements</v>
      </c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3"/>
    </row>
    <row r="70" spans="1:39" ht="15.75" x14ac:dyDescent="0.25">
      <c r="A70" s="243" t="str">
        <f>A6</f>
        <v>Fiscal Years Ended December 31, 2009-2014; Three Months Ended March 31, 2015</v>
      </c>
      <c r="B70" s="146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2"/>
      <c r="Q70" s="12"/>
      <c r="R70" s="147"/>
      <c r="S70" s="140"/>
      <c r="T70" s="215" t="str">
        <f t="shared" si="1"/>
        <v>Fiscal Years Ended December 31, 2009-2014; Three Months Ended March 31, 2015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3"/>
    </row>
    <row r="71" spans="1:39" x14ac:dyDescent="0.2">
      <c r="A71" s="182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8"/>
      <c r="Q71" s="188"/>
      <c r="R71" s="187" t="str">
        <f>R7</f>
        <v>2009-2014</v>
      </c>
      <c r="S71" s="140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192"/>
      <c r="AJ71" s="192"/>
      <c r="AK71" s="5"/>
    </row>
    <row r="72" spans="1:39" ht="12.75" customHeight="1" x14ac:dyDescent="0.2">
      <c r="A72" s="182"/>
      <c r="B72" s="182"/>
      <c r="C72" s="182"/>
      <c r="D72" s="182"/>
      <c r="E72" s="182"/>
      <c r="F72" s="182"/>
      <c r="G72" s="182"/>
      <c r="H72" s="188"/>
      <c r="I72" s="188"/>
      <c r="J72" s="188"/>
      <c r="K72" s="188"/>
      <c r="L72" s="188"/>
      <c r="M72" s="188"/>
      <c r="N72" s="188"/>
      <c r="O72" s="188"/>
      <c r="P72" s="188"/>
      <c r="Q72" s="188" t="str">
        <f>Q8</f>
        <v>3 Months</v>
      </c>
      <c r="R72" s="187" t="s">
        <v>4</v>
      </c>
      <c r="S72" s="140"/>
      <c r="T72" s="2"/>
      <c r="U72" s="191"/>
      <c r="V72" s="191"/>
      <c r="W72" s="191"/>
      <c r="X72" s="191"/>
      <c r="Y72" s="191"/>
      <c r="Z72" s="191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 t="str">
        <f>AJ8</f>
        <v>3 Months</v>
      </c>
      <c r="AK72" s="193" t="str">
        <f>R7</f>
        <v>2009-2014</v>
      </c>
    </row>
    <row r="73" spans="1:39" x14ac:dyDescent="0.2">
      <c r="A73" s="205" t="s">
        <v>0</v>
      </c>
      <c r="B73" s="185">
        <f>B9</f>
        <v>2000</v>
      </c>
      <c r="C73" s="185">
        <f t="shared" ref="C73:H73" si="82">B73+1</f>
        <v>2001</v>
      </c>
      <c r="D73" s="185">
        <f t="shared" si="82"/>
        <v>2002</v>
      </c>
      <c r="E73" s="185">
        <f t="shared" si="82"/>
        <v>2003</v>
      </c>
      <c r="F73" s="185">
        <f t="shared" si="82"/>
        <v>2004</v>
      </c>
      <c r="G73" s="185">
        <f>F73+1</f>
        <v>2005</v>
      </c>
      <c r="H73" s="185">
        <f t="shared" si="82"/>
        <v>2006</v>
      </c>
      <c r="I73" s="185">
        <f>AB9</f>
        <v>2007</v>
      </c>
      <c r="J73" s="185">
        <f>J9</f>
        <v>2008</v>
      </c>
      <c r="K73" s="185">
        <f t="shared" ref="K73:O73" si="83">K9</f>
        <v>2009</v>
      </c>
      <c r="L73" s="185">
        <f t="shared" si="83"/>
        <v>2010</v>
      </c>
      <c r="M73" s="185">
        <f t="shared" si="83"/>
        <v>2011</v>
      </c>
      <c r="N73" s="185">
        <f t="shared" si="83"/>
        <v>2012</v>
      </c>
      <c r="O73" s="185">
        <f t="shared" si="83"/>
        <v>2013</v>
      </c>
      <c r="P73" s="185">
        <f>AI9</f>
        <v>2014</v>
      </c>
      <c r="Q73" s="312">
        <f>Q9</f>
        <v>42064</v>
      </c>
      <c r="R73" s="190" t="s">
        <v>23</v>
      </c>
      <c r="S73" s="157"/>
      <c r="T73" s="191" t="str">
        <f t="shared" si="1"/>
        <v>Account Name</v>
      </c>
      <c r="U73" s="195">
        <f t="shared" ref="U73:AH73" si="84">B73</f>
        <v>2000</v>
      </c>
      <c r="V73" s="195">
        <f t="shared" si="84"/>
        <v>2001</v>
      </c>
      <c r="W73" s="195">
        <f t="shared" si="84"/>
        <v>2002</v>
      </c>
      <c r="X73" s="195">
        <f t="shared" si="84"/>
        <v>2003</v>
      </c>
      <c r="Y73" s="195">
        <f t="shared" si="84"/>
        <v>2004</v>
      </c>
      <c r="Z73" s="195">
        <f t="shared" si="84"/>
        <v>2005</v>
      </c>
      <c r="AA73" s="195">
        <f t="shared" si="84"/>
        <v>2006</v>
      </c>
      <c r="AB73" s="195">
        <f t="shared" si="84"/>
        <v>2007</v>
      </c>
      <c r="AC73" s="195">
        <f t="shared" si="84"/>
        <v>2008</v>
      </c>
      <c r="AD73" s="195">
        <f t="shared" si="84"/>
        <v>2009</v>
      </c>
      <c r="AE73" s="195">
        <f t="shared" si="84"/>
        <v>2010</v>
      </c>
      <c r="AF73" s="195">
        <f t="shared" si="84"/>
        <v>2011</v>
      </c>
      <c r="AG73" s="195">
        <f t="shared" si="84"/>
        <v>2012</v>
      </c>
      <c r="AH73" s="195">
        <f t="shared" si="84"/>
        <v>2013</v>
      </c>
      <c r="AI73" s="195">
        <f t="shared" ref="AI73" si="85">P73</f>
        <v>2014</v>
      </c>
      <c r="AJ73" s="314">
        <f>AJ9</f>
        <v>42064</v>
      </c>
      <c r="AK73" s="196" t="s">
        <v>3</v>
      </c>
    </row>
    <row r="74" spans="1:39" x14ac:dyDescent="0.2">
      <c r="A74" s="182" t="s">
        <v>151</v>
      </c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3"/>
      <c r="S74" s="154"/>
      <c r="T74" s="216" t="str">
        <f t="shared" si="1"/>
        <v>Operating Sales and Revenues:</v>
      </c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</row>
    <row r="75" spans="1:39" x14ac:dyDescent="0.2">
      <c r="A75" s="148" t="s">
        <v>44</v>
      </c>
      <c r="B75" s="161">
        <v>3986.9</v>
      </c>
      <c r="C75" s="162">
        <v>5055.7</v>
      </c>
      <c r="D75" s="162">
        <v>3353.7</v>
      </c>
      <c r="E75" s="162">
        <v>3082.4</v>
      </c>
      <c r="F75" s="162">
        <v>3194.5</v>
      </c>
      <c r="G75" s="162">
        <v>3048.8</v>
      </c>
      <c r="H75" s="162">
        <v>3896.7</v>
      </c>
      <c r="I75" s="152">
        <v>4258</v>
      </c>
      <c r="J75" s="151">
        <v>4498</v>
      </c>
      <c r="K75" s="151">
        <v>4457</v>
      </c>
      <c r="L75" s="153">
        <v>4432</v>
      </c>
      <c r="M75" s="153">
        <v>4586</v>
      </c>
      <c r="N75" s="153">
        <v>4882</v>
      </c>
      <c r="O75" s="153">
        <v>5147</v>
      </c>
      <c r="P75" s="153">
        <v>5252</v>
      </c>
      <c r="Q75" s="153">
        <v>1250</v>
      </c>
      <c r="R75" s="150">
        <f t="shared" ref="R75:R97" si="86">RATE(5,,-K75,P75)</f>
        <v>3.3371350027959171E-2</v>
      </c>
      <c r="S75" s="154"/>
      <c r="T75" s="2" t="str">
        <f t="shared" si="1"/>
        <v>Revenues</v>
      </c>
      <c r="U75" s="6">
        <f t="shared" ref="U75:AH76" si="87">B75/B$76</f>
        <v>1</v>
      </c>
      <c r="V75" s="6">
        <f t="shared" si="87"/>
        <v>1</v>
      </c>
      <c r="W75" s="6">
        <f t="shared" si="87"/>
        <v>1</v>
      </c>
      <c r="X75" s="6">
        <f t="shared" si="87"/>
        <v>1</v>
      </c>
      <c r="Y75" s="6">
        <f t="shared" si="87"/>
        <v>1</v>
      </c>
      <c r="Z75" s="5">
        <f t="shared" si="87"/>
        <v>1</v>
      </c>
      <c r="AA75" s="5">
        <f t="shared" si="87"/>
        <v>1</v>
      </c>
      <c r="AB75" s="5">
        <f t="shared" si="87"/>
        <v>1</v>
      </c>
      <c r="AC75" s="5">
        <f t="shared" si="87"/>
        <v>1</v>
      </c>
      <c r="AD75" s="5">
        <f t="shared" si="87"/>
        <v>1</v>
      </c>
      <c r="AE75" s="5">
        <f t="shared" si="87"/>
        <v>1</v>
      </c>
      <c r="AF75" s="5">
        <f t="shared" si="87"/>
        <v>1</v>
      </c>
      <c r="AG75" s="5">
        <f t="shared" si="87"/>
        <v>1</v>
      </c>
      <c r="AH75" s="5">
        <f t="shared" si="87"/>
        <v>1</v>
      </c>
      <c r="AI75" s="5">
        <f t="shared" ref="AI75:AJ76" si="88">P75/P$76</f>
        <v>1</v>
      </c>
      <c r="AJ75" s="5">
        <f t="shared" si="88"/>
        <v>1</v>
      </c>
      <c r="AK75" s="55">
        <f>SUM(K75:P75)/SUM(K$76:P$76)</f>
        <v>1</v>
      </c>
      <c r="AM75" s="55"/>
    </row>
    <row r="76" spans="1:39" x14ac:dyDescent="0.2">
      <c r="A76" s="182" t="s">
        <v>45</v>
      </c>
      <c r="B76" s="218">
        <f t="shared" ref="B76:L76" si="89">SUM(B74:B75)</f>
        <v>3986.9</v>
      </c>
      <c r="C76" s="218">
        <f t="shared" si="89"/>
        <v>5055.7</v>
      </c>
      <c r="D76" s="218">
        <f t="shared" si="89"/>
        <v>3353.7</v>
      </c>
      <c r="E76" s="218">
        <f t="shared" si="89"/>
        <v>3082.4</v>
      </c>
      <c r="F76" s="218">
        <f t="shared" si="89"/>
        <v>3194.5</v>
      </c>
      <c r="G76" s="218">
        <f t="shared" si="89"/>
        <v>3048.8</v>
      </c>
      <c r="H76" s="218">
        <f t="shared" si="89"/>
        <v>3896.7</v>
      </c>
      <c r="I76" s="182">
        <f t="shared" si="89"/>
        <v>4258</v>
      </c>
      <c r="J76" s="210">
        <f t="shared" si="89"/>
        <v>4498</v>
      </c>
      <c r="K76" s="210">
        <f t="shared" si="89"/>
        <v>4457</v>
      </c>
      <c r="L76" s="182">
        <f t="shared" si="89"/>
        <v>4432</v>
      </c>
      <c r="M76" s="182">
        <f t="shared" ref="M76:O76" si="90">SUM(M74:M75)</f>
        <v>4586</v>
      </c>
      <c r="N76" s="182">
        <f t="shared" ref="N76" si="91">SUM(N74:N75)</f>
        <v>4882</v>
      </c>
      <c r="O76" s="182">
        <f t="shared" si="90"/>
        <v>5147</v>
      </c>
      <c r="P76" s="182">
        <f>SUM(P74:P75)</f>
        <v>5252</v>
      </c>
      <c r="Q76" s="182">
        <f>SUM(Q74:Q75)</f>
        <v>1250</v>
      </c>
      <c r="R76" s="204">
        <f t="shared" si="86"/>
        <v>3.3371350027959171E-2</v>
      </c>
      <c r="S76" s="154"/>
      <c r="T76" s="191" t="str">
        <f t="shared" si="1"/>
        <v>Total Revenues</v>
      </c>
      <c r="U76" s="198">
        <f t="shared" si="87"/>
        <v>1</v>
      </c>
      <c r="V76" s="198">
        <f t="shared" si="87"/>
        <v>1</v>
      </c>
      <c r="W76" s="198">
        <f t="shared" si="87"/>
        <v>1</v>
      </c>
      <c r="X76" s="198">
        <f t="shared" si="87"/>
        <v>1</v>
      </c>
      <c r="Y76" s="198">
        <f t="shared" si="87"/>
        <v>1</v>
      </c>
      <c r="Z76" s="199">
        <f t="shared" si="87"/>
        <v>1</v>
      </c>
      <c r="AA76" s="199">
        <f t="shared" si="87"/>
        <v>1</v>
      </c>
      <c r="AB76" s="199">
        <f t="shared" si="87"/>
        <v>1</v>
      </c>
      <c r="AC76" s="199">
        <f t="shared" si="87"/>
        <v>1</v>
      </c>
      <c r="AD76" s="199">
        <f t="shared" si="87"/>
        <v>1</v>
      </c>
      <c r="AE76" s="199">
        <f t="shared" si="87"/>
        <v>1</v>
      </c>
      <c r="AF76" s="199">
        <f t="shared" si="87"/>
        <v>1</v>
      </c>
      <c r="AG76" s="199">
        <f t="shared" si="87"/>
        <v>1</v>
      </c>
      <c r="AH76" s="199">
        <f t="shared" si="87"/>
        <v>1</v>
      </c>
      <c r="AI76" s="199">
        <f t="shared" si="88"/>
        <v>1</v>
      </c>
      <c r="AJ76" s="199">
        <f t="shared" si="88"/>
        <v>1</v>
      </c>
      <c r="AK76" s="199">
        <f>SUM(K76:P76)/SUM(K$76:P$76)</f>
        <v>1</v>
      </c>
      <c r="AL76" s="191"/>
    </row>
    <row r="77" spans="1:39" ht="7.5" customHeight="1" x14ac:dyDescent="0.2">
      <c r="A77" s="148"/>
      <c r="B77" s="164"/>
      <c r="C77" s="164"/>
      <c r="D77" s="164"/>
      <c r="E77" s="164"/>
      <c r="F77" s="164"/>
      <c r="G77" s="164"/>
      <c r="H77" s="164"/>
      <c r="I77" s="148"/>
      <c r="J77" s="148"/>
      <c r="K77" s="148"/>
      <c r="L77" s="148"/>
      <c r="M77" s="148"/>
      <c r="N77" s="148"/>
      <c r="O77" s="148"/>
      <c r="P77" s="148"/>
      <c r="Q77" s="148"/>
      <c r="R77" s="150"/>
      <c r="S77" s="154"/>
      <c r="T77" s="2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198"/>
    </row>
    <row r="78" spans="1:39" x14ac:dyDescent="0.2">
      <c r="A78" s="182" t="s">
        <v>21</v>
      </c>
      <c r="B78" s="164"/>
      <c r="C78" s="164"/>
      <c r="D78" s="164"/>
      <c r="E78" s="164"/>
      <c r="F78" s="164"/>
      <c r="G78" s="164"/>
      <c r="H78" s="164"/>
      <c r="I78" s="148"/>
      <c r="J78" s="148"/>
      <c r="K78" s="148"/>
      <c r="L78" s="148"/>
      <c r="M78" s="148"/>
      <c r="N78" s="148"/>
      <c r="O78" s="148"/>
      <c r="P78" s="148"/>
      <c r="Q78" s="148"/>
      <c r="R78" s="150"/>
      <c r="S78" s="154"/>
      <c r="T78" s="191" t="str">
        <f t="shared" ref="T78:T101" si="92">A78</f>
        <v>Operating Expenses:</v>
      </c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198"/>
    </row>
    <row r="79" spans="1:39" x14ac:dyDescent="0.2">
      <c r="A79" s="165" t="s">
        <v>173</v>
      </c>
      <c r="B79" s="166">
        <f>1217.8+512.3</f>
        <v>1730.1</v>
      </c>
      <c r="C79" s="164">
        <f>2636+491</f>
        <v>3127</v>
      </c>
      <c r="D79" s="164">
        <f>974.4+490.9</f>
        <v>1465.3</v>
      </c>
      <c r="E79" s="164">
        <f>698.5+482.2</f>
        <v>1180.7</v>
      </c>
      <c r="F79" s="164">
        <f>672.8+483.9</f>
        <v>1156.6999999999998</v>
      </c>
      <c r="G79" s="164">
        <f>448+500</f>
        <v>948</v>
      </c>
      <c r="H79" s="167">
        <f>1545.1</f>
        <v>1545.1</v>
      </c>
      <c r="I79" s="149">
        <v>1768</v>
      </c>
      <c r="J79" s="149">
        <v>1957</v>
      </c>
      <c r="K79" s="149">
        <v>1677</v>
      </c>
      <c r="L79" s="149">
        <v>1618</v>
      </c>
      <c r="M79" s="149">
        <v>1636</v>
      </c>
      <c r="N79" s="149">
        <v>1818</v>
      </c>
      <c r="O79" s="149">
        <v>1924</v>
      </c>
      <c r="P79" s="149">
        <v>1997</v>
      </c>
      <c r="Q79" s="149">
        <v>476</v>
      </c>
      <c r="R79" s="150">
        <f t="shared" si="86"/>
        <v>3.5545058138258784E-2</v>
      </c>
      <c r="S79" s="154"/>
      <c r="T79" s="2" t="str">
        <f t="shared" si="92"/>
        <v>Energy Costs</v>
      </c>
      <c r="U79" s="5">
        <f t="shared" ref="U79:AH85" si="93">B79/B$76</f>
        <v>0.43394617371892946</v>
      </c>
      <c r="V79" s="5">
        <f t="shared" si="93"/>
        <v>0.61850980081887774</v>
      </c>
      <c r="W79" s="5">
        <f t="shared" si="93"/>
        <v>0.43692041625667177</v>
      </c>
      <c r="X79" s="5">
        <f t="shared" si="93"/>
        <v>0.38304567869192835</v>
      </c>
      <c r="Y79" s="5">
        <f t="shared" si="93"/>
        <v>0.36209109406792922</v>
      </c>
      <c r="Z79" s="5">
        <f t="shared" si="93"/>
        <v>0.31094200997113619</v>
      </c>
      <c r="AA79" s="5">
        <f t="shared" si="93"/>
        <v>0.39651499987168631</v>
      </c>
      <c r="AB79" s="5">
        <f t="shared" si="93"/>
        <v>0.41521841240018786</v>
      </c>
      <c r="AC79" s="5">
        <f t="shared" si="93"/>
        <v>0.43508225878168072</v>
      </c>
      <c r="AD79" s="5">
        <f t="shared" si="93"/>
        <v>0.37626205968140003</v>
      </c>
      <c r="AE79" s="5">
        <f t="shared" si="93"/>
        <v>0.36507220216606501</v>
      </c>
      <c r="AF79" s="5">
        <f t="shared" si="93"/>
        <v>0.35673789795028349</v>
      </c>
      <c r="AG79" s="5">
        <f t="shared" si="93"/>
        <v>0.37238836542400655</v>
      </c>
      <c r="AH79" s="5">
        <f t="shared" si="93"/>
        <v>0.37380998639984458</v>
      </c>
      <c r="AI79" s="5">
        <f t="shared" ref="AI79:AJ85" si="94">P79/P$76</f>
        <v>0.38023610053313023</v>
      </c>
      <c r="AJ79" s="5">
        <f t="shared" si="94"/>
        <v>0.38080000000000003</v>
      </c>
      <c r="AK79" s="55">
        <f t="shared" ref="AK79:AK82" si="95">SUM(K79:P79)/SUM(K$76:P$76)</f>
        <v>0.37105299763527611</v>
      </c>
    </row>
    <row r="80" spans="1:39" x14ac:dyDescent="0.2">
      <c r="A80" s="165" t="s">
        <v>160</v>
      </c>
      <c r="B80" s="166">
        <f>726+283</f>
        <v>1009</v>
      </c>
      <c r="C80" s="164">
        <f>705.2+200.8</f>
        <v>906</v>
      </c>
      <c r="D80" s="164">
        <v>813.4</v>
      </c>
      <c r="E80" s="164">
        <v>885.1</v>
      </c>
      <c r="F80" s="164">
        <v>895.8</v>
      </c>
      <c r="G80" s="164">
        <v>913.1</v>
      </c>
      <c r="H80" s="164">
        <v>1014.5</v>
      </c>
      <c r="I80" s="149">
        <v>998</v>
      </c>
      <c r="J80" s="149">
        <v>985</v>
      </c>
      <c r="K80" s="149">
        <v>1035</v>
      </c>
      <c r="L80" s="148">
        <v>1081</v>
      </c>
      <c r="M80" s="148">
        <v>1103</v>
      </c>
      <c r="N80" s="148">
        <v>1242</v>
      </c>
      <c r="O80" s="148">
        <v>1114</v>
      </c>
      <c r="P80" s="148">
        <v>1057</v>
      </c>
      <c r="Q80" s="148">
        <v>268</v>
      </c>
      <c r="R80" s="150">
        <f t="shared" si="86"/>
        <v>4.2155164315067235E-3</v>
      </c>
      <c r="S80" s="154"/>
      <c r="T80" s="2" t="str">
        <f t="shared" si="92"/>
        <v>Other operations and maintenance</v>
      </c>
      <c r="U80" s="5">
        <f t="shared" si="93"/>
        <v>0.25307883317866009</v>
      </c>
      <c r="V80" s="5">
        <f t="shared" si="93"/>
        <v>0.17920367110390253</v>
      </c>
      <c r="W80" s="5">
        <f t="shared" si="93"/>
        <v>0.24253809225631393</v>
      </c>
      <c r="X80" s="5">
        <f t="shared" si="93"/>
        <v>0.28714637944458865</v>
      </c>
      <c r="Y80" s="5">
        <f t="shared" si="93"/>
        <v>0.28041947096572234</v>
      </c>
      <c r="Z80" s="5">
        <f t="shared" si="93"/>
        <v>0.29949488323274731</v>
      </c>
      <c r="AA80" s="5">
        <f t="shared" si="93"/>
        <v>0.26034850001283139</v>
      </c>
      <c r="AB80" s="5">
        <f t="shared" si="93"/>
        <v>0.2343823391263504</v>
      </c>
      <c r="AC80" s="5">
        <f t="shared" si="93"/>
        <v>0.21898621609604269</v>
      </c>
      <c r="AD80" s="5">
        <f t="shared" si="93"/>
        <v>0.23221898137760827</v>
      </c>
      <c r="AE80" s="5">
        <f t="shared" si="93"/>
        <v>0.24390794223826714</v>
      </c>
      <c r="AF80" s="5">
        <f t="shared" si="93"/>
        <v>0.24051460968163976</v>
      </c>
      <c r="AG80" s="5">
        <f t="shared" si="93"/>
        <v>0.25440393281442031</v>
      </c>
      <c r="AH80" s="5">
        <f t="shared" si="93"/>
        <v>0.21643675927724887</v>
      </c>
      <c r="AI80" s="5">
        <f t="shared" si="94"/>
        <v>0.20125666412795126</v>
      </c>
      <c r="AJ80" s="5">
        <f t="shared" si="94"/>
        <v>0.21440000000000001</v>
      </c>
      <c r="AK80" s="55">
        <f t="shared" si="95"/>
        <v>0.23063012936430657</v>
      </c>
    </row>
    <row r="81" spans="1:60" x14ac:dyDescent="0.2">
      <c r="A81" s="165" t="s">
        <v>161</v>
      </c>
      <c r="B81" s="166">
        <v>441.3</v>
      </c>
      <c r="C81" s="164">
        <v>429</v>
      </c>
      <c r="D81" s="164">
        <v>403</v>
      </c>
      <c r="E81" s="164">
        <v>434.3</v>
      </c>
      <c r="F81" s="164">
        <v>428.8</v>
      </c>
      <c r="G81" s="164">
        <v>436.9</v>
      </c>
      <c r="H81" s="164">
        <v>448.3</v>
      </c>
      <c r="I81" s="149">
        <v>497</v>
      </c>
      <c r="J81" s="149">
        <v>490</v>
      </c>
      <c r="K81" s="149">
        <v>549</v>
      </c>
      <c r="L81" s="148">
        <v>561</v>
      </c>
      <c r="M81" s="148">
        <v>611</v>
      </c>
      <c r="N81" s="148">
        <v>640</v>
      </c>
      <c r="O81" s="148">
        <v>675</v>
      </c>
      <c r="P81" s="148">
        <v>726</v>
      </c>
      <c r="Q81" s="148">
        <v>189</v>
      </c>
      <c r="R81" s="150">
        <f t="shared" si="86"/>
        <v>5.7481687139997795E-2</v>
      </c>
      <c r="S81" s="156"/>
      <c r="T81" s="2" t="str">
        <f t="shared" si="92"/>
        <v>Depreciation and amortization</v>
      </c>
      <c r="U81" s="5">
        <f t="shared" si="93"/>
        <v>0.110687501567634</v>
      </c>
      <c r="V81" s="5">
        <f t="shared" si="93"/>
        <v>8.48547184366161E-2</v>
      </c>
      <c r="W81" s="5">
        <f t="shared" si="93"/>
        <v>0.1201657870411784</v>
      </c>
      <c r="X81" s="5">
        <f t="shared" si="93"/>
        <v>0.14089670386711653</v>
      </c>
      <c r="Y81" s="5">
        <f t="shared" si="93"/>
        <v>0.13423070903114728</v>
      </c>
      <c r="Z81" s="5">
        <f t="shared" si="93"/>
        <v>0.14330228286538965</v>
      </c>
      <c r="AA81" s="5">
        <f t="shared" si="93"/>
        <v>0.11504606461878</v>
      </c>
      <c r="AB81" s="5">
        <f t="shared" si="93"/>
        <v>0.11672146547674965</v>
      </c>
      <c r="AC81" s="5">
        <f t="shared" si="93"/>
        <v>0.10893730546909737</v>
      </c>
      <c r="AD81" s="5">
        <f t="shared" si="93"/>
        <v>0.12317702490464438</v>
      </c>
      <c r="AE81" s="5">
        <f t="shared" si="93"/>
        <v>0.12657942238267147</v>
      </c>
      <c r="AF81" s="5">
        <f t="shared" si="93"/>
        <v>0.13323157435673791</v>
      </c>
      <c r="AG81" s="5">
        <f t="shared" si="93"/>
        <v>0.13109381401065137</v>
      </c>
      <c r="AH81" s="5">
        <f t="shared" si="93"/>
        <v>0.13114435593549639</v>
      </c>
      <c r="AI81" s="5">
        <f t="shared" si="94"/>
        <v>0.13823305407463823</v>
      </c>
      <c r="AJ81" s="5">
        <f t="shared" si="94"/>
        <v>0.1512</v>
      </c>
      <c r="AK81" s="55">
        <f t="shared" si="95"/>
        <v>0.13082487133120044</v>
      </c>
    </row>
    <row r="82" spans="1:60" x14ac:dyDescent="0.2">
      <c r="A82" s="165" t="s">
        <v>163</v>
      </c>
      <c r="B82" s="166">
        <v>101.4</v>
      </c>
      <c r="C82" s="164">
        <v>100.3</v>
      </c>
      <c r="D82" s="164">
        <v>90.8</v>
      </c>
      <c r="E82" s="164">
        <v>93.4</v>
      </c>
      <c r="F82" s="164">
        <v>95.3</v>
      </c>
      <c r="G82" s="164">
        <v>94.4</v>
      </c>
      <c r="H82" s="164">
        <v>96.8</v>
      </c>
      <c r="I82" s="149">
        <v>101</v>
      </c>
      <c r="J82" s="149">
        <v>112</v>
      </c>
      <c r="K82" s="149">
        <v>136</v>
      </c>
      <c r="L82" s="148">
        <v>136</v>
      </c>
      <c r="M82" s="148">
        <v>152</v>
      </c>
      <c r="N82" s="148">
        <v>161</v>
      </c>
      <c r="O82" s="148">
        <v>170</v>
      </c>
      <c r="P82" s="148">
        <v>172</v>
      </c>
      <c r="Q82" s="148">
        <v>45</v>
      </c>
      <c r="R82" s="150">
        <f t="shared" si="86"/>
        <v>4.8088383994617082E-2</v>
      </c>
      <c r="S82" s="157"/>
      <c r="T82" s="2" t="str">
        <f t="shared" si="92"/>
        <v>Taxes, other than income taxes</v>
      </c>
      <c r="U82" s="5">
        <f t="shared" si="93"/>
        <v>2.5433294037974365E-2</v>
      </c>
      <c r="V82" s="5">
        <f t="shared" si="93"/>
        <v>1.983899361117155E-2</v>
      </c>
      <c r="W82" s="5">
        <f t="shared" si="93"/>
        <v>2.7074574350717119E-2</v>
      </c>
      <c r="X82" s="5">
        <f t="shared" si="93"/>
        <v>3.0301064105891513E-2</v>
      </c>
      <c r="Y82" s="5">
        <f t="shared" si="93"/>
        <v>2.9832524651745185E-2</v>
      </c>
      <c r="Z82" s="5">
        <f t="shared" si="93"/>
        <v>3.0963001836788243E-2</v>
      </c>
      <c r="AA82" s="5">
        <f t="shared" si="93"/>
        <v>2.4841532578848771E-2</v>
      </c>
      <c r="AB82" s="5">
        <f t="shared" si="93"/>
        <v>2.3720056364490372E-2</v>
      </c>
      <c r="AC82" s="5">
        <f t="shared" si="93"/>
        <v>2.4899955535793685E-2</v>
      </c>
      <c r="AD82" s="5">
        <f t="shared" si="93"/>
        <v>3.0513798519183306E-2</v>
      </c>
      <c r="AE82" s="5">
        <f t="shared" si="93"/>
        <v>3.0685920577617327E-2</v>
      </c>
      <c r="AF82" s="5">
        <f t="shared" si="93"/>
        <v>3.3144352376798955E-2</v>
      </c>
      <c r="AG82" s="5">
        <f t="shared" si="93"/>
        <v>3.2978287587054483E-2</v>
      </c>
      <c r="AH82" s="5">
        <f t="shared" si="93"/>
        <v>3.3028948902273168E-2</v>
      </c>
      <c r="AI82" s="5">
        <f t="shared" si="94"/>
        <v>3.2749428789032753E-2</v>
      </c>
      <c r="AJ82" s="5">
        <f t="shared" si="94"/>
        <v>3.5999999999999997E-2</v>
      </c>
      <c r="AK82" s="55">
        <f t="shared" si="95"/>
        <v>3.2236750591180974E-2</v>
      </c>
    </row>
    <row r="83" spans="1:60" s="21" customFormat="1" hidden="1" x14ac:dyDescent="0.2">
      <c r="A83" s="165" t="s">
        <v>162</v>
      </c>
      <c r="B83" s="168">
        <v>0</v>
      </c>
      <c r="C83" s="162">
        <v>-30.6</v>
      </c>
      <c r="D83" s="162">
        <v>-32.4</v>
      </c>
      <c r="E83" s="162">
        <v>0</v>
      </c>
      <c r="F83" s="162">
        <v>0</v>
      </c>
      <c r="G83" s="162">
        <v>0</v>
      </c>
      <c r="H83" s="163">
        <v>0</v>
      </c>
      <c r="I83" s="153">
        <v>0</v>
      </c>
      <c r="J83" s="153">
        <v>0</v>
      </c>
      <c r="K83" s="153">
        <v>0</v>
      </c>
      <c r="L83" s="153">
        <v>0</v>
      </c>
      <c r="M83" s="153">
        <v>0</v>
      </c>
      <c r="N83" s="153">
        <v>0</v>
      </c>
      <c r="O83" s="153">
        <v>0</v>
      </c>
      <c r="P83" s="153">
        <v>0</v>
      </c>
      <c r="Q83" s="153">
        <v>0</v>
      </c>
      <c r="R83" s="150" t="e">
        <f t="shared" si="86"/>
        <v>#NUM!</v>
      </c>
      <c r="S83" s="154"/>
      <c r="T83" s="2" t="str">
        <f t="shared" si="92"/>
        <v>Other Operating Expenses</v>
      </c>
      <c r="U83" s="6">
        <f t="shared" si="93"/>
        <v>0</v>
      </c>
      <c r="V83" s="6">
        <f t="shared" si="93"/>
        <v>-6.0525743220523377E-3</v>
      </c>
      <c r="W83" s="6">
        <f t="shared" si="93"/>
        <v>-9.6609714643528053E-3</v>
      </c>
      <c r="X83" s="6">
        <f t="shared" si="93"/>
        <v>0</v>
      </c>
      <c r="Y83" s="18">
        <f t="shared" si="93"/>
        <v>0</v>
      </c>
      <c r="Z83" s="18">
        <f t="shared" si="93"/>
        <v>0</v>
      </c>
      <c r="AA83" s="18">
        <f t="shared" si="93"/>
        <v>0</v>
      </c>
      <c r="AB83" s="18">
        <f t="shared" si="93"/>
        <v>0</v>
      </c>
      <c r="AC83" s="18">
        <f t="shared" si="93"/>
        <v>0</v>
      </c>
      <c r="AD83" s="18">
        <f t="shared" si="93"/>
        <v>0</v>
      </c>
      <c r="AE83" s="18">
        <f t="shared" si="93"/>
        <v>0</v>
      </c>
      <c r="AF83" s="18">
        <f t="shared" si="93"/>
        <v>0</v>
      </c>
      <c r="AG83" s="18">
        <f t="shared" si="93"/>
        <v>0</v>
      </c>
      <c r="AH83" s="18">
        <f t="shared" si="93"/>
        <v>0</v>
      </c>
      <c r="AI83" s="18">
        <f t="shared" si="94"/>
        <v>0</v>
      </c>
      <c r="AJ83" s="18">
        <f t="shared" si="94"/>
        <v>0</v>
      </c>
      <c r="AK83" s="55">
        <f>SUM(F83:K83)/SUM(F$76:K$76)</f>
        <v>0</v>
      </c>
      <c r="AL83" s="52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</row>
    <row r="84" spans="1:60" s="21" customFormat="1" ht="12.75" customHeight="1" x14ac:dyDescent="0.2">
      <c r="A84" s="148" t="s">
        <v>37</v>
      </c>
      <c r="B84" s="162">
        <f t="shared" ref="B84:L84" si="96">SUM(B78:B83)</f>
        <v>3281.8</v>
      </c>
      <c r="C84" s="162">
        <f t="shared" si="96"/>
        <v>4531.7</v>
      </c>
      <c r="D84" s="162">
        <f t="shared" si="96"/>
        <v>2740.1</v>
      </c>
      <c r="E84" s="162">
        <f t="shared" si="96"/>
        <v>2593.5000000000005</v>
      </c>
      <c r="F84" s="169">
        <f t="shared" si="96"/>
        <v>2576.6000000000004</v>
      </c>
      <c r="G84" s="169">
        <f t="shared" si="96"/>
        <v>2392.4</v>
      </c>
      <c r="H84" s="169">
        <f t="shared" si="96"/>
        <v>3104.7000000000003</v>
      </c>
      <c r="I84" s="293">
        <f t="shared" si="96"/>
        <v>3364</v>
      </c>
      <c r="J84" s="293">
        <f>SUM(J78:J83)</f>
        <v>3544</v>
      </c>
      <c r="K84" s="293">
        <f>SUM(K78:K83)</f>
        <v>3397</v>
      </c>
      <c r="L84" s="293">
        <f t="shared" si="96"/>
        <v>3396</v>
      </c>
      <c r="M84" s="293">
        <f t="shared" ref="M84:O84" si="97">SUM(M78:M83)</f>
        <v>3502</v>
      </c>
      <c r="N84" s="293">
        <f t="shared" ref="N84" si="98">SUM(N78:N83)</f>
        <v>3861</v>
      </c>
      <c r="O84" s="293">
        <f t="shared" si="97"/>
        <v>3883</v>
      </c>
      <c r="P84" s="293">
        <f>SUM(P78:P83)</f>
        <v>3952</v>
      </c>
      <c r="Q84" s="293">
        <f>SUM(Q78:Q83)</f>
        <v>978</v>
      </c>
      <c r="R84" s="306">
        <f t="shared" si="86"/>
        <v>3.0728483872491257E-2</v>
      </c>
      <c r="S84" s="154"/>
      <c r="T84" s="2" t="str">
        <f t="shared" si="92"/>
        <v>Total Operating Expenses</v>
      </c>
      <c r="U84" s="6">
        <f t="shared" si="93"/>
        <v>0.82314580250319802</v>
      </c>
      <c r="V84" s="6">
        <f t="shared" si="93"/>
        <v>0.89635460964851554</v>
      </c>
      <c r="W84" s="6">
        <f t="shared" si="93"/>
        <v>0.81703789844052843</v>
      </c>
      <c r="X84" s="6">
        <f t="shared" si="93"/>
        <v>0.84138982610952517</v>
      </c>
      <c r="Y84" s="97">
        <f t="shared" si="93"/>
        <v>0.80657379871654422</v>
      </c>
      <c r="Z84" s="97">
        <f t="shared" si="93"/>
        <v>0.78470217790606134</v>
      </c>
      <c r="AA84" s="97">
        <f t="shared" si="93"/>
        <v>0.79675109708214653</v>
      </c>
      <c r="AB84" s="97">
        <f t="shared" si="93"/>
        <v>0.79004227336777832</v>
      </c>
      <c r="AC84" s="97">
        <f t="shared" si="93"/>
        <v>0.78790573588261448</v>
      </c>
      <c r="AD84" s="97">
        <f t="shared" si="93"/>
        <v>0.76217186448283603</v>
      </c>
      <c r="AE84" s="97">
        <f t="shared" si="93"/>
        <v>0.76624548736462095</v>
      </c>
      <c r="AF84" s="97">
        <f t="shared" si="93"/>
        <v>0.76362843436546013</v>
      </c>
      <c r="AG84" s="97">
        <f t="shared" si="93"/>
        <v>0.79086439983613277</v>
      </c>
      <c r="AH84" s="97">
        <f t="shared" si="93"/>
        <v>0.75442005051486305</v>
      </c>
      <c r="AI84" s="97">
        <f t="shared" si="94"/>
        <v>0.75247524752475248</v>
      </c>
      <c r="AJ84" s="97">
        <f t="shared" si="94"/>
        <v>0.78239999999999998</v>
      </c>
      <c r="AK84" s="17">
        <f>SUM(K84:P84)/SUM(K$76:P$76)</f>
        <v>0.76474474892196409</v>
      </c>
      <c r="AL84" s="52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</row>
    <row r="85" spans="1:60" s="21" customFormat="1" x14ac:dyDescent="0.2">
      <c r="A85" s="182" t="s">
        <v>13</v>
      </c>
      <c r="B85" s="218">
        <f t="shared" ref="B85:L85" si="99">B76-B84</f>
        <v>705.09999999999991</v>
      </c>
      <c r="C85" s="218">
        <f t="shared" si="99"/>
        <v>524</v>
      </c>
      <c r="D85" s="218">
        <f t="shared" si="99"/>
        <v>613.59999999999991</v>
      </c>
      <c r="E85" s="218">
        <f t="shared" si="99"/>
        <v>488.89999999999964</v>
      </c>
      <c r="F85" s="218">
        <f t="shared" si="99"/>
        <v>617.89999999999964</v>
      </c>
      <c r="G85" s="218">
        <f t="shared" si="99"/>
        <v>656.40000000000009</v>
      </c>
      <c r="H85" s="218">
        <f t="shared" si="99"/>
        <v>791.99999999999955</v>
      </c>
      <c r="I85" s="182">
        <f t="shared" si="99"/>
        <v>894</v>
      </c>
      <c r="J85" s="182">
        <f t="shared" si="99"/>
        <v>954</v>
      </c>
      <c r="K85" s="182">
        <f t="shared" si="99"/>
        <v>1060</v>
      </c>
      <c r="L85" s="182">
        <f t="shared" si="99"/>
        <v>1036</v>
      </c>
      <c r="M85" s="182">
        <f t="shared" ref="M85:O85" si="100">M76-M84</f>
        <v>1084</v>
      </c>
      <c r="N85" s="182">
        <f t="shared" ref="N85" si="101">N76-N84</f>
        <v>1021</v>
      </c>
      <c r="O85" s="182">
        <f t="shared" si="100"/>
        <v>1264</v>
      </c>
      <c r="P85" s="182">
        <f>P76-P84</f>
        <v>1300</v>
      </c>
      <c r="Q85" s="182">
        <f>Q76-Q84</f>
        <v>272</v>
      </c>
      <c r="R85" s="204">
        <f t="shared" si="86"/>
        <v>4.1663621617541433E-2</v>
      </c>
      <c r="S85" s="157"/>
      <c r="T85" s="191" t="str">
        <f t="shared" si="92"/>
        <v>Earnings From Operations</v>
      </c>
      <c r="U85" s="198">
        <f t="shared" si="93"/>
        <v>0.17685419749680201</v>
      </c>
      <c r="V85" s="198">
        <f t="shared" si="93"/>
        <v>0.10364539035148447</v>
      </c>
      <c r="W85" s="198">
        <f t="shared" si="93"/>
        <v>0.18296210155947162</v>
      </c>
      <c r="X85" s="198">
        <f t="shared" si="93"/>
        <v>0.15861017389047483</v>
      </c>
      <c r="Y85" s="198">
        <f t="shared" si="93"/>
        <v>0.19342620128345583</v>
      </c>
      <c r="Z85" s="198">
        <f t="shared" si="93"/>
        <v>0.21529782209393861</v>
      </c>
      <c r="AA85" s="198">
        <f t="shared" si="93"/>
        <v>0.20324890291785347</v>
      </c>
      <c r="AB85" s="198">
        <f t="shared" si="93"/>
        <v>0.2099577266322217</v>
      </c>
      <c r="AC85" s="198">
        <f t="shared" si="93"/>
        <v>0.21209426411738549</v>
      </c>
      <c r="AD85" s="198">
        <f t="shared" si="93"/>
        <v>0.237828135517164</v>
      </c>
      <c r="AE85" s="198">
        <f t="shared" si="93"/>
        <v>0.23375451263537905</v>
      </c>
      <c r="AF85" s="198">
        <f t="shared" si="93"/>
        <v>0.2363715656345399</v>
      </c>
      <c r="AG85" s="198">
        <f t="shared" si="93"/>
        <v>0.20913560016386726</v>
      </c>
      <c r="AH85" s="198">
        <f t="shared" si="93"/>
        <v>0.24557994948513698</v>
      </c>
      <c r="AI85" s="198">
        <f t="shared" si="94"/>
        <v>0.24752475247524752</v>
      </c>
      <c r="AJ85" s="198">
        <f t="shared" si="94"/>
        <v>0.21759999999999999</v>
      </c>
      <c r="AK85" s="199">
        <f>SUM(K85:P85)/SUM(K$76:P$76)</f>
        <v>0.23525525107803588</v>
      </c>
      <c r="AL85" s="104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</row>
    <row r="86" spans="1:60" s="21" customFormat="1" ht="7.5" customHeight="1" x14ac:dyDescent="0.2">
      <c r="A86" s="148"/>
      <c r="B86" s="164"/>
      <c r="C86" s="164"/>
      <c r="D86" s="164"/>
      <c r="E86" s="164"/>
      <c r="F86" s="164"/>
      <c r="G86" s="164"/>
      <c r="H86" s="164"/>
      <c r="I86" s="148"/>
      <c r="J86" s="148"/>
      <c r="K86" s="148"/>
      <c r="L86" s="148"/>
      <c r="M86" s="148"/>
      <c r="N86" s="148"/>
      <c r="O86" s="148"/>
      <c r="P86" s="148"/>
      <c r="Q86" s="148"/>
      <c r="R86" s="150"/>
      <c r="S86" s="157"/>
      <c r="T86" s="2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5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</row>
    <row r="87" spans="1:60" x14ac:dyDescent="0.2">
      <c r="A87" s="219" t="s">
        <v>164</v>
      </c>
      <c r="B87" s="218">
        <f>341.4-20.2</f>
        <v>321.2</v>
      </c>
      <c r="C87" s="218">
        <f>290.4-12.9</f>
        <v>277.5</v>
      </c>
      <c r="D87" s="218">
        <f>227.7-6.9</f>
        <v>220.79999999999998</v>
      </c>
      <c r="E87" s="218">
        <f>270.3-18</f>
        <v>252.3</v>
      </c>
      <c r="F87" s="218">
        <f>256.5-19.9</f>
        <v>236.6</v>
      </c>
      <c r="G87" s="218">
        <f>267.4-14.8</f>
        <v>252.59999999999997</v>
      </c>
      <c r="H87" s="218">
        <f>279.9-32.4</f>
        <v>247.49999999999997</v>
      </c>
      <c r="I87" s="182">
        <f>314-29</f>
        <v>285</v>
      </c>
      <c r="J87" s="182">
        <f>343-34</f>
        <v>309</v>
      </c>
      <c r="K87" s="182">
        <f>394-35</f>
        <v>359</v>
      </c>
      <c r="L87" s="182">
        <f>387-45</f>
        <v>342</v>
      </c>
      <c r="M87" s="182">
        <f>392-25</f>
        <v>367</v>
      </c>
      <c r="N87" s="182">
        <f>380-29</f>
        <v>351</v>
      </c>
      <c r="O87" s="182">
        <f>379-29</f>
        <v>350</v>
      </c>
      <c r="P87" s="182">
        <f>379-25</f>
        <v>354</v>
      </c>
      <c r="Q87" s="182">
        <f>94-6</f>
        <v>88</v>
      </c>
      <c r="R87" s="150">
        <f t="shared" si="86"/>
        <v>-2.8011644678196377E-3</v>
      </c>
      <c r="S87" s="157"/>
      <c r="T87" s="191" t="str">
        <f t="shared" si="92"/>
        <v>Interest expense (net)</v>
      </c>
      <c r="U87" s="108">
        <f t="shared" ref="U87:AH91" si="102">B87/B$76</f>
        <v>8.0563846597607153E-2</v>
      </c>
      <c r="V87" s="108">
        <f t="shared" si="102"/>
        <v>5.4888541646062862E-2</v>
      </c>
      <c r="W87" s="108">
        <f t="shared" si="102"/>
        <v>6.5837731460774665E-2</v>
      </c>
      <c r="X87" s="108">
        <f t="shared" si="102"/>
        <v>8.185180378925512E-2</v>
      </c>
      <c r="Y87" s="108">
        <f t="shared" si="102"/>
        <v>7.4064798873063081E-2</v>
      </c>
      <c r="Z87" s="198">
        <f t="shared" si="102"/>
        <v>8.285226974547362E-2</v>
      </c>
      <c r="AA87" s="198">
        <f t="shared" si="102"/>
        <v>6.3515282161829237E-2</v>
      </c>
      <c r="AB87" s="198">
        <f t="shared" si="102"/>
        <v>6.693283231564115E-2</v>
      </c>
      <c r="AC87" s="198">
        <f t="shared" si="102"/>
        <v>6.8697198755002228E-2</v>
      </c>
      <c r="AD87" s="198">
        <f t="shared" si="102"/>
        <v>8.0547453444020645E-2</v>
      </c>
      <c r="AE87" s="198">
        <f t="shared" si="102"/>
        <v>7.7166064981949459E-2</v>
      </c>
      <c r="AF87" s="198">
        <f t="shared" si="102"/>
        <v>8.0026166593981679E-2</v>
      </c>
      <c r="AG87" s="198">
        <f t="shared" si="102"/>
        <v>7.1896763621466617E-2</v>
      </c>
      <c r="AH87" s="198">
        <f t="shared" si="102"/>
        <v>6.8000777151738884E-2</v>
      </c>
      <c r="AI87" s="198">
        <f t="shared" ref="AI87:AJ91" si="103">P87/P$76</f>
        <v>6.7402894135567409E-2</v>
      </c>
      <c r="AJ87" s="198">
        <f t="shared" si="103"/>
        <v>7.0400000000000004E-2</v>
      </c>
      <c r="AK87" s="55">
        <f t="shared" ref="AK87:AK90" si="104">SUM(K87:P87)/SUM(K$76:P$76)</f>
        <v>7.3828070663513698E-2</v>
      </c>
      <c r="AL87" s="104"/>
    </row>
    <row r="88" spans="1:60" ht="12.75" customHeight="1" x14ac:dyDescent="0.2">
      <c r="A88" s="165" t="s">
        <v>165</v>
      </c>
      <c r="B88" s="164">
        <v>-17.100000000000001</v>
      </c>
      <c r="C88" s="164">
        <v>-32.6</v>
      </c>
      <c r="D88" s="164">
        <v>-47.5</v>
      </c>
      <c r="E88" s="164">
        <v>-21.6</v>
      </c>
      <c r="F88" s="164">
        <v>-13.8</v>
      </c>
      <c r="G88" s="164">
        <v>-9.1</v>
      </c>
      <c r="H88" s="164">
        <v>-9.5</v>
      </c>
      <c r="I88" s="148">
        <v>-15</v>
      </c>
      <c r="J88" s="148">
        <v>-11</v>
      </c>
      <c r="K88" s="148">
        <v>-19</v>
      </c>
      <c r="L88" s="148">
        <v>-5</v>
      </c>
      <c r="M88" s="148">
        <v>-4</v>
      </c>
      <c r="N88" s="148">
        <v>-6</v>
      </c>
      <c r="O88" s="148">
        <v>-8</v>
      </c>
      <c r="P88" s="148">
        <v>-10</v>
      </c>
      <c r="Q88" s="148">
        <v>-3</v>
      </c>
      <c r="R88" s="150">
        <f t="shared" si="86"/>
        <v>-0.12047278998623669</v>
      </c>
      <c r="S88" s="157"/>
      <c r="T88" s="2" t="str">
        <f t="shared" si="92"/>
        <v>Interest income</v>
      </c>
      <c r="U88" s="18">
        <f t="shared" si="102"/>
        <v>-4.2890466277057367E-3</v>
      </c>
      <c r="V88" s="18">
        <f t="shared" si="102"/>
        <v>-6.4481674149969347E-3</v>
      </c>
      <c r="W88" s="18">
        <f t="shared" si="102"/>
        <v>-1.4163461251751797E-2</v>
      </c>
      <c r="X88" s="18">
        <f t="shared" si="102"/>
        <v>-7.007526602647288E-3</v>
      </c>
      <c r="Y88" s="18">
        <f t="shared" si="102"/>
        <v>-4.3199248708718115E-3</v>
      </c>
      <c r="Z88" s="5">
        <f t="shared" si="102"/>
        <v>-2.9847808974022565E-3</v>
      </c>
      <c r="AA88" s="5">
        <f t="shared" si="102"/>
        <v>-2.4379603254035469E-3</v>
      </c>
      <c r="AB88" s="5">
        <f t="shared" si="102"/>
        <v>-3.5227806481916393E-3</v>
      </c>
      <c r="AC88" s="5">
        <f t="shared" si="102"/>
        <v>-2.4455313472654511E-3</v>
      </c>
      <c r="AD88" s="5">
        <f t="shared" si="102"/>
        <v>-4.2629571460623735E-3</v>
      </c>
      <c r="AE88" s="5">
        <f t="shared" si="102"/>
        <v>-1.1281588447653429E-3</v>
      </c>
      <c r="AF88" s="5">
        <f t="shared" si="102"/>
        <v>-8.7221979938944616E-4</v>
      </c>
      <c r="AG88" s="5">
        <f t="shared" si="102"/>
        <v>-1.2290045063498567E-3</v>
      </c>
      <c r="AH88" s="5">
        <f t="shared" si="102"/>
        <v>-1.5543034777540316E-3</v>
      </c>
      <c r="AI88" s="5">
        <f t="shared" si="103"/>
        <v>-1.904036557501904E-3</v>
      </c>
      <c r="AJ88" s="5">
        <f t="shared" si="103"/>
        <v>-2.3999999999999998E-3</v>
      </c>
      <c r="AK88" s="55">
        <f t="shared" si="104"/>
        <v>-1.8083182640144665E-3</v>
      </c>
      <c r="AL88" s="111"/>
    </row>
    <row r="89" spans="1:60" ht="12.75" hidden="1" customHeight="1" x14ac:dyDescent="0.2">
      <c r="A89" s="165" t="s">
        <v>166</v>
      </c>
      <c r="B89" s="164">
        <v>0</v>
      </c>
      <c r="C89" s="164">
        <v>184.2</v>
      </c>
      <c r="D89" s="164">
        <v>-27.4</v>
      </c>
      <c r="E89" s="164">
        <v>0</v>
      </c>
      <c r="F89" s="164">
        <v>0</v>
      </c>
      <c r="G89" s="164">
        <v>0</v>
      </c>
      <c r="H89" s="170">
        <v>0</v>
      </c>
      <c r="I89" s="151">
        <v>0</v>
      </c>
      <c r="J89" s="151">
        <v>0</v>
      </c>
      <c r="K89" s="151">
        <v>0</v>
      </c>
      <c r="L89" s="151">
        <v>0</v>
      </c>
      <c r="M89" s="151">
        <v>0</v>
      </c>
      <c r="N89" s="151">
        <v>0</v>
      </c>
      <c r="O89" s="151">
        <v>0</v>
      </c>
      <c r="P89" s="151">
        <v>0</v>
      </c>
      <c r="Q89" s="151">
        <v>0</v>
      </c>
      <c r="R89" s="150" t="e">
        <f t="shared" si="86"/>
        <v>#NUM!</v>
      </c>
      <c r="S89" s="154"/>
      <c r="T89" s="2" t="str">
        <f t="shared" si="92"/>
        <v>Loss (Gain) on Sale of Assets</v>
      </c>
      <c r="U89" s="18">
        <f t="shared" si="102"/>
        <v>0</v>
      </c>
      <c r="V89" s="18">
        <f t="shared" si="102"/>
        <v>3.6434123860197398E-2</v>
      </c>
      <c r="W89" s="18">
        <f t="shared" si="102"/>
        <v>-8.1700808062736673E-3</v>
      </c>
      <c r="X89" s="18">
        <f t="shared" si="102"/>
        <v>0</v>
      </c>
      <c r="Y89" s="18">
        <f t="shared" si="102"/>
        <v>0</v>
      </c>
      <c r="Z89" s="18">
        <f t="shared" si="102"/>
        <v>0</v>
      </c>
      <c r="AA89" s="18">
        <f t="shared" si="102"/>
        <v>0</v>
      </c>
      <c r="AB89" s="18">
        <f t="shared" si="102"/>
        <v>0</v>
      </c>
      <c r="AC89" s="18">
        <f t="shared" si="102"/>
        <v>0</v>
      </c>
      <c r="AD89" s="18">
        <f t="shared" si="102"/>
        <v>0</v>
      </c>
      <c r="AE89" s="18">
        <f t="shared" si="102"/>
        <v>0</v>
      </c>
      <c r="AF89" s="18">
        <f t="shared" si="102"/>
        <v>0</v>
      </c>
      <c r="AG89" s="18">
        <f t="shared" si="102"/>
        <v>0</v>
      </c>
      <c r="AH89" s="18">
        <f t="shared" si="102"/>
        <v>0</v>
      </c>
      <c r="AI89" s="18">
        <f t="shared" si="103"/>
        <v>0</v>
      </c>
      <c r="AJ89" s="18">
        <f t="shared" si="103"/>
        <v>0</v>
      </c>
      <c r="AK89" s="55">
        <f t="shared" si="104"/>
        <v>0</v>
      </c>
    </row>
    <row r="90" spans="1:60" x14ac:dyDescent="0.2">
      <c r="A90" s="217" t="s">
        <v>167</v>
      </c>
      <c r="B90" s="162">
        <f>2.6-13.7</f>
        <v>-11.1</v>
      </c>
      <c r="C90" s="162">
        <v>2.7</v>
      </c>
      <c r="D90" s="162">
        <f>-1.8</f>
        <v>-1.8</v>
      </c>
      <c r="E90" s="162">
        <v>19</v>
      </c>
      <c r="F90" s="162">
        <v>1.6</v>
      </c>
      <c r="G90" s="162">
        <v>-7.3</v>
      </c>
      <c r="H90" s="163">
        <v>-6.1</v>
      </c>
      <c r="I90" s="153">
        <v>-41</v>
      </c>
      <c r="J90" s="153">
        <v>-47</v>
      </c>
      <c r="K90" s="153">
        <v>-64</v>
      </c>
      <c r="L90" s="153">
        <f>-79+1</f>
        <v>-78</v>
      </c>
      <c r="M90" s="153">
        <v>-47</v>
      </c>
      <c r="N90" s="153">
        <v>-58</v>
      </c>
      <c r="O90" s="153">
        <v>-57</v>
      </c>
      <c r="P90" s="153">
        <f>-51</f>
        <v>-51</v>
      </c>
      <c r="Q90" s="153">
        <v>-10</v>
      </c>
      <c r="R90" s="150">
        <f t="shared" si="86"/>
        <v>-4.4395820766342325E-2</v>
      </c>
      <c r="S90" s="154"/>
      <c r="T90" s="2" t="str">
        <f t="shared" si="92"/>
        <v>Other (Income) Expense</v>
      </c>
      <c r="U90" s="6">
        <f t="shared" si="102"/>
        <v>-2.7841179864054777E-3</v>
      </c>
      <c r="V90" s="6">
        <f t="shared" si="102"/>
        <v>5.3405067547520626E-4</v>
      </c>
      <c r="W90" s="6">
        <f t="shared" si="102"/>
        <v>-5.3672063690848914E-4</v>
      </c>
      <c r="X90" s="6">
        <f t="shared" si="102"/>
        <v>6.1640280301064106E-3</v>
      </c>
      <c r="Y90" s="103">
        <f t="shared" si="102"/>
        <v>5.008608545938332E-4</v>
      </c>
      <c r="Z90" s="103">
        <f t="shared" si="102"/>
        <v>-2.394384675938074E-3</v>
      </c>
      <c r="AA90" s="103">
        <f t="shared" si="102"/>
        <v>-1.565427156311751E-3</v>
      </c>
      <c r="AB90" s="103">
        <f t="shared" si="102"/>
        <v>-9.6289337717238143E-3</v>
      </c>
      <c r="AC90" s="103">
        <f t="shared" si="102"/>
        <v>-1.0449088483770564E-2</v>
      </c>
      <c r="AD90" s="103">
        <f t="shared" si="102"/>
        <v>-1.4359434597262733E-2</v>
      </c>
      <c r="AE90" s="103">
        <f t="shared" si="102"/>
        <v>-1.759927797833935E-2</v>
      </c>
      <c r="AF90" s="103">
        <f t="shared" si="102"/>
        <v>-1.0248582642825993E-2</v>
      </c>
      <c r="AG90" s="103">
        <f t="shared" si="102"/>
        <v>-1.1880376894715281E-2</v>
      </c>
      <c r="AH90" s="103">
        <f t="shared" si="102"/>
        <v>-1.1074412278997475E-2</v>
      </c>
      <c r="AI90" s="103">
        <f t="shared" si="103"/>
        <v>-9.7105864432597104E-3</v>
      </c>
      <c r="AJ90" s="103">
        <f t="shared" si="103"/>
        <v>-8.0000000000000002E-3</v>
      </c>
      <c r="AK90" s="55">
        <f t="shared" si="104"/>
        <v>-1.234524968702184E-2</v>
      </c>
    </row>
    <row r="91" spans="1:60" x14ac:dyDescent="0.2">
      <c r="A91" s="140" t="s">
        <v>207</v>
      </c>
      <c r="B91" s="164">
        <f t="shared" ref="B91:L91" si="105">SUM(B87:B90)</f>
        <v>292.99999999999994</v>
      </c>
      <c r="C91" s="164">
        <f t="shared" si="105"/>
        <v>431.8</v>
      </c>
      <c r="D91" s="164">
        <f t="shared" si="105"/>
        <v>144.09999999999997</v>
      </c>
      <c r="E91" s="164">
        <f t="shared" si="105"/>
        <v>249.70000000000002</v>
      </c>
      <c r="F91" s="164">
        <f t="shared" si="105"/>
        <v>224.39999999999998</v>
      </c>
      <c r="G91" s="164">
        <f t="shared" si="105"/>
        <v>236.19999999999996</v>
      </c>
      <c r="H91" s="164">
        <f t="shared" si="105"/>
        <v>231.89999999999998</v>
      </c>
      <c r="I91" s="148">
        <f t="shared" si="105"/>
        <v>229</v>
      </c>
      <c r="J91" s="148">
        <f>SUM(J87:J90)</f>
        <v>251</v>
      </c>
      <c r="K91" s="148">
        <f>SUM(K87:K90)</f>
        <v>276</v>
      </c>
      <c r="L91" s="148">
        <f t="shared" si="105"/>
        <v>259</v>
      </c>
      <c r="M91" s="148">
        <f t="shared" ref="M91:O91" si="106">SUM(M87:M90)</f>
        <v>316</v>
      </c>
      <c r="N91" s="148">
        <f t="shared" ref="N91" si="107">SUM(N87:N90)</f>
        <v>287</v>
      </c>
      <c r="O91" s="148">
        <f t="shared" si="106"/>
        <v>285</v>
      </c>
      <c r="P91" s="148">
        <f>SUM(P87:P90)</f>
        <v>293</v>
      </c>
      <c r="Q91" s="148">
        <f>SUM(Q87:Q90)</f>
        <v>75</v>
      </c>
      <c r="R91" s="155">
        <f t="shared" si="86"/>
        <v>1.2026087464483437E-2</v>
      </c>
      <c r="S91" s="154"/>
      <c r="T91" s="2" t="str">
        <f t="shared" si="92"/>
        <v>Total Other (Income)/Expense</v>
      </c>
      <c r="U91" s="18">
        <f t="shared" si="102"/>
        <v>7.349068198349594E-2</v>
      </c>
      <c r="V91" s="18">
        <f t="shared" si="102"/>
        <v>8.5408548766738535E-2</v>
      </c>
      <c r="W91" s="18">
        <f t="shared" si="102"/>
        <v>4.2967468765840705E-2</v>
      </c>
      <c r="X91" s="18">
        <f t="shared" si="102"/>
        <v>8.1008305216714246E-2</v>
      </c>
      <c r="Y91" s="18">
        <f t="shared" si="102"/>
        <v>7.0245734856785091E-2</v>
      </c>
      <c r="Z91" s="5">
        <f t="shared" si="102"/>
        <v>7.7473104172133281E-2</v>
      </c>
      <c r="AA91" s="5">
        <f t="shared" si="102"/>
        <v>5.951189468011394E-2</v>
      </c>
      <c r="AB91" s="5">
        <f t="shared" si="102"/>
        <v>5.3781117895725691E-2</v>
      </c>
      <c r="AC91" s="5">
        <f t="shared" si="102"/>
        <v>5.5802578923966208E-2</v>
      </c>
      <c r="AD91" s="5">
        <f t="shared" si="102"/>
        <v>6.1925061700695533E-2</v>
      </c>
      <c r="AE91" s="5">
        <f t="shared" si="102"/>
        <v>5.8438628158844763E-2</v>
      </c>
      <c r="AF91" s="5">
        <f t="shared" si="102"/>
        <v>6.8905364151766249E-2</v>
      </c>
      <c r="AG91" s="5">
        <f t="shared" si="102"/>
        <v>5.8787382220401474E-2</v>
      </c>
      <c r="AH91" s="5">
        <f t="shared" si="102"/>
        <v>5.5372061394987369E-2</v>
      </c>
      <c r="AI91" s="5">
        <f t="shared" si="103"/>
        <v>5.5788271134805785E-2</v>
      </c>
      <c r="AJ91" s="5">
        <f t="shared" si="103"/>
        <v>0.06</v>
      </c>
      <c r="AK91" s="199">
        <f>SUM(K91:P91)/SUM(K$76:P$76)</f>
        <v>5.9674502712477394E-2</v>
      </c>
    </row>
    <row r="92" spans="1:60" ht="7.5" customHeight="1" x14ac:dyDescent="0.2">
      <c r="A92" s="148"/>
      <c r="B92" s="170"/>
      <c r="C92" s="170"/>
      <c r="D92" s="170"/>
      <c r="E92" s="170"/>
      <c r="F92" s="170"/>
      <c r="G92" s="170"/>
      <c r="H92" s="170"/>
      <c r="I92" s="151"/>
      <c r="J92" s="151"/>
      <c r="K92" s="151"/>
      <c r="L92" s="294"/>
      <c r="M92" s="294"/>
      <c r="N92" s="294"/>
      <c r="O92" s="294"/>
      <c r="P92" s="294"/>
      <c r="Q92" s="294"/>
      <c r="R92" s="150"/>
      <c r="S92" s="154"/>
      <c r="T92" s="2"/>
      <c r="U92" s="18"/>
      <c r="V92" s="18"/>
      <c r="W92" s="18"/>
      <c r="X92" s="18"/>
      <c r="Y92" s="18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5"/>
    </row>
    <row r="93" spans="1:60" x14ac:dyDescent="0.2">
      <c r="A93" s="182" t="s">
        <v>12</v>
      </c>
      <c r="B93" s="220">
        <f t="shared" ref="B93:G93" si="108">B85-B91</f>
        <v>412.09999999999997</v>
      </c>
      <c r="C93" s="220">
        <f t="shared" si="108"/>
        <v>92.199999999999989</v>
      </c>
      <c r="D93" s="220">
        <f t="shared" si="108"/>
        <v>469.49999999999994</v>
      </c>
      <c r="E93" s="220">
        <f t="shared" si="108"/>
        <v>239.19999999999962</v>
      </c>
      <c r="F93" s="220">
        <f t="shared" si="108"/>
        <v>393.49999999999966</v>
      </c>
      <c r="G93" s="220">
        <f t="shared" si="108"/>
        <v>420.20000000000016</v>
      </c>
      <c r="H93" s="220">
        <f t="shared" ref="H93:P93" si="109">H85-H91</f>
        <v>560.09999999999957</v>
      </c>
      <c r="I93" s="209">
        <f t="shared" si="109"/>
        <v>665</v>
      </c>
      <c r="J93" s="209">
        <f t="shared" si="109"/>
        <v>703</v>
      </c>
      <c r="K93" s="209">
        <f t="shared" si="109"/>
        <v>784</v>
      </c>
      <c r="L93" s="209">
        <f t="shared" si="109"/>
        <v>777</v>
      </c>
      <c r="M93" s="209">
        <f t="shared" ref="M93:O93" si="110">M85-M91</f>
        <v>768</v>
      </c>
      <c r="N93" s="209">
        <f t="shared" ref="N93" si="111">N85-N91</f>
        <v>734</v>
      </c>
      <c r="O93" s="209">
        <f t="shared" si="110"/>
        <v>979</v>
      </c>
      <c r="P93" s="209">
        <f t="shared" si="109"/>
        <v>1007</v>
      </c>
      <c r="Q93" s="209">
        <f t="shared" ref="Q93" si="112">Q85-Q91</f>
        <v>197</v>
      </c>
      <c r="R93" s="183">
        <f t="shared" si="86"/>
        <v>5.1338773577827616E-2</v>
      </c>
      <c r="S93" s="157"/>
      <c r="T93" s="191" t="str">
        <f t="shared" si="92"/>
        <v>Earnings Before Taxes</v>
      </c>
      <c r="U93" s="198">
        <f t="shared" ref="U93:AH93" si="113">B93/B$76</f>
        <v>0.10336351551330607</v>
      </c>
      <c r="V93" s="198">
        <f t="shared" si="113"/>
        <v>1.8236841584745929E-2</v>
      </c>
      <c r="W93" s="198">
        <f t="shared" si="113"/>
        <v>0.13999463279363092</v>
      </c>
      <c r="X93" s="198">
        <f t="shared" si="113"/>
        <v>7.760186867376058E-2</v>
      </c>
      <c r="Y93" s="198">
        <f t="shared" si="113"/>
        <v>0.12318046642667073</v>
      </c>
      <c r="Z93" s="198">
        <f t="shared" si="113"/>
        <v>0.13782471792180534</v>
      </c>
      <c r="AA93" s="198">
        <f t="shared" si="113"/>
        <v>0.14373700823773952</v>
      </c>
      <c r="AB93" s="198">
        <f t="shared" si="113"/>
        <v>0.156176608736496</v>
      </c>
      <c r="AC93" s="198">
        <f t="shared" si="113"/>
        <v>0.15629168519341929</v>
      </c>
      <c r="AD93" s="198">
        <f t="shared" si="113"/>
        <v>0.17590307381646847</v>
      </c>
      <c r="AE93" s="198">
        <f t="shared" si="113"/>
        <v>0.17531588447653429</v>
      </c>
      <c r="AF93" s="198">
        <f t="shared" si="113"/>
        <v>0.16746620148277366</v>
      </c>
      <c r="AG93" s="198">
        <f t="shared" si="113"/>
        <v>0.15034821794346578</v>
      </c>
      <c r="AH93" s="198">
        <f t="shared" si="113"/>
        <v>0.1902078880901496</v>
      </c>
      <c r="AI93" s="198">
        <f t="shared" ref="AI93:AJ93" si="114">P93/P$76</f>
        <v>0.19173648134044174</v>
      </c>
      <c r="AJ93" s="198">
        <f t="shared" si="114"/>
        <v>0.15759999999999999</v>
      </c>
      <c r="AK93" s="198">
        <f t="shared" ref="AK93:AK96" si="115">SUM(K93:P93)/SUM(K$76:P$76)</f>
        <v>0.17558074836555848</v>
      </c>
    </row>
    <row r="94" spans="1:60" ht="7.5" customHeight="1" x14ac:dyDescent="0.2">
      <c r="A94" s="148"/>
      <c r="B94" s="170"/>
      <c r="C94" s="170"/>
      <c r="D94" s="170"/>
      <c r="E94" s="170"/>
      <c r="F94" s="170"/>
      <c r="G94" s="170"/>
      <c r="H94" s="170"/>
      <c r="I94" s="151"/>
      <c r="J94" s="151"/>
      <c r="K94" s="151"/>
      <c r="L94" s="151"/>
      <c r="M94" s="151"/>
      <c r="N94" s="151"/>
      <c r="O94" s="151"/>
      <c r="P94" s="151"/>
      <c r="Q94" s="151"/>
      <c r="R94" s="150"/>
      <c r="S94" s="157"/>
      <c r="T94" s="2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5"/>
    </row>
    <row r="95" spans="1:60" x14ac:dyDescent="0.2">
      <c r="A95" s="148" t="s">
        <v>43</v>
      </c>
      <c r="B95" s="164">
        <f>195.5+-1.1</f>
        <v>194.4</v>
      </c>
      <c r="C95" s="164">
        <v>0</v>
      </c>
      <c r="D95" s="164">
        <f>-146.7+112.8</f>
        <v>-33.899999999999991</v>
      </c>
      <c r="E95" s="164">
        <v>1.9</v>
      </c>
      <c r="F95" s="164">
        <v>0.9</v>
      </c>
      <c r="G95" s="164">
        <v>0</v>
      </c>
      <c r="H95" s="164">
        <v>0</v>
      </c>
      <c r="I95" s="148">
        <v>0</v>
      </c>
      <c r="J95" s="148">
        <v>0</v>
      </c>
      <c r="K95" s="148">
        <v>0</v>
      </c>
      <c r="L95" s="148">
        <v>0</v>
      </c>
      <c r="M95" s="148">
        <v>0</v>
      </c>
      <c r="N95" s="148">
        <v>0</v>
      </c>
      <c r="O95" s="148">
        <v>0</v>
      </c>
      <c r="P95" s="148">
        <v>0</v>
      </c>
      <c r="Q95" s="148">
        <v>0</v>
      </c>
      <c r="R95" s="150"/>
      <c r="S95" s="154"/>
      <c r="T95" s="2" t="str">
        <f t="shared" si="92"/>
        <v>Extraordinary Items</v>
      </c>
      <c r="U95" s="5">
        <f t="shared" ref="U95:AH97" si="116">B95/B$76</f>
        <v>4.8759687978128373E-2</v>
      </c>
      <c r="V95" s="5">
        <f t="shared" si="116"/>
        <v>0</v>
      </c>
      <c r="W95" s="5">
        <f t="shared" si="116"/>
        <v>-1.0108238661776544E-2</v>
      </c>
      <c r="X95" s="5">
        <f t="shared" si="116"/>
        <v>6.16402803010641E-4</v>
      </c>
      <c r="Y95" s="5">
        <f t="shared" si="116"/>
        <v>2.8173423070903115E-4</v>
      </c>
      <c r="Z95" s="5">
        <f t="shared" si="116"/>
        <v>0</v>
      </c>
      <c r="AA95" s="5">
        <f t="shared" si="116"/>
        <v>0</v>
      </c>
      <c r="AB95" s="5">
        <f t="shared" si="116"/>
        <v>0</v>
      </c>
      <c r="AC95" s="5">
        <f t="shared" si="116"/>
        <v>0</v>
      </c>
      <c r="AD95" s="5">
        <f t="shared" si="116"/>
        <v>0</v>
      </c>
      <c r="AE95" s="5">
        <f t="shared" si="116"/>
        <v>0</v>
      </c>
      <c r="AF95" s="5">
        <f t="shared" si="116"/>
        <v>0</v>
      </c>
      <c r="AG95" s="5">
        <f t="shared" si="116"/>
        <v>0</v>
      </c>
      <c r="AH95" s="5">
        <f t="shared" si="116"/>
        <v>0</v>
      </c>
      <c r="AI95" s="5">
        <f t="shared" ref="AI95:AJ97" si="117">P95/P$76</f>
        <v>0</v>
      </c>
      <c r="AJ95" s="5">
        <f t="shared" si="117"/>
        <v>0</v>
      </c>
      <c r="AK95" s="55">
        <f t="shared" si="115"/>
        <v>0</v>
      </c>
    </row>
    <row r="96" spans="1:60" x14ac:dyDescent="0.2">
      <c r="A96" s="148" t="s">
        <v>15</v>
      </c>
      <c r="B96" s="162">
        <v>134</v>
      </c>
      <c r="C96" s="162">
        <v>180.4</v>
      </c>
      <c r="D96" s="162">
        <v>176.1</v>
      </c>
      <c r="E96" s="162">
        <v>97.2</v>
      </c>
      <c r="F96" s="162">
        <v>144.5</v>
      </c>
      <c r="G96" s="162">
        <v>168.5</v>
      </c>
      <c r="H96" s="163">
        <v>199.4</v>
      </c>
      <c r="I96" s="153">
        <v>220</v>
      </c>
      <c r="J96" s="151">
        <v>238</v>
      </c>
      <c r="K96" s="151">
        <v>234</v>
      </c>
      <c r="L96" s="151">
        <v>211</v>
      </c>
      <c r="M96" s="151">
        <v>213</v>
      </c>
      <c r="N96" s="151">
        <v>197</v>
      </c>
      <c r="O96" s="151">
        <v>297</v>
      </c>
      <c r="P96" s="151">
        <v>309</v>
      </c>
      <c r="Q96" s="151">
        <v>63</v>
      </c>
      <c r="R96" s="150">
        <f t="shared" si="86"/>
        <v>5.7178992122375975E-2</v>
      </c>
      <c r="S96" s="154"/>
      <c r="T96" s="2" t="str">
        <f t="shared" si="92"/>
        <v>Income Taxes</v>
      </c>
      <c r="U96" s="6">
        <f t="shared" si="116"/>
        <v>3.3610072989039105E-2</v>
      </c>
      <c r="V96" s="6">
        <f t="shared" si="116"/>
        <v>3.5682496983602666E-2</v>
      </c>
      <c r="W96" s="6">
        <f t="shared" si="116"/>
        <v>5.2509168977547191E-2</v>
      </c>
      <c r="X96" s="6">
        <f t="shared" si="116"/>
        <v>3.1533869711912799E-2</v>
      </c>
      <c r="Y96" s="18">
        <f t="shared" si="116"/>
        <v>4.5233995930505554E-2</v>
      </c>
      <c r="Z96" s="5">
        <f t="shared" si="116"/>
        <v>5.5267646287063758E-2</v>
      </c>
      <c r="AA96" s="5">
        <f t="shared" si="116"/>
        <v>5.1171504093207074E-2</v>
      </c>
      <c r="AB96" s="5">
        <f t="shared" si="116"/>
        <v>5.1667449506810709E-2</v>
      </c>
      <c r="AC96" s="5">
        <f t="shared" si="116"/>
        <v>5.2912405513561585E-2</v>
      </c>
      <c r="AD96" s="5">
        <f t="shared" si="116"/>
        <v>5.2501682746241868E-2</v>
      </c>
      <c r="AE96" s="5">
        <f t="shared" si="116"/>
        <v>4.7608303249097469E-2</v>
      </c>
      <c r="AF96" s="5">
        <f t="shared" si="116"/>
        <v>4.6445704317488005E-2</v>
      </c>
      <c r="AG96" s="5">
        <f t="shared" si="116"/>
        <v>4.0352314625153624E-2</v>
      </c>
      <c r="AH96" s="5">
        <f t="shared" si="116"/>
        <v>5.7703516611618419E-2</v>
      </c>
      <c r="AI96" s="5">
        <f t="shared" si="117"/>
        <v>5.8834729626808836E-2</v>
      </c>
      <c r="AJ96" s="5">
        <f t="shared" si="117"/>
        <v>5.04E-2</v>
      </c>
      <c r="AK96" s="55">
        <f t="shared" si="115"/>
        <v>5.0806788148560302E-2</v>
      </c>
      <c r="AM96" s="55">
        <f>AE96/AE93</f>
        <v>0.27155727155727155</v>
      </c>
    </row>
    <row r="97" spans="1:37" ht="13.5" thickBot="1" x14ac:dyDescent="0.25">
      <c r="A97" s="182" t="s">
        <v>17</v>
      </c>
      <c r="B97" s="221">
        <f t="shared" ref="B97:L97" si="118">B93-B95-B96</f>
        <v>83.69999999999996</v>
      </c>
      <c r="C97" s="221">
        <f t="shared" si="118"/>
        <v>-88.200000000000017</v>
      </c>
      <c r="D97" s="221">
        <f t="shared" si="118"/>
        <v>327.29999999999995</v>
      </c>
      <c r="E97" s="221">
        <f t="shared" si="118"/>
        <v>140.09999999999962</v>
      </c>
      <c r="F97" s="221">
        <f t="shared" si="118"/>
        <v>248.09999999999968</v>
      </c>
      <c r="G97" s="221">
        <f t="shared" si="118"/>
        <v>251.70000000000016</v>
      </c>
      <c r="H97" s="222">
        <f t="shared" si="118"/>
        <v>360.69999999999959</v>
      </c>
      <c r="I97" s="208">
        <f t="shared" si="118"/>
        <v>445</v>
      </c>
      <c r="J97" s="208">
        <f t="shared" si="118"/>
        <v>465</v>
      </c>
      <c r="K97" s="208">
        <f t="shared" si="118"/>
        <v>550</v>
      </c>
      <c r="L97" s="208">
        <f t="shared" si="118"/>
        <v>566</v>
      </c>
      <c r="M97" s="208">
        <f t="shared" ref="M97:O97" si="119">M93-M95-M96</f>
        <v>555</v>
      </c>
      <c r="N97" s="208">
        <f t="shared" ref="N97" si="120">N93-N95-N96</f>
        <v>537</v>
      </c>
      <c r="O97" s="208">
        <f t="shared" si="119"/>
        <v>682</v>
      </c>
      <c r="P97" s="208">
        <f>P93-P95-P96</f>
        <v>698</v>
      </c>
      <c r="Q97" s="208">
        <f>Q93-Q95-Q96</f>
        <v>134</v>
      </c>
      <c r="R97" s="305">
        <f t="shared" si="86"/>
        <v>4.8814170893838944E-2</v>
      </c>
      <c r="S97" s="171"/>
      <c r="T97" s="2" t="str">
        <f t="shared" si="92"/>
        <v>Net Income</v>
      </c>
      <c r="U97" s="7">
        <f t="shared" si="116"/>
        <v>2.0993754546138593E-2</v>
      </c>
      <c r="V97" s="7">
        <f t="shared" si="116"/>
        <v>-1.744565539885674E-2</v>
      </c>
      <c r="W97" s="7">
        <f t="shared" si="116"/>
        <v>9.759370247786027E-2</v>
      </c>
      <c r="X97" s="7">
        <f t="shared" si="116"/>
        <v>4.5451596158837149E-2</v>
      </c>
      <c r="Y97" s="203">
        <f t="shared" si="116"/>
        <v>7.7664736265456155E-2</v>
      </c>
      <c r="Z97" s="203">
        <f t="shared" si="116"/>
        <v>8.2557071634741588E-2</v>
      </c>
      <c r="AA97" s="203">
        <f t="shared" si="116"/>
        <v>9.2565504144532448E-2</v>
      </c>
      <c r="AB97" s="203">
        <f t="shared" si="116"/>
        <v>0.1045091592296853</v>
      </c>
      <c r="AC97" s="203">
        <f t="shared" si="116"/>
        <v>0.10337927967985772</v>
      </c>
      <c r="AD97" s="203">
        <f t="shared" si="116"/>
        <v>0.12340139107022662</v>
      </c>
      <c r="AE97" s="203">
        <f t="shared" si="116"/>
        <v>0.12770758122743683</v>
      </c>
      <c r="AF97" s="203">
        <f t="shared" si="116"/>
        <v>0.12102049716528565</v>
      </c>
      <c r="AG97" s="203">
        <f t="shared" si="116"/>
        <v>0.10999590331831216</v>
      </c>
      <c r="AH97" s="203">
        <f t="shared" si="116"/>
        <v>0.1325043714785312</v>
      </c>
      <c r="AI97" s="203">
        <f t="shared" si="117"/>
        <v>0.13290175171363292</v>
      </c>
      <c r="AJ97" s="203">
        <f t="shared" si="117"/>
        <v>0.1072</v>
      </c>
      <c r="AK97" s="199">
        <f>SUM(K97:P97)/SUM(K$76:P$76)</f>
        <v>0.12477396021699819</v>
      </c>
    </row>
    <row r="98" spans="1:37" ht="13.5" thickTop="1" x14ac:dyDescent="0.2">
      <c r="A98" s="182"/>
      <c r="B98" s="218"/>
      <c r="C98" s="218"/>
      <c r="D98" s="218"/>
      <c r="E98" s="218"/>
      <c r="F98" s="218"/>
      <c r="G98" s="218"/>
      <c r="H98" s="218"/>
      <c r="I98" s="182"/>
      <c r="J98" s="182"/>
      <c r="K98" s="182"/>
      <c r="L98" s="182"/>
      <c r="M98" s="182"/>
      <c r="N98" s="182"/>
      <c r="O98" s="182"/>
      <c r="P98" s="182"/>
      <c r="Q98" s="182"/>
      <c r="R98" s="159"/>
      <c r="S98" s="140"/>
      <c r="T98" s="2"/>
      <c r="U98" s="2"/>
      <c r="V98" s="2"/>
      <c r="W98" s="2"/>
      <c r="X98" s="2"/>
      <c r="Y98" s="2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250"/>
    </row>
    <row r="99" spans="1:37" x14ac:dyDescent="0.2">
      <c r="A99" s="148" t="s">
        <v>46</v>
      </c>
      <c r="B99" s="164">
        <v>18.899999999999999</v>
      </c>
      <c r="C99" s="164">
        <v>17.899999999999999</v>
      </c>
      <c r="D99" s="164">
        <v>12.7</v>
      </c>
      <c r="E99" s="164">
        <v>7.3</v>
      </c>
      <c r="F99" s="164">
        <v>3.3</v>
      </c>
      <c r="G99" s="164">
        <v>2.1</v>
      </c>
      <c r="H99" s="164">
        <v>2.1</v>
      </c>
      <c r="I99" s="148">
        <v>2</v>
      </c>
      <c r="J99" s="148">
        <v>2</v>
      </c>
      <c r="K99" s="148">
        <v>2</v>
      </c>
      <c r="L99" s="148">
        <v>2</v>
      </c>
      <c r="M99" s="148">
        <v>2</v>
      </c>
      <c r="N99" s="148">
        <v>2</v>
      </c>
      <c r="O99" s="148">
        <v>2</v>
      </c>
      <c r="P99" s="149">
        <v>0.1</v>
      </c>
      <c r="Q99" s="149">
        <v>0.1</v>
      </c>
      <c r="R99" s="150">
        <f>RATE(5,,-J99,O99)</f>
        <v>8.8113899357329076E-17</v>
      </c>
      <c r="S99" s="140"/>
      <c r="T99" s="2" t="str">
        <f t="shared" si="92"/>
        <v>Preferred Stock Dividends</v>
      </c>
      <c r="U99" s="5">
        <f t="shared" ref="U99:X100" si="121">B99/B$97</f>
        <v>0.2258064516129033</v>
      </c>
      <c r="V99" s="5">
        <f t="shared" si="121"/>
        <v>-0.20294784580498862</v>
      </c>
      <c r="W99" s="5">
        <f t="shared" si="121"/>
        <v>3.8802322028719832E-2</v>
      </c>
      <c r="X99" s="5">
        <f t="shared" si="121"/>
        <v>5.2105638829407705E-2</v>
      </c>
      <c r="Y99" s="5">
        <f t="shared" ref="Y99:AH100" si="122">F99/F$76</f>
        <v>1.0330255125997809E-3</v>
      </c>
      <c r="Z99" s="5">
        <f t="shared" si="122"/>
        <v>6.887955917082131E-4</v>
      </c>
      <c r="AA99" s="5">
        <f t="shared" si="122"/>
        <v>5.3891754561552084E-4</v>
      </c>
      <c r="AB99" s="5">
        <f t="shared" si="122"/>
        <v>4.6970408642555192E-4</v>
      </c>
      <c r="AC99" s="5">
        <f t="shared" si="122"/>
        <v>4.4464206313917296E-4</v>
      </c>
      <c r="AD99" s="5">
        <f t="shared" si="122"/>
        <v>4.4873233116446041E-4</v>
      </c>
      <c r="AE99" s="5">
        <f t="shared" si="122"/>
        <v>4.512635379061372E-4</v>
      </c>
      <c r="AF99" s="5">
        <f t="shared" si="122"/>
        <v>4.3610989969472308E-4</v>
      </c>
      <c r="AG99" s="5">
        <f t="shared" si="122"/>
        <v>4.0966816878328555E-4</v>
      </c>
      <c r="AH99" s="5">
        <f t="shared" si="122"/>
        <v>3.885758694385079E-4</v>
      </c>
      <c r="AI99" s="5">
        <f t="shared" ref="AI99:AJ100" si="123">P99/P$76</f>
        <v>1.9040365575019042E-5</v>
      </c>
      <c r="AJ99" s="5">
        <f t="shared" si="123"/>
        <v>8.0000000000000007E-5</v>
      </c>
      <c r="AK99" s="55">
        <f t="shared" ref="AK99:AK100" si="124">SUM(I99:O99)/SUM(I$37:O$37)</f>
        <v>1.0318472276476094E-4</v>
      </c>
    </row>
    <row r="100" spans="1:37" x14ac:dyDescent="0.2">
      <c r="A100" s="148" t="s">
        <v>47</v>
      </c>
      <c r="B100" s="164">
        <f>269.5-B99</f>
        <v>250.6</v>
      </c>
      <c r="C100" s="164">
        <f>347.7-C99</f>
        <v>329.8</v>
      </c>
      <c r="D100" s="164">
        <f>310.3-D99</f>
        <v>297.60000000000002</v>
      </c>
      <c r="E100" s="164">
        <f>7.3-E99</f>
        <v>0</v>
      </c>
      <c r="F100" s="164">
        <v>160.6</v>
      </c>
      <c r="G100" s="164">
        <f>195.4-G99</f>
        <v>193.3</v>
      </c>
      <c r="H100" s="164">
        <v>175</v>
      </c>
      <c r="I100" s="148">
        <v>0</v>
      </c>
      <c r="J100" s="148">
        <v>0</v>
      </c>
      <c r="K100" s="148">
        <v>0</v>
      </c>
      <c r="L100" s="148">
        <v>0</v>
      </c>
      <c r="M100" s="148">
        <v>550</v>
      </c>
      <c r="N100" s="148">
        <v>200</v>
      </c>
      <c r="O100" s="148">
        <v>500</v>
      </c>
      <c r="P100" s="148">
        <v>725</v>
      </c>
      <c r="Q100" s="148">
        <v>450</v>
      </c>
      <c r="R100" s="150"/>
      <c r="S100" s="140"/>
      <c r="T100" s="2" t="str">
        <f t="shared" si="92"/>
        <v>Common Stock Dividends</v>
      </c>
      <c r="U100" s="5">
        <f t="shared" si="121"/>
        <v>2.9940262843488665</v>
      </c>
      <c r="V100" s="5">
        <f t="shared" si="121"/>
        <v>-3.73922902494331</v>
      </c>
      <c r="W100" s="5">
        <f t="shared" si="121"/>
        <v>0.90925756186984441</v>
      </c>
      <c r="X100" s="5">
        <f t="shared" si="121"/>
        <v>0</v>
      </c>
      <c r="Y100" s="5">
        <f t="shared" si="122"/>
        <v>5.0273908279855999E-2</v>
      </c>
      <c r="Z100" s="5">
        <f t="shared" si="122"/>
        <v>6.3401994227236941E-2</v>
      </c>
      <c r="AA100" s="5">
        <f t="shared" si="122"/>
        <v>4.4909795467960069E-2</v>
      </c>
      <c r="AB100" s="5">
        <f t="shared" si="122"/>
        <v>0</v>
      </c>
      <c r="AC100" s="5">
        <f t="shared" si="122"/>
        <v>0</v>
      </c>
      <c r="AD100" s="5">
        <f t="shared" si="122"/>
        <v>0</v>
      </c>
      <c r="AE100" s="5">
        <f t="shared" si="122"/>
        <v>0</v>
      </c>
      <c r="AF100" s="5">
        <f t="shared" si="122"/>
        <v>0.11993022241604885</v>
      </c>
      <c r="AG100" s="5">
        <f t="shared" si="122"/>
        <v>4.0966816878328552E-2</v>
      </c>
      <c r="AH100" s="5">
        <f t="shared" si="122"/>
        <v>9.7143967359626965E-2</v>
      </c>
      <c r="AI100" s="5">
        <f t="shared" si="123"/>
        <v>0.13804265041888805</v>
      </c>
      <c r="AJ100" s="5">
        <f t="shared" si="123"/>
        <v>0.36</v>
      </c>
      <c r="AK100" s="55">
        <f t="shared" si="124"/>
        <v>9.2129216754250846E-3</v>
      </c>
    </row>
    <row r="101" spans="1:37" x14ac:dyDescent="0.2">
      <c r="A101" s="149" t="s">
        <v>152</v>
      </c>
      <c r="B101" s="164" t="s">
        <v>154</v>
      </c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48"/>
      <c r="Q101" s="148"/>
      <c r="R101" s="150"/>
      <c r="S101" s="140"/>
      <c r="T101" s="14" t="str">
        <f t="shared" si="92"/>
        <v>*</v>
      </c>
      <c r="U101" s="172" t="s">
        <v>153</v>
      </c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</row>
    <row r="102" spans="1:37" x14ac:dyDescent="0.2">
      <c r="A102" s="148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50"/>
      <c r="S102" s="140"/>
      <c r="T102" s="2"/>
      <c r="U102" s="140"/>
      <c r="V102" s="140"/>
      <c r="W102" s="140"/>
      <c r="X102" s="140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3"/>
      <c r="AI102" s="173"/>
      <c r="AJ102" s="173"/>
      <c r="AK102" s="173"/>
    </row>
    <row r="103" spans="1:37" x14ac:dyDescent="0.2">
      <c r="A103" s="148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50"/>
      <c r="S103" s="140"/>
      <c r="T103" s="2"/>
      <c r="V103" s="140"/>
      <c r="W103" s="140"/>
      <c r="X103" s="140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</row>
    <row r="104" spans="1:37" x14ac:dyDescent="0.2">
      <c r="A104" s="148"/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212" t="s">
        <v>114</v>
      </c>
      <c r="S104" s="140"/>
      <c r="T104" s="2"/>
      <c r="U104" s="140"/>
      <c r="V104" s="140"/>
      <c r="W104" s="140"/>
      <c r="X104" s="140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  <c r="AJ104" s="173"/>
      <c r="AK104" s="173"/>
    </row>
    <row r="105" spans="1:37" x14ac:dyDescent="0.2">
      <c r="A105" s="148"/>
      <c r="B105" s="148"/>
      <c r="C105" s="148"/>
      <c r="D105" s="148"/>
      <c r="E105" s="14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60" t="s">
        <v>118</v>
      </c>
      <c r="S105" s="140"/>
      <c r="T105" s="2"/>
      <c r="U105" s="140"/>
      <c r="V105" s="140"/>
      <c r="W105" s="140"/>
      <c r="X105" s="140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</row>
    <row r="106" spans="1:37" ht="18.75" x14ac:dyDescent="0.3">
      <c r="A106" s="142" t="str">
        <f>A4</f>
        <v>PacifiCorp</v>
      </c>
      <c r="B106" s="143"/>
      <c r="C106" s="143"/>
      <c r="D106" s="143"/>
      <c r="E106" s="143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3"/>
      <c r="S106" s="140"/>
      <c r="T106" s="2"/>
      <c r="U106" s="140"/>
      <c r="V106" s="140"/>
      <c r="W106" s="140"/>
      <c r="X106" s="140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</row>
    <row r="107" spans="1:37" ht="15.75" x14ac:dyDescent="0.25">
      <c r="A107" s="145" t="s">
        <v>41</v>
      </c>
      <c r="B107" s="146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7"/>
      <c r="S107" s="140"/>
      <c r="T107" s="2"/>
      <c r="U107" s="140"/>
      <c r="V107" s="140"/>
      <c r="W107" s="140"/>
      <c r="X107" s="140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</row>
    <row r="108" spans="1:37" ht="14.25" x14ac:dyDescent="0.2">
      <c r="A108" s="243" t="str">
        <f>A6</f>
        <v>Fiscal Years Ended December 31, 2009-2014; Three Months Ended March 31, 2015</v>
      </c>
      <c r="B108" s="146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7"/>
      <c r="S108" s="140"/>
      <c r="T108" s="2"/>
      <c r="U108" s="140"/>
      <c r="V108" s="140"/>
      <c r="W108" s="140"/>
      <c r="X108" s="140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  <c r="AI108" s="173"/>
      <c r="AJ108" s="173"/>
      <c r="AK108" s="173"/>
    </row>
    <row r="109" spans="1:37" x14ac:dyDescent="0.2">
      <c r="A109" s="148"/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50"/>
      <c r="S109" s="140"/>
      <c r="T109" s="2"/>
      <c r="U109" s="140"/>
      <c r="V109" s="140"/>
      <c r="W109" s="140"/>
      <c r="X109" s="140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73"/>
      <c r="AI109" s="173"/>
      <c r="AJ109" s="173"/>
      <c r="AK109" s="173"/>
    </row>
    <row r="110" spans="1:37" x14ac:dyDescent="0.2">
      <c r="A110" s="182"/>
      <c r="B110" s="182"/>
      <c r="C110" s="182"/>
      <c r="D110" s="182"/>
      <c r="E110" s="182"/>
      <c r="F110" s="182"/>
      <c r="G110" s="182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 t="str">
        <f>Q8</f>
        <v>3 Months</v>
      </c>
      <c r="R110" s="187" t="str">
        <f>R7</f>
        <v>2009-2014</v>
      </c>
      <c r="S110" s="140"/>
      <c r="T110" s="2"/>
      <c r="U110" s="140"/>
      <c r="V110" s="140"/>
      <c r="W110" s="140"/>
      <c r="X110" s="140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  <c r="AI110" s="173"/>
      <c r="AJ110" s="173"/>
      <c r="AK110" s="173"/>
    </row>
    <row r="111" spans="1:37" x14ac:dyDescent="0.2">
      <c r="A111" s="205" t="s">
        <v>26</v>
      </c>
      <c r="B111" s="185">
        <f t="shared" ref="B111:H111" si="125">U9</f>
        <v>2000</v>
      </c>
      <c r="C111" s="185">
        <f t="shared" si="125"/>
        <v>2001</v>
      </c>
      <c r="D111" s="185">
        <f t="shared" si="125"/>
        <v>2002</v>
      </c>
      <c r="E111" s="185">
        <f t="shared" si="125"/>
        <v>2003</v>
      </c>
      <c r="F111" s="185">
        <f t="shared" si="125"/>
        <v>2004</v>
      </c>
      <c r="G111" s="185">
        <f t="shared" si="125"/>
        <v>2005</v>
      </c>
      <c r="H111" s="185">
        <f t="shared" si="125"/>
        <v>2006</v>
      </c>
      <c r="I111" s="185">
        <f>AB73</f>
        <v>2007</v>
      </c>
      <c r="J111" s="185">
        <f>J9</f>
        <v>2008</v>
      </c>
      <c r="K111" s="185">
        <f t="shared" ref="K111:O111" si="126">K9</f>
        <v>2009</v>
      </c>
      <c r="L111" s="185">
        <f t="shared" si="126"/>
        <v>2010</v>
      </c>
      <c r="M111" s="185">
        <f t="shared" si="126"/>
        <v>2011</v>
      </c>
      <c r="N111" s="185">
        <f t="shared" si="126"/>
        <v>2012</v>
      </c>
      <c r="O111" s="185">
        <f t="shared" si="126"/>
        <v>2013</v>
      </c>
      <c r="P111" s="185">
        <f>P73</f>
        <v>2014</v>
      </c>
      <c r="Q111" s="312">
        <f>Q9</f>
        <v>42064</v>
      </c>
      <c r="R111" s="190" t="s">
        <v>3</v>
      </c>
      <c r="S111" s="140"/>
      <c r="T111" s="2"/>
      <c r="U111" s="140"/>
      <c r="V111" s="140"/>
      <c r="W111" s="140"/>
      <c r="X111" s="140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3"/>
      <c r="AK111" s="173"/>
    </row>
    <row r="112" spans="1:37" ht="7.5" customHeight="1" x14ac:dyDescent="0.2">
      <c r="A112" s="151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5"/>
      <c r="S112" s="140"/>
      <c r="T112" s="2"/>
      <c r="U112" s="140"/>
      <c r="V112" s="140"/>
      <c r="W112" s="140"/>
      <c r="X112" s="140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173"/>
      <c r="AI112" s="173"/>
      <c r="AJ112" s="173"/>
      <c r="AK112" s="173"/>
    </row>
    <row r="113" spans="1:37" ht="12.75" customHeight="1" x14ac:dyDescent="0.2">
      <c r="A113" s="184" t="s">
        <v>29</v>
      </c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50"/>
      <c r="S113" s="140"/>
      <c r="T113" s="2"/>
      <c r="U113" s="140"/>
      <c r="V113" s="140"/>
      <c r="W113" s="140"/>
      <c r="X113" s="140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  <c r="AI113" s="173"/>
      <c r="AJ113" s="173"/>
      <c r="AK113" s="173"/>
    </row>
    <row r="114" spans="1:37" ht="12.75" customHeight="1" x14ac:dyDescent="0.2">
      <c r="A114" s="148" t="s">
        <v>7</v>
      </c>
      <c r="B114" s="176">
        <f t="shared" ref="B114:L114" si="127">B16/B47</f>
        <v>0.87684729064039402</v>
      </c>
      <c r="C114" s="176">
        <f t="shared" si="127"/>
        <v>0.84773919560329747</v>
      </c>
      <c r="D114" s="176">
        <f t="shared" si="127"/>
        <v>0.62470211192374059</v>
      </c>
      <c r="E114" s="176">
        <f t="shared" si="127"/>
        <v>0.90747863247863247</v>
      </c>
      <c r="F114" s="176">
        <f t="shared" si="127"/>
        <v>0.70408638183002892</v>
      </c>
      <c r="G114" s="176">
        <f t="shared" si="127"/>
        <v>0.76003004318708134</v>
      </c>
      <c r="H114" s="176">
        <f t="shared" si="127"/>
        <v>0.83488199983553968</v>
      </c>
      <c r="I114" s="176">
        <f t="shared" si="127"/>
        <v>1.1241431835491242</v>
      </c>
      <c r="J114" s="176">
        <f t="shared" si="127"/>
        <v>0.93860845839017737</v>
      </c>
      <c r="K114" s="176">
        <f t="shared" si="127"/>
        <v>1.5518262586377098</v>
      </c>
      <c r="L114" s="176">
        <f t="shared" si="127"/>
        <v>1.0851472471190782</v>
      </c>
      <c r="M114" s="176">
        <f t="shared" ref="M114" si="128">M16/M47</f>
        <v>0.81753031973539136</v>
      </c>
      <c r="N114" s="176">
        <f t="shared" ref="N114:Q114" si="129">N16/N47</f>
        <v>1.1433021806853583</v>
      </c>
      <c r="O114" s="176">
        <f t="shared" si="129"/>
        <v>1.1318681318681318</v>
      </c>
      <c r="P114" s="176">
        <f t="shared" si="129"/>
        <v>1.3616071428571428</v>
      </c>
      <c r="Q114" s="176">
        <f t="shared" si="129"/>
        <v>1.0014760147601476</v>
      </c>
      <c r="R114" s="176">
        <f>AVERAGE(K114:P114)</f>
        <v>1.181880213483802</v>
      </c>
      <c r="S114" s="140"/>
      <c r="T114" s="2"/>
      <c r="U114" s="140"/>
      <c r="V114" s="140"/>
      <c r="W114" s="140"/>
      <c r="X114" s="140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3"/>
      <c r="AI114" s="173"/>
      <c r="AJ114" s="173"/>
      <c r="AK114" s="173"/>
    </row>
    <row r="115" spans="1:37" ht="12.75" customHeight="1" x14ac:dyDescent="0.2">
      <c r="A115" s="148" t="s">
        <v>25</v>
      </c>
      <c r="B115" s="176">
        <f t="shared" ref="B115:L115" si="130">(B12+B13)/B47</f>
        <v>0.65298303229337706</v>
      </c>
      <c r="C115" s="176">
        <f t="shared" si="130"/>
        <v>0.44116912315763174</v>
      </c>
      <c r="D115" s="176">
        <f t="shared" si="130"/>
        <v>0.33445640562083984</v>
      </c>
      <c r="E115" s="176">
        <f t="shared" si="130"/>
        <v>0.43878205128205128</v>
      </c>
      <c r="F115" s="176">
        <f t="shared" si="130"/>
        <v>0.27329423810853581</v>
      </c>
      <c r="G115" s="176">
        <f t="shared" si="130"/>
        <v>0.30813043750391189</v>
      </c>
      <c r="H115" s="176">
        <f t="shared" si="130"/>
        <v>0.31773702820491728</v>
      </c>
      <c r="I115" s="176">
        <f t="shared" si="130"/>
        <v>0.61766945925361771</v>
      </c>
      <c r="J115" s="176">
        <f t="shared" si="130"/>
        <v>0.45566166439290584</v>
      </c>
      <c r="K115" s="176">
        <f t="shared" si="130"/>
        <v>0.72655478775913129</v>
      </c>
      <c r="L115" s="176">
        <f t="shared" si="130"/>
        <v>0.42189500640204863</v>
      </c>
      <c r="M115" s="176">
        <f t="shared" ref="M115" si="131">(M12+M13)/M47</f>
        <v>0.38588754134509373</v>
      </c>
      <c r="N115" s="176">
        <f t="shared" ref="N115:Q115" si="132">(N12+N13)/N47</f>
        <v>0.58489096573208721</v>
      </c>
      <c r="O115" s="176">
        <f t="shared" si="132"/>
        <v>0.59105180533751966</v>
      </c>
      <c r="P115" s="176">
        <f t="shared" si="132"/>
        <v>0.64642857142857146</v>
      </c>
      <c r="Q115" s="176">
        <f t="shared" si="132"/>
        <v>0.46642066420664208</v>
      </c>
      <c r="R115" s="176">
        <f t="shared" ref="R115:R117" si="133">AVERAGE(K115:P115)</f>
        <v>0.55945144633407529</v>
      </c>
      <c r="S115" s="140"/>
      <c r="T115" s="2"/>
      <c r="U115" s="140"/>
      <c r="V115" s="140"/>
      <c r="W115" s="140"/>
      <c r="X115" s="140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  <c r="AI115" s="173"/>
      <c r="AJ115" s="173"/>
      <c r="AK115" s="173"/>
    </row>
    <row r="116" spans="1:37" ht="12.75" customHeight="1" x14ac:dyDescent="0.2">
      <c r="A116" s="140" t="s">
        <v>208</v>
      </c>
      <c r="B116" s="176"/>
      <c r="C116" s="176"/>
      <c r="D116" s="176"/>
      <c r="E116" s="176"/>
      <c r="F116" s="176"/>
      <c r="G116" s="176"/>
      <c r="H116" s="176">
        <f t="shared" ref="H116:M116" si="134">((H76/365)/((G12+H12)/2))^-1</f>
        <v>14.935522365078143</v>
      </c>
      <c r="I116" s="176">
        <f t="shared" si="134"/>
        <v>14.898309065288869</v>
      </c>
      <c r="J116" s="176">
        <f t="shared" si="134"/>
        <v>11.644619831036016</v>
      </c>
      <c r="K116" s="176">
        <f t="shared" ref="K116" si="135">((K76/365)/((J12+K12)/2))^-1</f>
        <v>7.2066412385012342</v>
      </c>
      <c r="L116" s="176">
        <f t="shared" ref="L116" si="136">((L76/365)/((K12+L12)/2))^-1</f>
        <v>6.0943140794223831</v>
      </c>
      <c r="M116" s="176">
        <f t="shared" si="134"/>
        <v>3.1040122110771917</v>
      </c>
      <c r="N116" s="176">
        <f t="shared" ref="N116" si="137">((N76/365)/((M12+N12)/2))^-1</f>
        <v>4.7475419909873002</v>
      </c>
      <c r="O116" s="176">
        <f t="shared" ref="O116" si="138">((O76/365)/((N12+O12)/2))^-1</f>
        <v>4.7158538954730913</v>
      </c>
      <c r="P116" s="176">
        <f t="shared" ref="P116" si="139">((P76/365)/((O12+P12)/2))^-1</f>
        <v>2.6408987052551409</v>
      </c>
      <c r="Q116" s="176">
        <f>((Q76*4/365)/((P12+Q12)/2))^-1</f>
        <v>1.2775000000000001</v>
      </c>
      <c r="R116" s="176">
        <f t="shared" si="133"/>
        <v>4.7515436867860563</v>
      </c>
      <c r="S116" s="140"/>
      <c r="T116" s="2"/>
      <c r="U116" s="140"/>
      <c r="V116" s="140"/>
      <c r="W116" s="140"/>
      <c r="X116" s="140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3"/>
      <c r="AI116" s="173"/>
      <c r="AJ116" s="173"/>
      <c r="AK116" s="173"/>
    </row>
    <row r="117" spans="1:37" ht="12.75" customHeight="1" x14ac:dyDescent="0.2">
      <c r="A117" s="148" t="s">
        <v>10</v>
      </c>
      <c r="B117" s="176">
        <f>365*(B13/B76)</f>
        <v>51.414382101382024</v>
      </c>
      <c r="C117" s="176">
        <f t="shared" ref="C117:M117" si="140">365*(((B13+C13)/2)/((B76+C76)/2))</f>
        <v>45.555371242784148</v>
      </c>
      <c r="D117" s="176">
        <f t="shared" si="140"/>
        <v>35.42184935905059</v>
      </c>
      <c r="E117" s="176">
        <f t="shared" si="140"/>
        <v>28.769674181569581</v>
      </c>
      <c r="F117" s="176">
        <f t="shared" si="140"/>
        <v>28.685258646784238</v>
      </c>
      <c r="G117" s="176">
        <f t="shared" si="140"/>
        <v>30.87413707494434</v>
      </c>
      <c r="H117" s="176">
        <f t="shared" si="140"/>
        <v>29.41861637031171</v>
      </c>
      <c r="I117" s="176">
        <f t="shared" si="140"/>
        <v>38.03659239457</v>
      </c>
      <c r="J117" s="176">
        <f t="shared" si="140"/>
        <v>49.689355870260393</v>
      </c>
      <c r="K117" s="176">
        <f t="shared" ref="K117" si="141">365*(((J13+K13)/2)/((J76+K76)/2))</f>
        <v>50.052484645449468</v>
      </c>
      <c r="L117" s="176">
        <f t="shared" ref="L117" si="142">365*(((K13+L13)/2)/((K76+L76)/2))</f>
        <v>51.204297446281927</v>
      </c>
      <c r="M117" s="176">
        <f t="shared" si="140"/>
        <v>51.847970725216236</v>
      </c>
      <c r="N117" s="176">
        <f t="shared" ref="N117" si="143">365*(((M13+N13)/2)/((M76+N76)/2))</f>
        <v>51.041402619349384</v>
      </c>
      <c r="O117" s="176">
        <f t="shared" ref="O117" si="144">365*(((N13+O13)/2)/((N76+O76)/2))</f>
        <v>49.896799282081957</v>
      </c>
      <c r="P117" s="176">
        <f t="shared" ref="P117" si="145">365*(((O13+P13)/2)/((O76+P76)/2))</f>
        <v>49.174439849985575</v>
      </c>
      <c r="Q117" s="176">
        <f>365*(((P13+Q13)/2)/((P76+Q76*4)/2))</f>
        <v>47.031310963714397</v>
      </c>
      <c r="R117" s="176">
        <f t="shared" si="133"/>
        <v>50.536232428060764</v>
      </c>
      <c r="S117" s="140"/>
      <c r="T117" s="2"/>
      <c r="U117" s="140"/>
      <c r="V117" s="140"/>
      <c r="W117" s="140"/>
      <c r="X117" s="140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  <c r="AI117" s="173"/>
      <c r="AJ117" s="173"/>
      <c r="AK117" s="173"/>
    </row>
    <row r="118" spans="1:37" ht="7.5" customHeight="1" x14ac:dyDescent="0.2">
      <c r="A118" s="148"/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40"/>
      <c r="T118" s="2"/>
      <c r="U118" s="140"/>
      <c r="V118" s="140"/>
      <c r="W118" s="140"/>
      <c r="X118" s="140"/>
      <c r="Y118" s="173"/>
      <c r="Z118" s="173"/>
      <c r="AA118" s="173"/>
      <c r="AB118" s="173"/>
      <c r="AC118" s="173"/>
      <c r="AD118" s="173"/>
      <c r="AE118" s="173"/>
      <c r="AF118" s="173"/>
      <c r="AG118" s="173"/>
      <c r="AH118" s="173"/>
      <c r="AI118" s="173"/>
      <c r="AJ118" s="173"/>
      <c r="AK118" s="173"/>
    </row>
    <row r="119" spans="1:37" x14ac:dyDescent="0.2">
      <c r="A119" s="184" t="s">
        <v>16</v>
      </c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40"/>
      <c r="T119" s="2"/>
      <c r="U119" s="140"/>
      <c r="V119" s="140"/>
      <c r="W119" s="140"/>
      <c r="X119" s="140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</row>
    <row r="120" spans="1:37" x14ac:dyDescent="0.2">
      <c r="A120" s="148" t="s">
        <v>20</v>
      </c>
      <c r="B120" s="176">
        <f t="shared" ref="B120:L120" si="146">B62/B55</f>
        <v>0.47265705897401533</v>
      </c>
      <c r="C120" s="176">
        <f t="shared" si="146"/>
        <v>0.47675831157406762</v>
      </c>
      <c r="D120" s="176">
        <f t="shared" si="146"/>
        <v>0.38411677978933939</v>
      </c>
      <c r="E120" s="176">
        <f t="shared" si="146"/>
        <v>0.39674102041830195</v>
      </c>
      <c r="F120" s="176">
        <f t="shared" si="146"/>
        <v>0.39498602544333078</v>
      </c>
      <c r="G120" s="176">
        <f t="shared" si="146"/>
        <v>0.36677295217152284</v>
      </c>
      <c r="H120" s="176">
        <f t="shared" si="146"/>
        <v>0.46427496469171825</v>
      </c>
      <c r="I120" s="176">
        <f t="shared" si="146"/>
        <v>0.51277093721379874</v>
      </c>
      <c r="J120" s="176">
        <f>J62/J55</f>
        <v>0.54288288288288289</v>
      </c>
      <c r="K120" s="176">
        <f>K62/K55</f>
        <v>0.54691842406408375</v>
      </c>
      <c r="L120" s="176">
        <f t="shared" si="146"/>
        <v>0.56641994546162833</v>
      </c>
      <c r="M120" s="176">
        <f t="shared" ref="M120" si="147">M62/M55</f>
        <v>0.52711323763955342</v>
      </c>
      <c r="N120" s="176">
        <f t="shared" ref="N120:Q120" si="148">N62/N55</f>
        <v>0.53983243396762282</v>
      </c>
      <c r="O120" s="176">
        <f t="shared" si="148"/>
        <v>0.56120242214532867</v>
      </c>
      <c r="P120" s="176">
        <f t="shared" si="148"/>
        <v>0.53435324925918271</v>
      </c>
      <c r="Q120" s="176">
        <f t="shared" si="148"/>
        <v>0.5048873201194678</v>
      </c>
      <c r="R120" s="176">
        <f>AVERAGE(K120:P120)</f>
        <v>0.54597328542289991</v>
      </c>
      <c r="S120" s="140"/>
      <c r="T120" s="2"/>
      <c r="U120" s="140"/>
      <c r="V120" s="140"/>
      <c r="W120" s="140"/>
      <c r="X120" s="140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</row>
    <row r="121" spans="1:37" x14ac:dyDescent="0.2">
      <c r="A121" s="148" t="s">
        <v>19</v>
      </c>
      <c r="B121" s="176">
        <f t="shared" ref="B121:L121" si="149">B62/B53</f>
        <v>0.54550439367311077</v>
      </c>
      <c r="C121" s="176">
        <f t="shared" si="149"/>
        <v>0.61404549950544018</v>
      </c>
      <c r="D121" s="176">
        <f t="shared" si="149"/>
        <v>0.45817357964447536</v>
      </c>
      <c r="E121" s="176">
        <f t="shared" si="149"/>
        <v>0.44892911349710496</v>
      </c>
      <c r="F121" s="176">
        <f t="shared" si="149"/>
        <v>0.45370511312530271</v>
      </c>
      <c r="G121" s="176">
        <f t="shared" si="149"/>
        <v>0.44493350939671616</v>
      </c>
      <c r="H121" s="176">
        <f t="shared" si="149"/>
        <v>0.54034572425593841</v>
      </c>
      <c r="I121" s="176">
        <f t="shared" si="149"/>
        <v>0.59184871975569653</v>
      </c>
      <c r="J121" s="176">
        <f>J62/J53</f>
        <v>0.62549304546398177</v>
      </c>
      <c r="K121" s="176">
        <f>K62/K53</f>
        <v>0.59629266553783089</v>
      </c>
      <c r="L121" s="176">
        <f t="shared" si="149"/>
        <v>0.64490375232857267</v>
      </c>
      <c r="M121" s="176">
        <f t="shared" ref="M121" si="150">M62/M53</f>
        <v>0.60692821368948247</v>
      </c>
      <c r="N121" s="176">
        <f t="shared" ref="N121:Q121" si="151">N62/N53</f>
        <v>0.59398437500000001</v>
      </c>
      <c r="O121" s="176">
        <f t="shared" si="151"/>
        <v>0.61795523098904592</v>
      </c>
      <c r="P121" s="176">
        <f t="shared" si="151"/>
        <v>0.57904562766036893</v>
      </c>
      <c r="Q121" s="176">
        <f t="shared" si="151"/>
        <v>0.55602900500859687</v>
      </c>
      <c r="R121" s="176">
        <f t="shared" ref="R121:R124" si="152">AVERAGE(K121:P121)</f>
        <v>0.60651831086755015</v>
      </c>
      <c r="S121" s="140"/>
      <c r="T121" s="2"/>
      <c r="U121" s="140"/>
      <c r="V121" s="140"/>
      <c r="W121" s="140"/>
      <c r="X121" s="140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173"/>
    </row>
    <row r="122" spans="1:37" x14ac:dyDescent="0.2">
      <c r="A122" s="148" t="s">
        <v>18</v>
      </c>
      <c r="B122" s="176">
        <f t="shared" ref="B122:L122" si="153">B62/B27</f>
        <v>0.42180620332017876</v>
      </c>
      <c r="C122" s="176">
        <f t="shared" si="153"/>
        <v>0.43095331254969776</v>
      </c>
      <c r="D122" s="176">
        <f t="shared" si="153"/>
        <v>0.3628709454796411</v>
      </c>
      <c r="E122" s="176">
        <f t="shared" si="153"/>
        <v>0.36723573029832729</v>
      </c>
      <c r="F122" s="176">
        <f t="shared" si="153"/>
        <v>0.36282852874453603</v>
      </c>
      <c r="G122" s="176">
        <f t="shared" si="153"/>
        <v>0.35148462689397936</v>
      </c>
      <c r="H122" s="176">
        <f t="shared" si="153"/>
        <v>0.39671784117437586</v>
      </c>
      <c r="I122" s="176">
        <f t="shared" si="153"/>
        <v>0.42526795510169635</v>
      </c>
      <c r="J122" s="176">
        <f t="shared" si="153"/>
        <v>0.43590856481481483</v>
      </c>
      <c r="K122" s="176">
        <f t="shared" si="153"/>
        <v>0.43064941751946967</v>
      </c>
      <c r="L122" s="176">
        <f t="shared" si="153"/>
        <v>0.44350902879453391</v>
      </c>
      <c r="M122" s="176">
        <f t="shared" ref="M122" si="154">M62/M27</f>
        <v>0.41849890641187981</v>
      </c>
      <c r="N122" s="176">
        <f t="shared" ref="N122:Q122" si="155">N62/N27</f>
        <v>0.42105554632552472</v>
      </c>
      <c r="O122" s="176">
        <f t="shared" si="155"/>
        <v>0.42065164532339117</v>
      </c>
      <c r="P122" s="176">
        <f t="shared" si="155"/>
        <v>0.41423152946204389</v>
      </c>
      <c r="Q122" s="176">
        <f t="shared" si="155"/>
        <v>0.39599637970505241</v>
      </c>
      <c r="R122" s="176">
        <f t="shared" si="152"/>
        <v>0.42476601230614053</v>
      </c>
      <c r="S122" s="140"/>
      <c r="T122" s="2"/>
      <c r="U122" s="140"/>
      <c r="V122" s="140"/>
      <c r="W122" s="140"/>
      <c r="X122" s="140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3"/>
      <c r="AK122" s="173"/>
    </row>
    <row r="123" spans="1:37" x14ac:dyDescent="0.2">
      <c r="A123" s="148" t="s">
        <v>30</v>
      </c>
      <c r="B123" s="176">
        <f t="shared" ref="B123:I123" si="156">(B93+B87)/B87</f>
        <v>2.2830012453300124</v>
      </c>
      <c r="C123" s="176">
        <f t="shared" si="156"/>
        <v>1.3322522522522522</v>
      </c>
      <c r="D123" s="176">
        <f t="shared" si="156"/>
        <v>3.1263586956521738</v>
      </c>
      <c r="E123" s="176">
        <f t="shared" si="156"/>
        <v>1.9480776852952819</v>
      </c>
      <c r="F123" s="176">
        <f t="shared" si="156"/>
        <v>2.6631445477599311</v>
      </c>
      <c r="G123" s="176">
        <f t="shared" si="156"/>
        <v>2.6634996041171823</v>
      </c>
      <c r="H123" s="176">
        <f t="shared" si="156"/>
        <v>3.2630303030303018</v>
      </c>
      <c r="I123" s="176">
        <f t="shared" si="156"/>
        <v>3.3333333333333335</v>
      </c>
      <c r="J123" s="176">
        <f>(J93+J87)/J87</f>
        <v>3.2750809061488675</v>
      </c>
      <c r="K123" s="176">
        <f>(K93+K87)/K87</f>
        <v>3.1838440111420612</v>
      </c>
      <c r="L123" s="176">
        <f>((L93+L87)/L87)</f>
        <v>3.2719298245614037</v>
      </c>
      <c r="M123" s="176">
        <f>((M93+M87)/M87)</f>
        <v>3.092643051771117</v>
      </c>
      <c r="N123" s="176">
        <f t="shared" ref="N123:Q123" si="157">((N93+N87)/N87)</f>
        <v>3.091168091168091</v>
      </c>
      <c r="O123" s="176">
        <f t="shared" si="157"/>
        <v>3.7971428571428572</v>
      </c>
      <c r="P123" s="176">
        <f t="shared" si="157"/>
        <v>3.8446327683615817</v>
      </c>
      <c r="Q123" s="176">
        <f t="shared" si="157"/>
        <v>3.2386363636363638</v>
      </c>
      <c r="R123" s="176">
        <f t="shared" si="152"/>
        <v>3.3802267673578519</v>
      </c>
      <c r="S123" s="140"/>
      <c r="T123" s="2"/>
      <c r="U123" s="140"/>
      <c r="V123" s="140"/>
      <c r="W123" s="140"/>
      <c r="X123" s="140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173"/>
    </row>
    <row r="124" spans="1:37" x14ac:dyDescent="0.2">
      <c r="A124" s="148" t="s">
        <v>210</v>
      </c>
      <c r="B124" s="176"/>
      <c r="C124" s="176"/>
      <c r="D124" s="176"/>
      <c r="E124" s="176"/>
      <c r="F124" s="176"/>
      <c r="G124" s="176"/>
      <c r="H124" s="176"/>
      <c r="I124" s="176">
        <f>(I93+I87+I81)/I87</f>
        <v>5.0771929824561406</v>
      </c>
      <c r="J124" s="176">
        <f t="shared" ref="J124:M124" si="158">(J93+J87+J81)/J87</f>
        <v>4.8608414239482203</v>
      </c>
      <c r="K124" s="176">
        <f t="shared" si="158"/>
        <v>4.7130919220055709</v>
      </c>
      <c r="L124" s="176">
        <f t="shared" si="158"/>
        <v>4.9122807017543861</v>
      </c>
      <c r="M124" s="176">
        <f t="shared" si="158"/>
        <v>4.7574931880108995</v>
      </c>
      <c r="N124" s="176">
        <f t="shared" ref="N124:Q124" si="159">(N93+N87+N81)/N87</f>
        <v>4.9145299145299148</v>
      </c>
      <c r="O124" s="176">
        <f t="shared" si="159"/>
        <v>5.725714285714286</v>
      </c>
      <c r="P124" s="176">
        <f t="shared" si="159"/>
        <v>5.8954802259887007</v>
      </c>
      <c r="Q124" s="176">
        <f t="shared" si="159"/>
        <v>5.3863636363636367</v>
      </c>
      <c r="R124" s="176">
        <f t="shared" si="152"/>
        <v>5.1530983730006268</v>
      </c>
      <c r="S124" s="140"/>
      <c r="T124" s="2"/>
      <c r="U124" s="140"/>
      <c r="V124" s="140"/>
      <c r="W124" s="140"/>
      <c r="X124" s="140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73"/>
      <c r="AK124" s="173"/>
    </row>
    <row r="125" spans="1:37" x14ac:dyDescent="0.2">
      <c r="A125" s="148"/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40"/>
      <c r="T125" s="2"/>
      <c r="U125" s="140"/>
      <c r="V125" s="140"/>
      <c r="W125" s="140"/>
      <c r="X125" s="140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  <c r="AK125" s="173"/>
    </row>
    <row r="126" spans="1:37" x14ac:dyDescent="0.2">
      <c r="A126" s="184" t="s">
        <v>66</v>
      </c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40"/>
      <c r="T126" s="2"/>
      <c r="U126" s="140"/>
      <c r="V126" s="140"/>
      <c r="W126" s="140"/>
      <c r="X126" s="140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173"/>
    </row>
    <row r="127" spans="1:37" x14ac:dyDescent="0.2">
      <c r="A127" s="148" t="s">
        <v>28</v>
      </c>
      <c r="B127" s="150">
        <f>(B97+(B87*(1-(B96/B93))))/((B37)/1)</f>
        <v>2.4417305749913163E-2</v>
      </c>
      <c r="C127" s="150">
        <f t="shared" ref="C127:K127" si="160">(C97+(C87*(1-(C96/C93))))/((B37+C37)/2)</f>
        <v>-3.0177265524137634E-2</v>
      </c>
      <c r="D127" s="150">
        <f t="shared" si="160"/>
        <v>4.2276489838652002E-2</v>
      </c>
      <c r="E127" s="150">
        <f t="shared" si="160"/>
        <v>2.5683038962038707E-2</v>
      </c>
      <c r="F127" s="150">
        <f t="shared" si="160"/>
        <v>3.4040824318727507E-2</v>
      </c>
      <c r="G127" s="150">
        <f>(G97+(G87*(1-(G96/G93))))/((F37+G37)/2)</f>
        <v>3.3309159453546809E-2</v>
      </c>
      <c r="H127" s="150">
        <f t="shared" si="160"/>
        <v>4.1191504558362284E-2</v>
      </c>
      <c r="I127" s="150">
        <f t="shared" si="160"/>
        <v>4.6002415902156493E-2</v>
      </c>
      <c r="J127" s="150">
        <f t="shared" si="160"/>
        <v>4.174024666110402E-2</v>
      </c>
      <c r="K127" s="150">
        <f t="shared" si="160"/>
        <v>4.4383222527657175E-2</v>
      </c>
      <c r="L127" s="150">
        <f>((L97+(L87*(1-(L96/L93))))/((K37+L37)/2))</f>
        <v>4.1681704496185981E-2</v>
      </c>
      <c r="M127" s="150">
        <f>((M97+(M87*(1-(M96/M93))))/((L37+M37)/2))</f>
        <v>3.9766064372636481E-2</v>
      </c>
      <c r="N127" s="150">
        <f t="shared" ref="N127:P127" si="161">((N97+(N87*(1-(N96/N93))))/((M37+N37)/2))</f>
        <v>3.7063747393619804E-2</v>
      </c>
      <c r="O127" s="150">
        <f t="shared" si="161"/>
        <v>4.2677310010791301E-2</v>
      </c>
      <c r="P127" s="150">
        <f t="shared" si="161"/>
        <v>4.2952892562245042E-2</v>
      </c>
      <c r="Q127" s="150">
        <f>((Q97*4+(Q87*4*(1-(Q96/Q93))))/((P37+Q37)/2))</f>
        <v>3.4898691333343161E-2</v>
      </c>
      <c r="R127" s="177">
        <f>AVERAGE(K127:P127)</f>
        <v>4.1420823560522631E-2</v>
      </c>
      <c r="S127" s="140"/>
      <c r="T127" s="2"/>
      <c r="U127" s="140"/>
      <c r="V127" s="140"/>
      <c r="W127" s="140"/>
      <c r="X127" s="140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173"/>
    </row>
    <row r="128" spans="1:37" x14ac:dyDescent="0.2">
      <c r="A128" s="148" t="s">
        <v>65</v>
      </c>
      <c r="B128" s="150">
        <f>(B97+(B87*(1-(B96/B93))))/((B49+B57+B62)/1)</f>
        <v>3.4699656878927392E-2</v>
      </c>
      <c r="C128" s="150">
        <f t="shared" ref="C128:K128" si="162">(C97+(C87*(1-(C96/C93))))/((B49+C49+B57+C57+B62+C62)/2)</f>
        <v>-4.5522655002233889E-2</v>
      </c>
      <c r="D128" s="150">
        <f t="shared" si="162"/>
        <v>6.7521766431899152E-2</v>
      </c>
      <c r="E128" s="150">
        <f t="shared" si="162"/>
        <v>4.1516238440737915E-2</v>
      </c>
      <c r="F128" s="150">
        <f t="shared" si="162"/>
        <v>5.7000693689001243E-2</v>
      </c>
      <c r="G128" s="150">
        <f>(G97+(G87*(1-(G96/G93))))/((F49+G49+F57+G57+F62+G62)/2)</f>
        <v>5.7773057933750413E-2</v>
      </c>
      <c r="H128" s="150">
        <f t="shared" si="162"/>
        <v>6.9956023364629499E-2</v>
      </c>
      <c r="I128" s="150">
        <f t="shared" si="162"/>
        <v>7.2047450936900209E-2</v>
      </c>
      <c r="J128" s="150">
        <f t="shared" si="162"/>
        <v>6.2782623870204959E-2</v>
      </c>
      <c r="K128" s="150">
        <f t="shared" si="162"/>
        <v>6.5130121414605724E-2</v>
      </c>
      <c r="L128" s="150">
        <f>((L97+(L87*(1-(L96/L93))))/((K49+L49+K57+L57+K62+L62)/2))</f>
        <v>6.2090753589839509E-2</v>
      </c>
      <c r="M128" s="150">
        <f>((M97+(M87*(1-(M96/M93))))/((L49+M49+L57+M57+L62+M62)/2))</f>
        <v>6.1600814401051446E-2</v>
      </c>
      <c r="N128" s="150">
        <f t="shared" ref="N128:P128" si="163">((N97+(N87*(1-(N96/N93))))/((M49+N49+M57+N57+M62+N62)/2))</f>
        <v>5.7222770900313968E-2</v>
      </c>
      <c r="O128" s="150">
        <f t="shared" si="163"/>
        <v>6.4598117828572499E-2</v>
      </c>
      <c r="P128" s="150">
        <f t="shared" si="163"/>
        <v>6.4834499113060579E-2</v>
      </c>
      <c r="Q128" s="150">
        <f>((Q97*4+(Q87*4*(1-(Q96/Q93))))/((P49+Q49+P57+Q57+P62+Q62)/2))</f>
        <v>5.3498325025438498E-2</v>
      </c>
      <c r="R128" s="177">
        <f t="shared" ref="R128:R129" si="164">AVERAGE(K128:P128)</f>
        <v>6.2579512874573959E-2</v>
      </c>
      <c r="S128" s="140"/>
      <c r="T128" s="2"/>
      <c r="U128" s="140"/>
      <c r="V128" s="140"/>
      <c r="W128" s="140"/>
      <c r="X128" s="140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3"/>
      <c r="AJ128" s="173"/>
      <c r="AK128" s="173"/>
    </row>
    <row r="129" spans="1:37" x14ac:dyDescent="0.2">
      <c r="A129" s="148" t="s">
        <v>64</v>
      </c>
      <c r="B129" s="150">
        <f>(B97-B99)/((B62)/1)</f>
        <v>1.6701461377870552E-2</v>
      </c>
      <c r="C129" s="150">
        <f t="shared" ref="C129:K129" si="165">(C97-C99)/((C62+B62)/2)</f>
        <v>-2.9091208203665883E-2</v>
      </c>
      <c r="D129" s="150">
        <f t="shared" si="165"/>
        <v>9.9773242630385492E-2</v>
      </c>
      <c r="E129" s="150">
        <f t="shared" si="165"/>
        <v>4.3638992491332872E-2</v>
      </c>
      <c r="F129" s="150">
        <f t="shared" si="165"/>
        <v>7.563609398896963E-2</v>
      </c>
      <c r="G129" s="150">
        <f>(G97-G99)/((G62+F62)/2)</f>
        <v>7.5470557109380956E-2</v>
      </c>
      <c r="H129" s="150">
        <f t="shared" si="165"/>
        <v>9.7627377046948682E-2</v>
      </c>
      <c r="I129" s="150">
        <f t="shared" si="165"/>
        <v>9.7905961655340074E-2</v>
      </c>
      <c r="J129" s="150">
        <f t="shared" si="165"/>
        <v>8.3687302304563935E-2</v>
      </c>
      <c r="K129" s="150">
        <f t="shared" si="165"/>
        <v>8.6183848391916326E-2</v>
      </c>
      <c r="L129" s="150">
        <f>((L97-L99)/((L62+K62)/2))</f>
        <v>8.0796504548384787E-2</v>
      </c>
      <c r="M129" s="150">
        <f>((M97-M99)/((M62+L62)/2))</f>
        <v>7.6060793618045533E-2</v>
      </c>
      <c r="N129" s="150">
        <f t="shared" ref="N129:P129" si="166">((N97-N99)/((N62+M62)/2))</f>
        <v>7.1937609251042089E-2</v>
      </c>
      <c r="O129" s="150">
        <f t="shared" si="166"/>
        <v>8.8380556277618927E-2</v>
      </c>
      <c r="P129" s="150">
        <f t="shared" si="166"/>
        <v>8.9825600102966724E-2</v>
      </c>
      <c r="Q129" s="150">
        <f>((Q97*4-Q99*4)/((Q62+P62)/2))</f>
        <v>7.0510795155344919E-2</v>
      </c>
      <c r="R129" s="177">
        <f t="shared" si="164"/>
        <v>8.2197485364995729E-2</v>
      </c>
      <c r="S129" s="140"/>
      <c r="T129" s="2"/>
      <c r="U129" s="140"/>
      <c r="V129" s="140"/>
      <c r="W129" s="140"/>
      <c r="X129" s="140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73"/>
      <c r="AI129" s="173"/>
      <c r="AJ129" s="173"/>
      <c r="AK129" s="173"/>
    </row>
    <row r="130" spans="1:37" x14ac:dyDescent="0.2">
      <c r="A130" s="148"/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40"/>
      <c r="T130" s="2"/>
      <c r="U130" s="140"/>
      <c r="V130" s="140"/>
      <c r="W130" s="140"/>
      <c r="X130" s="140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</row>
    <row r="131" spans="1:37" x14ac:dyDescent="0.2">
      <c r="A131" s="223" t="s">
        <v>155</v>
      </c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40"/>
      <c r="T131" s="2"/>
      <c r="U131" s="140"/>
      <c r="V131" s="140"/>
      <c r="W131" s="140"/>
      <c r="X131" s="140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</row>
    <row r="132" spans="1:37" x14ac:dyDescent="0.2">
      <c r="A132" s="148" t="s">
        <v>196</v>
      </c>
      <c r="B132" s="176">
        <f>B76/(B27)</f>
        <v>0.43343878760205695</v>
      </c>
      <c r="C132" s="176">
        <f t="shared" ref="C132:K132" si="167">C76/((B27+C27)/2)</f>
        <v>0.59057776324089439</v>
      </c>
      <c r="D132" s="176">
        <f t="shared" si="167"/>
        <v>0.42205079157333064</v>
      </c>
      <c r="E132" s="176">
        <f t="shared" si="167"/>
        <v>0.36985841132709385</v>
      </c>
      <c r="F132" s="176">
        <f t="shared" si="167"/>
        <v>0.36024809698336624</v>
      </c>
      <c r="G132" s="176">
        <f>G76/((F27+G27)/2)</f>
        <v>0.32911788677127024</v>
      </c>
      <c r="H132" s="176">
        <f t="shared" si="167"/>
        <v>0.39762650639292246</v>
      </c>
      <c r="I132" s="176">
        <f t="shared" si="167"/>
        <v>0.38782778187647443</v>
      </c>
      <c r="J132" s="176">
        <f t="shared" si="167"/>
        <v>0.35040704241810461</v>
      </c>
      <c r="K132" s="176">
        <f t="shared" si="167"/>
        <v>0.30360001362351419</v>
      </c>
      <c r="L132" s="176">
        <f t="shared" ref="L132" si="168">L76/((K27+L27)/2)</f>
        <v>0.27761596041216446</v>
      </c>
      <c r="M132" s="176">
        <f t="shared" ref="M132" si="169">M76/((L27+M27)/2)</f>
        <v>0.27163418823668778</v>
      </c>
      <c r="N132" s="176">
        <f t="shared" ref="N132" si="170">N76/((M27+N27)/2)</f>
        <v>0.27557788377409614</v>
      </c>
      <c r="O132" s="176">
        <f t="shared" ref="O132" si="171">O76/((N27+O27)/2)</f>
        <v>0.28153374904277434</v>
      </c>
      <c r="P132" s="176">
        <f t="shared" ref="P132" si="172">P76/((O27+P27)/2)</f>
        <v>0.28216837694084779</v>
      </c>
      <c r="Q132" s="176">
        <f>Q76*4/((P27+Q27)/2)</f>
        <v>0.26665244520292253</v>
      </c>
      <c r="R132" s="176">
        <f t="shared" ref="R132:R133" si="173">AVERAGE(J132:O132)</f>
        <v>0.29339480625122355</v>
      </c>
      <c r="S132" s="140"/>
      <c r="T132" s="2"/>
      <c r="U132" s="140"/>
      <c r="V132" s="140"/>
      <c r="W132" s="140"/>
      <c r="X132" s="140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</row>
    <row r="133" spans="1:37" x14ac:dyDescent="0.2">
      <c r="A133" s="148" t="s">
        <v>197</v>
      </c>
      <c r="B133" s="176">
        <f>B76/B37</f>
        <v>0.3240038683147638</v>
      </c>
      <c r="C133" s="176">
        <f t="shared" ref="C133:K133" si="174">C76/((B37+C37)/2)</f>
        <v>0.43139396473383984</v>
      </c>
      <c r="D133" s="176">
        <f t="shared" si="174"/>
        <v>0.30472391578909108</v>
      </c>
      <c r="E133" s="176">
        <f t="shared" si="174"/>
        <v>0.27310019757767989</v>
      </c>
      <c r="F133" s="176">
        <f t="shared" si="174"/>
        <v>0.27335076092397609</v>
      </c>
      <c r="G133" s="176">
        <f>G76/((F37+G37)/2)</f>
        <v>0.25198776758409791</v>
      </c>
      <c r="H133" s="176">
        <f t="shared" si="174"/>
        <v>0.30862261505928196</v>
      </c>
      <c r="I133" s="176">
        <f t="shared" si="174"/>
        <v>0.30812314795048906</v>
      </c>
      <c r="J133" s="176">
        <f t="shared" si="174"/>
        <v>0.28047639832886451</v>
      </c>
      <c r="K133" s="176">
        <f t="shared" si="174"/>
        <v>0.24669969280159412</v>
      </c>
      <c r="L133" s="176">
        <f t="shared" ref="L133" si="175">L76/((K37+L37)/2)</f>
        <v>0.22663121292697894</v>
      </c>
      <c r="M133" s="176">
        <f t="shared" ref="M133" si="176">M76/((L37+M37)/2)</f>
        <v>0.22234073499466692</v>
      </c>
      <c r="N133" s="176">
        <f t="shared" ref="N133" si="177">N76/((M37+N37)/2)</f>
        <v>0.22794975953681654</v>
      </c>
      <c r="O133" s="176">
        <f t="shared" ref="O133" si="178">O76/((N37+O37)/2)</f>
        <v>0.23726000875838385</v>
      </c>
      <c r="P133" s="176">
        <f t="shared" ref="P133" si="179">P76/((O37+P37)/2)</f>
        <v>0.23912944497564084</v>
      </c>
      <c r="Q133" s="176">
        <f>Q76*4/((P37+Q37)/2)</f>
        <v>0.22502756587681991</v>
      </c>
      <c r="R133" s="176">
        <f t="shared" si="173"/>
        <v>0.2402263012245508</v>
      </c>
      <c r="S133" s="140"/>
      <c r="T133" s="2"/>
      <c r="U133" s="140"/>
      <c r="V133" s="140"/>
      <c r="W133" s="140"/>
      <c r="X133" s="140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</row>
    <row r="134" spans="1:37" x14ac:dyDescent="0.2">
      <c r="A134" s="148"/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76"/>
      <c r="S134" s="140"/>
      <c r="T134" s="2"/>
      <c r="U134" s="140"/>
      <c r="V134" s="140"/>
      <c r="W134" s="140"/>
      <c r="X134" s="140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</row>
    <row r="135" spans="1:37" x14ac:dyDescent="0.2">
      <c r="A135" s="184" t="s">
        <v>156</v>
      </c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76"/>
      <c r="S135" s="140"/>
      <c r="T135" s="2"/>
      <c r="U135" s="140"/>
      <c r="V135" s="140"/>
      <c r="W135" s="140"/>
      <c r="X135" s="140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</row>
    <row r="136" spans="1:37" x14ac:dyDescent="0.2">
      <c r="A136" s="148" t="s">
        <v>149</v>
      </c>
      <c r="B136" s="141">
        <f t="shared" ref="B136:K136" si="180">B62/B$141</f>
        <v>0.43861989441197424</v>
      </c>
      <c r="C136" s="141">
        <f t="shared" si="180"/>
        <v>0.49268419381836021</v>
      </c>
      <c r="D136" s="141">
        <f t="shared" si="180"/>
        <v>0.4103615620388239</v>
      </c>
      <c r="E136" s="141">
        <f t="shared" si="180"/>
        <v>0.44375911648260058</v>
      </c>
      <c r="F136" s="141">
        <f t="shared" si="180"/>
        <v>0.45942688993203951</v>
      </c>
      <c r="G136" s="141">
        <f t="shared" si="180"/>
        <v>0.45541175185670602</v>
      </c>
      <c r="H136" s="141">
        <f t="shared" si="180"/>
        <v>0.49937741252645995</v>
      </c>
      <c r="I136" s="141">
        <f t="shared" si="180"/>
        <v>0.49175368400507463</v>
      </c>
      <c r="J136" s="141">
        <f t="shared" si="180"/>
        <v>0.51792006875805763</v>
      </c>
      <c r="K136" s="141">
        <f t="shared" si="180"/>
        <v>0.50889869181624581</v>
      </c>
      <c r="L136" s="141">
        <f t="shared" ref="L136:Q136" si="181">L62/L$141</f>
        <v>0.53019253208868145</v>
      </c>
      <c r="M136" s="141">
        <f t="shared" si="181"/>
        <v>0.5375970425138632</v>
      </c>
      <c r="N136" s="141">
        <f t="shared" si="181"/>
        <v>0.52416408135125814</v>
      </c>
      <c r="O136" s="141">
        <f t="shared" si="181"/>
        <v>0.53089198036006546</v>
      </c>
      <c r="P136" s="141">
        <f t="shared" si="181"/>
        <v>0.52360051320143153</v>
      </c>
      <c r="Q136" s="141">
        <f t="shared" si="181"/>
        <v>0.5132132753743186</v>
      </c>
      <c r="R136" s="177">
        <f t="shared" ref="R136:R138" si="182">AVERAGE(K136:P136)</f>
        <v>0.52589080688859091</v>
      </c>
      <c r="S136" s="140"/>
      <c r="T136" s="2"/>
      <c r="U136" s="140"/>
      <c r="V136" s="140"/>
      <c r="W136" s="140"/>
      <c r="X136" s="140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/>
      <c r="AK136" s="173"/>
    </row>
    <row r="137" spans="1:37" x14ac:dyDescent="0.2">
      <c r="A137" s="148" t="s">
        <v>59</v>
      </c>
      <c r="B137" s="141">
        <f t="shared" ref="B137:K137" si="183">B57/B$141</f>
        <v>2.4475168726047686E-2</v>
      </c>
      <c r="C137" s="141">
        <f t="shared" si="183"/>
        <v>8.0473867998037574E-2</v>
      </c>
      <c r="D137" s="141">
        <f t="shared" si="183"/>
        <v>6.4848450448405037E-2</v>
      </c>
      <c r="E137" s="141">
        <f t="shared" si="183"/>
        <v>6.2485239980551506E-2</v>
      </c>
      <c r="F137" s="141">
        <f t="shared" si="183"/>
        <v>1.3676171792895677E-2</v>
      </c>
      <c r="G137" s="141">
        <f t="shared" si="183"/>
        <v>1.2300677151594582E-2</v>
      </c>
      <c r="H137" s="141">
        <f t="shared" si="183"/>
        <v>1.0285145062881335E-2</v>
      </c>
      <c r="I137" s="141">
        <f t="shared" si="183"/>
        <v>4.0011710744608181E-3</v>
      </c>
      <c r="J137" s="141">
        <f t="shared" si="183"/>
        <v>3.5238504512247527E-3</v>
      </c>
      <c r="K137" s="141">
        <f t="shared" si="183"/>
        <v>3.1183449954365681E-3</v>
      </c>
      <c r="L137" s="141">
        <f t="shared" ref="L137:Q137" si="184">L57/L$141</f>
        <v>2.9900816802800466E-3</v>
      </c>
      <c r="M137" s="141">
        <f t="shared" si="184"/>
        <v>3.0314232902033272E-3</v>
      </c>
      <c r="N137" s="141">
        <f t="shared" si="184"/>
        <v>2.8266115132712859E-3</v>
      </c>
      <c r="O137" s="141">
        <f t="shared" si="184"/>
        <v>1.3638843426077467E-4</v>
      </c>
      <c r="P137" s="141">
        <f t="shared" si="184"/>
        <v>1.3505300830576002E-4</v>
      </c>
      <c r="Q137" s="141">
        <f t="shared" si="184"/>
        <v>1.3799765403988131E-4</v>
      </c>
      <c r="R137" s="177">
        <f t="shared" si="182"/>
        <v>2.0396504869596272E-3</v>
      </c>
      <c r="S137" s="140"/>
      <c r="T137" s="2"/>
      <c r="U137" s="140"/>
      <c r="V137" s="140"/>
      <c r="W137" s="140"/>
      <c r="X137" s="140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73"/>
    </row>
    <row r="138" spans="1:37" x14ac:dyDescent="0.2">
      <c r="A138" s="148" t="s">
        <v>157</v>
      </c>
      <c r="B138" s="141">
        <f t="shared" ref="B138:K138" si="185">(B41+B49)/B$141</f>
        <v>0.53690493686197815</v>
      </c>
      <c r="C138" s="141">
        <f t="shared" si="185"/>
        <v>0.42684193818360217</v>
      </c>
      <c r="D138" s="141">
        <f t="shared" si="185"/>
        <v>0.52478998751277106</v>
      </c>
      <c r="E138" s="178">
        <f t="shared" si="185"/>
        <v>0.49375564353684792</v>
      </c>
      <c r="F138" s="178">
        <f t="shared" si="185"/>
        <v>0.52689693827506479</v>
      </c>
      <c r="G138" s="178">
        <f t="shared" si="185"/>
        <v>0.53228757099169943</v>
      </c>
      <c r="H138" s="178">
        <f t="shared" si="185"/>
        <v>0.49033744241065869</v>
      </c>
      <c r="I138" s="178">
        <f t="shared" si="185"/>
        <v>0.50424514492046457</v>
      </c>
      <c r="J138" s="178">
        <f t="shared" si="185"/>
        <v>0.47855608079071765</v>
      </c>
      <c r="K138" s="178">
        <f t="shared" si="185"/>
        <v>0.48798296318831763</v>
      </c>
      <c r="L138" s="178">
        <f t="shared" ref="L138:Q138" si="186">(L41+L49)/L$141</f>
        <v>0.46681738623103852</v>
      </c>
      <c r="M138" s="178">
        <f t="shared" si="186"/>
        <v>0.45937153419593346</v>
      </c>
      <c r="N138" s="178">
        <f t="shared" si="186"/>
        <v>0.47300930713547051</v>
      </c>
      <c r="O138" s="178">
        <f t="shared" si="186"/>
        <v>0.46897163120567376</v>
      </c>
      <c r="P138" s="178">
        <f t="shared" si="186"/>
        <v>0.47626443379026268</v>
      </c>
      <c r="Q138" s="178">
        <f t="shared" si="186"/>
        <v>0.48664872697164147</v>
      </c>
      <c r="R138" s="177">
        <f t="shared" si="182"/>
        <v>0.47206954262444945</v>
      </c>
      <c r="S138" s="140"/>
      <c r="T138" s="2"/>
      <c r="U138" s="140"/>
      <c r="V138" s="140"/>
      <c r="W138" s="140"/>
      <c r="X138" s="140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73"/>
      <c r="AK138" s="173"/>
    </row>
    <row r="139" spans="1:37" x14ac:dyDescent="0.2">
      <c r="A139" s="148"/>
      <c r="B139" s="141"/>
      <c r="C139" s="141"/>
      <c r="D139" s="141"/>
      <c r="E139" s="277"/>
      <c r="F139" s="277"/>
      <c r="G139" s="277">
        <f>SUM(G136:G138)</f>
        <v>1</v>
      </c>
      <c r="H139" s="277">
        <f t="shared" ref="H139:K139" si="187">SUM(H136:H138)</f>
        <v>1</v>
      </c>
      <c r="I139" s="277">
        <f t="shared" si="187"/>
        <v>1</v>
      </c>
      <c r="J139" s="277">
        <f t="shared" si="187"/>
        <v>1</v>
      </c>
      <c r="K139" s="277">
        <f t="shared" si="187"/>
        <v>1</v>
      </c>
      <c r="L139" s="277">
        <f t="shared" ref="L139:Q139" si="188">SUM(L136:L138)</f>
        <v>1</v>
      </c>
      <c r="M139" s="277">
        <f t="shared" si="188"/>
        <v>1</v>
      </c>
      <c r="N139" s="277">
        <f t="shared" si="188"/>
        <v>0.99999999999999989</v>
      </c>
      <c r="O139" s="277">
        <f t="shared" si="188"/>
        <v>1</v>
      </c>
      <c r="P139" s="277">
        <f t="shared" si="188"/>
        <v>1</v>
      </c>
      <c r="Q139" s="277">
        <f t="shared" si="188"/>
        <v>1</v>
      </c>
      <c r="R139" s="307">
        <f>AVERAGE(K139:P139)</f>
        <v>1</v>
      </c>
      <c r="S139" s="277"/>
      <c r="T139" s="2"/>
      <c r="U139" s="140"/>
      <c r="V139" s="140"/>
      <c r="W139" s="140"/>
      <c r="X139" s="140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  <c r="AK139" s="173"/>
    </row>
    <row r="140" spans="1:37" ht="7.5" customHeight="1" x14ac:dyDescent="0.2">
      <c r="A140" s="148"/>
      <c r="B140" s="141"/>
      <c r="C140" s="141"/>
      <c r="D140" s="141"/>
      <c r="E140" s="277"/>
      <c r="F140" s="277"/>
      <c r="G140" s="277"/>
      <c r="H140" s="277"/>
      <c r="I140" s="277"/>
      <c r="J140" s="277"/>
      <c r="K140" s="277"/>
      <c r="L140" s="277"/>
      <c r="M140" s="277"/>
      <c r="N140" s="277"/>
      <c r="O140" s="277"/>
      <c r="P140" s="277"/>
      <c r="Q140" s="277"/>
      <c r="R140" s="177"/>
      <c r="S140" s="140"/>
      <c r="T140" s="2"/>
      <c r="U140" s="140"/>
      <c r="V140" s="140"/>
      <c r="W140" s="140"/>
      <c r="X140" s="140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173"/>
    </row>
    <row r="141" spans="1:37" x14ac:dyDescent="0.2">
      <c r="A141" s="148" t="s">
        <v>158</v>
      </c>
      <c r="B141" s="224">
        <f t="shared" ref="B141:K141" si="189">B41+B49+B57+B62</f>
        <v>8845.6999999999989</v>
      </c>
      <c r="C141" s="224">
        <f t="shared" si="189"/>
        <v>6930.2000000000007</v>
      </c>
      <c r="D141" s="224">
        <f t="shared" si="189"/>
        <v>7047.2</v>
      </c>
      <c r="E141" s="140">
        <f t="shared" si="189"/>
        <v>7198.5</v>
      </c>
      <c r="F141" s="140">
        <f t="shared" si="189"/>
        <v>7136.5</v>
      </c>
      <c r="G141" s="140">
        <f t="shared" si="189"/>
        <v>7324.8</v>
      </c>
      <c r="H141" s="140">
        <f t="shared" si="189"/>
        <v>8031</v>
      </c>
      <c r="I141" s="140">
        <f t="shared" si="189"/>
        <v>10247</v>
      </c>
      <c r="J141" s="140">
        <f t="shared" si="189"/>
        <v>11635</v>
      </c>
      <c r="K141" s="140">
        <f t="shared" si="189"/>
        <v>13148</v>
      </c>
      <c r="L141" s="140">
        <f t="shared" ref="L141:Q141" si="190">L41+L49+L57+L62</f>
        <v>13712</v>
      </c>
      <c r="M141" s="140">
        <f t="shared" si="190"/>
        <v>13525</v>
      </c>
      <c r="N141" s="140">
        <f t="shared" si="190"/>
        <v>14505</v>
      </c>
      <c r="O141" s="140">
        <f t="shared" si="190"/>
        <v>14664</v>
      </c>
      <c r="P141" s="140">
        <f t="shared" si="190"/>
        <v>14809</v>
      </c>
      <c r="Q141" s="140">
        <f t="shared" si="190"/>
        <v>14493</v>
      </c>
      <c r="R141" s="278">
        <f>AVERAGE(K141:P141)</f>
        <v>14060.5</v>
      </c>
      <c r="S141" s="140"/>
      <c r="T141" s="2"/>
      <c r="U141" s="140"/>
      <c r="V141" s="140"/>
      <c r="W141" s="140"/>
      <c r="X141" s="140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</row>
    <row r="142" spans="1:37" x14ac:dyDescent="0.2">
      <c r="A142" s="138"/>
      <c r="B142" s="140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79"/>
      <c r="S142" s="140"/>
      <c r="T142" s="2"/>
      <c r="U142" s="140"/>
      <c r="V142" s="140"/>
      <c r="W142" s="140"/>
      <c r="X142" s="140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173"/>
    </row>
    <row r="143" spans="1:37" x14ac:dyDescent="0.2">
      <c r="A143" s="184" t="s">
        <v>67</v>
      </c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50"/>
      <c r="S143" s="140"/>
      <c r="T143" s="2"/>
      <c r="U143" s="140"/>
      <c r="V143" s="140"/>
      <c r="W143" s="140"/>
      <c r="X143" s="140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3"/>
      <c r="AI143" s="173"/>
      <c r="AJ143" s="173"/>
      <c r="AK143" s="173"/>
    </row>
    <row r="144" spans="1:37" x14ac:dyDescent="0.2">
      <c r="A144" s="148" t="s">
        <v>220</v>
      </c>
      <c r="B144" s="148"/>
      <c r="C144" s="148"/>
      <c r="D144" s="148"/>
      <c r="E144" s="148"/>
      <c r="F144" s="148"/>
      <c r="G144" s="148"/>
      <c r="H144" s="149" t="s">
        <v>159</v>
      </c>
      <c r="I144" s="149"/>
      <c r="J144" s="149"/>
      <c r="K144" s="149"/>
      <c r="L144" s="272" t="s">
        <v>198</v>
      </c>
      <c r="M144" s="272" t="s">
        <v>198</v>
      </c>
      <c r="N144" s="149" t="s">
        <v>198</v>
      </c>
      <c r="O144" s="149" t="s">
        <v>198</v>
      </c>
      <c r="P144" s="149" t="s">
        <v>198</v>
      </c>
      <c r="Q144" s="149" t="s">
        <v>198</v>
      </c>
      <c r="R144" s="150"/>
      <c r="S144" s="140"/>
      <c r="T144" s="2"/>
      <c r="U144" s="140"/>
      <c r="V144" s="140"/>
      <c r="W144" s="140"/>
      <c r="X144" s="140"/>
      <c r="Y144" s="173"/>
      <c r="Z144" s="173"/>
      <c r="AA144" s="173"/>
      <c r="AB144" s="173"/>
      <c r="AC144" s="173"/>
      <c r="AD144" s="173"/>
      <c r="AE144" s="173"/>
      <c r="AF144" s="173"/>
      <c r="AG144" s="173"/>
      <c r="AH144" s="173"/>
      <c r="AI144" s="173"/>
      <c r="AJ144" s="173"/>
      <c r="AK144" s="173"/>
    </row>
    <row r="145" spans="1:37" x14ac:dyDescent="0.2">
      <c r="A145" s="148" t="s">
        <v>69</v>
      </c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9" t="s">
        <v>219</v>
      </c>
      <c r="O145" s="149" t="s">
        <v>219</v>
      </c>
      <c r="P145" s="149" t="s">
        <v>219</v>
      </c>
      <c r="Q145" s="149" t="s">
        <v>219</v>
      </c>
      <c r="R145" s="150"/>
      <c r="S145" s="140"/>
      <c r="T145" s="2"/>
      <c r="U145" s="140"/>
      <c r="V145" s="140"/>
      <c r="W145" s="140"/>
      <c r="X145" s="140"/>
      <c r="Y145" s="173"/>
      <c r="Z145" s="173"/>
      <c r="AA145" s="173"/>
      <c r="AB145" s="173"/>
      <c r="AC145" s="173"/>
      <c r="AD145" s="173"/>
      <c r="AE145" s="173"/>
      <c r="AF145" s="173"/>
      <c r="AG145" s="173"/>
      <c r="AH145" s="173"/>
      <c r="AI145" s="173"/>
      <c r="AJ145" s="173"/>
      <c r="AK145" s="173"/>
    </row>
    <row r="146" spans="1:37" x14ac:dyDescent="0.2">
      <c r="A146" s="148" t="s">
        <v>68</v>
      </c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50"/>
      <c r="S146" s="173"/>
      <c r="T146" s="2"/>
      <c r="U146" s="140"/>
      <c r="V146" s="140"/>
      <c r="W146" s="140"/>
      <c r="X146" s="140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</row>
    <row r="147" spans="1:37" x14ac:dyDescent="0.2">
      <c r="A147" s="180"/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73"/>
      <c r="M147" s="173"/>
      <c r="N147" s="173"/>
      <c r="O147" s="173"/>
      <c r="P147" s="173"/>
      <c r="Q147" s="173"/>
      <c r="R147" s="173"/>
      <c r="S147" s="173"/>
      <c r="T147" s="2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173"/>
    </row>
    <row r="148" spans="1:37" x14ac:dyDescent="0.2">
      <c r="A148" s="180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73"/>
      <c r="M148" s="173"/>
      <c r="N148" s="173"/>
      <c r="O148" s="173"/>
      <c r="P148" s="173"/>
      <c r="Q148" s="173"/>
      <c r="R148" s="173"/>
      <c r="S148" s="173"/>
      <c r="T148" s="2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</row>
    <row r="149" spans="1:37" x14ac:dyDescent="0.2">
      <c r="A149" s="181"/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73"/>
      <c r="M149" s="173"/>
      <c r="N149" s="173"/>
      <c r="O149" s="173"/>
      <c r="P149" s="173"/>
      <c r="Q149" s="173"/>
      <c r="R149" s="173"/>
      <c r="S149" s="173"/>
      <c r="T149" s="2"/>
      <c r="U149" s="173"/>
      <c r="V149" s="173"/>
      <c r="W149" s="173"/>
      <c r="X149" s="173"/>
      <c r="Y149" s="173"/>
      <c r="Z149" s="173"/>
      <c r="AA149" s="173"/>
      <c r="AB149" s="173"/>
      <c r="AC149" s="173"/>
      <c r="AD149" s="173"/>
      <c r="AE149" s="173"/>
      <c r="AF149" s="173"/>
      <c r="AG149" s="173"/>
      <c r="AH149" s="173"/>
      <c r="AI149" s="173"/>
      <c r="AJ149" s="173"/>
      <c r="AK149" s="173"/>
    </row>
    <row r="150" spans="1:37" x14ac:dyDescent="0.2">
      <c r="A150" s="180"/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73"/>
      <c r="M150" s="173"/>
      <c r="N150" s="173"/>
      <c r="O150" s="173"/>
      <c r="P150" s="173"/>
      <c r="Q150" s="173"/>
      <c r="R150" s="173"/>
      <c r="S150" s="173"/>
      <c r="T150" s="2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  <c r="AI150" s="173"/>
      <c r="AJ150" s="173"/>
      <c r="AK150" s="173"/>
    </row>
    <row r="151" spans="1:37" x14ac:dyDescent="0.2">
      <c r="A151" s="180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73"/>
      <c r="M151" s="173"/>
      <c r="N151" s="173"/>
      <c r="O151" s="173"/>
      <c r="P151" s="173"/>
      <c r="Q151" s="173"/>
      <c r="R151" s="173"/>
      <c r="S151" s="173"/>
      <c r="T151" s="2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73"/>
      <c r="AK151" s="173"/>
    </row>
    <row r="152" spans="1:37" ht="7.5" customHeight="1" x14ac:dyDescent="0.2">
      <c r="A152" s="181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73"/>
      <c r="M152" s="173"/>
      <c r="N152" s="173"/>
      <c r="O152" s="173"/>
      <c r="P152" s="173"/>
      <c r="Q152" s="173"/>
      <c r="R152" s="173"/>
      <c r="S152" s="173"/>
      <c r="T152" s="2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  <c r="AJ152" s="173"/>
      <c r="AK152" s="173"/>
    </row>
    <row r="153" spans="1:37" x14ac:dyDescent="0.2">
      <c r="A153" s="180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73"/>
      <c r="M153" s="173"/>
      <c r="N153" s="173"/>
      <c r="O153" s="173"/>
      <c r="P153" s="173"/>
      <c r="Q153" s="173"/>
      <c r="R153" s="173"/>
      <c r="S153" s="173"/>
      <c r="T153" s="2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  <c r="AH153" s="173"/>
      <c r="AI153" s="173"/>
      <c r="AJ153" s="173"/>
      <c r="AK153" s="173"/>
    </row>
    <row r="154" spans="1:37" x14ac:dyDescent="0.2">
      <c r="A154" s="180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73"/>
      <c r="M154" s="173"/>
      <c r="N154" s="173"/>
      <c r="O154" s="173"/>
      <c r="P154" s="173"/>
      <c r="Q154" s="173"/>
      <c r="R154" s="173"/>
      <c r="S154" s="173"/>
      <c r="T154" s="2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73"/>
      <c r="AF154" s="173"/>
      <c r="AG154" s="173"/>
      <c r="AH154" s="173"/>
      <c r="AI154" s="173"/>
      <c r="AJ154" s="173"/>
      <c r="AK154" s="173"/>
    </row>
    <row r="155" spans="1:37" x14ac:dyDescent="0.2">
      <c r="T155" s="2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3"/>
      <c r="AK155" s="173"/>
    </row>
    <row r="156" spans="1:37" x14ac:dyDescent="0.2">
      <c r="T156" s="2"/>
    </row>
    <row r="157" spans="1:37" x14ac:dyDescent="0.2">
      <c r="T157" s="2"/>
    </row>
    <row r="158" spans="1:37" x14ac:dyDescent="0.2">
      <c r="T158" s="2"/>
    </row>
    <row r="159" spans="1:37" x14ac:dyDescent="0.2">
      <c r="T159" s="2"/>
    </row>
    <row r="160" spans="1:37" x14ac:dyDescent="0.2">
      <c r="T160" s="2"/>
    </row>
    <row r="161" spans="20:20" x14ac:dyDescent="0.2">
      <c r="T161" s="2"/>
    </row>
    <row r="162" spans="20:20" x14ac:dyDescent="0.2">
      <c r="T162" s="2"/>
    </row>
    <row r="163" spans="20:20" x14ac:dyDescent="0.2">
      <c r="T163" s="2"/>
    </row>
    <row r="164" spans="20:20" x14ac:dyDescent="0.2">
      <c r="T164" s="2"/>
    </row>
    <row r="165" spans="20:20" x14ac:dyDescent="0.2">
      <c r="T165" s="2"/>
    </row>
    <row r="166" spans="20:20" x14ac:dyDescent="0.2">
      <c r="T166" s="2"/>
    </row>
    <row r="167" spans="20:20" x14ac:dyDescent="0.2">
      <c r="T167" s="2"/>
    </row>
  </sheetData>
  <sortState ref="T101:AK101">
    <sortCondition sortBy="cellColor" ref="AK99" dxfId="0"/>
  </sortState>
  <phoneticPr fontId="6" type="noConversion"/>
  <printOptions horizontalCentered="1"/>
  <pageMargins left="0.5" right="0.5" top="1" bottom="1" header="0.5" footer="0.5"/>
  <pageSetup scale="66" fitToHeight="5" orientation="portrait" r:id="rId1"/>
  <headerFooter alignWithMargins="0"/>
  <rowBreaks count="2" manualBreakCount="2">
    <brk id="64" max="26" man="1"/>
    <brk id="101" max="26" man="1"/>
  </rowBreaks>
  <colBreaks count="1" manualBreakCount="1">
    <brk id="18" max="1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4"/>
  <sheetViews>
    <sheetView showGridLines="0" zoomScaleNormal="100" workbookViewId="0">
      <selection activeCell="P17" sqref="P17"/>
    </sheetView>
  </sheetViews>
  <sheetFormatPr defaultRowHeight="12.75" x14ac:dyDescent="0.2"/>
  <cols>
    <col min="1" max="1" width="49.140625" style="32" customWidth="1"/>
    <col min="2" max="5" width="10.7109375" style="24" hidden="1" customWidth="1"/>
    <col min="6" max="6" width="10.7109375" style="33" hidden="1" customWidth="1"/>
    <col min="7" max="10" width="10.7109375" style="24" hidden="1" customWidth="1"/>
    <col min="11" max="18" width="10.7109375" style="24" customWidth="1"/>
    <col min="19" max="16384" width="9.140625" style="24"/>
  </cols>
  <sheetData>
    <row r="1" spans="1:18" x14ac:dyDescent="0.2">
      <c r="R1" s="213" t="s">
        <v>114</v>
      </c>
    </row>
    <row r="2" spans="1:18" x14ac:dyDescent="0.2">
      <c r="R2" s="54" t="s">
        <v>117</v>
      </c>
    </row>
    <row r="3" spans="1:18" ht="18.75" x14ac:dyDescent="0.3">
      <c r="A3" s="40" t="str">
        <f>Historical!A4</f>
        <v>PacifiCorp</v>
      </c>
      <c r="B3" s="39"/>
      <c r="C3" s="39"/>
      <c r="D3" s="39"/>
      <c r="E3" s="39"/>
      <c r="F3" s="41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56"/>
    </row>
    <row r="4" spans="1:18" ht="15.75" x14ac:dyDescent="0.25">
      <c r="A4" s="50" t="s">
        <v>112</v>
      </c>
      <c r="B4" s="39"/>
      <c r="C4" s="39"/>
      <c r="D4" s="39"/>
      <c r="E4" s="39"/>
      <c r="F4" s="41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s="32" customFormat="1" x14ac:dyDescent="0.2">
      <c r="A5" s="51" t="str">
        <f>Historical!A6</f>
        <v>Fiscal Years Ended December 31, 2009-2014; Three Months Ended March 31, 2015</v>
      </c>
      <c r="B5" s="43"/>
      <c r="C5" s="43"/>
      <c r="D5" s="43"/>
      <c r="E5" s="43"/>
      <c r="F5" s="45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x14ac:dyDescent="0.2">
      <c r="A6" s="225"/>
      <c r="B6" s="225"/>
      <c r="C6" s="225"/>
      <c r="D6" s="225"/>
      <c r="E6" s="225"/>
      <c r="F6" s="226"/>
      <c r="G6" s="225"/>
      <c r="H6" s="225"/>
      <c r="I6" s="227"/>
      <c r="J6" s="227"/>
      <c r="K6" s="227"/>
      <c r="L6" s="227"/>
      <c r="M6" s="227"/>
      <c r="N6" s="227"/>
      <c r="O6" s="227"/>
      <c r="P6" s="227"/>
      <c r="Q6" s="227"/>
      <c r="R6" s="228" t="str">
        <f>Historical!R7</f>
        <v>2009-2014</v>
      </c>
    </row>
    <row r="7" spans="1:18" x14ac:dyDescent="0.2">
      <c r="A7" s="229"/>
      <c r="B7" s="319"/>
      <c r="C7" s="319"/>
      <c r="D7" s="319"/>
      <c r="E7" s="319"/>
      <c r="F7" s="319"/>
      <c r="G7" s="319"/>
      <c r="H7" s="192"/>
      <c r="I7" s="230"/>
      <c r="J7" s="230"/>
      <c r="K7" s="230"/>
      <c r="L7" s="230"/>
      <c r="M7" s="230"/>
      <c r="N7" s="230"/>
      <c r="O7" s="230"/>
      <c r="P7" s="34"/>
      <c r="Q7" s="315" t="str">
        <f>Historical!Q8</f>
        <v>3 Months</v>
      </c>
      <c r="R7" s="193" t="s">
        <v>4</v>
      </c>
    </row>
    <row r="8" spans="1:18" x14ac:dyDescent="0.2">
      <c r="A8" s="229"/>
      <c r="B8" s="231">
        <f>Historical!B9</f>
        <v>2000</v>
      </c>
      <c r="C8" s="231">
        <f>Historical!C9</f>
        <v>2001</v>
      </c>
      <c r="D8" s="231">
        <f>Historical!D9</f>
        <v>2002</v>
      </c>
      <c r="E8" s="231">
        <f>Historical!E9</f>
        <v>2003</v>
      </c>
      <c r="F8" s="231">
        <f>Historical!F9</f>
        <v>2004</v>
      </c>
      <c r="G8" s="231">
        <f>Historical!G9</f>
        <v>2005</v>
      </c>
      <c r="H8" s="231">
        <f>Historical!H9</f>
        <v>2006</v>
      </c>
      <c r="I8" s="231">
        <f>Historical!I9</f>
        <v>2007</v>
      </c>
      <c r="J8" s="231">
        <f>Historical!J9</f>
        <v>2008</v>
      </c>
      <c r="K8" s="231">
        <f>Historical!K9</f>
        <v>2009</v>
      </c>
      <c r="L8" s="231">
        <f>Historical!L9</f>
        <v>2010</v>
      </c>
      <c r="M8" s="231">
        <f>Historical!M9</f>
        <v>2011</v>
      </c>
      <c r="N8" s="231">
        <f>Historical!N9</f>
        <v>2012</v>
      </c>
      <c r="O8" s="231">
        <f>Historical!O9</f>
        <v>2013</v>
      </c>
      <c r="P8" s="231">
        <f>Historical!P9</f>
        <v>2014</v>
      </c>
      <c r="Q8" s="316">
        <f>Historical!Q9</f>
        <v>42064</v>
      </c>
      <c r="R8" s="196" t="s">
        <v>23</v>
      </c>
    </row>
    <row r="9" spans="1:18" ht="7.5" customHeight="1" x14ac:dyDescent="0.2">
      <c r="A9" s="229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280"/>
    </row>
    <row r="10" spans="1:18" x14ac:dyDescent="0.2">
      <c r="A10" s="232" t="s">
        <v>72</v>
      </c>
      <c r="B10" s="61"/>
      <c r="C10" s="26"/>
      <c r="D10" s="26"/>
      <c r="E10" s="26"/>
      <c r="F10" s="26"/>
      <c r="G10" s="26"/>
      <c r="H10" s="62"/>
      <c r="I10" s="12"/>
      <c r="J10" s="12"/>
      <c r="K10" s="12"/>
      <c r="L10" s="12"/>
      <c r="M10" s="12"/>
      <c r="N10" s="12"/>
      <c r="O10" s="12"/>
      <c r="P10" s="12"/>
      <c r="Q10" s="12"/>
    </row>
    <row r="11" spans="1:18" x14ac:dyDescent="0.2">
      <c r="A11" s="27" t="s">
        <v>73</v>
      </c>
      <c r="B11" s="61">
        <f>Historical!B97</f>
        <v>83.69999999999996</v>
      </c>
      <c r="C11" s="61">
        <f>Historical!C97</f>
        <v>-88.200000000000017</v>
      </c>
      <c r="D11" s="61">
        <f>Historical!D97</f>
        <v>327.29999999999995</v>
      </c>
      <c r="E11" s="61">
        <f>Historical!E97</f>
        <v>140.09999999999962</v>
      </c>
      <c r="F11" s="61">
        <f>Historical!F97</f>
        <v>248.09999999999968</v>
      </c>
      <c r="G11" s="61">
        <f>Historical!G97</f>
        <v>251.70000000000016</v>
      </c>
      <c r="H11" s="281">
        <f>Historical!H97</f>
        <v>360.69999999999959</v>
      </c>
      <c r="I11" s="281">
        <f>Historical!I97</f>
        <v>445</v>
      </c>
      <c r="J11" s="281">
        <f>Historical!J97</f>
        <v>465</v>
      </c>
      <c r="K11" s="281">
        <f>Historical!K97</f>
        <v>550</v>
      </c>
      <c r="L11" s="281">
        <f>Historical!L97</f>
        <v>566</v>
      </c>
      <c r="M11" s="281">
        <f>Historical!M97</f>
        <v>555</v>
      </c>
      <c r="N11" s="281">
        <f>Historical!N97</f>
        <v>537</v>
      </c>
      <c r="O11" s="281">
        <f>Historical!O97</f>
        <v>682</v>
      </c>
      <c r="P11" s="281">
        <f>Historical!P97</f>
        <v>698</v>
      </c>
      <c r="Q11" s="281">
        <f>Historical!Q97</f>
        <v>134</v>
      </c>
      <c r="R11" s="198">
        <f>RATE(($P$8-$K$8),,-K11,P11)</f>
        <v>4.8814170893838944E-2</v>
      </c>
    </row>
    <row r="12" spans="1:18" x14ac:dyDescent="0.2">
      <c r="A12" s="25" t="s">
        <v>74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198"/>
    </row>
    <row r="13" spans="1:18" x14ac:dyDescent="0.2">
      <c r="A13" s="25" t="s">
        <v>75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198"/>
    </row>
    <row r="14" spans="1:18" hidden="1" x14ac:dyDescent="0.2">
      <c r="A14" s="60" t="s">
        <v>76</v>
      </c>
      <c r="B14" s="28">
        <v>-1.1000000000000001</v>
      </c>
      <c r="C14" s="26">
        <v>0</v>
      </c>
      <c r="D14" s="26">
        <v>-146.69999999999999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/>
      <c r="L14" s="26"/>
      <c r="M14" s="26"/>
      <c r="N14" s="26"/>
      <c r="O14" s="26"/>
      <c r="P14" s="26"/>
      <c r="Q14" s="26"/>
      <c r="R14" s="198" t="e">
        <f t="shared" ref="R14:R16" si="0">RATE(($O$8-$J$8),,-J14,O14)</f>
        <v>#NUM!</v>
      </c>
    </row>
    <row r="15" spans="1:18" hidden="1" x14ac:dyDescent="0.2">
      <c r="A15" s="27" t="s">
        <v>78</v>
      </c>
      <c r="B15" s="63">
        <v>0</v>
      </c>
      <c r="C15" s="26">
        <v>0</v>
      </c>
      <c r="D15" s="26">
        <v>112.8</v>
      </c>
      <c r="E15" s="26">
        <v>1.9</v>
      </c>
      <c r="F15" s="26">
        <v>0.9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198" t="e">
        <f t="shared" si="0"/>
        <v>#NUM!</v>
      </c>
    </row>
    <row r="16" spans="1:18" hidden="1" x14ac:dyDescent="0.2">
      <c r="A16" s="27" t="s">
        <v>79</v>
      </c>
      <c r="B16" s="63">
        <v>0</v>
      </c>
      <c r="C16" s="26">
        <v>0</v>
      </c>
      <c r="D16" s="26">
        <v>-182.8</v>
      </c>
      <c r="E16" s="26">
        <v>-3.1</v>
      </c>
      <c r="F16" s="26">
        <v>-6.1</v>
      </c>
      <c r="G16" s="26">
        <v>-8.4</v>
      </c>
      <c r="H16" s="26">
        <v>-86.8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198" t="e">
        <f t="shared" si="0"/>
        <v>#NUM!</v>
      </c>
    </row>
    <row r="17" spans="1:19" x14ac:dyDescent="0.2">
      <c r="A17" s="27" t="s">
        <v>80</v>
      </c>
      <c r="B17" s="61">
        <v>456.3</v>
      </c>
      <c r="C17" s="26">
        <v>429</v>
      </c>
      <c r="D17" s="26">
        <v>403</v>
      </c>
      <c r="E17" s="26">
        <v>434.3</v>
      </c>
      <c r="F17" s="26">
        <v>428.8</v>
      </c>
      <c r="G17" s="26">
        <v>436.9</v>
      </c>
      <c r="H17" s="26">
        <v>448.3</v>
      </c>
      <c r="I17" s="26">
        <v>497</v>
      </c>
      <c r="J17" s="26">
        <v>490</v>
      </c>
      <c r="K17" s="26">
        <v>549</v>
      </c>
      <c r="L17" s="26">
        <v>561</v>
      </c>
      <c r="M17" s="26">
        <v>611</v>
      </c>
      <c r="N17" s="26">
        <v>640</v>
      </c>
      <c r="O17" s="26">
        <v>675</v>
      </c>
      <c r="P17" s="26">
        <v>726</v>
      </c>
      <c r="Q17" s="26">
        <v>189</v>
      </c>
      <c r="R17" s="5">
        <f t="shared" ref="R17:R28" si="1">RATE(($P$8-$K$8),,-K17,P17)</f>
        <v>5.7481687139997795E-2</v>
      </c>
    </row>
    <row r="18" spans="1:19" x14ac:dyDescent="0.2">
      <c r="A18" s="27" t="s">
        <v>81</v>
      </c>
      <c r="B18" s="64">
        <v>136.69999999999999</v>
      </c>
      <c r="C18" s="26">
        <v>-26.4</v>
      </c>
      <c r="D18" s="26">
        <v>60.9</v>
      </c>
      <c r="E18" s="26">
        <v>31.8</v>
      </c>
      <c r="F18" s="26">
        <v>80.5</v>
      </c>
      <c r="G18" s="26">
        <v>120</v>
      </c>
      <c r="H18" s="26">
        <v>13.9</v>
      </c>
      <c r="I18" s="26">
        <v>39</v>
      </c>
      <c r="J18" s="26">
        <v>308</v>
      </c>
      <c r="K18" s="26">
        <v>645</v>
      </c>
      <c r="L18" s="26">
        <v>710</v>
      </c>
      <c r="M18" s="26">
        <v>374</v>
      </c>
      <c r="N18" s="26">
        <v>312</v>
      </c>
      <c r="O18" s="26">
        <v>230</v>
      </c>
      <c r="P18" s="26">
        <v>297</v>
      </c>
      <c r="Q18" s="26">
        <v>-10</v>
      </c>
      <c r="R18" s="5">
        <f t="shared" si="1"/>
        <v>-0.143673573016904</v>
      </c>
    </row>
    <row r="19" spans="1:19" hidden="1" x14ac:dyDescent="0.2">
      <c r="A19" s="29" t="s">
        <v>82</v>
      </c>
      <c r="B19" s="64">
        <v>-1</v>
      </c>
      <c r="C19" s="26">
        <v>189.2</v>
      </c>
      <c r="D19" s="26">
        <v>-52.6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/>
      <c r="L19" s="26"/>
      <c r="M19" s="26"/>
      <c r="N19" s="26"/>
      <c r="O19" s="26"/>
      <c r="P19" s="26"/>
      <c r="Q19" s="26"/>
      <c r="R19" s="5" t="e">
        <f t="shared" si="1"/>
        <v>#NUM!</v>
      </c>
    </row>
    <row r="20" spans="1:19" x14ac:dyDescent="0.2">
      <c r="A20" s="27" t="s">
        <v>83</v>
      </c>
      <c r="B20" s="61">
        <v>0</v>
      </c>
      <c r="C20" s="26">
        <v>-35.1</v>
      </c>
      <c r="D20" s="26">
        <v>-210.9</v>
      </c>
      <c r="E20" s="26">
        <v>146.80000000000001</v>
      </c>
      <c r="F20" s="26">
        <v>111.1</v>
      </c>
      <c r="G20" s="26">
        <v>66.7</v>
      </c>
      <c r="H20" s="26">
        <v>51.6</v>
      </c>
      <c r="I20" s="26">
        <v>-45</v>
      </c>
      <c r="J20" s="26">
        <v>-37</v>
      </c>
      <c r="K20" s="26">
        <v>5</v>
      </c>
      <c r="L20" s="26">
        <v>4</v>
      </c>
      <c r="M20" s="26">
        <v>-23</v>
      </c>
      <c r="N20" s="26">
        <v>1</v>
      </c>
      <c r="O20" s="26">
        <v>-32</v>
      </c>
      <c r="P20" s="26">
        <f>-51-112</f>
        <v>-163</v>
      </c>
      <c r="Q20" s="26">
        <v>21</v>
      </c>
      <c r="R20" s="5"/>
    </row>
    <row r="21" spans="1:19" x14ac:dyDescent="0.2">
      <c r="A21" s="27" t="s">
        <v>84</v>
      </c>
      <c r="B21" s="64">
        <f>43.3-8.1-3.2-11.2-40.3+71</f>
        <v>51.5</v>
      </c>
      <c r="C21" s="26">
        <f>-3.9+16.4-137.5-39.4</f>
        <v>-164.4</v>
      </c>
      <c r="D21" s="26">
        <v>65</v>
      </c>
      <c r="E21" s="26">
        <v>3.4</v>
      </c>
      <c r="F21" s="26">
        <v>-6.5</v>
      </c>
      <c r="G21" s="26">
        <v>-27</v>
      </c>
      <c r="H21" s="26">
        <v>50</v>
      </c>
      <c r="I21" s="26">
        <v>3</v>
      </c>
      <c r="J21" s="26">
        <v>-10</v>
      </c>
      <c r="K21" s="26">
        <v>-32</v>
      </c>
      <c r="L21" s="26">
        <v>-58</v>
      </c>
      <c r="M21" s="26">
        <v>-25</v>
      </c>
      <c r="N21" s="26">
        <v>-32</v>
      </c>
      <c r="O21" s="26">
        <v>-36</v>
      </c>
      <c r="P21" s="26">
        <v>22</v>
      </c>
      <c r="Q21" s="26">
        <f>-10+1</f>
        <v>-9</v>
      </c>
      <c r="R21" s="5"/>
    </row>
    <row r="22" spans="1:19" x14ac:dyDescent="0.2">
      <c r="A22" s="25" t="s">
        <v>85</v>
      </c>
      <c r="B22" s="6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5"/>
    </row>
    <row r="23" spans="1:19" x14ac:dyDescent="0.2">
      <c r="A23" s="27" t="s">
        <v>86</v>
      </c>
      <c r="B23" s="64">
        <v>-40.9</v>
      </c>
      <c r="C23" s="26">
        <v>-161.80000000000001</v>
      </c>
      <c r="D23" s="26">
        <v>165.2</v>
      </c>
      <c r="E23" s="26">
        <v>7.6</v>
      </c>
      <c r="F23" s="26">
        <v>-1.7</v>
      </c>
      <c r="G23" s="26">
        <v>-137.80000000000001</v>
      </c>
      <c r="H23" s="26">
        <v>71.099999999999994</v>
      </c>
      <c r="I23" s="26">
        <v>-81</v>
      </c>
      <c r="J23" s="26">
        <v>3</v>
      </c>
      <c r="K23" s="26">
        <v>-5</v>
      </c>
      <c r="L23" s="26">
        <v>-14</v>
      </c>
      <c r="M23" s="26">
        <v>-42</v>
      </c>
      <c r="N23" s="26">
        <v>-17</v>
      </c>
      <c r="O23" s="26">
        <v>-7</v>
      </c>
      <c r="P23" s="26">
        <v>5</v>
      </c>
      <c r="Q23" s="26">
        <v>89</v>
      </c>
      <c r="R23" s="5"/>
    </row>
    <row r="24" spans="1:19" x14ac:dyDescent="0.2">
      <c r="A24" s="27" t="s">
        <v>199</v>
      </c>
      <c r="B24" s="64"/>
      <c r="C24" s="26"/>
      <c r="D24" s="26"/>
      <c r="E24" s="26"/>
      <c r="F24" s="26"/>
      <c r="G24" s="26"/>
      <c r="H24" s="26"/>
      <c r="I24" s="26">
        <v>0</v>
      </c>
      <c r="J24" s="26">
        <v>-82</v>
      </c>
      <c r="K24" s="26">
        <v>57</v>
      </c>
      <c r="L24" s="26">
        <v>-102</v>
      </c>
      <c r="M24" s="26">
        <v>4</v>
      </c>
      <c r="N24" s="26">
        <v>68</v>
      </c>
      <c r="O24" s="26">
        <v>43</v>
      </c>
      <c r="P24" s="26">
        <v>-16</v>
      </c>
      <c r="Q24" s="26">
        <v>-36</v>
      </c>
      <c r="R24" s="5"/>
    </row>
    <row r="25" spans="1:19" x14ac:dyDescent="0.2">
      <c r="A25" s="27" t="s">
        <v>87</v>
      </c>
      <c r="B25" s="64">
        <v>3.9</v>
      </c>
      <c r="C25" s="26">
        <v>-9.3000000000000007</v>
      </c>
      <c r="D25" s="26">
        <v>7</v>
      </c>
      <c r="E25" s="26">
        <v>-17.8</v>
      </c>
      <c r="F25" s="26">
        <v>14.1</v>
      </c>
      <c r="G25" s="26">
        <v>-16.2</v>
      </c>
      <c r="H25" s="26">
        <v>-38.9</v>
      </c>
      <c r="I25" s="26">
        <v>-48</v>
      </c>
      <c r="J25" s="26">
        <v>-52</v>
      </c>
      <c r="K25" s="26">
        <v>-39</v>
      </c>
      <c r="L25" s="26">
        <v>-26</v>
      </c>
      <c r="M25" s="26">
        <v>-59</v>
      </c>
      <c r="N25" s="26">
        <v>-35</v>
      </c>
      <c r="O25" s="26">
        <v>14</v>
      </c>
      <c r="P25" s="26">
        <v>37</v>
      </c>
      <c r="Q25" s="26">
        <v>5</v>
      </c>
      <c r="R25" s="5"/>
    </row>
    <row r="26" spans="1:19" x14ac:dyDescent="0.2">
      <c r="A26" s="282" t="s">
        <v>217</v>
      </c>
      <c r="B26" s="26">
        <v>0</v>
      </c>
      <c r="C26" s="26">
        <v>0</v>
      </c>
      <c r="D26" s="26">
        <v>-11.6</v>
      </c>
      <c r="E26" s="26">
        <v>32.5</v>
      </c>
      <c r="F26" s="26">
        <v>-36.799999999999997</v>
      </c>
      <c r="G26" s="26">
        <v>-32.799999999999997</v>
      </c>
      <c r="H26" s="26">
        <f>3.6+32.6</f>
        <v>36.200000000000003</v>
      </c>
      <c r="I26" s="26">
        <v>21</v>
      </c>
      <c r="J26" s="26">
        <v>-20</v>
      </c>
      <c r="K26" s="26">
        <v>-206</v>
      </c>
      <c r="L26" s="26">
        <v>-96</v>
      </c>
      <c r="M26" s="26">
        <v>275</v>
      </c>
      <c r="N26" s="26">
        <v>118</v>
      </c>
      <c r="O26" s="26">
        <v>-26</v>
      </c>
      <c r="P26" s="26">
        <v>-155</v>
      </c>
      <c r="Q26" s="26">
        <v>73</v>
      </c>
      <c r="R26" s="5">
        <f t="shared" si="1"/>
        <v>-5.5302218309821072E-2</v>
      </c>
    </row>
    <row r="27" spans="1:19" x14ac:dyDescent="0.2">
      <c r="A27" s="282" t="s">
        <v>88</v>
      </c>
      <c r="B27" s="64">
        <v>66.3</v>
      </c>
      <c r="C27" s="26">
        <v>543.79999999999995</v>
      </c>
      <c r="D27" s="26">
        <v>-151</v>
      </c>
      <c r="E27" s="26">
        <v>-97.1</v>
      </c>
      <c r="F27" s="26">
        <v>-3.3</v>
      </c>
      <c r="G27" s="26">
        <v>84.1</v>
      </c>
      <c r="H27" s="26">
        <v>-13.4</v>
      </c>
      <c r="I27" s="26">
        <v>0</v>
      </c>
      <c r="J27" s="26">
        <v>-73</v>
      </c>
      <c r="K27" s="26">
        <v>-24</v>
      </c>
      <c r="L27" s="26">
        <v>-135</v>
      </c>
      <c r="M27" s="26">
        <v>-34</v>
      </c>
      <c r="N27" s="26">
        <v>35</v>
      </c>
      <c r="O27" s="26">
        <v>10</v>
      </c>
      <c r="P27" s="26">
        <v>119</v>
      </c>
      <c r="Q27" s="26">
        <v>26</v>
      </c>
      <c r="R27" s="5"/>
    </row>
    <row r="28" spans="1:19" hidden="1" x14ac:dyDescent="0.2">
      <c r="A28" s="46" t="s">
        <v>89</v>
      </c>
      <c r="B28" s="26">
        <v>0</v>
      </c>
      <c r="C28" s="26">
        <v>-32.1</v>
      </c>
      <c r="D28" s="26">
        <v>-43</v>
      </c>
      <c r="E28" s="26">
        <v>1.2</v>
      </c>
      <c r="F28" s="26">
        <v>2.8</v>
      </c>
      <c r="G28" s="26">
        <v>-26.1</v>
      </c>
      <c r="H28" s="26">
        <v>1.9</v>
      </c>
      <c r="I28" s="26">
        <v>-7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5" t="e">
        <f t="shared" si="1"/>
        <v>#NUM!</v>
      </c>
    </row>
    <row r="29" spans="1:19" ht="7.5" customHeight="1" x14ac:dyDescent="0.2">
      <c r="A29" s="27"/>
      <c r="B29" s="6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5"/>
    </row>
    <row r="30" spans="1:19" x14ac:dyDescent="0.2">
      <c r="A30" s="233" t="s">
        <v>90</v>
      </c>
      <c r="B30" s="234">
        <f t="shared" ref="B30:K30" si="2">SUM(B11:B29)</f>
        <v>755.39999999999986</v>
      </c>
      <c r="C30" s="234">
        <f t="shared" si="2"/>
        <v>644.69999999999982</v>
      </c>
      <c r="D30" s="234">
        <f t="shared" si="2"/>
        <v>342.5999999999998</v>
      </c>
      <c r="E30" s="234">
        <f t="shared" si="2"/>
        <v>681.59999999999957</v>
      </c>
      <c r="F30" s="234">
        <f t="shared" si="2"/>
        <v>831.89999999999975</v>
      </c>
      <c r="G30" s="234">
        <f t="shared" si="2"/>
        <v>711.10000000000014</v>
      </c>
      <c r="H30" s="234">
        <f t="shared" si="2"/>
        <v>894.59999999999968</v>
      </c>
      <c r="I30" s="234">
        <f t="shared" si="2"/>
        <v>824</v>
      </c>
      <c r="J30" s="234">
        <f t="shared" si="2"/>
        <v>992</v>
      </c>
      <c r="K30" s="234">
        <f t="shared" si="2"/>
        <v>1500</v>
      </c>
      <c r="L30" s="234">
        <f t="shared" ref="L30:Q30" si="3">SUM(L10:L29)</f>
        <v>1410</v>
      </c>
      <c r="M30" s="234">
        <f t="shared" si="3"/>
        <v>1636</v>
      </c>
      <c r="N30" s="234">
        <f t="shared" si="3"/>
        <v>1627</v>
      </c>
      <c r="O30" s="234">
        <f t="shared" si="3"/>
        <v>1553</v>
      </c>
      <c r="P30" s="234">
        <f t="shared" si="3"/>
        <v>1570</v>
      </c>
      <c r="Q30" s="234">
        <f t="shared" si="3"/>
        <v>482</v>
      </c>
      <c r="R30" s="201">
        <f>RATE(($P$8-$K$8),,-K30,P30)</f>
        <v>9.1638354267210217E-3</v>
      </c>
    </row>
    <row r="31" spans="1:19" x14ac:dyDescent="0.2">
      <c r="A31" s="27"/>
      <c r="B31" s="64"/>
      <c r="C31" s="26"/>
      <c r="D31" s="26"/>
      <c r="E31" s="26"/>
      <c r="F31" s="26"/>
      <c r="G31" s="26"/>
      <c r="H31" s="26"/>
      <c r="I31" s="290"/>
      <c r="J31" s="290"/>
      <c r="K31" s="290"/>
      <c r="L31" s="290"/>
      <c r="M31" s="290"/>
      <c r="N31" s="290"/>
      <c r="O31" s="290"/>
      <c r="P31" s="290"/>
      <c r="Q31" s="290"/>
      <c r="R31" s="5"/>
      <c r="S31" s="291"/>
    </row>
    <row r="32" spans="1:19" x14ac:dyDescent="0.2">
      <c r="A32" s="232" t="s">
        <v>91</v>
      </c>
      <c r="B32" s="61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5"/>
    </row>
    <row r="33" spans="1:18" hidden="1" x14ac:dyDescent="0.2">
      <c r="A33" s="69" t="s">
        <v>145</v>
      </c>
      <c r="B33" s="28">
        <v>-2.6</v>
      </c>
      <c r="C33" s="28">
        <v>-361.3</v>
      </c>
      <c r="D33" s="28">
        <v>-358.2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/>
      <c r="L33" s="26"/>
      <c r="M33" s="26"/>
      <c r="N33" s="26"/>
      <c r="O33" s="26"/>
      <c r="P33" s="26"/>
      <c r="Q33" s="26"/>
      <c r="R33" s="5">
        <f>RATE(($K$8-$F$8+0.75),,-B33,J33)</f>
        <v>-0.99999935422939301</v>
      </c>
    </row>
    <row r="34" spans="1:18" x14ac:dyDescent="0.2">
      <c r="A34" s="27" t="s">
        <v>93</v>
      </c>
      <c r="B34" s="28">
        <v>-574</v>
      </c>
      <c r="C34" s="26">
        <v>-485.7</v>
      </c>
      <c r="D34" s="26">
        <v>-505.3</v>
      </c>
      <c r="E34" s="26">
        <v>-550</v>
      </c>
      <c r="F34" s="26">
        <v>-690.4</v>
      </c>
      <c r="G34" s="26">
        <v>-851.6</v>
      </c>
      <c r="H34" s="26">
        <v>-1049</v>
      </c>
      <c r="I34" s="26">
        <v>-1519</v>
      </c>
      <c r="J34" s="26">
        <v>-1789</v>
      </c>
      <c r="K34" s="26">
        <v>-2328</v>
      </c>
      <c r="L34" s="26">
        <v>-1607</v>
      </c>
      <c r="M34" s="26">
        <v>-1506</v>
      </c>
      <c r="N34" s="26">
        <v>-1346</v>
      </c>
      <c r="O34" s="26">
        <v>-1065</v>
      </c>
      <c r="P34" s="26">
        <v>-1066</v>
      </c>
      <c r="Q34" s="26">
        <v>-208</v>
      </c>
      <c r="R34" s="5">
        <f t="shared" ref="R34:R38" si="4">RATE(($P$8-$K$8),,-K34,P34)</f>
        <v>-0.14462836257129646</v>
      </c>
    </row>
    <row r="35" spans="1:18" x14ac:dyDescent="0.2">
      <c r="A35" s="27" t="s">
        <v>94</v>
      </c>
      <c r="B35" s="61">
        <v>169.3</v>
      </c>
      <c r="C35" s="26">
        <v>1010</v>
      </c>
      <c r="D35" s="26">
        <v>83.2</v>
      </c>
      <c r="E35" s="26">
        <v>16.3</v>
      </c>
      <c r="F35" s="26">
        <v>3.3</v>
      </c>
      <c r="G35" s="26">
        <v>7.1</v>
      </c>
      <c r="H35" s="26">
        <v>1.3</v>
      </c>
      <c r="I35" s="26">
        <v>9</v>
      </c>
      <c r="J35" s="26">
        <v>-308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5"/>
    </row>
    <row r="36" spans="1:18" hidden="1" x14ac:dyDescent="0.2">
      <c r="A36" s="29" t="s">
        <v>95</v>
      </c>
      <c r="B36" s="61">
        <v>47.8</v>
      </c>
      <c r="C36" s="26">
        <v>48.5</v>
      </c>
      <c r="D36" s="26">
        <v>36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/>
      <c r="M36" s="26"/>
      <c r="N36" s="26"/>
      <c r="O36" s="26"/>
      <c r="P36" s="26"/>
      <c r="Q36" s="26"/>
      <c r="R36" s="5" t="e">
        <f t="shared" si="4"/>
        <v>#NUM!</v>
      </c>
    </row>
    <row r="37" spans="1:18" x14ac:dyDescent="0.2">
      <c r="A37" s="27" t="s">
        <v>96</v>
      </c>
      <c r="B37" s="61">
        <v>125.9</v>
      </c>
      <c r="C37" s="26">
        <v>119.9</v>
      </c>
      <c r="D37" s="26">
        <v>120.9</v>
      </c>
      <c r="E37" s="26">
        <v>132.9</v>
      </c>
      <c r="F37" s="26">
        <v>95.8</v>
      </c>
      <c r="G37" s="26">
        <v>49.1</v>
      </c>
      <c r="H37" s="26">
        <v>123.4</v>
      </c>
      <c r="I37" s="26">
        <v>30</v>
      </c>
      <c r="J37" s="26">
        <v>67</v>
      </c>
      <c r="K37" s="26">
        <v>36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5">
        <f t="shared" si="4"/>
        <v>-0.99999940914518248</v>
      </c>
    </row>
    <row r="38" spans="1:18" x14ac:dyDescent="0.2">
      <c r="A38" s="27" t="s">
        <v>97</v>
      </c>
      <c r="B38" s="61">
        <v>-130.4</v>
      </c>
      <c r="C38" s="26">
        <v>-114.5</v>
      </c>
      <c r="D38" s="26">
        <v>-152</v>
      </c>
      <c r="E38" s="26">
        <v>-134.30000000000001</v>
      </c>
      <c r="F38" s="26">
        <v>-89.4</v>
      </c>
      <c r="G38" s="26">
        <v>-44.7</v>
      </c>
      <c r="H38" s="26">
        <v>-84.9</v>
      </c>
      <c r="I38" s="26">
        <v>-25</v>
      </c>
      <c r="J38" s="26">
        <v>-52</v>
      </c>
      <c r="K38" s="26">
        <v>-21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5">
        <f t="shared" si="4"/>
        <v>-0.99999940981024027</v>
      </c>
    </row>
    <row r="39" spans="1:18" x14ac:dyDescent="0.2">
      <c r="A39" s="27" t="s">
        <v>98</v>
      </c>
      <c r="B39" s="61">
        <v>10.3</v>
      </c>
      <c r="C39" s="26">
        <v>14.9</v>
      </c>
      <c r="D39" s="26">
        <f>17.1+189.9</f>
        <v>207</v>
      </c>
      <c r="E39" s="26">
        <v>10</v>
      </c>
      <c r="F39" s="26">
        <v>-22.8</v>
      </c>
      <c r="G39" s="26">
        <v>-6.6</v>
      </c>
      <c r="H39" s="26">
        <v>-14.9</v>
      </c>
      <c r="I39" s="26">
        <v>8</v>
      </c>
      <c r="J39" s="26">
        <v>6</v>
      </c>
      <c r="K39" s="26">
        <v>5</v>
      </c>
      <c r="L39" s="26">
        <v>-6</v>
      </c>
      <c r="M39" s="26">
        <v>-23</v>
      </c>
      <c r="N39" s="26">
        <v>4</v>
      </c>
      <c r="O39" s="26">
        <v>16</v>
      </c>
      <c r="P39" s="26">
        <v>-13</v>
      </c>
      <c r="Q39" s="26">
        <v>-25</v>
      </c>
      <c r="R39" s="5"/>
    </row>
    <row r="40" spans="1:18" ht="7.5" customHeight="1" x14ac:dyDescent="0.2">
      <c r="A40" s="27"/>
      <c r="B40" s="6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5"/>
    </row>
    <row r="41" spans="1:18" x14ac:dyDescent="0.2">
      <c r="A41" s="233" t="s">
        <v>99</v>
      </c>
      <c r="B41" s="234">
        <v>-353.7</v>
      </c>
      <c r="C41" s="235">
        <v>231.8</v>
      </c>
      <c r="D41" s="235">
        <v>-568.4</v>
      </c>
      <c r="E41" s="235">
        <v>-525.1</v>
      </c>
      <c r="F41" s="235">
        <v>-703.5</v>
      </c>
      <c r="G41" s="235">
        <v>-846.7</v>
      </c>
      <c r="H41" s="235">
        <f t="shared" ref="H41:P41" si="5">SUM(H32:H40)</f>
        <v>-1024.1000000000001</v>
      </c>
      <c r="I41" s="235">
        <f t="shared" si="5"/>
        <v>-1497</v>
      </c>
      <c r="J41" s="235">
        <f t="shared" si="5"/>
        <v>-2076</v>
      </c>
      <c r="K41" s="235">
        <f t="shared" si="5"/>
        <v>-2308</v>
      </c>
      <c r="L41" s="235">
        <f t="shared" si="5"/>
        <v>-1613</v>
      </c>
      <c r="M41" s="235">
        <f t="shared" ref="M41:O41" si="6">SUM(M32:M40)</f>
        <v>-1529</v>
      </c>
      <c r="N41" s="235">
        <f t="shared" ref="N41" si="7">SUM(N32:N40)</f>
        <v>-1342</v>
      </c>
      <c r="O41" s="235">
        <f t="shared" si="6"/>
        <v>-1049</v>
      </c>
      <c r="P41" s="235">
        <f t="shared" si="5"/>
        <v>-1079</v>
      </c>
      <c r="Q41" s="235">
        <f t="shared" ref="Q41" si="8">SUM(Q32:Q40)</f>
        <v>-233</v>
      </c>
      <c r="R41" s="201">
        <f>RATE(($P$8-$K$8),,-K41,P41)</f>
        <v>-0.14107127297688427</v>
      </c>
    </row>
    <row r="42" spans="1:18" x14ac:dyDescent="0.2">
      <c r="A42" s="27"/>
      <c r="B42" s="61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5"/>
    </row>
    <row r="43" spans="1:18" x14ac:dyDescent="0.2">
      <c r="A43" s="232" t="s">
        <v>100</v>
      </c>
      <c r="B43" s="6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5"/>
    </row>
    <row r="44" spans="1:18" x14ac:dyDescent="0.2">
      <c r="A44" s="27" t="s">
        <v>101</v>
      </c>
      <c r="B44" s="61">
        <v>-88.1</v>
      </c>
      <c r="C44" s="26">
        <v>131.5</v>
      </c>
      <c r="D44" s="26">
        <v>-64</v>
      </c>
      <c r="E44" s="26">
        <v>-152.5</v>
      </c>
      <c r="F44" s="26">
        <v>99.9</v>
      </c>
      <c r="G44" s="26">
        <v>343.9</v>
      </c>
      <c r="H44" s="26">
        <v>-284.39999999999998</v>
      </c>
      <c r="I44" s="26">
        <v>-397</v>
      </c>
      <c r="J44" s="26">
        <v>85</v>
      </c>
      <c r="K44" s="26">
        <v>-85</v>
      </c>
      <c r="L44" s="26">
        <v>36</v>
      </c>
      <c r="M44" s="26">
        <v>652</v>
      </c>
      <c r="N44" s="26">
        <v>-688</v>
      </c>
      <c r="O44" s="26">
        <v>0</v>
      </c>
      <c r="P44" s="26">
        <v>20</v>
      </c>
      <c r="Q44" s="26">
        <v>190</v>
      </c>
      <c r="R44" s="5"/>
    </row>
    <row r="45" spans="1:18" x14ac:dyDescent="0.2">
      <c r="A45" s="27" t="s">
        <v>102</v>
      </c>
      <c r="B45" s="61">
        <v>1812</v>
      </c>
      <c r="C45" s="26">
        <v>1114</v>
      </c>
      <c r="D45" s="26">
        <v>791.1</v>
      </c>
      <c r="E45" s="26">
        <v>0</v>
      </c>
      <c r="F45" s="26">
        <v>0</v>
      </c>
      <c r="G45" s="26">
        <v>395.2</v>
      </c>
      <c r="H45" s="26">
        <v>296</v>
      </c>
      <c r="I45" s="26">
        <v>1193</v>
      </c>
      <c r="J45" s="26">
        <f>797+216</f>
        <v>1013</v>
      </c>
      <c r="K45" s="26">
        <v>992</v>
      </c>
      <c r="L45" s="26">
        <v>0</v>
      </c>
      <c r="M45" s="26">
        <v>399</v>
      </c>
      <c r="N45" s="26">
        <v>749</v>
      </c>
      <c r="O45" s="26">
        <v>299</v>
      </c>
      <c r="P45" s="26">
        <v>425</v>
      </c>
      <c r="Q45" s="26">
        <v>0</v>
      </c>
      <c r="R45" s="5">
        <f t="shared" ref="R45:R52" si="9">RATE(($P$8-$K$8),,-K45,P45)</f>
        <v>-0.15593585633539747</v>
      </c>
    </row>
    <row r="46" spans="1:18" x14ac:dyDescent="0.2">
      <c r="A46" s="46" t="s">
        <v>144</v>
      </c>
      <c r="B46" s="26">
        <v>0</v>
      </c>
      <c r="C46" s="26">
        <v>0</v>
      </c>
      <c r="D46" s="26">
        <v>0</v>
      </c>
      <c r="E46" s="26">
        <v>150</v>
      </c>
      <c r="F46" s="26">
        <v>0</v>
      </c>
      <c r="G46" s="26">
        <v>0</v>
      </c>
      <c r="H46" s="26">
        <v>484.7</v>
      </c>
      <c r="I46" s="26">
        <v>200</v>
      </c>
      <c r="J46" s="26">
        <v>450</v>
      </c>
      <c r="K46" s="26">
        <v>125</v>
      </c>
      <c r="L46" s="26">
        <v>100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5">
        <f t="shared" si="9"/>
        <v>-0.99999940914518248</v>
      </c>
    </row>
    <row r="47" spans="1:18" x14ac:dyDescent="0.2">
      <c r="A47" s="292" t="s">
        <v>211</v>
      </c>
      <c r="B47" s="61">
        <v>-269.5</v>
      </c>
      <c r="C47" s="26">
        <v>-347.7</v>
      </c>
      <c r="D47" s="26">
        <v>-310.3</v>
      </c>
      <c r="E47" s="26">
        <v>-7.3</v>
      </c>
      <c r="F47" s="26">
        <v>-165.1</v>
      </c>
      <c r="G47" s="26">
        <v>-195.4</v>
      </c>
      <c r="H47" s="26">
        <v>-177.1</v>
      </c>
      <c r="I47" s="26">
        <v>-2</v>
      </c>
      <c r="J47" s="26">
        <v>-2</v>
      </c>
      <c r="K47" s="26">
        <v>-2</v>
      </c>
      <c r="L47" s="26">
        <v>-2</v>
      </c>
      <c r="M47" s="26">
        <v>-2</v>
      </c>
      <c r="N47" s="26">
        <v>-2</v>
      </c>
      <c r="O47" s="26">
        <v>-2</v>
      </c>
      <c r="P47" s="26">
        <v>0</v>
      </c>
      <c r="Q47" s="26">
        <v>0</v>
      </c>
      <c r="R47" s="5">
        <f t="shared" si="9"/>
        <v>-0.99999940981024027</v>
      </c>
    </row>
    <row r="48" spans="1:18" x14ac:dyDescent="0.2">
      <c r="A48" s="27" t="s">
        <v>209</v>
      </c>
      <c r="B48" s="61"/>
      <c r="C48" s="26"/>
      <c r="D48" s="26"/>
      <c r="E48" s="26"/>
      <c r="F48" s="26"/>
      <c r="G48" s="26"/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-550</v>
      </c>
      <c r="N48" s="26">
        <v>-200</v>
      </c>
      <c r="O48" s="26">
        <v>-500</v>
      </c>
      <c r="P48" s="26">
        <v>-725</v>
      </c>
      <c r="Q48" s="26">
        <v>-450</v>
      </c>
      <c r="R48" s="5"/>
    </row>
    <row r="49" spans="1:19" x14ac:dyDescent="0.2">
      <c r="A49" s="27" t="s">
        <v>105</v>
      </c>
      <c r="B49" s="64">
        <v>-2099</v>
      </c>
      <c r="C49" s="26">
        <v>-1787</v>
      </c>
      <c r="D49" s="26">
        <v>-59</v>
      </c>
      <c r="E49" s="26">
        <v>-144.6</v>
      </c>
      <c r="F49" s="26">
        <v>-194.1</v>
      </c>
      <c r="G49" s="26">
        <v>-259.8</v>
      </c>
      <c r="H49" s="26">
        <v>-269.7</v>
      </c>
      <c r="I49" s="26">
        <v>-127</v>
      </c>
      <c r="J49" s="26">
        <v>-413</v>
      </c>
      <c r="K49" s="26">
        <v>-144</v>
      </c>
      <c r="L49" s="26">
        <v>-16</v>
      </c>
      <c r="M49" s="26">
        <v>-588</v>
      </c>
      <c r="N49" s="26">
        <v>-102</v>
      </c>
      <c r="O49" s="26">
        <v>-284</v>
      </c>
      <c r="P49" s="26">
        <v>-238</v>
      </c>
      <c r="Q49" s="26">
        <v>0</v>
      </c>
      <c r="R49" s="5">
        <f t="shared" si="9"/>
        <v>0.10571421525018217</v>
      </c>
    </row>
    <row r="50" spans="1:19" hidden="1" x14ac:dyDescent="0.2">
      <c r="A50" s="27" t="s">
        <v>106</v>
      </c>
      <c r="B50" s="26">
        <v>0</v>
      </c>
      <c r="C50" s="26">
        <v>0</v>
      </c>
      <c r="D50" s="26">
        <v>0</v>
      </c>
      <c r="E50" s="26">
        <v>0</v>
      </c>
      <c r="F50" s="26">
        <v>-352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5" t="e">
        <f t="shared" si="9"/>
        <v>#NUM!</v>
      </c>
    </row>
    <row r="51" spans="1:19" x14ac:dyDescent="0.2">
      <c r="A51" s="27" t="s">
        <v>107</v>
      </c>
      <c r="B51" s="61">
        <v>-26.1</v>
      </c>
      <c r="C51" s="26">
        <v>0</v>
      </c>
      <c r="D51" s="26">
        <v>0</v>
      </c>
      <c r="E51" s="26">
        <v>-7.5</v>
      </c>
      <c r="F51" s="26">
        <v>-7.5</v>
      </c>
      <c r="G51" s="26">
        <v>-7.5</v>
      </c>
      <c r="H51" s="26">
        <v>-7.5</v>
      </c>
      <c r="I51" s="26">
        <v>-38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-40</v>
      </c>
      <c r="P51" s="26">
        <v>0</v>
      </c>
      <c r="Q51" s="26">
        <v>0</v>
      </c>
      <c r="R51" s="5"/>
    </row>
    <row r="52" spans="1:19" x14ac:dyDescent="0.2">
      <c r="A52" s="27" t="s">
        <v>98</v>
      </c>
      <c r="B52" s="61">
        <v>7</v>
      </c>
      <c r="C52" s="26">
        <v>-2.1</v>
      </c>
      <c r="D52" s="26">
        <v>-13.5</v>
      </c>
      <c r="E52" s="26">
        <v>0</v>
      </c>
      <c r="F52" s="26">
        <v>-0.3</v>
      </c>
      <c r="G52" s="26">
        <v>0</v>
      </c>
      <c r="H52" s="26">
        <v>7.8</v>
      </c>
      <c r="I52" s="26">
        <v>13</v>
      </c>
      <c r="J52" s="26">
        <f>-2-216</f>
        <v>-218</v>
      </c>
      <c r="K52" s="26">
        <v>-20</v>
      </c>
      <c r="L52" s="26">
        <f>-1</f>
        <v>-1</v>
      </c>
      <c r="M52" s="26">
        <v>-2</v>
      </c>
      <c r="N52" s="26">
        <v>-9</v>
      </c>
      <c r="O52" s="26">
        <v>-4</v>
      </c>
      <c r="P52" s="26">
        <v>-3</v>
      </c>
      <c r="Q52" s="26">
        <v>0</v>
      </c>
      <c r="R52" s="5">
        <f t="shared" si="9"/>
        <v>-0.31574457108136805</v>
      </c>
    </row>
    <row r="53" spans="1:19" ht="7.5" customHeight="1" x14ac:dyDescent="0.2">
      <c r="A53" s="27"/>
      <c r="B53" s="61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5"/>
    </row>
    <row r="54" spans="1:19" x14ac:dyDescent="0.2">
      <c r="A54" s="233" t="s">
        <v>108</v>
      </c>
      <c r="B54" s="236">
        <v>-663.7</v>
      </c>
      <c r="C54" s="235">
        <v>-891.3</v>
      </c>
      <c r="D54" s="235">
        <v>244.3</v>
      </c>
      <c r="E54" s="235">
        <v>-161.9</v>
      </c>
      <c r="F54" s="235">
        <v>-222.4</v>
      </c>
      <c r="G54" s="235">
        <v>276.39999999999998</v>
      </c>
      <c r="H54" s="235">
        <f t="shared" ref="H54:P54" si="10">SUM(H43:H53)</f>
        <v>49.800000000000054</v>
      </c>
      <c r="I54" s="235">
        <f t="shared" si="10"/>
        <v>842</v>
      </c>
      <c r="J54" s="235">
        <f t="shared" si="10"/>
        <v>915</v>
      </c>
      <c r="K54" s="235">
        <f t="shared" si="10"/>
        <v>866</v>
      </c>
      <c r="L54" s="235">
        <f t="shared" si="10"/>
        <v>117</v>
      </c>
      <c r="M54" s="235">
        <f t="shared" ref="M54:O54" si="11">SUM(M43:M53)</f>
        <v>-91</v>
      </c>
      <c r="N54" s="235">
        <f t="shared" ref="N54" si="12">SUM(N43:N53)</f>
        <v>-252</v>
      </c>
      <c r="O54" s="235">
        <f t="shared" si="11"/>
        <v>-531</v>
      </c>
      <c r="P54" s="235">
        <f t="shared" si="10"/>
        <v>-521</v>
      </c>
      <c r="Q54" s="235">
        <f t="shared" ref="Q54" si="13">SUM(Q43:Q53)</f>
        <v>-260</v>
      </c>
      <c r="R54" s="201"/>
    </row>
    <row r="55" spans="1:19" x14ac:dyDescent="0.2">
      <c r="A55" s="233" t="s">
        <v>109</v>
      </c>
      <c r="B55" s="234">
        <v>-262</v>
      </c>
      <c r="C55" s="235">
        <v>-14.800000000000182</v>
      </c>
      <c r="D55" s="235">
        <v>18.500000000000057</v>
      </c>
      <c r="E55" s="235">
        <v>-5.4000000000001194</v>
      </c>
      <c r="F55" s="235">
        <v>-94.000000000000284</v>
      </c>
      <c r="G55" s="235">
        <v>140.80000000000001</v>
      </c>
      <c r="H55" s="235">
        <v>-79.7</v>
      </c>
      <c r="I55" s="235">
        <f>I30+I41+I54</f>
        <v>169</v>
      </c>
      <c r="J55" s="235">
        <f>J30+J41+J54</f>
        <v>-169</v>
      </c>
      <c r="K55" s="235">
        <f>K30+K41+K54</f>
        <v>58</v>
      </c>
      <c r="L55" s="235">
        <f t="shared" ref="L55:Q55" si="14">L57-L56</f>
        <v>-86</v>
      </c>
      <c r="M55" s="235">
        <f t="shared" si="14"/>
        <v>16</v>
      </c>
      <c r="N55" s="235">
        <f t="shared" si="14"/>
        <v>33</v>
      </c>
      <c r="O55" s="235">
        <f t="shared" si="14"/>
        <v>-27</v>
      </c>
      <c r="P55" s="235">
        <f t="shared" si="14"/>
        <v>-30</v>
      </c>
      <c r="Q55" s="235">
        <f t="shared" si="14"/>
        <v>-11</v>
      </c>
      <c r="R55" s="201"/>
      <c r="S55" s="239"/>
    </row>
    <row r="56" spans="1:19" x14ac:dyDescent="0.2">
      <c r="A56" s="30" t="s">
        <v>110</v>
      </c>
      <c r="B56" s="65">
        <v>416.2</v>
      </c>
      <c r="C56" s="31">
        <v>154.19999999999999</v>
      </c>
      <c r="D56" s="31">
        <v>139.4</v>
      </c>
      <c r="E56" s="31">
        <v>157.9</v>
      </c>
      <c r="F56" s="31">
        <v>152.5</v>
      </c>
      <c r="G56" s="31">
        <v>58.499999999999602</v>
      </c>
      <c r="H56" s="31">
        <f>G57</f>
        <v>199.3</v>
      </c>
      <c r="I56" s="31">
        <v>59</v>
      </c>
      <c r="J56" s="31">
        <v>228</v>
      </c>
      <c r="K56" s="31">
        <v>59</v>
      </c>
      <c r="L56" s="31">
        <f>Historical!K12:K12</f>
        <v>117</v>
      </c>
      <c r="M56" s="31">
        <f>Historical!L12:L12</f>
        <v>31</v>
      </c>
      <c r="N56" s="31">
        <f>M57</f>
        <v>47</v>
      </c>
      <c r="O56" s="31">
        <f>N57</f>
        <v>80</v>
      </c>
      <c r="P56" s="31">
        <f>O57</f>
        <v>53</v>
      </c>
      <c r="Q56" s="31">
        <f>P57</f>
        <v>23</v>
      </c>
      <c r="R56" s="97">
        <f t="shared" ref="R56:R57" si="15">RATE(($P$8-$K$8),,-K56,P56)</f>
        <v>-2.1220709874463967E-2</v>
      </c>
    </row>
    <row r="57" spans="1:19" x14ac:dyDescent="0.2">
      <c r="A57" s="30" t="s">
        <v>111</v>
      </c>
      <c r="B57" s="66">
        <f>B55+B56</f>
        <v>154.19999999999999</v>
      </c>
      <c r="C57" s="31">
        <v>139.4</v>
      </c>
      <c r="D57" s="31">
        <v>157.9</v>
      </c>
      <c r="E57" s="31">
        <v>152.5</v>
      </c>
      <c r="F57" s="31">
        <v>58.499999999999602</v>
      </c>
      <c r="G57" s="31">
        <v>199.3</v>
      </c>
      <c r="H57" s="31">
        <f>H55+H56</f>
        <v>119.60000000000001</v>
      </c>
      <c r="I57" s="31">
        <f>I55+I56</f>
        <v>228</v>
      </c>
      <c r="J57" s="31">
        <f>J55+J56</f>
        <v>59</v>
      </c>
      <c r="K57" s="31">
        <f>K55+K56</f>
        <v>117</v>
      </c>
      <c r="L57" s="31">
        <f>Historical!L12</f>
        <v>31</v>
      </c>
      <c r="M57" s="31">
        <f>Historical!M12</f>
        <v>47</v>
      </c>
      <c r="N57" s="31">
        <f>Historical!N12</f>
        <v>80</v>
      </c>
      <c r="O57" s="31">
        <f>Historical!O12</f>
        <v>53</v>
      </c>
      <c r="P57" s="31">
        <f>Historical!P12</f>
        <v>23</v>
      </c>
      <c r="Q57" s="31">
        <f>Historical!Q12</f>
        <v>12</v>
      </c>
      <c r="R57" s="97">
        <f t="shared" si="15"/>
        <v>-0.27771533415359961</v>
      </c>
    </row>
    <row r="58" spans="1:19" x14ac:dyDescent="0.2">
      <c r="B58" s="67"/>
      <c r="C58" s="68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273"/>
    </row>
    <row r="60" spans="1:19" x14ac:dyDescent="0.2">
      <c r="R60" s="53" t="s">
        <v>114</v>
      </c>
    </row>
    <row r="61" spans="1:19" x14ac:dyDescent="0.2">
      <c r="R61" s="54" t="s">
        <v>116</v>
      </c>
    </row>
    <row r="62" spans="1:19" ht="18.75" x14ac:dyDescent="0.3">
      <c r="A62" s="48" t="str">
        <f>A3</f>
        <v>PacifiCorp</v>
      </c>
      <c r="B62" s="49"/>
      <c r="C62" s="49"/>
      <c r="D62" s="49"/>
      <c r="E62" s="49"/>
      <c r="F62" s="49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39"/>
    </row>
    <row r="63" spans="1:19" s="37" customFormat="1" ht="15.75" x14ac:dyDescent="0.25">
      <c r="A63" s="50" t="s">
        <v>113</v>
      </c>
      <c r="B63" s="42"/>
      <c r="C63" s="42"/>
      <c r="D63" s="42"/>
      <c r="E63" s="42"/>
      <c r="F63" s="42"/>
      <c r="G63" s="42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</row>
    <row r="64" spans="1:19" s="37" customFormat="1" ht="15.75" x14ac:dyDescent="0.25">
      <c r="A64" s="51" t="str">
        <f>A5</f>
        <v>Fiscal Years Ended December 31, 2009-2014; Three Months Ended March 31, 2015</v>
      </c>
      <c r="B64" s="42"/>
      <c r="C64" s="42"/>
      <c r="D64" s="42"/>
      <c r="E64" s="42"/>
      <c r="F64" s="42"/>
      <c r="G64" s="42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</row>
    <row r="65" spans="1:25" x14ac:dyDescent="0.2">
      <c r="A65" s="44"/>
      <c r="B65" s="237"/>
      <c r="C65" s="237"/>
      <c r="D65" s="237"/>
      <c r="E65" s="237"/>
      <c r="F65" s="237"/>
      <c r="G65" s="237"/>
      <c r="H65" s="192"/>
      <c r="I65" s="238"/>
      <c r="J65" s="238"/>
      <c r="K65" s="238"/>
      <c r="L65" s="238"/>
      <c r="M65" s="238"/>
      <c r="N65" s="238"/>
      <c r="O65" s="238"/>
      <c r="P65" s="238"/>
      <c r="Q65" s="317" t="str">
        <f>Q7</f>
        <v>3 Months</v>
      </c>
      <c r="R65" s="228" t="str">
        <f>R6</f>
        <v>2009-2014</v>
      </c>
    </row>
    <row r="66" spans="1:25" x14ac:dyDescent="0.2">
      <c r="A66" s="239"/>
      <c r="B66" s="231">
        <f>B8</f>
        <v>2000</v>
      </c>
      <c r="C66" s="231">
        <f t="shared" ref="C66:H66" si="16">C8</f>
        <v>2001</v>
      </c>
      <c r="D66" s="231">
        <f t="shared" si="16"/>
        <v>2002</v>
      </c>
      <c r="E66" s="231">
        <f t="shared" si="16"/>
        <v>2003</v>
      </c>
      <c r="F66" s="231">
        <f t="shared" si="16"/>
        <v>2004</v>
      </c>
      <c r="G66" s="231">
        <f t="shared" si="16"/>
        <v>2005</v>
      </c>
      <c r="H66" s="231">
        <f t="shared" si="16"/>
        <v>2006</v>
      </c>
      <c r="I66" s="195">
        <f t="shared" ref="I66:O66" si="17">I8</f>
        <v>2007</v>
      </c>
      <c r="J66" s="195">
        <f t="shared" si="17"/>
        <v>2008</v>
      </c>
      <c r="K66" s="195">
        <f t="shared" si="17"/>
        <v>2009</v>
      </c>
      <c r="L66" s="195">
        <f t="shared" si="17"/>
        <v>2010</v>
      </c>
      <c r="M66" s="195">
        <f t="shared" si="17"/>
        <v>2011</v>
      </c>
      <c r="N66" s="195">
        <f t="shared" ref="N66" si="18">N8</f>
        <v>2012</v>
      </c>
      <c r="O66" s="195">
        <f t="shared" si="17"/>
        <v>2013</v>
      </c>
      <c r="P66" s="195">
        <f>P8</f>
        <v>2014</v>
      </c>
      <c r="Q66" s="314">
        <f>Q8</f>
        <v>42064</v>
      </c>
      <c r="R66" s="240" t="s">
        <v>38</v>
      </c>
    </row>
    <row r="67" spans="1:25" ht="7.5" customHeight="1" x14ac:dyDescent="0.2">
      <c r="B67" s="34"/>
      <c r="C67" s="35"/>
      <c r="D67" s="35"/>
      <c r="E67" s="35"/>
      <c r="F67" s="35"/>
      <c r="G67" s="35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25" x14ac:dyDescent="0.2">
      <c r="A68" s="36" t="s">
        <v>45</v>
      </c>
      <c r="B68" s="242">
        <f>Historical!B76</f>
        <v>3986.9</v>
      </c>
      <c r="C68" s="242">
        <f>Historical!C76</f>
        <v>5055.7</v>
      </c>
      <c r="D68" s="242">
        <f>Historical!D76</f>
        <v>3353.7</v>
      </c>
      <c r="E68" s="242">
        <f>Historical!E76</f>
        <v>3082.4</v>
      </c>
      <c r="F68" s="242">
        <f>Historical!F76</f>
        <v>3194.5</v>
      </c>
      <c r="G68" s="242">
        <f>Historical!G76</f>
        <v>3048.8</v>
      </c>
      <c r="H68" s="242">
        <f>Historical!H76</f>
        <v>3896.7</v>
      </c>
      <c r="I68" s="242">
        <f>Historical!I76</f>
        <v>4258</v>
      </c>
      <c r="J68" s="242">
        <f>Historical!J76</f>
        <v>4498</v>
      </c>
      <c r="K68" s="242">
        <f>Historical!K76</f>
        <v>4457</v>
      </c>
      <c r="L68" s="242">
        <f>Historical!L76</f>
        <v>4432</v>
      </c>
      <c r="M68" s="242">
        <f>Historical!M76</f>
        <v>4586</v>
      </c>
      <c r="N68" s="242">
        <f>Historical!N76</f>
        <v>4882</v>
      </c>
      <c r="O68" s="242">
        <f>Historical!O76</f>
        <v>5147</v>
      </c>
      <c r="P68" s="242">
        <f>Historical!P76</f>
        <v>5252</v>
      </c>
      <c r="Q68" s="242">
        <f>Historical!Q76</f>
        <v>1250</v>
      </c>
      <c r="R68" s="252">
        <f>SUM(K68:P68)/SUM($K$68:$P$68)</f>
        <v>1</v>
      </c>
      <c r="S68" s="37"/>
      <c r="T68" s="37"/>
      <c r="U68" s="37"/>
      <c r="V68" s="37"/>
      <c r="W68" s="37"/>
      <c r="X68" s="37"/>
      <c r="Y68" s="37"/>
    </row>
    <row r="69" spans="1:25" ht="7.5" customHeight="1" x14ac:dyDescent="0.2">
      <c r="A69" s="36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7"/>
      <c r="S69" s="37"/>
      <c r="T69" s="37"/>
      <c r="U69" s="37"/>
      <c r="V69" s="37"/>
      <c r="W69" s="37"/>
      <c r="X69" s="37"/>
      <c r="Y69" s="37"/>
    </row>
    <row r="70" spans="1:25" x14ac:dyDescent="0.2">
      <c r="A70" s="232" t="s">
        <v>72</v>
      </c>
      <c r="B70" s="37"/>
      <c r="C70" s="37"/>
      <c r="D70" s="37"/>
      <c r="E70" s="37"/>
      <c r="F70" s="38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spans="1:25" x14ac:dyDescent="0.2">
      <c r="A71" s="27" t="s">
        <v>73</v>
      </c>
      <c r="B71" s="57">
        <f t="shared" ref="B71:L71" si="19">(B11/B$68)</f>
        <v>2.0993754546138593E-2</v>
      </c>
      <c r="C71" s="57">
        <f t="shared" si="19"/>
        <v>-1.744565539885674E-2</v>
      </c>
      <c r="D71" s="57">
        <f t="shared" si="19"/>
        <v>9.759370247786027E-2</v>
      </c>
      <c r="E71" s="57">
        <f t="shared" si="19"/>
        <v>4.5451596158837149E-2</v>
      </c>
      <c r="F71" s="57">
        <f t="shared" si="19"/>
        <v>7.7664736265456155E-2</v>
      </c>
      <c r="G71" s="57">
        <f t="shared" si="19"/>
        <v>8.2557071634741588E-2</v>
      </c>
      <c r="H71" s="57">
        <f t="shared" si="19"/>
        <v>9.2565504144532448E-2</v>
      </c>
      <c r="I71" s="57">
        <f t="shared" si="19"/>
        <v>0.1045091592296853</v>
      </c>
      <c r="J71" s="57">
        <f t="shared" si="19"/>
        <v>0.10337927967985772</v>
      </c>
      <c r="K71" s="57">
        <f t="shared" si="19"/>
        <v>0.12340139107022662</v>
      </c>
      <c r="L71" s="57">
        <f t="shared" si="19"/>
        <v>0.12770758122743683</v>
      </c>
      <c r="M71" s="57">
        <f t="shared" ref="M71:O71" si="20">(M11/M$68)</f>
        <v>0.12102049716528565</v>
      </c>
      <c r="N71" s="57">
        <f t="shared" ref="N71" si="21">(N11/N$68)</f>
        <v>0.10999590331831216</v>
      </c>
      <c r="O71" s="57">
        <f t="shared" si="20"/>
        <v>0.1325043714785312</v>
      </c>
      <c r="P71" s="57">
        <f>(P11/P$68)</f>
        <v>0.13290175171363292</v>
      </c>
      <c r="Q71" s="57">
        <f>(Q11/Q$68)</f>
        <v>0.1072</v>
      </c>
      <c r="R71" s="308">
        <f>SUM(K11:P11)/SUM($K$68:$P$68)</f>
        <v>0.12477396021699819</v>
      </c>
      <c r="S71" s="37"/>
      <c r="T71" s="37"/>
      <c r="U71" s="37"/>
      <c r="V71" s="37"/>
      <c r="W71" s="37"/>
      <c r="X71" s="37"/>
      <c r="Y71" s="37"/>
    </row>
    <row r="72" spans="1:25" x14ac:dyDescent="0.2">
      <c r="A72" s="25" t="s">
        <v>74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8"/>
      <c r="S72" s="37"/>
      <c r="T72" s="37"/>
      <c r="U72" s="37"/>
      <c r="V72" s="37"/>
      <c r="W72" s="37"/>
      <c r="X72" s="37"/>
      <c r="Y72" s="37"/>
    </row>
    <row r="73" spans="1:25" x14ac:dyDescent="0.2">
      <c r="A73" s="25" t="s">
        <v>75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8"/>
      <c r="S73" s="37"/>
      <c r="T73" s="37"/>
      <c r="U73" s="37"/>
      <c r="V73" s="37"/>
      <c r="W73" s="37"/>
      <c r="X73" s="37"/>
      <c r="Y73" s="37"/>
    </row>
    <row r="74" spans="1:25" hidden="1" x14ac:dyDescent="0.2">
      <c r="A74" s="29" t="s">
        <v>76</v>
      </c>
      <c r="B74" s="57">
        <f>(B14/B$68)</f>
        <v>-2.7590358423838069E-4</v>
      </c>
      <c r="C74" s="59" t="s">
        <v>77</v>
      </c>
      <c r="D74" s="57">
        <f t="shared" ref="D74:D80" si="22">(D14/D$68)</f>
        <v>-4.3742731908041864E-2</v>
      </c>
      <c r="E74" s="59" t="s">
        <v>77</v>
      </c>
      <c r="F74" s="59" t="s">
        <v>77</v>
      </c>
      <c r="G74" s="59" t="s">
        <v>77</v>
      </c>
      <c r="H74" s="59" t="s">
        <v>77</v>
      </c>
      <c r="I74" s="59" t="s">
        <v>77</v>
      </c>
      <c r="J74" s="59"/>
      <c r="K74" s="59"/>
      <c r="L74" s="59"/>
      <c r="M74" s="59"/>
      <c r="N74" s="59"/>
      <c r="O74" s="59"/>
      <c r="P74" s="59"/>
      <c r="Q74" s="59"/>
      <c r="R74" s="58">
        <f>SUM(I14:O14)/SUM($I$68:$O$68)</f>
        <v>0</v>
      </c>
      <c r="S74" s="37"/>
      <c r="T74" s="37"/>
      <c r="U74" s="37"/>
      <c r="V74" s="37"/>
      <c r="W74" s="37"/>
      <c r="X74" s="37"/>
      <c r="Y74" s="37"/>
    </row>
    <row r="75" spans="1:25" hidden="1" x14ac:dyDescent="0.2">
      <c r="A75" s="27" t="s">
        <v>78</v>
      </c>
      <c r="B75" s="59" t="s">
        <v>77</v>
      </c>
      <c r="C75" s="59" t="s">
        <v>77</v>
      </c>
      <c r="D75" s="57">
        <f t="shared" si="22"/>
        <v>3.3634493246265322E-2</v>
      </c>
      <c r="E75" s="57">
        <f t="shared" ref="E75:F78" si="23">(E15/E$68)</f>
        <v>6.16402803010641E-4</v>
      </c>
      <c r="F75" s="57">
        <f t="shared" si="23"/>
        <v>2.8173423070903115E-4</v>
      </c>
      <c r="G75" s="57" t="s">
        <v>77</v>
      </c>
      <c r="H75" s="59" t="s">
        <v>77</v>
      </c>
      <c r="I75" s="59" t="s">
        <v>77</v>
      </c>
      <c r="J75" s="59"/>
      <c r="K75" s="59"/>
      <c r="L75" s="59"/>
      <c r="M75" s="59"/>
      <c r="N75" s="59"/>
      <c r="O75" s="59"/>
      <c r="P75" s="59"/>
      <c r="Q75" s="59"/>
      <c r="R75" s="58">
        <f>SUM(I15:O15)/SUM($I$68:$O$68)</f>
        <v>0</v>
      </c>
      <c r="S75" s="37"/>
      <c r="T75" s="37"/>
      <c r="U75" s="37"/>
      <c r="V75" s="37"/>
      <c r="W75" s="37"/>
      <c r="X75" s="37"/>
      <c r="Y75" s="37"/>
    </row>
    <row r="76" spans="1:25" x14ac:dyDescent="0.2">
      <c r="A76" s="27" t="s">
        <v>79</v>
      </c>
      <c r="B76" s="59" t="s">
        <v>77</v>
      </c>
      <c r="C76" s="59" t="s">
        <v>77</v>
      </c>
      <c r="D76" s="57">
        <f t="shared" si="22"/>
        <v>-5.4506962459373233E-2</v>
      </c>
      <c r="E76" s="57">
        <f t="shared" si="23"/>
        <v>-1.0057098364910459E-3</v>
      </c>
      <c r="F76" s="57">
        <f t="shared" si="23"/>
        <v>-1.9095320081389889E-3</v>
      </c>
      <c r="G76" s="57">
        <f t="shared" ref="G76:P78" si="24">(G16/G$68)</f>
        <v>-2.7551823668328524E-3</v>
      </c>
      <c r="H76" s="57">
        <f t="shared" si="24"/>
        <v>-2.2275258552108195E-2</v>
      </c>
      <c r="I76" s="57">
        <f t="shared" si="24"/>
        <v>0</v>
      </c>
      <c r="J76" s="57">
        <f t="shared" si="24"/>
        <v>0</v>
      </c>
      <c r="K76" s="57">
        <f t="shared" si="24"/>
        <v>0</v>
      </c>
      <c r="L76" s="57">
        <f t="shared" si="24"/>
        <v>0</v>
      </c>
      <c r="M76" s="57">
        <f t="shared" ref="M76:O76" si="25">(M16/M$68)</f>
        <v>0</v>
      </c>
      <c r="N76" s="57">
        <f t="shared" ref="N76" si="26">(N16/N$68)</f>
        <v>0</v>
      </c>
      <c r="O76" s="57">
        <f t="shared" si="25"/>
        <v>0</v>
      </c>
      <c r="P76" s="57">
        <f t="shared" si="24"/>
        <v>0</v>
      </c>
      <c r="Q76" s="57">
        <f t="shared" ref="Q76" si="27">(Q16/Q$68)</f>
        <v>0</v>
      </c>
      <c r="R76" s="308">
        <f t="shared" ref="R76:R81" si="28">SUM(K16:P16)/SUM($K$68:$P$68)</f>
        <v>0</v>
      </c>
      <c r="S76" s="37"/>
      <c r="T76" s="37"/>
      <c r="U76" s="37"/>
      <c r="V76" s="37"/>
      <c r="W76" s="37"/>
      <c r="X76" s="37"/>
      <c r="Y76" s="37"/>
    </row>
    <row r="77" spans="1:25" x14ac:dyDescent="0.2">
      <c r="A77" s="27" t="s">
        <v>80</v>
      </c>
      <c r="B77" s="57">
        <f t="shared" ref="B77:C79" si="29">(B17/B$68)</f>
        <v>0.11444982317088465</v>
      </c>
      <c r="C77" s="57">
        <f t="shared" si="29"/>
        <v>8.48547184366161E-2</v>
      </c>
      <c r="D77" s="57">
        <f t="shared" si="22"/>
        <v>0.1201657870411784</v>
      </c>
      <c r="E77" s="57">
        <f t="shared" si="23"/>
        <v>0.14089670386711653</v>
      </c>
      <c r="F77" s="57">
        <f t="shared" si="23"/>
        <v>0.13423070903114728</v>
      </c>
      <c r="G77" s="57">
        <f t="shared" si="24"/>
        <v>0.14330228286538965</v>
      </c>
      <c r="H77" s="57">
        <f t="shared" si="24"/>
        <v>0.11504606461878</v>
      </c>
      <c r="I77" s="57">
        <f t="shared" si="24"/>
        <v>0.11672146547674965</v>
      </c>
      <c r="J77" s="57">
        <f t="shared" si="24"/>
        <v>0.10893730546909737</v>
      </c>
      <c r="K77" s="57">
        <f t="shared" si="24"/>
        <v>0.12317702490464438</v>
      </c>
      <c r="L77" s="57">
        <f t="shared" si="24"/>
        <v>0.12657942238267147</v>
      </c>
      <c r="M77" s="57">
        <f t="shared" ref="M77:O77" si="30">(M17/M$68)</f>
        <v>0.13323157435673791</v>
      </c>
      <c r="N77" s="57">
        <f t="shared" ref="N77" si="31">(N17/N$68)</f>
        <v>0.13109381401065137</v>
      </c>
      <c r="O77" s="57">
        <f t="shared" si="30"/>
        <v>0.13114435593549639</v>
      </c>
      <c r="P77" s="57">
        <f t="shared" si="24"/>
        <v>0.13823305407463823</v>
      </c>
      <c r="Q77" s="57">
        <f t="shared" ref="Q77" si="32">(Q17/Q$68)</f>
        <v>0.1512</v>
      </c>
      <c r="R77" s="308">
        <f t="shared" si="28"/>
        <v>0.13082487133120044</v>
      </c>
      <c r="S77" s="37"/>
      <c r="T77" s="37"/>
      <c r="U77" s="37"/>
      <c r="V77" s="37"/>
      <c r="W77" s="37"/>
      <c r="X77" s="37"/>
      <c r="Y77" s="37"/>
    </row>
    <row r="78" spans="1:25" x14ac:dyDescent="0.2">
      <c r="A78" s="27" t="s">
        <v>81</v>
      </c>
      <c r="B78" s="57">
        <f t="shared" si="29"/>
        <v>3.4287290877624214E-2</v>
      </c>
      <c r="C78" s="57">
        <f t="shared" si="29"/>
        <v>-5.2218288268686824E-3</v>
      </c>
      <c r="D78" s="57">
        <f t="shared" si="22"/>
        <v>1.8159048215403883E-2</v>
      </c>
      <c r="E78" s="57">
        <f t="shared" si="23"/>
        <v>1.0316636387230729E-2</v>
      </c>
      <c r="F78" s="57">
        <f t="shared" si="23"/>
        <v>2.5199561746752232E-2</v>
      </c>
      <c r="G78" s="57">
        <f t="shared" si="24"/>
        <v>3.9359748097612175E-2</v>
      </c>
      <c r="H78" s="57">
        <f t="shared" si="24"/>
        <v>3.5671208971694E-3</v>
      </c>
      <c r="I78" s="57">
        <f t="shared" si="24"/>
        <v>9.1592296852982622E-3</v>
      </c>
      <c r="J78" s="57">
        <f t="shared" si="24"/>
        <v>6.8474877723432637E-2</v>
      </c>
      <c r="K78" s="57">
        <f t="shared" si="24"/>
        <v>0.14471617680053847</v>
      </c>
      <c r="L78" s="57">
        <f t="shared" si="24"/>
        <v>0.1601985559566787</v>
      </c>
      <c r="M78" s="57">
        <f t="shared" ref="M78:O78" si="33">(M18/M$68)</f>
        <v>8.1552551242913218E-2</v>
      </c>
      <c r="N78" s="57">
        <f t="shared" ref="N78" si="34">(N18/N$68)</f>
        <v>6.3908234330192548E-2</v>
      </c>
      <c r="O78" s="57">
        <f t="shared" si="33"/>
        <v>4.4686224985428402E-2</v>
      </c>
      <c r="P78" s="57">
        <f t="shared" si="24"/>
        <v>5.6549885757806548E-2</v>
      </c>
      <c r="Q78" s="57">
        <f t="shared" ref="Q78" si="35">(Q18/Q$68)</f>
        <v>-8.0000000000000002E-3</v>
      </c>
      <c r="R78" s="308">
        <f t="shared" si="28"/>
        <v>8.9303101961329803E-2</v>
      </c>
      <c r="S78" s="37"/>
      <c r="T78" s="37"/>
      <c r="U78" s="37"/>
      <c r="V78" s="37"/>
      <c r="W78" s="37"/>
      <c r="X78" s="37"/>
      <c r="Y78" s="37"/>
    </row>
    <row r="79" spans="1:25" hidden="1" x14ac:dyDescent="0.2">
      <c r="A79" s="29" t="s">
        <v>82</v>
      </c>
      <c r="B79" s="57">
        <f t="shared" si="29"/>
        <v>-2.5082144021670974E-4</v>
      </c>
      <c r="C79" s="57">
        <f t="shared" si="29"/>
        <v>3.7423106592558895E-2</v>
      </c>
      <c r="D79" s="57">
        <f t="shared" si="22"/>
        <v>-1.5684169722992518E-2</v>
      </c>
      <c r="E79" s="59" t="s">
        <v>77</v>
      </c>
      <c r="F79" s="59" t="s">
        <v>77</v>
      </c>
      <c r="G79" s="59" t="s">
        <v>77</v>
      </c>
      <c r="H79" s="59" t="s">
        <v>77</v>
      </c>
      <c r="I79" s="59" t="s">
        <v>77</v>
      </c>
      <c r="J79" s="59"/>
      <c r="K79" s="59"/>
      <c r="L79" s="59"/>
      <c r="M79" s="59"/>
      <c r="N79" s="59"/>
      <c r="O79" s="59"/>
      <c r="P79" s="59"/>
      <c r="Q79" s="59"/>
      <c r="R79" s="308">
        <f t="shared" si="28"/>
        <v>0</v>
      </c>
      <c r="S79" s="37"/>
      <c r="T79" s="37"/>
      <c r="U79" s="37"/>
      <c r="V79" s="37"/>
      <c r="W79" s="37"/>
      <c r="X79" s="37"/>
      <c r="Y79" s="37"/>
    </row>
    <row r="80" spans="1:25" x14ac:dyDescent="0.2">
      <c r="A80" s="27" t="s">
        <v>83</v>
      </c>
      <c r="B80" s="59" t="s">
        <v>77</v>
      </c>
      <c r="C80" s="57">
        <f>(C20/C$68)</f>
        <v>-6.9426587811776816E-3</v>
      </c>
      <c r="D80" s="57">
        <f t="shared" si="22"/>
        <v>-6.2885767957777977E-2</v>
      </c>
      <c r="E80" s="57">
        <f t="shared" ref="E80:P80" si="36">(E20/E$68)</f>
        <v>4.762522709576953E-2</v>
      </c>
      <c r="F80" s="57">
        <f t="shared" si="36"/>
        <v>3.477852559085929E-2</v>
      </c>
      <c r="G80" s="57">
        <f t="shared" si="36"/>
        <v>2.1877459984256102E-2</v>
      </c>
      <c r="H80" s="57">
        <f t="shared" si="36"/>
        <v>1.324197397798137E-2</v>
      </c>
      <c r="I80" s="57">
        <f t="shared" si="36"/>
        <v>-1.0568341944574918E-2</v>
      </c>
      <c r="J80" s="57">
        <f t="shared" si="36"/>
        <v>-8.2258781680747007E-3</v>
      </c>
      <c r="K80" s="57">
        <f t="shared" si="36"/>
        <v>1.121830827911151E-3</v>
      </c>
      <c r="L80" s="57">
        <f t="shared" si="36"/>
        <v>9.025270758122744E-4</v>
      </c>
      <c r="M80" s="57">
        <f t="shared" ref="M80:O80" si="37">(M20/M$68)</f>
        <v>-5.0152638464893151E-3</v>
      </c>
      <c r="N80" s="57">
        <f t="shared" ref="N80" si="38">(N20/N$68)</f>
        <v>2.0483408439164277E-4</v>
      </c>
      <c r="O80" s="57">
        <f t="shared" si="37"/>
        <v>-6.2172139110161263E-3</v>
      </c>
      <c r="P80" s="57">
        <f t="shared" si="36"/>
        <v>-3.1035795887281035E-2</v>
      </c>
      <c r="Q80" s="57">
        <f t="shared" ref="Q80" si="39">(Q20/Q$68)</f>
        <v>1.6799999999999999E-2</v>
      </c>
      <c r="R80" s="308">
        <f t="shared" si="28"/>
        <v>-7.2332730560578659E-3</v>
      </c>
      <c r="S80" s="37"/>
      <c r="T80" s="37"/>
      <c r="U80" s="37"/>
      <c r="V80" s="37"/>
      <c r="W80" s="37"/>
      <c r="X80" s="37"/>
      <c r="Y80" s="37"/>
    </row>
    <row r="81" spans="1:25" x14ac:dyDescent="0.2">
      <c r="A81" s="27" t="s">
        <v>84</v>
      </c>
      <c r="B81" s="57">
        <f>(B21/B$68)</f>
        <v>1.291730417116055E-2</v>
      </c>
      <c r="C81" s="59" t="s">
        <v>77</v>
      </c>
      <c r="D81" s="59" t="s">
        <v>77</v>
      </c>
      <c r="E81" s="57">
        <f t="shared" ref="E81:P81" si="40">(E21/E$68)</f>
        <v>1.103036594861147E-3</v>
      </c>
      <c r="F81" s="57">
        <f t="shared" si="40"/>
        <v>-2.0347472217874473E-3</v>
      </c>
      <c r="G81" s="57">
        <f t="shared" si="40"/>
        <v>-8.8559433219627393E-3</v>
      </c>
      <c r="H81" s="57">
        <f t="shared" si="40"/>
        <v>1.2831370133702877E-2</v>
      </c>
      <c r="I81" s="57">
        <f t="shared" si="40"/>
        <v>7.045561296383278E-4</v>
      </c>
      <c r="J81" s="57">
        <f t="shared" si="40"/>
        <v>-2.2232103156958646E-3</v>
      </c>
      <c r="K81" s="57">
        <f t="shared" si="40"/>
        <v>-7.1797172986313666E-3</v>
      </c>
      <c r="L81" s="57">
        <f t="shared" si="40"/>
        <v>-1.3086642599277979E-2</v>
      </c>
      <c r="M81" s="57">
        <f t="shared" ref="M81:O81" si="41">(M21/M$68)</f>
        <v>-5.451373746184038E-3</v>
      </c>
      <c r="N81" s="57">
        <f t="shared" ref="N81" si="42">(N21/N$68)</f>
        <v>-6.5546907005325688E-3</v>
      </c>
      <c r="O81" s="57">
        <f t="shared" si="41"/>
        <v>-6.9943656498931417E-3</v>
      </c>
      <c r="P81" s="57">
        <f t="shared" si="40"/>
        <v>4.1888804265041886E-3</v>
      </c>
      <c r="Q81" s="57">
        <f t="shared" ref="Q81" si="43">(Q21/Q$68)</f>
        <v>-7.1999999999999998E-3</v>
      </c>
      <c r="R81" s="308">
        <f t="shared" si="28"/>
        <v>-5.598831548198637E-3</v>
      </c>
      <c r="S81" s="37"/>
      <c r="T81" s="37"/>
      <c r="U81" s="37"/>
      <c r="V81" s="37"/>
      <c r="W81" s="37"/>
      <c r="X81" s="37"/>
      <c r="Y81" s="37"/>
    </row>
    <row r="82" spans="1:25" x14ac:dyDescent="0.2">
      <c r="A82" s="25" t="s">
        <v>85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308"/>
      <c r="S82" s="37"/>
      <c r="T82" s="37"/>
      <c r="U82" s="37"/>
      <c r="V82" s="37"/>
      <c r="W82" s="37"/>
      <c r="X82" s="37"/>
      <c r="Y82" s="37"/>
    </row>
    <row r="83" spans="1:25" x14ac:dyDescent="0.2">
      <c r="A83" s="27" t="str">
        <f t="shared" ref="A83:A88" si="44">A23</f>
        <v xml:space="preserve">      Accounts receivable, prepayments and other current assets</v>
      </c>
      <c r="B83" s="57">
        <f t="shared" ref="B83:L83" si="45">(B23/B$68)</f>
        <v>-1.0258596904863427E-2</v>
      </c>
      <c r="C83" s="57">
        <f t="shared" si="45"/>
        <v>-3.2003481219217915E-2</v>
      </c>
      <c r="D83" s="57">
        <f t="shared" si="45"/>
        <v>4.9259027342934671E-2</v>
      </c>
      <c r="E83" s="57">
        <f t="shared" si="45"/>
        <v>2.465611212042564E-3</v>
      </c>
      <c r="F83" s="57">
        <f t="shared" si="45"/>
        <v>-5.321646580059477E-4</v>
      </c>
      <c r="G83" s="57">
        <f t="shared" si="45"/>
        <v>-4.5198110732091318E-2</v>
      </c>
      <c r="H83" s="57">
        <f t="shared" si="45"/>
        <v>1.8246208330125489E-2</v>
      </c>
      <c r="I83" s="57">
        <f t="shared" si="45"/>
        <v>-1.9023015500234851E-2</v>
      </c>
      <c r="J83" s="57">
        <f t="shared" si="45"/>
        <v>6.6696309470875941E-4</v>
      </c>
      <c r="K83" s="57">
        <f t="shared" si="45"/>
        <v>-1.121830827911151E-3</v>
      </c>
      <c r="L83" s="57">
        <f t="shared" si="45"/>
        <v>-3.1588447653429601E-3</v>
      </c>
      <c r="M83" s="57">
        <f t="shared" ref="M83:O83" si="46">(M23/M$68)</f>
        <v>-9.1583078935891845E-3</v>
      </c>
      <c r="N83" s="57">
        <f t="shared" ref="N83" si="47">(N23/N$68)</f>
        <v>-3.482179434657927E-3</v>
      </c>
      <c r="O83" s="57">
        <f t="shared" si="46"/>
        <v>-1.3600155430347775E-3</v>
      </c>
      <c r="P83" s="57">
        <f t="shared" ref="P83:Q88" si="48">(P23/P$68)</f>
        <v>9.5201827875095201E-4</v>
      </c>
      <c r="Q83" s="57">
        <f t="shared" si="48"/>
        <v>7.1199999999999999E-2</v>
      </c>
      <c r="R83" s="308">
        <f t="shared" ref="R83:R88" si="49">SUM(K23:P23)/SUM($K$68:$P$68)</f>
        <v>-2.7820280984837947E-3</v>
      </c>
      <c r="S83" s="37"/>
      <c r="T83" s="37"/>
      <c r="U83" s="37"/>
      <c r="V83" s="37"/>
      <c r="W83" s="37"/>
      <c r="X83" s="37"/>
      <c r="Y83" s="37"/>
    </row>
    <row r="84" spans="1:25" x14ac:dyDescent="0.2">
      <c r="A84" s="27" t="str">
        <f t="shared" si="44"/>
        <v xml:space="preserve">      Derivative Collateral, net</v>
      </c>
      <c r="B84" s="57">
        <f>(B25/B$68)</f>
        <v>9.782036168451678E-4</v>
      </c>
      <c r="C84" s="57">
        <f>(C25/C$68)</f>
        <v>-1.8395078821923771E-3</v>
      </c>
      <c r="D84" s="57">
        <f>(D25/D$68)</f>
        <v>2.0872469213107912E-3</v>
      </c>
      <c r="E84" s="57">
        <f>(E25/E$68)</f>
        <v>-5.7747209966260054E-3</v>
      </c>
      <c r="F84" s="57">
        <f>(F25/F$68)</f>
        <v>4.413836281108155E-3</v>
      </c>
      <c r="G84" s="57">
        <f t="shared" ref="G84:L88" si="50">(G24/G$68)</f>
        <v>0</v>
      </c>
      <c r="H84" s="57">
        <f t="shared" si="50"/>
        <v>0</v>
      </c>
      <c r="I84" s="57">
        <f t="shared" si="50"/>
        <v>0</v>
      </c>
      <c r="J84" s="57">
        <f t="shared" si="50"/>
        <v>-1.823032458870609E-2</v>
      </c>
      <c r="K84" s="57">
        <f t="shared" si="50"/>
        <v>1.2788871438187121E-2</v>
      </c>
      <c r="L84" s="57">
        <f t="shared" si="50"/>
        <v>-2.3014440433212997E-2</v>
      </c>
      <c r="M84" s="57">
        <f t="shared" ref="M84:O84" si="51">(M24/M$68)</f>
        <v>8.7221979938944616E-4</v>
      </c>
      <c r="N84" s="57">
        <f t="shared" ref="N84" si="52">(N24/N$68)</f>
        <v>1.3928717738631708E-2</v>
      </c>
      <c r="O84" s="57">
        <f t="shared" si="51"/>
        <v>8.3543811929279194E-3</v>
      </c>
      <c r="P84" s="57">
        <f t="shared" si="48"/>
        <v>-3.0464584920030465E-3</v>
      </c>
      <c r="Q84" s="57">
        <f t="shared" si="48"/>
        <v>-2.8799999999999999E-2</v>
      </c>
      <c r="R84" s="308">
        <f t="shared" si="49"/>
        <v>1.8778689664765613E-3</v>
      </c>
      <c r="S84" s="37"/>
      <c r="T84" s="37"/>
      <c r="U84" s="37"/>
      <c r="V84" s="37"/>
      <c r="W84" s="37"/>
      <c r="X84" s="37"/>
      <c r="Y84" s="37"/>
    </row>
    <row r="85" spans="1:25" x14ac:dyDescent="0.2">
      <c r="A85" s="27" t="str">
        <f t="shared" si="44"/>
        <v xml:space="preserve">      Inventories</v>
      </c>
      <c r="B85" s="59" t="s">
        <v>77</v>
      </c>
      <c r="C85" s="59" t="s">
        <v>77</v>
      </c>
      <c r="D85" s="57">
        <f t="shared" ref="D85:F86" si="53">(D26/D$68)</f>
        <v>-3.4588663267435967E-3</v>
      </c>
      <c r="E85" s="57">
        <f t="shared" si="53"/>
        <v>1.0543732156760965E-2</v>
      </c>
      <c r="F85" s="57">
        <f t="shared" si="53"/>
        <v>-1.1519799655658162E-2</v>
      </c>
      <c r="G85" s="57">
        <f t="shared" si="50"/>
        <v>-5.3135659931776427E-3</v>
      </c>
      <c r="H85" s="57">
        <f t="shared" si="50"/>
        <v>-9.982805964020838E-3</v>
      </c>
      <c r="I85" s="57">
        <f t="shared" si="50"/>
        <v>-1.1272898074213245E-2</v>
      </c>
      <c r="J85" s="57">
        <f t="shared" si="50"/>
        <v>-1.1560693641618497E-2</v>
      </c>
      <c r="K85" s="57">
        <f t="shared" si="50"/>
        <v>-8.7502804577069774E-3</v>
      </c>
      <c r="L85" s="57">
        <f t="shared" si="50"/>
        <v>-5.8664259927797835E-3</v>
      </c>
      <c r="M85" s="57">
        <f t="shared" ref="M85:O85" si="54">(M25/M$68)</f>
        <v>-1.286524204099433E-2</v>
      </c>
      <c r="N85" s="57">
        <f t="shared" ref="N85" si="55">(N25/N$68)</f>
        <v>-7.1691929537074971E-3</v>
      </c>
      <c r="O85" s="57">
        <f t="shared" si="54"/>
        <v>2.7200310860695551E-3</v>
      </c>
      <c r="P85" s="57">
        <f t="shared" si="48"/>
        <v>7.0449352627570449E-3</v>
      </c>
      <c r="Q85" s="57">
        <f t="shared" si="48"/>
        <v>4.0000000000000001E-3</v>
      </c>
      <c r="R85" s="308">
        <f t="shared" si="49"/>
        <v>-3.7557379329531226E-3</v>
      </c>
      <c r="S85" s="37"/>
      <c r="T85" s="37"/>
      <c r="U85" s="37"/>
      <c r="V85" s="37"/>
      <c r="W85" s="37"/>
      <c r="X85" s="37"/>
      <c r="Y85" s="37"/>
    </row>
    <row r="86" spans="1:25" x14ac:dyDescent="0.2">
      <c r="A86" s="27" t="str">
        <f t="shared" si="44"/>
        <v xml:space="preserve">      Income taxes, net</v>
      </c>
      <c r="B86" s="57">
        <f>(B27/B$68)</f>
        <v>1.6629461486367854E-2</v>
      </c>
      <c r="C86" s="57">
        <f>(C27/C$68)</f>
        <v>0.10756176197163597</v>
      </c>
      <c r="D86" s="57">
        <f t="shared" si="53"/>
        <v>-4.5024897873989923E-2</v>
      </c>
      <c r="E86" s="57">
        <f t="shared" si="53"/>
        <v>-3.1501427459122759E-2</v>
      </c>
      <c r="F86" s="57">
        <f t="shared" si="53"/>
        <v>-1.0330255125997809E-3</v>
      </c>
      <c r="G86" s="57">
        <f t="shared" si="50"/>
        <v>-1.075833114668066E-2</v>
      </c>
      <c r="H86" s="57">
        <f t="shared" si="50"/>
        <v>9.2899119768008846E-3</v>
      </c>
      <c r="I86" s="57">
        <f t="shared" si="50"/>
        <v>4.9318929074682952E-3</v>
      </c>
      <c r="J86" s="57">
        <f t="shared" si="50"/>
        <v>-4.4464206313917292E-3</v>
      </c>
      <c r="K86" s="57">
        <f t="shared" si="50"/>
        <v>-4.6219430109939424E-2</v>
      </c>
      <c r="L86" s="57">
        <f t="shared" si="50"/>
        <v>-2.1660649819494584E-2</v>
      </c>
      <c r="M86" s="57">
        <f t="shared" ref="M86:O86" si="56">(M26/M$68)</f>
        <v>5.9965111208024426E-2</v>
      </c>
      <c r="N86" s="57">
        <f t="shared" ref="N86" si="57">(N26/N$68)</f>
        <v>2.4170421958213846E-2</v>
      </c>
      <c r="O86" s="57">
        <f t="shared" si="56"/>
        <v>-5.0514863027006024E-3</v>
      </c>
      <c r="P86" s="57">
        <f t="shared" si="48"/>
        <v>-2.9512566641279513E-2</v>
      </c>
      <c r="Q86" s="57">
        <f t="shared" si="48"/>
        <v>5.8400000000000001E-2</v>
      </c>
      <c r="R86" s="308">
        <f t="shared" si="49"/>
        <v>-3.1297816107942692E-3</v>
      </c>
      <c r="S86" s="37"/>
      <c r="T86" s="37"/>
      <c r="U86" s="37"/>
      <c r="V86" s="37"/>
      <c r="W86" s="37"/>
      <c r="X86" s="37"/>
      <c r="Y86" s="37"/>
    </row>
    <row r="87" spans="1:25" x14ac:dyDescent="0.2">
      <c r="A87" s="27" t="str">
        <f t="shared" si="44"/>
        <v xml:space="preserve">      Accounts payable and accrued liabilities</v>
      </c>
      <c r="B87" s="57"/>
      <c r="C87" s="57"/>
      <c r="D87" s="57"/>
      <c r="E87" s="57"/>
      <c r="F87" s="57"/>
      <c r="G87" s="57">
        <f t="shared" si="50"/>
        <v>2.7584623458409861E-2</v>
      </c>
      <c r="H87" s="57">
        <f t="shared" si="50"/>
        <v>-3.438807195832371E-3</v>
      </c>
      <c r="I87" s="57">
        <f t="shared" si="50"/>
        <v>0</v>
      </c>
      <c r="J87" s="57">
        <f t="shared" si="50"/>
        <v>-1.6229435304579813E-2</v>
      </c>
      <c r="K87" s="57">
        <f t="shared" si="50"/>
        <v>-5.3847879739735245E-3</v>
      </c>
      <c r="L87" s="57">
        <f t="shared" si="50"/>
        <v>-3.0460288808664259E-2</v>
      </c>
      <c r="M87" s="57">
        <f t="shared" ref="M87:O87" si="58">(M27/M$68)</f>
        <v>-7.4138682948102922E-3</v>
      </c>
      <c r="N87" s="57">
        <f t="shared" ref="N87" si="59">(N27/N$68)</f>
        <v>7.1691929537074971E-3</v>
      </c>
      <c r="O87" s="57">
        <f t="shared" si="58"/>
        <v>1.9428793471925393E-3</v>
      </c>
      <c r="P87" s="57">
        <f t="shared" si="48"/>
        <v>2.2658035034272658E-2</v>
      </c>
      <c r="Q87" s="57">
        <f t="shared" si="48"/>
        <v>2.0799999999999999E-2</v>
      </c>
      <c r="R87" s="308">
        <f t="shared" si="49"/>
        <v>-1.0084851857003756E-3</v>
      </c>
      <c r="S87" s="37"/>
      <c r="T87" s="37"/>
      <c r="U87" s="37"/>
      <c r="V87" s="37"/>
      <c r="W87" s="37"/>
      <c r="X87" s="37"/>
      <c r="Y87" s="37"/>
    </row>
    <row r="88" spans="1:25" x14ac:dyDescent="0.2">
      <c r="A88" s="27" t="str">
        <f t="shared" si="44"/>
        <v xml:space="preserve">      Other</v>
      </c>
      <c r="B88" s="59" t="s">
        <v>77</v>
      </c>
      <c r="C88" s="57">
        <f>(C28/C$68)</f>
        <v>-6.3492691417607857E-3</v>
      </c>
      <c r="D88" s="57">
        <f>(D28/D$68)</f>
        <v>-1.2821659659480575E-2</v>
      </c>
      <c r="E88" s="57">
        <f>(E28/E$68)</f>
        <v>3.8930703348040484E-4</v>
      </c>
      <c r="F88" s="57">
        <f>(F28/F$68)</f>
        <v>8.7650649553920796E-4</v>
      </c>
      <c r="G88" s="57">
        <f t="shared" si="50"/>
        <v>-8.5607452112306474E-3</v>
      </c>
      <c r="H88" s="57">
        <f t="shared" si="50"/>
        <v>4.8759206508070934E-4</v>
      </c>
      <c r="I88" s="57">
        <f t="shared" si="50"/>
        <v>-1.6439643024894317E-3</v>
      </c>
      <c r="J88" s="57">
        <f t="shared" si="50"/>
        <v>0</v>
      </c>
      <c r="K88" s="57">
        <f t="shared" si="50"/>
        <v>0</v>
      </c>
      <c r="L88" s="57">
        <f t="shared" si="50"/>
        <v>0</v>
      </c>
      <c r="M88" s="57">
        <f t="shared" ref="M88:O88" si="60">(M28/M$68)</f>
        <v>0</v>
      </c>
      <c r="N88" s="57">
        <f t="shared" ref="N88" si="61">(N28/N$68)</f>
        <v>0</v>
      </c>
      <c r="O88" s="57">
        <f t="shared" si="60"/>
        <v>0</v>
      </c>
      <c r="P88" s="57">
        <f t="shared" si="48"/>
        <v>0</v>
      </c>
      <c r="Q88" s="57">
        <f t="shared" si="48"/>
        <v>0</v>
      </c>
      <c r="R88" s="308">
        <f t="shared" si="49"/>
        <v>0</v>
      </c>
      <c r="S88" s="37"/>
      <c r="T88" s="37"/>
      <c r="U88" s="37"/>
      <c r="V88" s="37"/>
      <c r="W88" s="37"/>
      <c r="X88" s="37"/>
      <c r="Y88" s="37"/>
    </row>
    <row r="89" spans="1:25" ht="7.5" customHeight="1" x14ac:dyDescent="0.2">
      <c r="A89" s="2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308"/>
      <c r="S89" s="37"/>
      <c r="T89" s="37"/>
      <c r="U89" s="37"/>
      <c r="V89" s="37"/>
      <c r="W89" s="37"/>
      <c r="X89" s="37"/>
      <c r="Y89" s="37"/>
    </row>
    <row r="90" spans="1:25" x14ac:dyDescent="0.2">
      <c r="A90" s="233" t="s">
        <v>90</v>
      </c>
      <c r="B90" s="241">
        <f t="shared" ref="B90:L90" si="62">(B30/B$68)</f>
        <v>0.18947051593970249</v>
      </c>
      <c r="C90" s="241">
        <f t="shared" si="62"/>
        <v>0.12751943351069087</v>
      </c>
      <c r="D90" s="241">
        <f t="shared" si="62"/>
        <v>0.10215582789158238</v>
      </c>
      <c r="E90" s="241">
        <f t="shared" si="62"/>
        <v>0.22112639501686981</v>
      </c>
      <c r="F90" s="241">
        <f t="shared" si="62"/>
        <v>0.26041634058538105</v>
      </c>
      <c r="G90" s="241">
        <f t="shared" si="62"/>
        <v>0.2332393072684335</v>
      </c>
      <c r="H90" s="241">
        <f t="shared" si="62"/>
        <v>0.22957887443221181</v>
      </c>
      <c r="I90" s="241">
        <f t="shared" si="62"/>
        <v>0.19351808360732739</v>
      </c>
      <c r="J90" s="241">
        <f t="shared" si="62"/>
        <v>0.22054246331702979</v>
      </c>
      <c r="K90" s="241">
        <f t="shared" si="62"/>
        <v>0.33654924837334532</v>
      </c>
      <c r="L90" s="241">
        <f t="shared" si="62"/>
        <v>0.31814079422382674</v>
      </c>
      <c r="M90" s="241">
        <f t="shared" ref="M90:O90" si="63">(M30/M$68)</f>
        <v>0.35673789795028349</v>
      </c>
      <c r="N90" s="241">
        <f t="shared" ref="N90" si="64">(N30/N$68)</f>
        <v>0.33326505530520278</v>
      </c>
      <c r="O90" s="241">
        <f t="shared" si="63"/>
        <v>0.30172916261900135</v>
      </c>
      <c r="P90" s="241">
        <f>(P30/P$68)</f>
        <v>0.29893373952779895</v>
      </c>
      <c r="Q90" s="241">
        <f>(Q30/Q$68)</f>
        <v>0.3856</v>
      </c>
      <c r="R90" s="279">
        <f>SUM(K30:P30)/SUM($K$68:$P$68)</f>
        <v>0.32327166504381694</v>
      </c>
      <c r="S90" s="37"/>
      <c r="T90" s="37"/>
      <c r="U90" s="37"/>
      <c r="V90" s="37"/>
      <c r="W90" s="37"/>
      <c r="X90" s="37"/>
      <c r="Y90" s="37"/>
    </row>
    <row r="91" spans="1:25" x14ac:dyDescent="0.2">
      <c r="A91" s="27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58"/>
      <c r="S91" s="37"/>
      <c r="T91" s="37"/>
      <c r="U91" s="37"/>
      <c r="V91" s="37"/>
      <c r="W91" s="37"/>
      <c r="X91" s="37"/>
      <c r="Y91" s="37"/>
    </row>
    <row r="92" spans="1:25" x14ac:dyDescent="0.2">
      <c r="A92" s="232" t="s">
        <v>91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8"/>
      <c r="S92" s="37"/>
      <c r="T92" s="37"/>
      <c r="U92" s="37"/>
      <c r="V92" s="37"/>
      <c r="W92" s="37"/>
      <c r="X92" s="37"/>
      <c r="Y92" s="37"/>
    </row>
    <row r="93" spans="1:25" hidden="1" x14ac:dyDescent="0.2">
      <c r="A93" s="25" t="s">
        <v>92</v>
      </c>
      <c r="B93" s="57">
        <f t="shared" ref="B93:D99" si="65">(B33/B$68)</f>
        <v>-6.5213574456344527E-4</v>
      </c>
      <c r="C93" s="57">
        <f t="shared" si="65"/>
        <v>-7.1463892240441487E-2</v>
      </c>
      <c r="D93" s="57">
        <f t="shared" si="65"/>
        <v>-0.10680740674478933</v>
      </c>
      <c r="E93" s="59" t="s">
        <v>77</v>
      </c>
      <c r="F93" s="59" t="s">
        <v>77</v>
      </c>
      <c r="G93" s="59" t="s">
        <v>77</v>
      </c>
      <c r="H93" s="59" t="s">
        <v>77</v>
      </c>
      <c r="I93" s="59" t="s">
        <v>77</v>
      </c>
      <c r="J93" s="59"/>
      <c r="K93" s="59"/>
      <c r="L93" s="59"/>
      <c r="M93" s="59"/>
      <c r="N93" s="59"/>
      <c r="O93" s="59"/>
      <c r="P93" s="59"/>
      <c r="Q93" s="59"/>
      <c r="R93" s="58"/>
      <c r="S93" s="37"/>
      <c r="T93" s="37"/>
      <c r="U93" s="37"/>
      <c r="V93" s="37"/>
      <c r="W93" s="37"/>
      <c r="X93" s="37"/>
      <c r="Y93" s="37"/>
    </row>
    <row r="94" spans="1:25" x14ac:dyDescent="0.2">
      <c r="A94" s="27" t="s">
        <v>93</v>
      </c>
      <c r="B94" s="57">
        <f t="shared" si="65"/>
        <v>-0.14397150668439138</v>
      </c>
      <c r="C94" s="57">
        <f t="shared" si="65"/>
        <v>-9.6069782621595434E-2</v>
      </c>
      <c r="D94" s="57">
        <f t="shared" si="65"/>
        <v>-0.15066940990547753</v>
      </c>
      <c r="E94" s="57">
        <f t="shared" ref="E94:P94" si="66">(E34/E$68)</f>
        <v>-0.17843239034518557</v>
      </c>
      <c r="F94" s="57">
        <f t="shared" si="66"/>
        <v>-0.21612145875723901</v>
      </c>
      <c r="G94" s="57">
        <f t="shared" si="66"/>
        <v>-0.27932301233272105</v>
      </c>
      <c r="H94" s="57">
        <f t="shared" si="66"/>
        <v>-0.26920214540508636</v>
      </c>
      <c r="I94" s="57">
        <f t="shared" si="66"/>
        <v>-0.35674025364020667</v>
      </c>
      <c r="J94" s="57">
        <f t="shared" si="66"/>
        <v>-0.3977323254779902</v>
      </c>
      <c r="K94" s="57">
        <f t="shared" si="66"/>
        <v>-0.52232443347543189</v>
      </c>
      <c r="L94" s="57">
        <f t="shared" si="66"/>
        <v>-0.36259025270758122</v>
      </c>
      <c r="M94" s="57">
        <f t="shared" ref="M94:O94" si="67">(M34/M$68)</f>
        <v>-0.32839075447012644</v>
      </c>
      <c r="N94" s="57">
        <f t="shared" ref="N94" si="68">(N34/N$68)</f>
        <v>-0.27570667759115119</v>
      </c>
      <c r="O94" s="57">
        <f t="shared" si="67"/>
        <v>-0.20691665047600544</v>
      </c>
      <c r="P94" s="57">
        <f t="shared" si="66"/>
        <v>-0.20297029702970298</v>
      </c>
      <c r="Q94" s="57">
        <f t="shared" ref="Q94" si="69">(Q34/Q$68)</f>
        <v>-0.16639999999999999</v>
      </c>
      <c r="R94" s="308">
        <f t="shared" ref="R94:R99" si="70">SUM(K34:P34)/SUM($K$68:$P$68)</f>
        <v>-0.310126582278481</v>
      </c>
      <c r="S94" s="37"/>
      <c r="T94" s="37"/>
      <c r="U94" s="37"/>
      <c r="V94" s="37"/>
      <c r="W94" s="37"/>
      <c r="X94" s="37"/>
      <c r="Y94" s="37"/>
    </row>
    <row r="95" spans="1:25" x14ac:dyDescent="0.2">
      <c r="A95" s="27" t="s">
        <v>94</v>
      </c>
      <c r="B95" s="57">
        <f t="shared" si="65"/>
        <v>4.2464069828688958E-2</v>
      </c>
      <c r="C95" s="57">
        <f t="shared" si="65"/>
        <v>0.19977451193702159</v>
      </c>
      <c r="D95" s="57">
        <f t="shared" si="65"/>
        <v>2.4808420550436833E-2</v>
      </c>
      <c r="E95" s="57">
        <f t="shared" ref="E95:P95" si="71">(E35/E$68)</f>
        <v>5.2880872047754999E-3</v>
      </c>
      <c r="F95" s="57">
        <f t="shared" si="71"/>
        <v>1.0330255125997809E-3</v>
      </c>
      <c r="G95" s="57">
        <f t="shared" si="71"/>
        <v>2.3287850957753866E-3</v>
      </c>
      <c r="H95" s="57">
        <f t="shared" si="71"/>
        <v>3.3361562347627484E-4</v>
      </c>
      <c r="I95" s="57">
        <f t="shared" si="71"/>
        <v>2.1136683889149835E-3</v>
      </c>
      <c r="J95" s="57">
        <f t="shared" si="71"/>
        <v>-6.8474877723432637E-2</v>
      </c>
      <c r="K95" s="57">
        <f t="shared" si="71"/>
        <v>0</v>
      </c>
      <c r="L95" s="57">
        <f t="shared" si="71"/>
        <v>0</v>
      </c>
      <c r="M95" s="57">
        <f t="shared" ref="M95:O95" si="72">(M35/M$68)</f>
        <v>0</v>
      </c>
      <c r="N95" s="57">
        <f t="shared" ref="N95" si="73">(N35/N$68)</f>
        <v>0</v>
      </c>
      <c r="O95" s="57">
        <f t="shared" si="72"/>
        <v>0</v>
      </c>
      <c r="P95" s="57">
        <f t="shared" si="71"/>
        <v>0</v>
      </c>
      <c r="Q95" s="57">
        <f t="shared" ref="Q95" si="74">(Q35/Q$68)</f>
        <v>0</v>
      </c>
      <c r="R95" s="308">
        <f t="shared" si="70"/>
        <v>0</v>
      </c>
      <c r="S95" s="37"/>
      <c r="T95" s="37"/>
      <c r="U95" s="37"/>
      <c r="V95" s="37"/>
      <c r="W95" s="37"/>
      <c r="X95" s="37"/>
      <c r="Y95" s="37"/>
    </row>
    <row r="96" spans="1:25" x14ac:dyDescent="0.2">
      <c r="A96" s="29" t="s">
        <v>95</v>
      </c>
      <c r="B96" s="57">
        <f t="shared" si="65"/>
        <v>1.1989264842358724E-2</v>
      </c>
      <c r="C96" s="57">
        <f t="shared" si="65"/>
        <v>9.5931325039064815E-3</v>
      </c>
      <c r="D96" s="57">
        <f t="shared" si="65"/>
        <v>1.0734412738169783E-2</v>
      </c>
      <c r="E96" s="59" t="s">
        <v>77</v>
      </c>
      <c r="F96" s="59" t="s">
        <v>77</v>
      </c>
      <c r="G96" s="57">
        <f t="shared" ref="G96:P99" si="75">(G36/G$68)</f>
        <v>0</v>
      </c>
      <c r="H96" s="57">
        <f t="shared" si="75"/>
        <v>0</v>
      </c>
      <c r="I96" s="57">
        <f t="shared" si="75"/>
        <v>0</v>
      </c>
      <c r="J96" s="57">
        <f t="shared" si="75"/>
        <v>0</v>
      </c>
      <c r="K96" s="57">
        <f t="shared" si="75"/>
        <v>0</v>
      </c>
      <c r="L96" s="57">
        <f t="shared" si="75"/>
        <v>0</v>
      </c>
      <c r="M96" s="57">
        <f t="shared" ref="M96:O96" si="76">(M36/M$68)</f>
        <v>0</v>
      </c>
      <c r="N96" s="57">
        <f t="shared" ref="N96" si="77">(N36/N$68)</f>
        <v>0</v>
      </c>
      <c r="O96" s="57">
        <f t="shared" si="76"/>
        <v>0</v>
      </c>
      <c r="P96" s="57">
        <f t="shared" si="75"/>
        <v>0</v>
      </c>
      <c r="Q96" s="57">
        <f t="shared" ref="Q96" si="78">(Q36/Q$68)</f>
        <v>0</v>
      </c>
      <c r="R96" s="308">
        <f t="shared" si="70"/>
        <v>0</v>
      </c>
      <c r="S96" s="37"/>
      <c r="T96" s="37"/>
      <c r="U96" s="37"/>
      <c r="V96" s="37"/>
      <c r="W96" s="37"/>
      <c r="X96" s="37"/>
      <c r="Y96" s="37"/>
    </row>
    <row r="97" spans="1:25" x14ac:dyDescent="0.2">
      <c r="A97" s="27" t="s">
        <v>96</v>
      </c>
      <c r="B97" s="57">
        <f t="shared" si="65"/>
        <v>3.1578419323283757E-2</v>
      </c>
      <c r="C97" s="57">
        <f t="shared" si="65"/>
        <v>2.3715805922028602E-2</v>
      </c>
      <c r="D97" s="57">
        <f t="shared" si="65"/>
        <v>3.6049736112353521E-2</v>
      </c>
      <c r="E97" s="57">
        <f t="shared" ref="E97:F99" si="79">(E37/E$68)</f>
        <v>4.311575395795484E-2</v>
      </c>
      <c r="F97" s="57">
        <f t="shared" si="79"/>
        <v>2.9989043668805761E-2</v>
      </c>
      <c r="G97" s="57">
        <f t="shared" si="75"/>
        <v>1.6104696929939648E-2</v>
      </c>
      <c r="H97" s="57">
        <f t="shared" si="75"/>
        <v>3.1667821489978702E-2</v>
      </c>
      <c r="I97" s="57">
        <f t="shared" si="75"/>
        <v>7.0455612963832787E-3</v>
      </c>
      <c r="J97" s="57">
        <f t="shared" si="75"/>
        <v>1.4895509115162294E-2</v>
      </c>
      <c r="K97" s="57">
        <f t="shared" si="75"/>
        <v>8.077181960960288E-3</v>
      </c>
      <c r="L97" s="57">
        <f t="shared" si="75"/>
        <v>0</v>
      </c>
      <c r="M97" s="57">
        <f t="shared" ref="M97:O97" si="80">(M37/M$68)</f>
        <v>0</v>
      </c>
      <c r="N97" s="57">
        <f t="shared" ref="N97" si="81">(N37/N$68)</f>
        <v>0</v>
      </c>
      <c r="O97" s="57">
        <f t="shared" si="80"/>
        <v>0</v>
      </c>
      <c r="P97" s="57">
        <f t="shared" si="75"/>
        <v>0</v>
      </c>
      <c r="Q97" s="57">
        <f t="shared" ref="Q97" si="82">(Q37/Q$68)</f>
        <v>0</v>
      </c>
      <c r="R97" s="308">
        <f t="shared" si="70"/>
        <v>1.2519126443177077E-3</v>
      </c>
      <c r="S97" s="37"/>
      <c r="T97" s="37"/>
      <c r="U97" s="37"/>
      <c r="V97" s="37"/>
      <c r="W97" s="37"/>
      <c r="X97" s="37"/>
      <c r="Y97" s="37"/>
    </row>
    <row r="98" spans="1:25" x14ac:dyDescent="0.2">
      <c r="A98" s="27" t="s">
        <v>97</v>
      </c>
      <c r="B98" s="57">
        <f t="shared" si="65"/>
        <v>-3.2707115804258946E-2</v>
      </c>
      <c r="C98" s="57">
        <f t="shared" si="65"/>
        <v>-2.2647704571078189E-2</v>
      </c>
      <c r="D98" s="57">
        <f t="shared" si="65"/>
        <v>-4.5323076005605749E-2</v>
      </c>
      <c r="E98" s="57">
        <f t="shared" si="79"/>
        <v>-4.3569945497015317E-2</v>
      </c>
      <c r="F98" s="57">
        <f t="shared" si="79"/>
        <v>-2.7985600250430429E-2</v>
      </c>
      <c r="G98" s="57">
        <f t="shared" si="75"/>
        <v>-1.4661506166360536E-2</v>
      </c>
      <c r="H98" s="57">
        <f t="shared" si="75"/>
        <v>-2.1787666487027488E-2</v>
      </c>
      <c r="I98" s="57">
        <f t="shared" si="75"/>
        <v>-5.8713010803193985E-3</v>
      </c>
      <c r="J98" s="57">
        <f t="shared" si="75"/>
        <v>-1.1560693641618497E-2</v>
      </c>
      <c r="K98" s="57">
        <f t="shared" si="75"/>
        <v>-4.7116894772268342E-3</v>
      </c>
      <c r="L98" s="57">
        <f t="shared" si="75"/>
        <v>0</v>
      </c>
      <c r="M98" s="57">
        <f t="shared" ref="M98:O98" si="83">(M38/M$68)</f>
        <v>0</v>
      </c>
      <c r="N98" s="57">
        <f t="shared" ref="N98" si="84">(N38/N$68)</f>
        <v>0</v>
      </c>
      <c r="O98" s="57">
        <f t="shared" si="83"/>
        <v>0</v>
      </c>
      <c r="P98" s="57">
        <f t="shared" si="75"/>
        <v>0</v>
      </c>
      <c r="Q98" s="57">
        <f t="shared" ref="Q98" si="85">(Q38/Q$68)</f>
        <v>0</v>
      </c>
      <c r="R98" s="308">
        <f t="shared" si="70"/>
        <v>-7.3028237585199608E-4</v>
      </c>
      <c r="S98" s="37"/>
      <c r="T98" s="37"/>
      <c r="U98" s="37"/>
      <c r="V98" s="37"/>
      <c r="W98" s="37"/>
      <c r="X98" s="37"/>
      <c r="Y98" s="37"/>
    </row>
    <row r="99" spans="1:25" x14ac:dyDescent="0.2">
      <c r="A99" s="27" t="s">
        <v>98</v>
      </c>
      <c r="B99" s="57">
        <f t="shared" si="65"/>
        <v>2.5834608342321101E-3</v>
      </c>
      <c r="C99" s="57">
        <f t="shared" si="65"/>
        <v>2.9471685424372492E-3</v>
      </c>
      <c r="D99" s="57">
        <f t="shared" si="65"/>
        <v>6.1722873244476256E-2</v>
      </c>
      <c r="E99" s="57">
        <f t="shared" si="79"/>
        <v>3.2442252790033741E-3</v>
      </c>
      <c r="F99" s="57">
        <f t="shared" si="79"/>
        <v>-7.1372671779621226E-3</v>
      </c>
      <c r="G99" s="57">
        <f t="shared" si="75"/>
        <v>-2.1647861453686695E-3</v>
      </c>
      <c r="H99" s="57">
        <f t="shared" si="75"/>
        <v>-3.8237482998434574E-3</v>
      </c>
      <c r="I99" s="57">
        <f t="shared" si="75"/>
        <v>1.8788163457022077E-3</v>
      </c>
      <c r="J99" s="57">
        <f t="shared" si="75"/>
        <v>1.3339261894175188E-3</v>
      </c>
      <c r="K99" s="57">
        <f t="shared" si="75"/>
        <v>1.121830827911151E-3</v>
      </c>
      <c r="L99" s="57">
        <f t="shared" si="75"/>
        <v>-1.3537906137184115E-3</v>
      </c>
      <c r="M99" s="57">
        <f t="shared" ref="M99:O99" si="86">(M39/M$68)</f>
        <v>-5.0152638464893151E-3</v>
      </c>
      <c r="N99" s="57">
        <f t="shared" ref="N99" si="87">(N39/N$68)</f>
        <v>8.1933633756657109E-4</v>
      </c>
      <c r="O99" s="57">
        <f t="shared" si="86"/>
        <v>3.1086069555080632E-3</v>
      </c>
      <c r="P99" s="57">
        <f t="shared" si="75"/>
        <v>-2.4752475247524753E-3</v>
      </c>
      <c r="Q99" s="57">
        <f t="shared" ref="Q99" si="88">(Q39/Q$68)</f>
        <v>-0.02</v>
      </c>
      <c r="R99" s="308">
        <f t="shared" si="70"/>
        <v>-5.9118097092780632E-4</v>
      </c>
      <c r="S99" s="37"/>
      <c r="T99" s="37"/>
      <c r="U99" s="37"/>
      <c r="V99" s="37"/>
      <c r="W99" s="37"/>
      <c r="X99" s="37"/>
      <c r="Y99" s="37"/>
    </row>
    <row r="100" spans="1:25" ht="7.5" customHeight="1" x14ac:dyDescent="0.2">
      <c r="A100" s="2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8"/>
      <c r="S100" s="37"/>
      <c r="T100" s="37"/>
      <c r="U100" s="37"/>
      <c r="V100" s="37"/>
      <c r="W100" s="37"/>
      <c r="X100" s="37"/>
      <c r="Y100" s="37"/>
    </row>
    <row r="101" spans="1:25" x14ac:dyDescent="0.2">
      <c r="A101" s="233" t="s">
        <v>99</v>
      </c>
      <c r="B101" s="241">
        <f t="shared" ref="B101:L101" si="89">(B41/B$68)</f>
        <v>-8.8715543404650224E-2</v>
      </c>
      <c r="C101" s="241">
        <f t="shared" si="89"/>
        <v>4.584923947227882E-2</v>
      </c>
      <c r="D101" s="241">
        <f t="shared" si="89"/>
        <v>-0.16948445001043624</v>
      </c>
      <c r="E101" s="241">
        <f t="shared" si="89"/>
        <v>-0.17035426940046716</v>
      </c>
      <c r="F101" s="241">
        <f t="shared" si="89"/>
        <v>-0.22022225700422601</v>
      </c>
      <c r="G101" s="241">
        <f t="shared" si="89"/>
        <v>-0.27771582261873523</v>
      </c>
      <c r="H101" s="241">
        <f t="shared" si="89"/>
        <v>-0.26281212307850238</v>
      </c>
      <c r="I101" s="241">
        <f t="shared" si="89"/>
        <v>-0.35157350868952558</v>
      </c>
      <c r="J101" s="241">
        <f t="shared" si="89"/>
        <v>-0.46153846153846156</v>
      </c>
      <c r="K101" s="241">
        <f t="shared" si="89"/>
        <v>-0.51783711016378731</v>
      </c>
      <c r="L101" s="241">
        <f t="shared" si="89"/>
        <v>-0.36394404332129965</v>
      </c>
      <c r="M101" s="241">
        <f t="shared" ref="M101:O101" si="90">(M41/M$68)</f>
        <v>-0.33340601831661576</v>
      </c>
      <c r="N101" s="241">
        <f t="shared" ref="N101" si="91">(N41/N$68)</f>
        <v>-0.27488734125358461</v>
      </c>
      <c r="O101" s="241">
        <f t="shared" si="90"/>
        <v>-0.20380804352049739</v>
      </c>
      <c r="P101" s="241">
        <f>(P41/P$68)</f>
        <v>-0.20544554455445543</v>
      </c>
      <c r="Q101" s="241">
        <f>(Q41/Q$68)</f>
        <v>-0.18640000000000001</v>
      </c>
      <c r="R101" s="279">
        <f>SUM(K41:P41)/SUM($K$68:$P$68)</f>
        <v>-0.31019613298094312</v>
      </c>
      <c r="S101" s="37"/>
      <c r="T101" s="37"/>
      <c r="U101" s="37"/>
      <c r="V101" s="37"/>
      <c r="W101" s="37"/>
      <c r="X101" s="37"/>
      <c r="Y101" s="37"/>
    </row>
    <row r="102" spans="1:25" x14ac:dyDescent="0.2">
      <c r="A102" s="27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58"/>
      <c r="S102" s="37"/>
      <c r="T102" s="37"/>
      <c r="U102" s="37"/>
      <c r="V102" s="37"/>
      <c r="W102" s="37"/>
      <c r="X102" s="37"/>
      <c r="Y102" s="37"/>
    </row>
    <row r="103" spans="1:25" x14ac:dyDescent="0.2">
      <c r="A103" s="25" t="s">
        <v>100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8"/>
      <c r="S103" s="37"/>
      <c r="T103" s="37"/>
      <c r="U103" s="37"/>
      <c r="V103" s="37"/>
      <c r="W103" s="37"/>
      <c r="X103" s="37"/>
      <c r="Y103" s="37"/>
    </row>
    <row r="104" spans="1:25" x14ac:dyDescent="0.2">
      <c r="A104" s="27" t="s">
        <v>101</v>
      </c>
      <c r="B104" s="57">
        <f t="shared" ref="B104:L104" si="92">(B44/B$68)</f>
        <v>-2.2097368883092126E-2</v>
      </c>
      <c r="C104" s="57">
        <f t="shared" si="92"/>
        <v>2.6010245861107267E-2</v>
      </c>
      <c r="D104" s="57">
        <f t="shared" si="92"/>
        <v>-1.9083400423412947E-2</v>
      </c>
      <c r="E104" s="57">
        <f t="shared" si="92"/>
        <v>-4.9474435504801455E-2</v>
      </c>
      <c r="F104" s="57">
        <f t="shared" si="92"/>
        <v>3.1272499608702459E-2</v>
      </c>
      <c r="G104" s="57">
        <f t="shared" si="92"/>
        <v>0.11279847808974021</v>
      </c>
      <c r="H104" s="57">
        <f t="shared" si="92"/>
        <v>-7.2984833320501957E-2</v>
      </c>
      <c r="I104" s="57">
        <f t="shared" si="92"/>
        <v>-9.3236261155472053E-2</v>
      </c>
      <c r="J104" s="57">
        <f t="shared" si="92"/>
        <v>1.8897287683414851E-2</v>
      </c>
      <c r="K104" s="57">
        <f t="shared" si="92"/>
        <v>-1.9071124074489566E-2</v>
      </c>
      <c r="L104" s="57">
        <f t="shared" si="92"/>
        <v>8.1227436823104685E-3</v>
      </c>
      <c r="M104" s="57">
        <f t="shared" ref="M104:O104" si="93">(M44/M$68)</f>
        <v>0.14217182730047973</v>
      </c>
      <c r="N104" s="57">
        <f t="shared" ref="N104" si="94">(N44/N$68)</f>
        <v>-0.14092585006145023</v>
      </c>
      <c r="O104" s="57">
        <f t="shared" si="93"/>
        <v>0</v>
      </c>
      <c r="P104" s="57">
        <f>(P44/P$68)</f>
        <v>3.8080731150038081E-3</v>
      </c>
      <c r="Q104" s="57">
        <f>(Q44/Q$68)</f>
        <v>0.152</v>
      </c>
      <c r="R104" s="308">
        <f t="shared" ref="R104:R112" si="95">SUM(K44:P44)/SUM($K$68:$P$68)</f>
        <v>-2.2603978300180833E-3</v>
      </c>
      <c r="S104" s="37"/>
      <c r="T104" s="37"/>
      <c r="U104" s="37"/>
      <c r="V104" s="37"/>
      <c r="W104" s="37"/>
      <c r="X104" s="37"/>
      <c r="Y104" s="37"/>
    </row>
    <row r="105" spans="1:25" x14ac:dyDescent="0.2">
      <c r="A105" s="27" t="s">
        <v>102</v>
      </c>
      <c r="B105" s="57">
        <f>(B45/B$68)</f>
        <v>0.45448844967267799</v>
      </c>
      <c r="C105" s="57">
        <f>(C45/C$68)</f>
        <v>0.22034535277014064</v>
      </c>
      <c r="D105" s="57">
        <f>(D45/D$68)</f>
        <v>0.23588871992128099</v>
      </c>
      <c r="E105" s="59" t="s">
        <v>77</v>
      </c>
      <c r="F105" s="57">
        <f t="shared" ref="F105:L105" si="96">(F45/F$68)</f>
        <v>0</v>
      </c>
      <c r="G105" s="57">
        <f t="shared" si="96"/>
        <v>0.12962477040146941</v>
      </c>
      <c r="H105" s="57">
        <f t="shared" si="96"/>
        <v>7.5961711191521036E-2</v>
      </c>
      <c r="I105" s="57">
        <f t="shared" si="96"/>
        <v>0.28017848755284169</v>
      </c>
      <c r="J105" s="57">
        <f t="shared" si="96"/>
        <v>0.22521120497999111</v>
      </c>
      <c r="K105" s="57">
        <f t="shared" si="96"/>
        <v>0.22257123625757236</v>
      </c>
      <c r="L105" s="57">
        <f t="shared" si="96"/>
        <v>0</v>
      </c>
      <c r="M105" s="57">
        <f t="shared" ref="M105:O105" si="97">(M45/M$68)</f>
        <v>8.7003924989097259E-2</v>
      </c>
      <c r="N105" s="57">
        <f t="shared" ref="N105" si="98">(N45/N$68)</f>
        <v>0.15342072920934044</v>
      </c>
      <c r="O105" s="57">
        <f t="shared" si="97"/>
        <v>5.8092092481056928E-2</v>
      </c>
      <c r="P105" s="57">
        <f>(P45/P$68)</f>
        <v>8.0921553693830917E-2</v>
      </c>
      <c r="Q105" s="57">
        <f>(Q45/Q$68)</f>
        <v>0</v>
      </c>
      <c r="R105" s="308">
        <f t="shared" si="95"/>
        <v>9.9596605925719853E-2</v>
      </c>
      <c r="S105" s="37"/>
      <c r="T105" s="37"/>
      <c r="U105" s="37"/>
      <c r="V105" s="37"/>
      <c r="W105" s="37"/>
      <c r="X105" s="37"/>
      <c r="Y105" s="37"/>
    </row>
    <row r="106" spans="1:25" x14ac:dyDescent="0.2">
      <c r="A106" s="27" t="s">
        <v>103</v>
      </c>
      <c r="B106" s="59" t="s">
        <v>77</v>
      </c>
      <c r="C106" s="59" t="s">
        <v>77</v>
      </c>
      <c r="D106" s="59" t="s">
        <v>77</v>
      </c>
      <c r="E106" s="57">
        <f>(E46/E$68)</f>
        <v>4.8663379185050606E-2</v>
      </c>
      <c r="F106" s="57">
        <f t="shared" ref="F106:L106" si="99">(F46/$H$68)</f>
        <v>0</v>
      </c>
      <c r="G106" s="57">
        <f t="shared" si="99"/>
        <v>0</v>
      </c>
      <c r="H106" s="57">
        <f t="shared" si="99"/>
        <v>0.12438730207611569</v>
      </c>
      <c r="I106" s="57">
        <f t="shared" si="99"/>
        <v>5.1325480534811507E-2</v>
      </c>
      <c r="J106" s="57">
        <f t="shared" si="99"/>
        <v>0.11548233120332589</v>
      </c>
      <c r="K106" s="57">
        <f t="shared" si="99"/>
        <v>3.2078425334257192E-2</v>
      </c>
      <c r="L106" s="57">
        <f t="shared" si="99"/>
        <v>2.5662740267405754E-2</v>
      </c>
      <c r="M106" s="57">
        <f t="shared" ref="M106:O106" si="100">(M46/$H$68)</f>
        <v>0</v>
      </c>
      <c r="N106" s="57">
        <f t="shared" ref="N106" si="101">(N46/$H$68)</f>
        <v>0</v>
      </c>
      <c r="O106" s="57">
        <f t="shared" si="100"/>
        <v>0</v>
      </c>
      <c r="P106" s="57">
        <f>(P46/$H$68)</f>
        <v>0</v>
      </c>
      <c r="Q106" s="57">
        <f>(Q46/$H$68)</f>
        <v>0</v>
      </c>
      <c r="R106" s="308">
        <f t="shared" si="95"/>
        <v>7.8244540269856722E-3</v>
      </c>
      <c r="S106" s="37"/>
      <c r="T106" s="37"/>
      <c r="U106" s="37"/>
      <c r="V106" s="37"/>
      <c r="W106" s="37"/>
      <c r="X106" s="37"/>
      <c r="Y106" s="37"/>
    </row>
    <row r="107" spans="1:25" x14ac:dyDescent="0.2">
      <c r="A107" s="27" t="s">
        <v>104</v>
      </c>
      <c r="B107" s="57">
        <f>(B47/B$68)</f>
        <v>-6.7596378138403274E-2</v>
      </c>
      <c r="C107" s="57">
        <f>(C47/C$68)</f>
        <v>-6.877385920841822E-2</v>
      </c>
      <c r="D107" s="57">
        <f>(D47/D$68)</f>
        <v>-9.2524674240391222E-2</v>
      </c>
      <c r="E107" s="57">
        <f>(E47/E$68)</f>
        <v>-2.3682844536724629E-3</v>
      </c>
      <c r="F107" s="57">
        <f t="shared" ref="F107:P108" si="102">(F47/F$68)</f>
        <v>-5.1682579433401155E-2</v>
      </c>
      <c r="G107" s="57">
        <f t="shared" si="102"/>
        <v>-6.4090789818945157E-2</v>
      </c>
      <c r="H107" s="57">
        <f t="shared" si="102"/>
        <v>-4.5448713013575594E-2</v>
      </c>
      <c r="I107" s="57">
        <f t="shared" si="102"/>
        <v>-4.6970408642555192E-4</v>
      </c>
      <c r="J107" s="57">
        <f t="shared" si="102"/>
        <v>-4.4464206313917296E-4</v>
      </c>
      <c r="K107" s="57">
        <f t="shared" si="102"/>
        <v>-4.4873233116446041E-4</v>
      </c>
      <c r="L107" s="57">
        <f t="shared" si="102"/>
        <v>-4.512635379061372E-4</v>
      </c>
      <c r="M107" s="57">
        <f t="shared" ref="M107:O108" si="103">(M47/M$68)</f>
        <v>-4.3610989969472308E-4</v>
      </c>
      <c r="N107" s="57">
        <f t="shared" ref="N107" si="104">(N47/N$68)</f>
        <v>-4.0966816878328555E-4</v>
      </c>
      <c r="O107" s="57">
        <f t="shared" si="103"/>
        <v>-3.885758694385079E-4</v>
      </c>
      <c r="P107" s="57">
        <f t="shared" si="102"/>
        <v>0</v>
      </c>
      <c r="Q107" s="57">
        <f t="shared" ref="Q107" si="105">(Q47/Q$68)</f>
        <v>0</v>
      </c>
      <c r="R107" s="308">
        <f t="shared" si="95"/>
        <v>-3.4775351231047433E-4</v>
      </c>
      <c r="S107" s="37"/>
      <c r="T107" s="37"/>
      <c r="U107" s="37"/>
      <c r="V107" s="37"/>
      <c r="W107" s="37"/>
      <c r="X107" s="37"/>
      <c r="Y107" s="37"/>
    </row>
    <row r="108" spans="1:25" x14ac:dyDescent="0.2">
      <c r="A108" s="27" t="str">
        <f>A48</f>
        <v xml:space="preserve">     Common Stock Dividends paid</v>
      </c>
      <c r="B108" s="57"/>
      <c r="C108" s="57"/>
      <c r="D108" s="57"/>
      <c r="E108" s="57"/>
      <c r="F108" s="57"/>
      <c r="G108" s="57"/>
      <c r="H108" s="57"/>
      <c r="I108" s="57">
        <f t="shared" si="102"/>
        <v>0</v>
      </c>
      <c r="J108" s="57">
        <f t="shared" si="102"/>
        <v>0</v>
      </c>
      <c r="K108" s="57">
        <f t="shared" si="102"/>
        <v>0</v>
      </c>
      <c r="L108" s="57">
        <f t="shared" si="102"/>
        <v>0</v>
      </c>
      <c r="M108" s="57">
        <f t="shared" si="103"/>
        <v>-0.11993022241604885</v>
      </c>
      <c r="N108" s="57">
        <f t="shared" ref="N108" si="106">(N48/N$68)</f>
        <v>-4.0966816878328552E-2</v>
      </c>
      <c r="O108" s="57">
        <f t="shared" si="103"/>
        <v>-9.7143967359626965E-2</v>
      </c>
      <c r="P108" s="57">
        <f t="shared" si="102"/>
        <v>-0.13804265041888805</v>
      </c>
      <c r="Q108" s="57">
        <f t="shared" ref="Q108" si="107">(Q48/Q$68)</f>
        <v>-0.36</v>
      </c>
      <c r="R108" s="308">
        <f t="shared" si="95"/>
        <v>-6.8681318681318687E-2</v>
      </c>
      <c r="S108" s="37"/>
      <c r="T108" s="37"/>
      <c r="U108" s="37"/>
      <c r="V108" s="37"/>
      <c r="W108" s="37"/>
      <c r="X108" s="37"/>
      <c r="Y108" s="37"/>
    </row>
    <row r="109" spans="1:25" x14ac:dyDescent="0.2">
      <c r="A109" s="27" t="s">
        <v>105</v>
      </c>
      <c r="B109" s="57">
        <f t="shared" ref="B109:P109" si="108">(B49/B$68)</f>
        <v>-0.52647420301487369</v>
      </c>
      <c r="C109" s="57">
        <f t="shared" si="108"/>
        <v>-0.35346242854599758</v>
      </c>
      <c r="D109" s="57">
        <f t="shared" si="108"/>
        <v>-1.7592509765333813E-2</v>
      </c>
      <c r="E109" s="57">
        <f t="shared" si="108"/>
        <v>-4.6911497534388787E-2</v>
      </c>
      <c r="F109" s="57">
        <f t="shared" si="108"/>
        <v>-6.076068242291438E-2</v>
      </c>
      <c r="G109" s="57">
        <f t="shared" si="108"/>
        <v>-8.5213854631330355E-2</v>
      </c>
      <c r="H109" s="57">
        <f t="shared" si="108"/>
        <v>-6.9212410501193311E-2</v>
      </c>
      <c r="I109" s="57">
        <f t="shared" si="108"/>
        <v>-2.9826209488022545E-2</v>
      </c>
      <c r="J109" s="57">
        <f t="shared" si="108"/>
        <v>-9.1818586038239211E-2</v>
      </c>
      <c r="K109" s="57">
        <f t="shared" si="108"/>
        <v>-3.2308727843841152E-2</v>
      </c>
      <c r="L109" s="57">
        <f t="shared" si="108"/>
        <v>-3.6101083032490976E-3</v>
      </c>
      <c r="M109" s="57">
        <f t="shared" ref="M109:O109" si="109">(M49/M$68)</f>
        <v>-0.12821631051024859</v>
      </c>
      <c r="N109" s="57">
        <f t="shared" ref="N109" si="110">(N49/N$68)</f>
        <v>-2.0893076607947564E-2</v>
      </c>
      <c r="O109" s="57">
        <f t="shared" si="109"/>
        <v>-5.5177773460268115E-2</v>
      </c>
      <c r="P109" s="57">
        <f t="shared" si="108"/>
        <v>-4.5316070068545315E-2</v>
      </c>
      <c r="Q109" s="57">
        <f t="shared" ref="Q109" si="111">(Q49/Q$68)</f>
        <v>0</v>
      </c>
      <c r="R109" s="308">
        <f t="shared" si="95"/>
        <v>-4.7711781888997079E-2</v>
      </c>
      <c r="S109" s="37"/>
      <c r="T109" s="37"/>
      <c r="U109" s="37"/>
      <c r="V109" s="37"/>
      <c r="W109" s="37"/>
      <c r="X109" s="37"/>
      <c r="Y109" s="37"/>
    </row>
    <row r="110" spans="1:25" hidden="1" x14ac:dyDescent="0.2">
      <c r="A110" s="27" t="s">
        <v>106</v>
      </c>
      <c r="B110" s="59" t="s">
        <v>77</v>
      </c>
      <c r="C110" s="59" t="s">
        <v>77</v>
      </c>
      <c r="D110" s="59" t="s">
        <v>77</v>
      </c>
      <c r="E110" s="59" t="s">
        <v>77</v>
      </c>
      <c r="F110" s="57">
        <f t="shared" ref="F110:P112" si="112">(F50/F$68)</f>
        <v>-0.11018938801064329</v>
      </c>
      <c r="G110" s="57">
        <f t="shared" si="112"/>
        <v>0</v>
      </c>
      <c r="H110" s="57">
        <f t="shared" si="112"/>
        <v>0</v>
      </c>
      <c r="I110" s="57">
        <f t="shared" si="112"/>
        <v>0</v>
      </c>
      <c r="J110" s="57">
        <f t="shared" si="112"/>
        <v>0</v>
      </c>
      <c r="K110" s="57">
        <f t="shared" si="112"/>
        <v>0</v>
      </c>
      <c r="L110" s="57">
        <f t="shared" si="112"/>
        <v>0</v>
      </c>
      <c r="M110" s="57">
        <f t="shared" ref="M110:O110" si="113">(M50/M$68)</f>
        <v>0</v>
      </c>
      <c r="N110" s="57">
        <f t="shared" ref="N110" si="114">(N50/N$68)</f>
        <v>0</v>
      </c>
      <c r="O110" s="57">
        <f t="shared" si="113"/>
        <v>0</v>
      </c>
      <c r="P110" s="57">
        <f t="shared" si="112"/>
        <v>0</v>
      </c>
      <c r="Q110" s="57">
        <f t="shared" ref="Q110" si="115">(Q50/Q$68)</f>
        <v>0</v>
      </c>
      <c r="R110" s="308">
        <f t="shared" si="95"/>
        <v>0</v>
      </c>
      <c r="S110" s="37"/>
      <c r="T110" s="37"/>
      <c r="U110" s="37"/>
      <c r="V110" s="37"/>
      <c r="W110" s="37"/>
      <c r="X110" s="37"/>
      <c r="Y110" s="37"/>
    </row>
    <row r="111" spans="1:25" x14ac:dyDescent="0.2">
      <c r="A111" s="27" t="s">
        <v>107</v>
      </c>
      <c r="B111" s="57">
        <f>(B51/B$68)</f>
        <v>-6.5464395896561237E-3</v>
      </c>
      <c r="C111" s="59" t="s">
        <v>77</v>
      </c>
      <c r="D111" s="59" t="s">
        <v>77</v>
      </c>
      <c r="E111" s="57">
        <f>(E51/E$68)</f>
        <v>-2.4331689592525306E-3</v>
      </c>
      <c r="F111" s="57">
        <f t="shared" si="112"/>
        <v>-2.3477852559085927E-3</v>
      </c>
      <c r="G111" s="57">
        <f t="shared" si="112"/>
        <v>-2.459984256100761E-3</v>
      </c>
      <c r="H111" s="57">
        <f t="shared" si="112"/>
        <v>-1.9247055200554315E-3</v>
      </c>
      <c r="I111" s="57">
        <f t="shared" si="112"/>
        <v>-8.9243776420854862E-3</v>
      </c>
      <c r="J111" s="57">
        <f t="shared" si="112"/>
        <v>0</v>
      </c>
      <c r="K111" s="57">
        <f t="shared" si="112"/>
        <v>0</v>
      </c>
      <c r="L111" s="57">
        <f t="shared" si="112"/>
        <v>0</v>
      </c>
      <c r="M111" s="57">
        <f t="shared" ref="M111:O111" si="116">(M51/M$68)</f>
        <v>0</v>
      </c>
      <c r="N111" s="57">
        <f t="shared" ref="N111" si="117">(N51/N$68)</f>
        <v>0</v>
      </c>
      <c r="O111" s="57">
        <f t="shared" si="116"/>
        <v>-7.771517388770157E-3</v>
      </c>
      <c r="P111" s="57">
        <f t="shared" si="112"/>
        <v>0</v>
      </c>
      <c r="Q111" s="57">
        <f t="shared" ref="Q111" si="118">(Q51/Q$68)</f>
        <v>0</v>
      </c>
      <c r="R111" s="308">
        <f t="shared" si="95"/>
        <v>-1.3910140492418973E-3</v>
      </c>
      <c r="S111" s="37"/>
      <c r="T111" s="37"/>
      <c r="U111" s="37"/>
      <c r="V111" s="37"/>
      <c r="W111" s="37"/>
      <c r="X111" s="37"/>
      <c r="Y111" s="37"/>
    </row>
    <row r="112" spans="1:25" x14ac:dyDescent="0.2">
      <c r="A112" s="27" t="s">
        <v>98</v>
      </c>
      <c r="B112" s="57">
        <f>(B52/B$68)</f>
        <v>1.755750081516968E-3</v>
      </c>
      <c r="C112" s="57">
        <f>(C52/C$68)</f>
        <v>-4.153727475918271E-4</v>
      </c>
      <c r="D112" s="57">
        <f>(D52/D$68)</f>
        <v>-4.0254047768136687E-3</v>
      </c>
      <c r="E112" s="59" t="s">
        <v>77</v>
      </c>
      <c r="F112" s="57">
        <f t="shared" si="112"/>
        <v>-9.3911410236343718E-5</v>
      </c>
      <c r="G112" s="57">
        <f t="shared" si="112"/>
        <v>0</v>
      </c>
      <c r="H112" s="57">
        <f t="shared" si="112"/>
        <v>2.0016937408576488E-3</v>
      </c>
      <c r="I112" s="57">
        <f t="shared" si="112"/>
        <v>3.0530765617660873E-3</v>
      </c>
      <c r="J112" s="57">
        <f t="shared" si="112"/>
        <v>-4.8465984882169855E-2</v>
      </c>
      <c r="K112" s="57">
        <f t="shared" si="112"/>
        <v>-4.4873233116446039E-3</v>
      </c>
      <c r="L112" s="57">
        <f t="shared" si="112"/>
        <v>-2.256317689530686E-4</v>
      </c>
      <c r="M112" s="57">
        <f t="shared" ref="M112:O112" si="119">(M52/M$68)</f>
        <v>-4.3610989969472308E-4</v>
      </c>
      <c r="N112" s="57">
        <f t="shared" ref="N112" si="120">(N52/N$68)</f>
        <v>-1.8435067595247848E-3</v>
      </c>
      <c r="O112" s="57">
        <f t="shared" si="119"/>
        <v>-7.7715173887701579E-4</v>
      </c>
      <c r="P112" s="57">
        <f t="shared" si="112"/>
        <v>-5.7121096725057125E-4</v>
      </c>
      <c r="Q112" s="57">
        <f t="shared" ref="Q112" si="121">(Q52/Q$68)</f>
        <v>0</v>
      </c>
      <c r="R112" s="308">
        <f t="shared" si="95"/>
        <v>-1.3562386980108499E-3</v>
      </c>
      <c r="S112" s="37"/>
      <c r="T112" s="37"/>
      <c r="U112" s="37"/>
      <c r="V112" s="37"/>
      <c r="W112" s="37"/>
      <c r="X112" s="37"/>
      <c r="Y112" s="37"/>
    </row>
    <row r="113" spans="1:25" ht="7.5" customHeight="1" x14ac:dyDescent="0.2">
      <c r="A113" s="2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8"/>
      <c r="S113" s="37"/>
      <c r="T113" s="37"/>
      <c r="U113" s="37"/>
      <c r="V113" s="37"/>
      <c r="W113" s="37"/>
      <c r="X113" s="37"/>
      <c r="Y113" s="37"/>
    </row>
    <row r="114" spans="1:25" x14ac:dyDescent="0.2">
      <c r="A114" s="233" t="s">
        <v>108</v>
      </c>
      <c r="B114" s="241">
        <f t="shared" ref="B114:L114" si="122">(B54/B$68)</f>
        <v>-0.16647018987183027</v>
      </c>
      <c r="C114" s="241">
        <f t="shared" si="122"/>
        <v>-0.17629606187075975</v>
      </c>
      <c r="D114" s="241">
        <f t="shared" si="122"/>
        <v>7.2844917553746613E-2</v>
      </c>
      <c r="E114" s="241">
        <f t="shared" si="122"/>
        <v>-5.2524007267064625E-2</v>
      </c>
      <c r="F114" s="241">
        <f t="shared" si="122"/>
        <v>-6.9619658788542815E-2</v>
      </c>
      <c r="G114" s="241">
        <f t="shared" si="122"/>
        <v>9.0658619784833361E-2</v>
      </c>
      <c r="H114" s="241">
        <f t="shared" si="122"/>
        <v>1.2780044653168079E-2</v>
      </c>
      <c r="I114" s="241">
        <f t="shared" si="122"/>
        <v>0.19774542038515736</v>
      </c>
      <c r="J114" s="241">
        <f t="shared" si="122"/>
        <v>0.20342374388617163</v>
      </c>
      <c r="K114" s="241">
        <f t="shared" si="122"/>
        <v>0.19430109939421136</v>
      </c>
      <c r="L114" s="241">
        <f t="shared" si="122"/>
        <v>2.6398916967509026E-2</v>
      </c>
      <c r="M114" s="241">
        <f t="shared" ref="M114:O114" si="123">(M54/M$68)</f>
        <v>-1.9843000436109901E-2</v>
      </c>
      <c r="N114" s="241">
        <f t="shared" ref="N114" si="124">(N54/N$68)</f>
        <v>-5.1618189266693981E-2</v>
      </c>
      <c r="O114" s="241">
        <f t="shared" si="123"/>
        <v>-0.10316689333592384</v>
      </c>
      <c r="P114" s="241">
        <f t="shared" ref="P114:Q117" si="125">(P54/P$68)</f>
        <v>-9.9200304645849197E-2</v>
      </c>
      <c r="Q114" s="241">
        <f t="shared" si="125"/>
        <v>-0.20799999999999999</v>
      </c>
      <c r="R114" s="279">
        <f t="shared" ref="R114:R117" si="126">SUM(K54:P54)/SUM($K$68:$P$68)</f>
        <v>-1.4327444707191543E-2</v>
      </c>
      <c r="S114" s="37"/>
      <c r="T114" s="37"/>
      <c r="U114" s="37"/>
      <c r="V114" s="37"/>
      <c r="W114" s="37"/>
      <c r="X114" s="37"/>
      <c r="Y114" s="37"/>
    </row>
    <row r="115" spans="1:25" x14ac:dyDescent="0.2">
      <c r="A115" s="233" t="s">
        <v>109</v>
      </c>
      <c r="B115" s="241">
        <f t="shared" ref="B115:L115" si="127">(B55/B$68)</f>
        <v>-6.5715217336777945E-2</v>
      </c>
      <c r="C115" s="241">
        <f t="shared" si="127"/>
        <v>-2.9273888877900554E-3</v>
      </c>
      <c r="D115" s="241">
        <f t="shared" si="127"/>
        <v>5.5162954348928223E-3</v>
      </c>
      <c r="E115" s="241">
        <f t="shared" si="127"/>
        <v>-1.7518816506618606E-3</v>
      </c>
      <c r="F115" s="241">
        <f t="shared" si="127"/>
        <v>-2.9425575207387786E-2</v>
      </c>
      <c r="G115" s="241">
        <f t="shared" si="127"/>
        <v>4.6182104434531621E-2</v>
      </c>
      <c r="H115" s="241">
        <f t="shared" si="127"/>
        <v>-2.0453203993122386E-2</v>
      </c>
      <c r="I115" s="241">
        <f t="shared" si="127"/>
        <v>3.9689995302959136E-2</v>
      </c>
      <c r="J115" s="241">
        <f t="shared" si="127"/>
        <v>-3.7572254335260118E-2</v>
      </c>
      <c r="K115" s="241">
        <f t="shared" si="127"/>
        <v>1.3013237603769351E-2</v>
      </c>
      <c r="L115" s="241">
        <f t="shared" si="127"/>
        <v>-1.9404332129963901E-2</v>
      </c>
      <c r="M115" s="241">
        <f t="shared" ref="M115:O115" si="128">(M55/M$68)</f>
        <v>3.4888791975577847E-3</v>
      </c>
      <c r="N115" s="241">
        <f t="shared" ref="N115" si="129">(N55/N$68)</f>
        <v>6.759524784924211E-3</v>
      </c>
      <c r="O115" s="241">
        <f t="shared" si="128"/>
        <v>-5.2457742374198563E-3</v>
      </c>
      <c r="P115" s="241">
        <f t="shared" si="125"/>
        <v>-5.7121096725057125E-3</v>
      </c>
      <c r="Q115" s="241">
        <f t="shared" si="125"/>
        <v>-8.8000000000000005E-3</v>
      </c>
      <c r="R115" s="279">
        <f t="shared" si="126"/>
        <v>-1.2519126443177077E-3</v>
      </c>
      <c r="S115" s="37"/>
      <c r="T115" s="37"/>
      <c r="U115" s="37"/>
      <c r="V115" s="37"/>
      <c r="W115" s="37"/>
      <c r="X115" s="37"/>
      <c r="Y115" s="37"/>
    </row>
    <row r="116" spans="1:25" x14ac:dyDescent="0.2">
      <c r="A116" s="30" t="s">
        <v>110</v>
      </c>
      <c r="B116" s="70">
        <f t="shared" ref="B116:L116" si="130">(B56/B$68)</f>
        <v>0.10439188341819458</v>
      </c>
      <c r="C116" s="70">
        <f t="shared" si="130"/>
        <v>3.0500227466028443E-2</v>
      </c>
      <c r="D116" s="70">
        <f t="shared" si="130"/>
        <v>4.1566031547246328E-2</v>
      </c>
      <c r="E116" s="70">
        <f t="shared" si="130"/>
        <v>5.1226317155463275E-2</v>
      </c>
      <c r="F116" s="70">
        <f t="shared" si="130"/>
        <v>4.7738300203474721E-2</v>
      </c>
      <c r="G116" s="70">
        <f t="shared" si="130"/>
        <v>1.9187877197585804E-2</v>
      </c>
      <c r="H116" s="70">
        <f t="shared" si="130"/>
        <v>5.1145841352939675E-2</v>
      </c>
      <c r="I116" s="70">
        <f t="shared" si="130"/>
        <v>1.3856270549553781E-2</v>
      </c>
      <c r="J116" s="70">
        <f t="shared" si="130"/>
        <v>5.0689195197865716E-2</v>
      </c>
      <c r="K116" s="70">
        <f t="shared" si="130"/>
        <v>1.3237603769351581E-2</v>
      </c>
      <c r="L116" s="70">
        <f t="shared" si="130"/>
        <v>2.6398916967509026E-2</v>
      </c>
      <c r="M116" s="70">
        <f t="shared" ref="M116:O116" si="131">(M56/M$68)</f>
        <v>6.7597034452682074E-3</v>
      </c>
      <c r="N116" s="70">
        <f t="shared" ref="N116" si="132">(N56/N$68)</f>
        <v>9.6272019664072096E-3</v>
      </c>
      <c r="O116" s="70">
        <f t="shared" si="131"/>
        <v>1.5543034777540314E-2</v>
      </c>
      <c r="P116" s="70">
        <f t="shared" si="125"/>
        <v>1.0091393754760092E-2</v>
      </c>
      <c r="Q116" s="70">
        <f t="shared" si="125"/>
        <v>1.84E-2</v>
      </c>
      <c r="R116" s="283">
        <f t="shared" si="126"/>
        <v>1.3458060926415357E-2</v>
      </c>
      <c r="S116" s="37"/>
      <c r="T116" s="37"/>
      <c r="U116" s="37"/>
      <c r="V116" s="37"/>
      <c r="W116" s="37"/>
      <c r="X116" s="37"/>
      <c r="Y116" s="37"/>
    </row>
    <row r="117" spans="1:25" x14ac:dyDescent="0.2">
      <c r="A117" s="30" t="s">
        <v>111</v>
      </c>
      <c r="B117" s="70">
        <f t="shared" ref="B117:L117" si="133">(B57/B$68)</f>
        <v>3.8676666081416636E-2</v>
      </c>
      <c r="C117" s="70">
        <f t="shared" si="133"/>
        <v>2.7572838578238425E-2</v>
      </c>
      <c r="D117" s="70">
        <f t="shared" si="133"/>
        <v>4.7082326982139135E-2</v>
      </c>
      <c r="E117" s="70">
        <f t="shared" si="133"/>
        <v>4.9474435504801455E-2</v>
      </c>
      <c r="F117" s="70">
        <f t="shared" si="133"/>
        <v>1.8312724996086899E-2</v>
      </c>
      <c r="G117" s="70">
        <f t="shared" si="133"/>
        <v>6.536998163211756E-2</v>
      </c>
      <c r="H117" s="70">
        <f t="shared" si="133"/>
        <v>3.0692637359817285E-2</v>
      </c>
      <c r="I117" s="70">
        <f t="shared" si="133"/>
        <v>5.3546265852512917E-2</v>
      </c>
      <c r="J117" s="70">
        <f t="shared" si="133"/>
        <v>1.3116940862605602E-2</v>
      </c>
      <c r="K117" s="70">
        <f t="shared" si="133"/>
        <v>2.6250841373120934E-2</v>
      </c>
      <c r="L117" s="70">
        <f t="shared" si="133"/>
        <v>6.994584837545126E-3</v>
      </c>
      <c r="M117" s="70">
        <f t="shared" ref="M117:O117" si="134">(M57/M$68)</f>
        <v>1.0248582642825993E-2</v>
      </c>
      <c r="N117" s="70">
        <f t="shared" ref="N117" si="135">(N57/N$68)</f>
        <v>1.6386726751331421E-2</v>
      </c>
      <c r="O117" s="70">
        <f t="shared" si="134"/>
        <v>1.0297260540120458E-2</v>
      </c>
      <c r="P117" s="70">
        <f t="shared" si="125"/>
        <v>4.3792840822543793E-3</v>
      </c>
      <c r="Q117" s="70">
        <f t="shared" si="125"/>
        <v>9.5999999999999992E-3</v>
      </c>
      <c r="R117" s="283">
        <f t="shared" si="126"/>
        <v>1.2206148282097649E-2</v>
      </c>
      <c r="S117" s="37"/>
      <c r="T117" s="37"/>
      <c r="U117" s="37"/>
      <c r="V117" s="37"/>
      <c r="W117" s="37"/>
      <c r="X117" s="37"/>
      <c r="Y117" s="37"/>
    </row>
    <row r="118" spans="1:25" x14ac:dyDescent="0.2"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58"/>
      <c r="S118" s="37"/>
      <c r="T118" s="37"/>
      <c r="U118" s="37"/>
      <c r="V118" s="37"/>
      <c r="W118" s="37"/>
      <c r="X118" s="37"/>
      <c r="Y118" s="37"/>
    </row>
    <row r="119" spans="1:25" x14ac:dyDescent="0.2"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37"/>
      <c r="S119" s="37"/>
      <c r="T119" s="37"/>
      <c r="U119" s="37"/>
      <c r="V119" s="37"/>
      <c r="W119" s="37"/>
      <c r="X119" s="37"/>
      <c r="Y119" s="37"/>
    </row>
    <row r="120" spans="1:25" x14ac:dyDescent="0.2"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37"/>
      <c r="S120" s="37"/>
      <c r="T120" s="37"/>
      <c r="U120" s="37"/>
      <c r="V120" s="37"/>
      <c r="W120" s="37"/>
      <c r="X120" s="37"/>
      <c r="Y120" s="37"/>
    </row>
    <row r="121" spans="1:25" x14ac:dyDescent="0.2">
      <c r="B121" s="37"/>
      <c r="C121" s="37"/>
      <c r="D121" s="37"/>
      <c r="E121" s="37"/>
      <c r="F121" s="38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</row>
    <row r="122" spans="1:25" x14ac:dyDescent="0.2">
      <c r="B122" s="37"/>
      <c r="C122" s="37"/>
      <c r="D122" s="37"/>
      <c r="E122" s="37"/>
      <c r="F122" s="38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</row>
    <row r="123" spans="1:25" x14ac:dyDescent="0.2">
      <c r="B123" s="37"/>
      <c r="C123" s="37"/>
      <c r="D123" s="37"/>
      <c r="E123" s="37"/>
      <c r="F123" s="38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</row>
    <row r="124" spans="1:25" x14ac:dyDescent="0.2">
      <c r="B124" s="37"/>
      <c r="C124" s="37"/>
      <c r="D124" s="37"/>
      <c r="E124" s="37"/>
      <c r="F124" s="38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</row>
    <row r="125" spans="1:25" x14ac:dyDescent="0.2">
      <c r="B125" s="37"/>
      <c r="C125" s="37"/>
      <c r="D125" s="37"/>
      <c r="E125" s="37"/>
      <c r="F125" s="38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</row>
    <row r="126" spans="1:25" x14ac:dyDescent="0.2">
      <c r="B126" s="37"/>
      <c r="C126" s="37"/>
      <c r="D126" s="37"/>
      <c r="E126" s="37"/>
      <c r="F126" s="38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</row>
    <row r="127" spans="1:25" x14ac:dyDescent="0.2">
      <c r="B127" s="37"/>
      <c r="C127" s="37"/>
      <c r="D127" s="37"/>
      <c r="E127" s="37"/>
      <c r="F127" s="38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</row>
    <row r="128" spans="1:25" x14ac:dyDescent="0.2">
      <c r="B128" s="37"/>
      <c r="C128" s="37"/>
      <c r="D128" s="37"/>
      <c r="E128" s="37"/>
      <c r="F128" s="38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</row>
    <row r="129" spans="2:25" x14ac:dyDescent="0.2">
      <c r="B129" s="37"/>
      <c r="C129" s="37"/>
      <c r="D129" s="37"/>
      <c r="E129" s="37"/>
      <c r="F129" s="38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</row>
    <row r="130" spans="2:25" x14ac:dyDescent="0.2">
      <c r="B130" s="37"/>
      <c r="C130" s="37"/>
      <c r="D130" s="37"/>
      <c r="E130" s="37"/>
      <c r="F130" s="38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</row>
    <row r="131" spans="2:25" x14ac:dyDescent="0.2">
      <c r="B131" s="37"/>
      <c r="C131" s="37"/>
      <c r="D131" s="37"/>
      <c r="E131" s="37"/>
      <c r="F131" s="38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</row>
    <row r="132" spans="2:25" x14ac:dyDescent="0.2">
      <c r="B132" s="37"/>
      <c r="C132" s="37"/>
      <c r="D132" s="37"/>
      <c r="E132" s="37"/>
      <c r="F132" s="38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</row>
    <row r="133" spans="2:25" x14ac:dyDescent="0.2">
      <c r="B133" s="37"/>
      <c r="C133" s="37"/>
      <c r="D133" s="37"/>
      <c r="E133" s="37"/>
      <c r="F133" s="38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</row>
    <row r="134" spans="2:25" x14ac:dyDescent="0.2">
      <c r="B134" s="37"/>
      <c r="C134" s="37"/>
      <c r="D134" s="37"/>
      <c r="E134" s="37"/>
      <c r="F134" s="38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</row>
    <row r="135" spans="2:25" x14ac:dyDescent="0.2">
      <c r="B135" s="37"/>
      <c r="C135" s="37"/>
      <c r="D135" s="37"/>
      <c r="E135" s="37"/>
      <c r="F135" s="38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</row>
    <row r="136" spans="2:25" x14ac:dyDescent="0.2">
      <c r="B136" s="37"/>
      <c r="C136" s="37"/>
      <c r="D136" s="37"/>
      <c r="E136" s="37"/>
      <c r="F136" s="38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</row>
    <row r="137" spans="2:25" x14ac:dyDescent="0.2">
      <c r="B137" s="37"/>
      <c r="C137" s="37"/>
      <c r="D137" s="37"/>
      <c r="E137" s="37"/>
      <c r="F137" s="38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</row>
    <row r="138" spans="2:25" x14ac:dyDescent="0.2">
      <c r="B138" s="37"/>
      <c r="C138" s="37"/>
      <c r="D138" s="37"/>
      <c r="E138" s="37"/>
      <c r="F138" s="38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</row>
    <row r="139" spans="2:25" x14ac:dyDescent="0.2">
      <c r="B139" s="37"/>
      <c r="C139" s="37"/>
      <c r="D139" s="37"/>
      <c r="E139" s="37"/>
      <c r="F139" s="38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</row>
    <row r="140" spans="2:25" x14ac:dyDescent="0.2">
      <c r="B140" s="37"/>
      <c r="C140" s="37"/>
      <c r="D140" s="37"/>
      <c r="E140" s="37"/>
      <c r="F140" s="38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</row>
    <row r="141" spans="2:25" x14ac:dyDescent="0.2">
      <c r="B141" s="37"/>
      <c r="C141" s="37"/>
      <c r="D141" s="37"/>
      <c r="E141" s="37"/>
      <c r="F141" s="38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</row>
    <row r="142" spans="2:25" x14ac:dyDescent="0.2">
      <c r="B142" s="37"/>
      <c r="C142" s="37"/>
      <c r="D142" s="37"/>
      <c r="E142" s="37"/>
      <c r="F142" s="38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2:25" x14ac:dyDescent="0.2">
      <c r="B143" s="37"/>
      <c r="C143" s="37"/>
      <c r="D143" s="37"/>
      <c r="E143" s="37"/>
      <c r="F143" s="38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</row>
    <row r="144" spans="2:25" x14ac:dyDescent="0.2">
      <c r="B144" s="37"/>
      <c r="C144" s="37"/>
      <c r="D144" s="37"/>
      <c r="E144" s="37"/>
      <c r="F144" s="38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</row>
    <row r="145" spans="2:25" x14ac:dyDescent="0.2">
      <c r="B145" s="37"/>
      <c r="C145" s="37"/>
      <c r="D145" s="37"/>
      <c r="E145" s="37"/>
      <c r="F145" s="38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</row>
    <row r="146" spans="2:25" x14ac:dyDescent="0.2">
      <c r="B146" s="37"/>
      <c r="C146" s="37"/>
      <c r="D146" s="37"/>
      <c r="E146" s="37"/>
      <c r="F146" s="38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</row>
    <row r="147" spans="2:25" x14ac:dyDescent="0.2">
      <c r="B147" s="37"/>
      <c r="C147" s="37"/>
      <c r="D147" s="37"/>
      <c r="E147" s="37"/>
      <c r="F147" s="38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</row>
    <row r="148" spans="2:25" x14ac:dyDescent="0.2">
      <c r="B148" s="37"/>
      <c r="C148" s="37"/>
      <c r="D148" s="37"/>
      <c r="E148" s="37"/>
      <c r="F148" s="38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</row>
    <row r="149" spans="2:25" x14ac:dyDescent="0.2">
      <c r="B149" s="37"/>
      <c r="C149" s="37"/>
      <c r="D149" s="37"/>
      <c r="E149" s="37"/>
      <c r="F149" s="38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</row>
    <row r="150" spans="2:25" x14ac:dyDescent="0.2">
      <c r="B150" s="37"/>
      <c r="C150" s="37"/>
      <c r="D150" s="37"/>
      <c r="E150" s="37"/>
      <c r="F150" s="38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</row>
    <row r="151" spans="2:25" x14ac:dyDescent="0.2">
      <c r="B151" s="37"/>
      <c r="C151" s="37"/>
      <c r="D151" s="37"/>
      <c r="E151" s="37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</row>
    <row r="152" spans="2:25" x14ac:dyDescent="0.2">
      <c r="B152" s="37"/>
      <c r="C152" s="37"/>
      <c r="D152" s="37"/>
      <c r="E152" s="37"/>
      <c r="F152" s="38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</row>
    <row r="153" spans="2:25" x14ac:dyDescent="0.2">
      <c r="B153" s="37"/>
      <c r="C153" s="37"/>
      <c r="D153" s="37"/>
      <c r="E153" s="37"/>
      <c r="F153" s="38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</row>
    <row r="154" spans="2:25" x14ac:dyDescent="0.2">
      <c r="B154" s="37"/>
      <c r="C154" s="37"/>
      <c r="D154" s="37"/>
      <c r="E154" s="37"/>
      <c r="F154" s="3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</row>
    <row r="155" spans="2:25" x14ac:dyDescent="0.2">
      <c r="B155" s="37"/>
      <c r="C155" s="37"/>
      <c r="D155" s="37"/>
      <c r="E155" s="37"/>
      <c r="F155" s="38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</row>
    <row r="156" spans="2:25" x14ac:dyDescent="0.2">
      <c r="B156" s="37"/>
      <c r="C156" s="37"/>
      <c r="D156" s="37"/>
      <c r="E156" s="37"/>
      <c r="F156" s="38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</row>
    <row r="157" spans="2:25" x14ac:dyDescent="0.2">
      <c r="B157" s="37"/>
      <c r="C157" s="37"/>
      <c r="D157" s="37"/>
      <c r="E157" s="37"/>
      <c r="F157" s="38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2:25" x14ac:dyDescent="0.2">
      <c r="B158" s="37"/>
      <c r="C158" s="37"/>
      <c r="D158" s="37"/>
      <c r="E158" s="37"/>
      <c r="F158" s="38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2:25" x14ac:dyDescent="0.2">
      <c r="B159" s="37"/>
      <c r="C159" s="37"/>
      <c r="D159" s="37"/>
      <c r="E159" s="37"/>
      <c r="F159" s="38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</row>
    <row r="160" spans="2:25" x14ac:dyDescent="0.2">
      <c r="B160" s="37"/>
      <c r="C160" s="37"/>
      <c r="D160" s="37"/>
      <c r="E160" s="37"/>
      <c r="F160" s="38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2:25" x14ac:dyDescent="0.2">
      <c r="B161" s="37"/>
      <c r="C161" s="37"/>
      <c r="D161" s="37"/>
      <c r="E161" s="37"/>
      <c r="F161" s="38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2:25" x14ac:dyDescent="0.2">
      <c r="B162" s="37"/>
      <c r="C162" s="37"/>
      <c r="D162" s="37"/>
      <c r="E162" s="37"/>
      <c r="F162" s="38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</row>
    <row r="163" spans="2:25" x14ac:dyDescent="0.2">
      <c r="B163" s="37"/>
      <c r="C163" s="37"/>
      <c r="D163" s="37"/>
      <c r="E163" s="37"/>
      <c r="F163" s="38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</row>
    <row r="164" spans="2:25" x14ac:dyDescent="0.2">
      <c r="B164" s="37"/>
      <c r="C164" s="37"/>
      <c r="D164" s="37"/>
      <c r="E164" s="37"/>
      <c r="F164" s="38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</row>
    <row r="165" spans="2:25" x14ac:dyDescent="0.2">
      <c r="B165" s="37"/>
      <c r="C165" s="37"/>
      <c r="D165" s="37"/>
      <c r="E165" s="37"/>
      <c r="F165" s="38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</row>
    <row r="166" spans="2:25" x14ac:dyDescent="0.2">
      <c r="B166" s="37"/>
      <c r="C166" s="37"/>
      <c r="D166" s="37"/>
      <c r="E166" s="37"/>
      <c r="F166" s="38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2:25" x14ac:dyDescent="0.2">
      <c r="B167" s="37"/>
      <c r="C167" s="37"/>
      <c r="D167" s="37"/>
      <c r="E167" s="37"/>
      <c r="F167" s="38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2:25" x14ac:dyDescent="0.2">
      <c r="B168" s="37"/>
      <c r="C168" s="37"/>
      <c r="D168" s="37"/>
      <c r="E168" s="37"/>
      <c r="F168" s="38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2:25" x14ac:dyDescent="0.2">
      <c r="B169" s="37"/>
      <c r="C169" s="37"/>
      <c r="D169" s="37"/>
      <c r="E169" s="37"/>
      <c r="F169" s="38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2:25" x14ac:dyDescent="0.2">
      <c r="B170" s="37"/>
      <c r="C170" s="37"/>
      <c r="D170" s="37"/>
      <c r="E170" s="37"/>
      <c r="F170" s="38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2:25" x14ac:dyDescent="0.2">
      <c r="B171" s="37"/>
      <c r="C171" s="37"/>
      <c r="D171" s="37"/>
      <c r="E171" s="37"/>
      <c r="F171" s="38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2:25" x14ac:dyDescent="0.2">
      <c r="B172" s="37"/>
      <c r="C172" s="37"/>
      <c r="D172" s="37"/>
      <c r="E172" s="37"/>
      <c r="F172" s="38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2:25" x14ac:dyDescent="0.2">
      <c r="B173" s="37"/>
      <c r="C173" s="37"/>
      <c r="D173" s="37"/>
      <c r="E173" s="37"/>
      <c r="F173" s="38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2:25" x14ac:dyDescent="0.2">
      <c r="B174" s="37"/>
      <c r="C174" s="37"/>
      <c r="D174" s="37"/>
      <c r="E174" s="37"/>
      <c r="F174" s="38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2:25" x14ac:dyDescent="0.2">
      <c r="B175" s="37"/>
      <c r="C175" s="37"/>
      <c r="D175" s="37"/>
      <c r="E175" s="37"/>
      <c r="F175" s="38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2:25" x14ac:dyDescent="0.2">
      <c r="B176" s="37"/>
      <c r="C176" s="37"/>
      <c r="D176" s="37"/>
      <c r="E176" s="37"/>
      <c r="F176" s="38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</row>
    <row r="177" spans="2:25" x14ac:dyDescent="0.2">
      <c r="B177" s="37"/>
      <c r="C177" s="37"/>
      <c r="D177" s="37"/>
      <c r="E177" s="37"/>
      <c r="F177" s="38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</row>
    <row r="178" spans="2:25" x14ac:dyDescent="0.2">
      <c r="B178" s="37"/>
      <c r="C178" s="37"/>
      <c r="D178" s="37"/>
      <c r="E178" s="37"/>
      <c r="F178" s="38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</row>
    <row r="179" spans="2:25" x14ac:dyDescent="0.2">
      <c r="B179" s="37"/>
      <c r="C179" s="37"/>
      <c r="D179" s="37"/>
      <c r="E179" s="37"/>
      <c r="F179" s="38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</row>
    <row r="180" spans="2:25" x14ac:dyDescent="0.2">
      <c r="B180" s="37"/>
      <c r="C180" s="37"/>
      <c r="D180" s="37"/>
      <c r="E180" s="37"/>
      <c r="F180" s="38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</row>
    <row r="181" spans="2:25" x14ac:dyDescent="0.2">
      <c r="B181" s="37"/>
      <c r="C181" s="37"/>
      <c r="D181" s="37"/>
      <c r="E181" s="37"/>
      <c r="F181" s="38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</row>
    <row r="182" spans="2:25" x14ac:dyDescent="0.2">
      <c r="B182" s="37"/>
      <c r="C182" s="37"/>
      <c r="D182" s="37"/>
      <c r="E182" s="37"/>
      <c r="F182" s="38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</row>
    <row r="183" spans="2:25" x14ac:dyDescent="0.2">
      <c r="B183" s="37"/>
      <c r="C183" s="37"/>
      <c r="D183" s="37"/>
      <c r="E183" s="37"/>
      <c r="F183" s="38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</row>
    <row r="184" spans="2:25" x14ac:dyDescent="0.2">
      <c r="B184" s="37"/>
      <c r="C184" s="37"/>
      <c r="D184" s="37"/>
      <c r="E184" s="37"/>
      <c r="F184" s="38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</row>
    <row r="185" spans="2:25" x14ac:dyDescent="0.2">
      <c r="B185" s="37"/>
      <c r="C185" s="37"/>
      <c r="D185" s="37"/>
      <c r="E185" s="37"/>
      <c r="F185" s="38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</row>
    <row r="186" spans="2:25" x14ac:dyDescent="0.2">
      <c r="B186" s="37"/>
      <c r="C186" s="37"/>
      <c r="D186" s="37"/>
      <c r="E186" s="37"/>
      <c r="F186" s="38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</row>
    <row r="187" spans="2:25" x14ac:dyDescent="0.2">
      <c r="B187" s="37"/>
      <c r="C187" s="37"/>
      <c r="D187" s="37"/>
      <c r="E187" s="37"/>
      <c r="F187" s="38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</row>
    <row r="188" spans="2:25" x14ac:dyDescent="0.2">
      <c r="B188" s="37"/>
      <c r="C188" s="37"/>
      <c r="D188" s="37"/>
      <c r="E188" s="37"/>
      <c r="F188" s="38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</row>
    <row r="189" spans="2:25" x14ac:dyDescent="0.2">
      <c r="B189" s="37"/>
      <c r="C189" s="37"/>
      <c r="D189" s="37"/>
      <c r="E189" s="37"/>
      <c r="F189" s="38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</row>
    <row r="190" spans="2:25" x14ac:dyDescent="0.2">
      <c r="B190" s="37"/>
      <c r="C190" s="37"/>
      <c r="D190" s="37"/>
      <c r="E190" s="37"/>
      <c r="F190" s="38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2:25" x14ac:dyDescent="0.2">
      <c r="B191" s="37"/>
      <c r="C191" s="37"/>
      <c r="D191" s="37"/>
      <c r="E191" s="37"/>
      <c r="F191" s="38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2:25" x14ac:dyDescent="0.2">
      <c r="B192" s="37"/>
      <c r="C192" s="37"/>
      <c r="D192" s="37"/>
      <c r="E192" s="37"/>
      <c r="F192" s="38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</row>
    <row r="193" spans="2:25" x14ac:dyDescent="0.2">
      <c r="B193" s="37"/>
      <c r="C193" s="37"/>
      <c r="D193" s="37"/>
      <c r="E193" s="37"/>
      <c r="F193" s="38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</row>
    <row r="194" spans="2:25" x14ac:dyDescent="0.2">
      <c r="B194" s="37"/>
      <c r="C194" s="37"/>
      <c r="D194" s="37"/>
      <c r="E194" s="37"/>
      <c r="F194" s="38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</row>
    <row r="195" spans="2:25" x14ac:dyDescent="0.2">
      <c r="B195" s="37"/>
      <c r="C195" s="37"/>
      <c r="D195" s="37"/>
      <c r="E195" s="37"/>
      <c r="F195" s="38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</row>
    <row r="196" spans="2:25" x14ac:dyDescent="0.2">
      <c r="B196" s="37"/>
      <c r="C196" s="37"/>
      <c r="D196" s="37"/>
      <c r="E196" s="37"/>
      <c r="F196" s="38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</row>
    <row r="197" spans="2:25" x14ac:dyDescent="0.2">
      <c r="B197" s="37"/>
      <c r="C197" s="37"/>
      <c r="D197" s="37"/>
      <c r="E197" s="37"/>
      <c r="F197" s="38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</row>
    <row r="198" spans="2:25" x14ac:dyDescent="0.2">
      <c r="B198" s="37"/>
      <c r="C198" s="37"/>
      <c r="D198" s="37"/>
      <c r="E198" s="37"/>
      <c r="F198" s="38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</row>
    <row r="199" spans="2:25" x14ac:dyDescent="0.2">
      <c r="B199" s="37"/>
      <c r="C199" s="37"/>
      <c r="D199" s="37"/>
      <c r="E199" s="37"/>
      <c r="F199" s="38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</row>
    <row r="200" spans="2:25" x14ac:dyDescent="0.2">
      <c r="B200" s="37"/>
      <c r="C200" s="37"/>
      <c r="D200" s="37"/>
      <c r="E200" s="37"/>
      <c r="F200" s="38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</row>
    <row r="201" spans="2:25" x14ac:dyDescent="0.2">
      <c r="B201" s="37"/>
      <c r="C201" s="37"/>
      <c r="D201" s="37"/>
      <c r="E201" s="37"/>
      <c r="F201" s="38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</row>
    <row r="202" spans="2:25" x14ac:dyDescent="0.2">
      <c r="B202" s="37"/>
      <c r="C202" s="37"/>
      <c r="D202" s="37"/>
      <c r="E202" s="37"/>
      <c r="F202" s="38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</row>
    <row r="203" spans="2:25" x14ac:dyDescent="0.2">
      <c r="B203" s="37"/>
      <c r="C203" s="37"/>
      <c r="D203" s="37"/>
      <c r="E203" s="37"/>
      <c r="F203" s="38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2:25" x14ac:dyDescent="0.2">
      <c r="B204" s="37"/>
      <c r="C204" s="37"/>
      <c r="D204" s="37"/>
      <c r="E204" s="37"/>
      <c r="F204" s="38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2:25" x14ac:dyDescent="0.2">
      <c r="B205" s="37"/>
      <c r="C205" s="37"/>
      <c r="D205" s="37"/>
      <c r="E205" s="37"/>
      <c r="F205" s="38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</row>
    <row r="206" spans="2:25" x14ac:dyDescent="0.2">
      <c r="B206" s="37"/>
      <c r="C206" s="37"/>
      <c r="D206" s="37"/>
      <c r="E206" s="37"/>
      <c r="F206" s="38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</row>
    <row r="207" spans="2:25" x14ac:dyDescent="0.2">
      <c r="B207" s="37"/>
      <c r="C207" s="37"/>
      <c r="D207" s="37"/>
      <c r="E207" s="37"/>
      <c r="F207" s="38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</row>
    <row r="208" spans="2:25" x14ac:dyDescent="0.2">
      <c r="B208" s="37"/>
      <c r="C208" s="37"/>
      <c r="D208" s="37"/>
      <c r="E208" s="37"/>
      <c r="F208" s="38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</row>
    <row r="209" spans="2:25" x14ac:dyDescent="0.2">
      <c r="B209" s="37"/>
      <c r="C209" s="37"/>
      <c r="D209" s="37"/>
      <c r="E209" s="37"/>
      <c r="F209" s="38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</row>
    <row r="210" spans="2:25" x14ac:dyDescent="0.2">
      <c r="B210" s="37"/>
      <c r="C210" s="37"/>
      <c r="D210" s="37"/>
      <c r="E210" s="37"/>
      <c r="F210" s="38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</row>
    <row r="211" spans="2:25" x14ac:dyDescent="0.2">
      <c r="B211" s="37"/>
      <c r="C211" s="37"/>
      <c r="D211" s="37"/>
      <c r="E211" s="37"/>
      <c r="F211" s="38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</row>
    <row r="212" spans="2:25" x14ac:dyDescent="0.2">
      <c r="B212" s="37"/>
      <c r="C212" s="37"/>
      <c r="D212" s="37"/>
      <c r="E212" s="37"/>
      <c r="F212" s="38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</row>
    <row r="213" spans="2:25" x14ac:dyDescent="0.2">
      <c r="B213" s="37"/>
      <c r="C213" s="37"/>
      <c r="D213" s="37"/>
      <c r="E213" s="37"/>
      <c r="F213" s="38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</row>
    <row r="214" spans="2:25" x14ac:dyDescent="0.2">
      <c r="B214" s="37"/>
      <c r="C214" s="37"/>
      <c r="D214" s="37"/>
      <c r="E214" s="37"/>
      <c r="F214" s="38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</row>
    <row r="215" spans="2:25" x14ac:dyDescent="0.2">
      <c r="B215" s="37"/>
      <c r="C215" s="37"/>
      <c r="D215" s="37"/>
      <c r="E215" s="37"/>
      <c r="F215" s="38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</row>
    <row r="216" spans="2:25" x14ac:dyDescent="0.2">
      <c r="B216" s="37"/>
      <c r="C216" s="37"/>
      <c r="D216" s="37"/>
      <c r="E216" s="37"/>
      <c r="F216" s="38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2:25" x14ac:dyDescent="0.2">
      <c r="B217" s="37"/>
      <c r="C217" s="37"/>
      <c r="D217" s="37"/>
      <c r="E217" s="37"/>
      <c r="F217" s="38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</row>
    <row r="218" spans="2:25" x14ac:dyDescent="0.2">
      <c r="B218" s="37"/>
      <c r="C218" s="37"/>
      <c r="D218" s="37"/>
      <c r="E218" s="37"/>
      <c r="F218" s="38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</row>
    <row r="219" spans="2:25" x14ac:dyDescent="0.2">
      <c r="B219" s="37"/>
      <c r="C219" s="37"/>
      <c r="D219" s="37"/>
      <c r="E219" s="37"/>
      <c r="F219" s="38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</row>
    <row r="220" spans="2:25" x14ac:dyDescent="0.2">
      <c r="B220" s="37"/>
      <c r="C220" s="37"/>
      <c r="D220" s="37"/>
      <c r="E220" s="37"/>
      <c r="F220" s="38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</row>
    <row r="221" spans="2:25" x14ac:dyDescent="0.2">
      <c r="B221" s="37"/>
      <c r="C221" s="37"/>
      <c r="D221" s="37"/>
      <c r="E221" s="37"/>
      <c r="F221" s="38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</row>
    <row r="222" spans="2:25" x14ac:dyDescent="0.2">
      <c r="B222" s="37"/>
      <c r="C222" s="37"/>
      <c r="D222" s="37"/>
      <c r="E222" s="37"/>
      <c r="F222" s="38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</row>
    <row r="223" spans="2:25" x14ac:dyDescent="0.2">
      <c r="B223" s="37"/>
      <c r="C223" s="37"/>
      <c r="D223" s="37"/>
      <c r="E223" s="37"/>
      <c r="F223" s="38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</row>
    <row r="224" spans="2:25" x14ac:dyDescent="0.2">
      <c r="B224" s="37"/>
      <c r="C224" s="37"/>
      <c r="D224" s="37"/>
      <c r="E224" s="37"/>
      <c r="F224" s="38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</row>
    <row r="225" spans="2:25" x14ac:dyDescent="0.2">
      <c r="B225" s="37"/>
      <c r="C225" s="37"/>
      <c r="D225" s="37"/>
      <c r="E225" s="37"/>
      <c r="F225" s="38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</row>
    <row r="226" spans="2:25" x14ac:dyDescent="0.2">
      <c r="B226" s="37"/>
      <c r="C226" s="37"/>
      <c r="D226" s="37"/>
      <c r="E226" s="37"/>
      <c r="F226" s="38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</row>
    <row r="227" spans="2:25" x14ac:dyDescent="0.2">
      <c r="B227" s="37"/>
      <c r="C227" s="37"/>
      <c r="D227" s="37"/>
      <c r="E227" s="37"/>
      <c r="F227" s="38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</row>
    <row r="228" spans="2:25" x14ac:dyDescent="0.2">
      <c r="B228" s="37"/>
      <c r="C228" s="37"/>
      <c r="D228" s="37"/>
      <c r="E228" s="37"/>
      <c r="F228" s="38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</row>
    <row r="229" spans="2:25" x14ac:dyDescent="0.2">
      <c r="B229" s="37"/>
      <c r="C229" s="37"/>
      <c r="D229" s="37"/>
      <c r="E229" s="37"/>
      <c r="F229" s="38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</row>
    <row r="230" spans="2:25" x14ac:dyDescent="0.2">
      <c r="B230" s="37"/>
      <c r="C230" s="37"/>
      <c r="D230" s="37"/>
      <c r="E230" s="37"/>
      <c r="F230" s="38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</row>
    <row r="231" spans="2:25" x14ac:dyDescent="0.2">
      <c r="B231" s="37"/>
      <c r="C231" s="37"/>
      <c r="D231" s="37"/>
      <c r="E231" s="37"/>
      <c r="F231" s="38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</row>
    <row r="232" spans="2:25" x14ac:dyDescent="0.2">
      <c r="B232" s="37"/>
      <c r="C232" s="37"/>
      <c r="D232" s="37"/>
      <c r="E232" s="37"/>
      <c r="F232" s="38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</row>
    <row r="233" spans="2:25" x14ac:dyDescent="0.2">
      <c r="B233" s="37"/>
      <c r="C233" s="37"/>
      <c r="D233" s="37"/>
      <c r="E233" s="37"/>
      <c r="F233" s="38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</row>
    <row r="234" spans="2:25" x14ac:dyDescent="0.2">
      <c r="B234" s="37"/>
      <c r="C234" s="37"/>
      <c r="D234" s="37"/>
      <c r="E234" s="37"/>
      <c r="F234" s="38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</row>
  </sheetData>
  <mergeCells count="1">
    <mergeCell ref="B7:G7"/>
  </mergeCells>
  <phoneticPr fontId="0" type="noConversion"/>
  <printOptions horizontalCentered="1"/>
  <pageMargins left="0.7" right="0.7" top="0.75" bottom="1" header="0.5" footer="0.5"/>
  <pageSetup scale="63" fitToHeight="2" orientation="portrait" r:id="rId1"/>
  <headerFooter alignWithMargins="0"/>
  <rowBreaks count="1" manualBreakCount="1">
    <brk id="5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2:AY202"/>
  <sheetViews>
    <sheetView showGridLines="0" tabSelected="1" zoomScaleNormal="100" workbookViewId="0">
      <selection activeCell="A2" sqref="A2"/>
    </sheetView>
  </sheetViews>
  <sheetFormatPr defaultColWidth="13.7109375" defaultRowHeight="12.75" x14ac:dyDescent="0.2"/>
  <cols>
    <col min="1" max="1" width="30.28515625" style="52" customWidth="1"/>
    <col min="2" max="10" width="10.7109375" customWidth="1"/>
    <col min="11" max="11" width="12.5703125" style="1" customWidth="1"/>
    <col min="12" max="12" width="13.7109375" customWidth="1"/>
    <col min="13" max="13" width="29.28515625" style="52" customWidth="1"/>
    <col min="14" max="17" width="13.7109375" style="52" customWidth="1"/>
    <col min="18" max="25" width="12.7109375" style="52" customWidth="1"/>
    <col min="26" max="51" width="13.7109375" style="52" customWidth="1"/>
  </cols>
  <sheetData>
    <row r="2" spans="1:24" x14ac:dyDescent="0.2">
      <c r="K2" s="275" t="s">
        <v>206</v>
      </c>
      <c r="W2" s="275" t="s">
        <v>206</v>
      </c>
    </row>
    <row r="3" spans="1:24" x14ac:dyDescent="0.2">
      <c r="K3" s="276" t="s">
        <v>200</v>
      </c>
      <c r="W3" s="276" t="s">
        <v>203</v>
      </c>
    </row>
    <row r="4" spans="1:24" ht="15.75" x14ac:dyDescent="0.25">
      <c r="A4" s="215" t="str">
        <f>Historical!A4</f>
        <v>PacifiCorp</v>
      </c>
      <c r="B4" s="10"/>
      <c r="C4" s="10"/>
      <c r="D4" s="10"/>
      <c r="E4" s="10"/>
      <c r="F4" s="10"/>
      <c r="G4" s="10"/>
      <c r="H4" s="10"/>
      <c r="I4" s="10"/>
      <c r="J4" s="10"/>
      <c r="K4" s="274"/>
      <c r="M4" s="105" t="str">
        <f>A4</f>
        <v>PacifiCorp</v>
      </c>
      <c r="N4" s="106"/>
      <c r="O4" s="10"/>
      <c r="P4" s="12"/>
      <c r="Q4" s="12"/>
      <c r="R4" s="12"/>
      <c r="S4" s="12"/>
      <c r="T4" s="12"/>
      <c r="U4" s="12"/>
      <c r="V4" s="12"/>
      <c r="W4" s="13"/>
      <c r="X4" s="2"/>
    </row>
    <row r="5" spans="1:24" x14ac:dyDescent="0.2">
      <c r="A5" s="256" t="s">
        <v>122</v>
      </c>
      <c r="B5" s="10"/>
      <c r="C5" s="10"/>
      <c r="D5" s="10"/>
      <c r="E5" s="10"/>
      <c r="F5" s="10"/>
      <c r="G5" s="10"/>
      <c r="H5" s="10"/>
      <c r="I5" s="10"/>
      <c r="J5" s="10"/>
      <c r="K5" s="73"/>
      <c r="M5" s="107" t="s">
        <v>175</v>
      </c>
      <c r="N5" s="106"/>
      <c r="O5" s="12"/>
      <c r="P5" s="10"/>
      <c r="Q5" s="12"/>
      <c r="R5" s="12"/>
      <c r="S5" s="12"/>
      <c r="T5" s="12"/>
      <c r="U5" s="12"/>
      <c r="V5" s="12"/>
      <c r="W5" s="13"/>
      <c r="X5" s="2"/>
    </row>
    <row r="6" spans="1:24" x14ac:dyDescent="0.2">
      <c r="A6" s="137">
        <f ca="1">NOW()</f>
        <v>42142.639918055553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2"/>
      <c r="M6" s="111"/>
      <c r="N6" s="19"/>
      <c r="O6" s="2"/>
      <c r="P6" s="2"/>
      <c r="Q6" s="2"/>
      <c r="R6" s="2"/>
      <c r="S6" s="2"/>
      <c r="T6" s="2"/>
      <c r="U6" s="2"/>
      <c r="V6" s="2"/>
      <c r="W6" s="5"/>
      <c r="X6" s="2"/>
    </row>
    <row r="7" spans="1:24" x14ac:dyDescent="0.2">
      <c r="B7" s="2"/>
      <c r="C7" s="2"/>
      <c r="D7" s="2"/>
      <c r="E7" s="2"/>
      <c r="F7" s="2"/>
      <c r="G7" s="2"/>
      <c r="H7" s="2"/>
      <c r="I7" s="2"/>
      <c r="J7" s="2"/>
      <c r="K7" s="5"/>
      <c r="L7" s="2"/>
      <c r="M7" s="111"/>
      <c r="N7" s="19"/>
      <c r="O7" s="2"/>
      <c r="P7" s="2"/>
      <c r="Q7" s="2"/>
      <c r="R7" s="2"/>
      <c r="S7" s="2"/>
      <c r="T7" s="2"/>
      <c r="U7" s="2"/>
      <c r="V7" s="2"/>
      <c r="W7" s="5"/>
      <c r="X7" s="2"/>
    </row>
    <row r="8" spans="1:24" x14ac:dyDescent="0.2">
      <c r="B8" s="74" t="s">
        <v>123</v>
      </c>
      <c r="C8" s="14" t="s">
        <v>124</v>
      </c>
      <c r="D8" s="14" t="s">
        <v>124</v>
      </c>
      <c r="E8" s="14" t="s">
        <v>124</v>
      </c>
      <c r="F8" s="14" t="s">
        <v>124</v>
      </c>
      <c r="G8" s="14" t="s">
        <v>124</v>
      </c>
      <c r="H8" s="14" t="s">
        <v>124</v>
      </c>
      <c r="I8" s="14" t="s">
        <v>124</v>
      </c>
      <c r="J8" s="14" t="s">
        <v>124</v>
      </c>
      <c r="K8" s="15" t="s">
        <v>4</v>
      </c>
      <c r="L8" s="2"/>
      <c r="N8" s="74" t="s">
        <v>123</v>
      </c>
      <c r="O8" s="14" t="s">
        <v>124</v>
      </c>
      <c r="P8" s="14" t="s">
        <v>124</v>
      </c>
      <c r="Q8" s="14" t="s">
        <v>124</v>
      </c>
      <c r="R8" s="14" t="s">
        <v>124</v>
      </c>
      <c r="S8" s="14" t="s">
        <v>124</v>
      </c>
      <c r="T8" s="14" t="s">
        <v>124</v>
      </c>
      <c r="U8" s="14" t="s">
        <v>124</v>
      </c>
      <c r="V8" s="14" t="s">
        <v>124</v>
      </c>
      <c r="W8" s="15" t="s">
        <v>125</v>
      </c>
      <c r="X8" s="2"/>
    </row>
    <row r="9" spans="1:24" x14ac:dyDescent="0.2">
      <c r="A9" s="257" t="s">
        <v>0</v>
      </c>
      <c r="B9" s="75">
        <f>Historical!P9</f>
        <v>2014</v>
      </c>
      <c r="C9" s="4">
        <f>B9+1</f>
        <v>2015</v>
      </c>
      <c r="D9" s="4">
        <f t="shared" ref="D9:J9" si="0">C9+1</f>
        <v>2016</v>
      </c>
      <c r="E9" s="4">
        <f t="shared" si="0"/>
        <v>2017</v>
      </c>
      <c r="F9" s="4">
        <f t="shared" si="0"/>
        <v>2018</v>
      </c>
      <c r="G9" s="4">
        <f t="shared" si="0"/>
        <v>2019</v>
      </c>
      <c r="H9" s="4">
        <f t="shared" si="0"/>
        <v>2020</v>
      </c>
      <c r="I9" s="4">
        <f t="shared" si="0"/>
        <v>2021</v>
      </c>
      <c r="J9" s="4">
        <f t="shared" si="0"/>
        <v>2022</v>
      </c>
      <c r="K9" s="16" t="s">
        <v>23</v>
      </c>
      <c r="L9" s="2"/>
      <c r="N9" s="88">
        <f t="shared" ref="N9:V9" si="1">B9</f>
        <v>2014</v>
      </c>
      <c r="O9" s="4">
        <f t="shared" si="1"/>
        <v>2015</v>
      </c>
      <c r="P9" s="4">
        <f t="shared" si="1"/>
        <v>2016</v>
      </c>
      <c r="Q9" s="4">
        <f t="shared" si="1"/>
        <v>2017</v>
      </c>
      <c r="R9" s="4">
        <f t="shared" si="1"/>
        <v>2018</v>
      </c>
      <c r="S9" s="4">
        <f t="shared" si="1"/>
        <v>2019</v>
      </c>
      <c r="T9" s="4">
        <f t="shared" si="1"/>
        <v>2020</v>
      </c>
      <c r="U9" s="4">
        <f t="shared" si="1"/>
        <v>2021</v>
      </c>
      <c r="V9" s="4">
        <f t="shared" si="1"/>
        <v>2022</v>
      </c>
      <c r="W9" s="16" t="s">
        <v>126</v>
      </c>
      <c r="X9" s="2"/>
    </row>
    <row r="10" spans="1:24" ht="7.5" customHeight="1" x14ac:dyDescent="0.2">
      <c r="A10" s="111"/>
      <c r="B10" s="76"/>
      <c r="C10" s="22"/>
      <c r="D10" s="22"/>
      <c r="E10" s="22"/>
      <c r="F10" s="22"/>
      <c r="G10" s="22"/>
      <c r="H10" s="22"/>
      <c r="I10" s="22"/>
      <c r="J10" s="22"/>
      <c r="K10" s="23"/>
      <c r="L10" s="19"/>
      <c r="N10" s="85"/>
      <c r="O10" s="2"/>
      <c r="P10" s="2"/>
      <c r="Q10" s="2"/>
      <c r="R10" s="2"/>
      <c r="S10" s="2"/>
      <c r="T10" s="2"/>
      <c r="U10" s="2"/>
      <c r="V10" s="2"/>
      <c r="W10" s="5"/>
      <c r="X10" s="2"/>
    </row>
    <row r="11" spans="1:24" x14ac:dyDescent="0.2">
      <c r="A11" s="191" t="str">
        <f>Historical!A11</f>
        <v>Current Assets:</v>
      </c>
      <c r="B11" s="77"/>
      <c r="C11" s="2"/>
      <c r="D11" s="2"/>
      <c r="E11" s="2"/>
      <c r="F11" s="2"/>
      <c r="G11" s="2"/>
      <c r="H11" s="2"/>
      <c r="I11" s="2"/>
      <c r="J11" s="2"/>
      <c r="K11" s="5"/>
      <c r="L11" s="2"/>
      <c r="M11" s="191" t="str">
        <f t="shared" ref="M11:M17" si="2">A11</f>
        <v>Current Assets:</v>
      </c>
      <c r="N11" s="77"/>
      <c r="O11" s="5"/>
      <c r="P11" s="5"/>
      <c r="Q11" s="5"/>
      <c r="R11" s="5"/>
      <c r="S11" s="5"/>
      <c r="T11" s="2"/>
      <c r="U11" s="2"/>
      <c r="V11" s="2"/>
      <c r="W11" s="5"/>
      <c r="X11" s="2"/>
    </row>
    <row r="12" spans="1:24" x14ac:dyDescent="0.2">
      <c r="A12" s="52" t="str">
        <f>Historical!A12</f>
        <v>Cash &amp; Equivalents</v>
      </c>
      <c r="B12" s="77">
        <f>Historical!P12</f>
        <v>23</v>
      </c>
      <c r="C12" s="2">
        <f>Assumptions!$C$10*Forecast!C80</f>
        <v>52.011057212834608</v>
      </c>
      <c r="D12" s="2">
        <f>Assumptions!$C$10*Forecast!D80</f>
        <v>53.312816609514883</v>
      </c>
      <c r="E12" s="2">
        <f>Assumptions!$C$10*Forecast!E80</f>
        <v>54.647157107554271</v>
      </c>
      <c r="F12" s="2">
        <f>Assumptions!$C$10*Forecast!F80</f>
        <v>56.014894163456063</v>
      </c>
      <c r="G12" s="2">
        <f>Assumptions!$C$10*Forecast!G80</f>
        <v>57.416863643386897</v>
      </c>
      <c r="H12" s="2">
        <f>Assumptions!$C$10*Forecast!H80</f>
        <v>58.853922334000195</v>
      </c>
      <c r="I12" s="2">
        <f>Assumptions!$C$10*Forecast!I80</f>
        <v>60.326948466044868</v>
      </c>
      <c r="J12" s="2">
        <f>Assumptions!$C$10*Forecast!J80</f>
        <v>61.83684225107914</v>
      </c>
      <c r="K12" s="5">
        <f>RATE(8,,-B12,J12)</f>
        <v>0.13159216939377177</v>
      </c>
      <c r="L12" s="2"/>
      <c r="M12" s="52" t="str">
        <f t="shared" si="2"/>
        <v>Cash &amp; Equivalents</v>
      </c>
      <c r="N12" s="90">
        <f t="shared" ref="N12:V17" si="3">B12/B$38</f>
        <v>1.0329186688822023E-3</v>
      </c>
      <c r="O12" s="95">
        <f t="shared" ca="1" si="3"/>
        <v>2.2910244918818439E-3</v>
      </c>
      <c r="P12" s="18">
        <f t="shared" ca="1" si="3"/>
        <v>2.3303979967232999E-3</v>
      </c>
      <c r="Q12" s="18">
        <f t="shared" ca="1" si="3"/>
        <v>2.34913437556953E-3</v>
      </c>
      <c r="R12" s="18">
        <f t="shared" ca="1" si="3"/>
        <v>2.3430759979187646E-3</v>
      </c>
      <c r="S12" s="18">
        <f t="shared" ca="1" si="3"/>
        <v>2.3476804882305445E-3</v>
      </c>
      <c r="T12" s="18">
        <f t="shared" ca="1" si="3"/>
        <v>2.3623128121416522E-3</v>
      </c>
      <c r="U12" s="18">
        <f t="shared" ca="1" si="3"/>
        <v>2.3770195289816881E-3</v>
      </c>
      <c r="V12" s="18">
        <f t="shared" ca="1" si="3"/>
        <v>2.3918016484343616E-3</v>
      </c>
      <c r="W12" s="18">
        <f t="shared" ref="W12:W17" ca="1" si="4">SUM(C12:J12)/SUM($C$38:$J$38)</f>
        <v>2.3502250795360211E-3</v>
      </c>
      <c r="X12" s="2"/>
    </row>
    <row r="13" spans="1:24" x14ac:dyDescent="0.2">
      <c r="A13" s="52" t="s">
        <v>136</v>
      </c>
      <c r="B13" s="77">
        <v>0</v>
      </c>
      <c r="C13" s="2">
        <f t="shared" ref="C13:J13" ca="1" si="5">C67</f>
        <v>0</v>
      </c>
      <c r="D13" s="2">
        <f t="shared" ca="1" si="5"/>
        <v>0</v>
      </c>
      <c r="E13" s="2">
        <f t="shared" ca="1" si="5"/>
        <v>0</v>
      </c>
      <c r="F13" s="2">
        <f t="shared" ca="1" si="5"/>
        <v>0</v>
      </c>
      <c r="G13" s="2">
        <f t="shared" ca="1" si="5"/>
        <v>0</v>
      </c>
      <c r="H13" s="2">
        <f t="shared" ca="1" si="5"/>
        <v>0</v>
      </c>
      <c r="I13" s="2">
        <f t="shared" ca="1" si="5"/>
        <v>0</v>
      </c>
      <c r="J13" s="2">
        <f t="shared" ca="1" si="5"/>
        <v>0</v>
      </c>
      <c r="K13" s="5"/>
      <c r="M13" s="52" t="str">
        <f t="shared" si="2"/>
        <v>Surplus Cash</v>
      </c>
      <c r="N13" s="90">
        <f t="shared" si="3"/>
        <v>0</v>
      </c>
      <c r="O13" s="95">
        <f t="shared" ca="1" si="3"/>
        <v>0</v>
      </c>
      <c r="P13" s="18">
        <f t="shared" ca="1" si="3"/>
        <v>0</v>
      </c>
      <c r="Q13" s="18">
        <f t="shared" ca="1" si="3"/>
        <v>0</v>
      </c>
      <c r="R13" s="18">
        <f t="shared" ca="1" si="3"/>
        <v>0</v>
      </c>
      <c r="S13" s="18">
        <f t="shared" ca="1" si="3"/>
        <v>0</v>
      </c>
      <c r="T13" s="18">
        <f t="shared" ca="1" si="3"/>
        <v>0</v>
      </c>
      <c r="U13" s="18">
        <f t="shared" ca="1" si="3"/>
        <v>0</v>
      </c>
      <c r="V13" s="18">
        <f t="shared" ca="1" si="3"/>
        <v>0</v>
      </c>
      <c r="W13" s="18">
        <f t="shared" ca="1" si="4"/>
        <v>0</v>
      </c>
      <c r="X13" s="2"/>
    </row>
    <row r="14" spans="1:24" x14ac:dyDescent="0.2">
      <c r="A14" s="52" t="str">
        <f>Historical!A13</f>
        <v>Accounts Receivable</v>
      </c>
      <c r="B14" s="77">
        <f>Historical!P13</f>
        <v>701</v>
      </c>
      <c r="C14" s="2">
        <f>Assumptions!$C$12*Forecast!C80</f>
        <v>744.60958835357542</v>
      </c>
      <c r="D14" s="2">
        <f>Assumptions!$C$12*Forecast!D80</f>
        <v>763.24605875891666</v>
      </c>
      <c r="E14" s="2">
        <f>Assumptions!$C$12*Forecast!E80</f>
        <v>782.34897229714466</v>
      </c>
      <c r="F14" s="2">
        <f>Assumptions!$C$12*Forecast!F80</f>
        <v>801.93000334605119</v>
      </c>
      <c r="G14" s="2">
        <f>Assumptions!$C$12*Forecast!G80</f>
        <v>822.00111847573874</v>
      </c>
      <c r="H14" s="2">
        <f>Assumptions!$C$12*Forecast!H80</f>
        <v>842.57458376175964</v>
      </c>
      <c r="I14" s="2">
        <f>Assumptions!$C$12*Forecast!I80</f>
        <v>863.66297228129122</v>
      </c>
      <c r="J14" s="2">
        <f>Assumptions!$C$12*Forecast!J80</f>
        <v>885.27917179693111</v>
      </c>
      <c r="K14" s="5">
        <f>RATE(8,,-B14,J14)</f>
        <v>2.9604136193344212E-2</v>
      </c>
      <c r="L14" s="2"/>
      <c r="M14" s="52" t="str">
        <f t="shared" si="2"/>
        <v>Accounts Receivable</v>
      </c>
      <c r="N14" s="90">
        <f t="shared" si="3"/>
        <v>3.1481564647235817E-2</v>
      </c>
      <c r="O14" s="95">
        <f t="shared" ca="1" si="3"/>
        <v>3.2799156472195973E-2</v>
      </c>
      <c r="P14" s="18">
        <f t="shared" ca="1" si="3"/>
        <v>3.3362842172951143E-2</v>
      </c>
      <c r="Q14" s="18">
        <f t="shared" ca="1" si="3"/>
        <v>3.3631079122698922E-2</v>
      </c>
      <c r="R14" s="18">
        <f t="shared" ca="1" si="3"/>
        <v>3.3544345140919495E-2</v>
      </c>
      <c r="S14" s="18">
        <f t="shared" ca="1" si="3"/>
        <v>3.3610264732240283E-2</v>
      </c>
      <c r="T14" s="18">
        <f t="shared" ca="1" si="3"/>
        <v>3.3819746509154008E-2</v>
      </c>
      <c r="U14" s="18">
        <f t="shared" ca="1" si="3"/>
        <v>3.4030293322834033E-2</v>
      </c>
      <c r="V14" s="18">
        <f t="shared" ca="1" si="3"/>
        <v>3.4241919628286877E-2</v>
      </c>
      <c r="W14" s="18">
        <f t="shared" ca="1" si="4"/>
        <v>3.3646694045275503E-2</v>
      </c>
      <c r="X14" s="2"/>
    </row>
    <row r="15" spans="1:24" x14ac:dyDescent="0.2">
      <c r="A15" s="52" t="str">
        <f>Historical!A14</f>
        <v>Material, Supplies, Fuel</v>
      </c>
      <c r="B15" s="77">
        <f>Historical!P14</f>
        <v>417</v>
      </c>
      <c r="C15" s="2">
        <f>(1+Assumptions!$C$13)*Forecast!B15</f>
        <v>427.4368897212442</v>
      </c>
      <c r="D15" s="2">
        <f>(1+Assumptions!$C$13)*Forecast!C15</f>
        <v>438.13499926755651</v>
      </c>
      <c r="E15" s="2">
        <f>(1+Assumptions!$C$13)*Forecast!D15</f>
        <v>449.10086658259939</v>
      </c>
      <c r="F15" s="2">
        <f>(1+Assumptions!$C$13)*Forecast!E15</f>
        <v>460.34119324504013</v>
      </c>
      <c r="G15" s="2">
        <f>(1+Assumptions!$C$13)*Forecast!F15</f>
        <v>471.86284856409156</v>
      </c>
      <c r="H15" s="2">
        <f>(1+Assumptions!$C$13)*Forecast!G15</f>
        <v>483.67287377755815</v>
      </c>
      <c r="I15" s="2">
        <f>(1+Assumptions!$C$13)*Forecast!H15</f>
        <v>495.77848635495297</v>
      </c>
      <c r="J15" s="2">
        <f>(1+Assumptions!$C$13)*Forecast!I15</f>
        <v>508.18708440831512</v>
      </c>
      <c r="K15" s="5">
        <f>RATE(8,,-B15,J15)</f>
        <v>2.5028512520980973E-2</v>
      </c>
      <c r="L15" s="2"/>
      <c r="M15" s="52" t="str">
        <f t="shared" si="2"/>
        <v>Material, Supplies, Fuel</v>
      </c>
      <c r="N15" s="90">
        <f t="shared" si="3"/>
        <v>1.8727264561907757E-2</v>
      </c>
      <c r="O15" s="95">
        <f t="shared" ca="1" si="3"/>
        <v>1.8828080711336095E-2</v>
      </c>
      <c r="P15" s="18">
        <f t="shared" ca="1" si="3"/>
        <v>1.915165976065223E-2</v>
      </c>
      <c r="Q15" s="18">
        <f t="shared" ca="1" si="3"/>
        <v>1.9305638932156078E-2</v>
      </c>
      <c r="R15" s="18">
        <f t="shared" ca="1" si="3"/>
        <v>1.9255850017287399E-2</v>
      </c>
      <c r="S15" s="18">
        <f t="shared" ca="1" si="3"/>
        <v>1.9293690605867726E-2</v>
      </c>
      <c r="T15" s="18">
        <f t="shared" ca="1" si="3"/>
        <v>1.9413941863141038E-2</v>
      </c>
      <c r="U15" s="18">
        <f t="shared" ca="1" si="3"/>
        <v>1.9534804495838397E-2</v>
      </c>
      <c r="V15" s="18">
        <f t="shared" ca="1" si="3"/>
        <v>1.9656286801735066E-2</v>
      </c>
      <c r="W15" s="18">
        <f t="shared" ca="1" si="4"/>
        <v>1.9314602547510711E-2</v>
      </c>
      <c r="X15" s="2"/>
    </row>
    <row r="16" spans="1:24" x14ac:dyDescent="0.2">
      <c r="A16" s="52" t="str">
        <f>Historical!A15</f>
        <v>Other Current Assets</v>
      </c>
      <c r="B16" s="77">
        <f>Historical!P15</f>
        <v>384</v>
      </c>
      <c r="C16" s="3">
        <f>B16*(1+Assumptions!$C$32)</f>
        <v>391.48800000000006</v>
      </c>
      <c r="D16" s="3">
        <f>C16*(1+Assumptions!$C$32)</f>
        <v>399.12201600000009</v>
      </c>
      <c r="E16" s="3">
        <f>D16*(1+Assumptions!$C$32)</f>
        <v>406.90489531200012</v>
      </c>
      <c r="F16" s="3">
        <f>E16*(1+Assumptions!$C$32)</f>
        <v>414.83954077058416</v>
      </c>
      <c r="G16" s="3">
        <f>F16*(1+Assumptions!$C$32)</f>
        <v>422.9289118156106</v>
      </c>
      <c r="H16" s="3">
        <f>G16*(1+Assumptions!$C$32)</f>
        <v>431.17602559601505</v>
      </c>
      <c r="I16" s="3">
        <f>H16*(1+Assumptions!$C$32)</f>
        <v>439.5839580951374</v>
      </c>
      <c r="J16" s="3">
        <f>I16*(1+Assumptions!$C$32)</f>
        <v>448.15584527799263</v>
      </c>
      <c r="K16" s="5">
        <f>RATE(8,,-B16,J16)</f>
        <v>1.9500000000047795E-2</v>
      </c>
      <c r="L16" s="2"/>
      <c r="M16" s="52" t="str">
        <f t="shared" si="2"/>
        <v>Other Current Assets</v>
      </c>
      <c r="N16" s="90">
        <f t="shared" si="3"/>
        <v>1.7245250819598507E-2</v>
      </c>
      <c r="O16" s="95">
        <f t="shared" ca="1" si="3"/>
        <v>1.7244575371879043E-2</v>
      </c>
      <c r="P16" s="18">
        <f t="shared" ca="1" si="3"/>
        <v>1.7446332902406908E-2</v>
      </c>
      <c r="Q16" s="18">
        <f t="shared" ca="1" si="3"/>
        <v>1.7491747563073194E-2</v>
      </c>
      <c r="R16" s="18">
        <f t="shared" ca="1" si="3"/>
        <v>1.7352537847002282E-2</v>
      </c>
      <c r="S16" s="18">
        <f t="shared" ca="1" si="3"/>
        <v>1.7292862953033224E-2</v>
      </c>
      <c r="T16" s="18">
        <f t="shared" ca="1" si="3"/>
        <v>1.7306792974193137E-2</v>
      </c>
      <c r="U16" s="18">
        <f t="shared" ca="1" si="3"/>
        <v>1.7320611759557725E-2</v>
      </c>
      <c r="V16" s="18">
        <f t="shared" ca="1" si="3"/>
        <v>1.7334324497669369E-2</v>
      </c>
      <c r="W16" s="18">
        <f t="shared" ca="1" si="4"/>
        <v>1.7347639540515804E-2</v>
      </c>
      <c r="X16" s="2"/>
    </row>
    <row r="17" spans="1:24" x14ac:dyDescent="0.2">
      <c r="A17" s="191" t="str">
        <f>Historical!A16</f>
        <v>Total Current Assets</v>
      </c>
      <c r="B17" s="261">
        <f>SUM(B12:B16)</f>
        <v>1525</v>
      </c>
      <c r="C17" s="311">
        <f t="shared" ref="C17:J17" ca="1" si="6">SUM(C11:C16)</f>
        <v>1615.5455352876543</v>
      </c>
      <c r="D17" s="191">
        <f t="shared" ca="1" si="6"/>
        <v>1653.8158906359881</v>
      </c>
      <c r="E17" s="191">
        <f t="shared" ca="1" si="6"/>
        <v>1693.0018912992982</v>
      </c>
      <c r="F17" s="191">
        <f t="shared" ca="1" si="6"/>
        <v>1733.1256315251314</v>
      </c>
      <c r="G17" s="191">
        <f t="shared" ca="1" si="6"/>
        <v>1774.2097424988278</v>
      </c>
      <c r="H17" s="191">
        <f t="shared" ca="1" si="6"/>
        <v>1816.277405469333</v>
      </c>
      <c r="I17" s="191">
        <f t="shared" ca="1" si="6"/>
        <v>1859.3523651974265</v>
      </c>
      <c r="J17" s="191">
        <f t="shared" ca="1" si="6"/>
        <v>1903.4589437343179</v>
      </c>
      <c r="K17" s="199">
        <f ca="1">RATE(8,,-B17,J17)</f>
        <v>2.8097276719296349E-2</v>
      </c>
      <c r="L17" s="2"/>
      <c r="M17" s="52" t="str">
        <f t="shared" si="2"/>
        <v>Total Current Assets</v>
      </c>
      <c r="N17" s="91">
        <f t="shared" si="3"/>
        <v>6.8486998697624285E-2</v>
      </c>
      <c r="O17" s="93">
        <f t="shared" ca="1" si="3"/>
        <v>7.1162837047292954E-2</v>
      </c>
      <c r="P17" s="17">
        <f t="shared" ca="1" si="3"/>
        <v>7.2291232832733587E-2</v>
      </c>
      <c r="Q17" s="17">
        <f t="shared" ca="1" si="3"/>
        <v>7.2777599993497713E-2</v>
      </c>
      <c r="R17" s="17">
        <f t="shared" ca="1" si="3"/>
        <v>7.2495809003127937E-2</v>
      </c>
      <c r="S17" s="17">
        <f t="shared" ca="1" si="3"/>
        <v>7.2544498779371774E-2</v>
      </c>
      <c r="T17" s="17">
        <f t="shared" ca="1" si="3"/>
        <v>7.2902794158629838E-2</v>
      </c>
      <c r="U17" s="17">
        <f t="shared" ca="1" si="3"/>
        <v>7.3262729107211849E-2</v>
      </c>
      <c r="V17" s="17">
        <f t="shared" ca="1" si="3"/>
        <v>7.3624332576125676E-2</v>
      </c>
      <c r="W17" s="17">
        <f t="shared" ca="1" si="4"/>
        <v>7.2659161212838039E-2</v>
      </c>
      <c r="X17" s="2"/>
    </row>
    <row r="18" spans="1:24" ht="7.5" customHeight="1" x14ac:dyDescent="0.2">
      <c r="B18" s="77"/>
      <c r="C18" s="2"/>
      <c r="D18" s="2"/>
      <c r="E18" s="2"/>
      <c r="F18" s="2"/>
      <c r="G18" s="2"/>
      <c r="H18" s="2"/>
      <c r="I18" s="2"/>
      <c r="J18" s="2"/>
      <c r="K18" s="5"/>
      <c r="L18" s="2"/>
      <c r="N18" s="90"/>
      <c r="O18" s="95"/>
      <c r="P18" s="18"/>
      <c r="Q18" s="18"/>
      <c r="R18" s="18"/>
      <c r="S18" s="18"/>
      <c r="T18" s="18"/>
      <c r="U18" s="18"/>
      <c r="V18" s="18"/>
      <c r="W18" s="18"/>
      <c r="X18" s="2"/>
    </row>
    <row r="19" spans="1:24" x14ac:dyDescent="0.2">
      <c r="A19" s="191" t="str">
        <f>Historical!A18</f>
        <v>Plant &amp; Equipment:</v>
      </c>
      <c r="B19" s="77"/>
      <c r="C19" s="2"/>
      <c r="D19" s="2"/>
      <c r="E19" s="2"/>
      <c r="F19" s="2"/>
      <c r="G19" s="2"/>
      <c r="H19" s="2"/>
      <c r="I19" s="2"/>
      <c r="J19" s="2"/>
      <c r="K19" s="5"/>
      <c r="M19" s="191" t="str">
        <f t="shared" ref="M19:M24" si="7">A19</f>
        <v>Plant &amp; Equipment:</v>
      </c>
      <c r="N19" s="90"/>
      <c r="O19" s="95"/>
      <c r="P19" s="18"/>
      <c r="Q19" s="18"/>
      <c r="R19" s="18"/>
      <c r="S19" s="18"/>
      <c r="T19" s="18"/>
      <c r="U19" s="18"/>
      <c r="V19" s="18"/>
      <c r="W19" s="18"/>
      <c r="X19" s="2"/>
    </row>
    <row r="20" spans="1:24" x14ac:dyDescent="0.2">
      <c r="A20" s="52" t="str">
        <f>Historical!A19</f>
        <v>Plant in Service</v>
      </c>
      <c r="B20" s="77">
        <f>Historical!P19</f>
        <v>25813</v>
      </c>
      <c r="C20" s="2">
        <f>B20*(1+Assumptions!$C$18)</f>
        <v>26329.848794963025</v>
      </c>
      <c r="D20" s="2">
        <f>C20*(1+Assumptions!$C$18)</f>
        <v>26857.046355154995</v>
      </c>
      <c r="E20" s="2">
        <f>D20*(1+Assumptions!$C$18)</f>
        <v>27394.799891935992</v>
      </c>
      <c r="F20" s="2">
        <f>E20*(1+Assumptions!$C$19)</f>
        <v>28011.885874830285</v>
      </c>
      <c r="G20" s="2">
        <f>F20*(1+Assumptions!$C$19)</f>
        <v>28642.872127549024</v>
      </c>
      <c r="H20" s="2">
        <f>G20*(1+Assumptions!$C$19)</f>
        <v>29288.071762861822</v>
      </c>
      <c r="I20" s="2">
        <f>H20*(1+Assumptions!$C$19)</f>
        <v>29947.804946610475</v>
      </c>
      <c r="J20" s="2">
        <f>I20*(1+Assumptions!$C$19)</f>
        <v>30622.399056584087</v>
      </c>
      <c r="K20" s="5">
        <f>RATE(8,,-B20,J20)</f>
        <v>2.1586373174159772E-2</v>
      </c>
      <c r="L20" s="2"/>
      <c r="M20" s="52" t="str">
        <f t="shared" si="7"/>
        <v>Plant in Service</v>
      </c>
      <c r="N20" s="90">
        <f t="shared" ref="N20:V24" si="8">B20/B$38</f>
        <v>1.15924911303723</v>
      </c>
      <c r="O20" s="95">
        <f t="shared" ca="1" si="8"/>
        <v>1.1597981600327938</v>
      </c>
      <c r="P20" s="18">
        <f t="shared" ca="1" si="8"/>
        <v>1.1739692442508809</v>
      </c>
      <c r="Q20" s="18">
        <f t="shared" ca="1" si="8"/>
        <v>1.1776288016471979</v>
      </c>
      <c r="R20" s="18">
        <f t="shared" ca="1" si="8"/>
        <v>1.1717236715333099</v>
      </c>
      <c r="S20" s="18">
        <f t="shared" ca="1" si="8"/>
        <v>1.1711596167700871</v>
      </c>
      <c r="T20" s="18">
        <f t="shared" ca="1" si="8"/>
        <v>1.1755815827480136</v>
      </c>
      <c r="U20" s="18">
        <f t="shared" ca="1" si="8"/>
        <v>1.1800119021152704</v>
      </c>
      <c r="V20" s="18">
        <f t="shared" ca="1" si="8"/>
        <v>1.184450917547855</v>
      </c>
      <c r="W20" s="18">
        <f ca="1">SUM(C20:J20)/SUM($C$38:$J$38)</f>
        <v>1.1745150691506281</v>
      </c>
      <c r="X20" s="2"/>
    </row>
    <row r="21" spans="1:24" x14ac:dyDescent="0.2">
      <c r="A21" s="52" t="str">
        <f>Historical!A20</f>
        <v>Construction Work in Progress</v>
      </c>
      <c r="B21" s="77">
        <f>Historical!P20</f>
        <v>932</v>
      </c>
      <c r="C21" s="2">
        <f>Assumptions!G20</f>
        <v>900</v>
      </c>
      <c r="D21" s="2">
        <f>Assumptions!H20</f>
        <v>700</v>
      </c>
      <c r="E21" s="2">
        <f>Assumptions!I20</f>
        <v>700</v>
      </c>
      <c r="F21" s="2">
        <f>Assumptions!J20</f>
        <v>900</v>
      </c>
      <c r="G21" s="2">
        <f>Assumptions!$K$20</f>
        <v>1000</v>
      </c>
      <c r="H21" s="2">
        <f>Assumptions!$K$20</f>
        <v>1000</v>
      </c>
      <c r="I21" s="2">
        <f>Assumptions!$K$20</f>
        <v>1000</v>
      </c>
      <c r="J21" s="2">
        <f>Assumptions!$K$20</f>
        <v>1000</v>
      </c>
      <c r="K21" s="5">
        <f>RATE(8,,-B21,J21)</f>
        <v>8.8416666903344734E-3</v>
      </c>
      <c r="L21" s="2"/>
      <c r="M21" s="52" t="str">
        <f t="shared" si="7"/>
        <v>Construction Work in Progress</v>
      </c>
      <c r="N21" s="90">
        <f t="shared" si="8"/>
        <v>4.1855660843400547E-2</v>
      </c>
      <c r="O21" s="95">
        <f t="shared" ca="1" si="8"/>
        <v>3.9643917143542422E-2</v>
      </c>
      <c r="P21" s="18">
        <f t="shared" ca="1" si="8"/>
        <v>3.0598244501964113E-2</v>
      </c>
      <c r="Q21" s="18">
        <f t="shared" ca="1" si="8"/>
        <v>3.0091118183188246E-2</v>
      </c>
      <c r="R21" s="18">
        <f t="shared" ca="1" si="8"/>
        <v>3.7646565786116255E-2</v>
      </c>
      <c r="S21" s="18">
        <f t="shared" ca="1" si="8"/>
        <v>4.0888344281775194E-2</v>
      </c>
      <c r="T21" s="18">
        <f t="shared" ca="1" si="8"/>
        <v>4.0138579018325383E-2</v>
      </c>
      <c r="U21" s="18">
        <f t="shared" ca="1" si="8"/>
        <v>3.9402283546955769E-2</v>
      </c>
      <c r="V21" s="18">
        <f t="shared" ca="1" si="8"/>
        <v>3.8679233307593763E-2</v>
      </c>
      <c r="W21" s="18">
        <f ca="1">SUM(C21:J21)/SUM($C$38:$J$38)</f>
        <v>3.7237801785093255E-2</v>
      </c>
      <c r="X21" s="2"/>
    </row>
    <row r="22" spans="1:24" hidden="1" x14ac:dyDescent="0.2">
      <c r="A22" s="52" t="str">
        <f>Historical!A21</f>
        <v>Australian Electric Operations</v>
      </c>
      <c r="B22" s="77">
        <f>Historical!L21</f>
        <v>0</v>
      </c>
      <c r="C22" s="253">
        <f>B22</f>
        <v>0</v>
      </c>
      <c r="D22" s="19">
        <f t="shared" ref="D22:J22" si="9">C22</f>
        <v>0</v>
      </c>
      <c r="E22" s="19">
        <f t="shared" si="9"/>
        <v>0</v>
      </c>
      <c r="F22" s="19">
        <f t="shared" si="9"/>
        <v>0</v>
      </c>
      <c r="G22" s="19">
        <f t="shared" si="9"/>
        <v>0</v>
      </c>
      <c r="H22" s="19">
        <f t="shared" si="9"/>
        <v>0</v>
      </c>
      <c r="I22" s="19">
        <f t="shared" si="9"/>
        <v>0</v>
      </c>
      <c r="J22" s="19">
        <f t="shared" si="9"/>
        <v>0</v>
      </c>
      <c r="K22" s="5"/>
      <c r="L22" s="2"/>
      <c r="M22" s="52" t="str">
        <f t="shared" si="7"/>
        <v>Australian Electric Operations</v>
      </c>
      <c r="N22" s="90">
        <f t="shared" si="8"/>
        <v>0</v>
      </c>
      <c r="O22" s="95">
        <f t="shared" ca="1" si="8"/>
        <v>0</v>
      </c>
      <c r="P22" s="18">
        <f t="shared" ca="1" si="8"/>
        <v>0</v>
      </c>
      <c r="Q22" s="18">
        <f t="shared" ca="1" si="8"/>
        <v>0</v>
      </c>
      <c r="R22" s="18">
        <f t="shared" ca="1" si="8"/>
        <v>0</v>
      </c>
      <c r="S22" s="18">
        <f t="shared" ca="1" si="8"/>
        <v>0</v>
      </c>
      <c r="T22" s="18">
        <f t="shared" ca="1" si="8"/>
        <v>0</v>
      </c>
      <c r="U22" s="18">
        <f t="shared" ca="1" si="8"/>
        <v>0</v>
      </c>
      <c r="V22" s="18">
        <f t="shared" ca="1" si="8"/>
        <v>0</v>
      </c>
      <c r="W22" s="18">
        <f ca="1">SUM(C22:J22)/SUM($C$38:$J$38)</f>
        <v>0</v>
      </c>
      <c r="X22" s="2"/>
    </row>
    <row r="23" spans="1:24" ht="12.75" hidden="1" customHeight="1" x14ac:dyDescent="0.2">
      <c r="A23" s="52" t="str">
        <f>Historical!A22</f>
        <v>Other PP&amp;E</v>
      </c>
      <c r="B23" s="77">
        <f>Historical!L22</f>
        <v>0</v>
      </c>
      <c r="C23" s="100">
        <f>B23</f>
        <v>0</v>
      </c>
      <c r="D23" s="100">
        <f t="shared" ref="D23:J23" si="10">C23</f>
        <v>0</v>
      </c>
      <c r="E23" s="100">
        <f t="shared" si="10"/>
        <v>0</v>
      </c>
      <c r="F23" s="100">
        <f t="shared" si="10"/>
        <v>0</v>
      </c>
      <c r="G23" s="100">
        <f t="shared" si="10"/>
        <v>0</v>
      </c>
      <c r="H23" s="100">
        <f t="shared" si="10"/>
        <v>0</v>
      </c>
      <c r="I23" s="100">
        <f t="shared" si="10"/>
        <v>0</v>
      </c>
      <c r="J23" s="100">
        <f t="shared" si="10"/>
        <v>0</v>
      </c>
      <c r="K23" s="103"/>
      <c r="L23" s="19"/>
      <c r="M23" s="52" t="str">
        <f t="shared" si="7"/>
        <v>Other PP&amp;E</v>
      </c>
      <c r="N23" s="254">
        <f t="shared" si="8"/>
        <v>0</v>
      </c>
      <c r="O23" s="255">
        <f t="shared" ca="1" si="8"/>
        <v>0</v>
      </c>
      <c r="P23" s="103">
        <f t="shared" ca="1" si="8"/>
        <v>0</v>
      </c>
      <c r="Q23" s="103">
        <f t="shared" ca="1" si="8"/>
        <v>0</v>
      </c>
      <c r="R23" s="103">
        <f t="shared" ca="1" si="8"/>
        <v>0</v>
      </c>
      <c r="S23" s="103">
        <f t="shared" ca="1" si="8"/>
        <v>0</v>
      </c>
      <c r="T23" s="103">
        <f t="shared" ca="1" si="8"/>
        <v>0</v>
      </c>
      <c r="U23" s="103">
        <f t="shared" ca="1" si="8"/>
        <v>0</v>
      </c>
      <c r="V23" s="103">
        <f t="shared" ca="1" si="8"/>
        <v>0</v>
      </c>
      <c r="W23" s="103">
        <f ca="1">SUM(C23:J23)/SUM($C$38:$J$38)</f>
        <v>0</v>
      </c>
      <c r="X23" s="2"/>
    </row>
    <row r="24" spans="1:24" ht="12.75" customHeight="1" x14ac:dyDescent="0.2">
      <c r="A24" s="191" t="str">
        <f>Historical!A23</f>
        <v>Total Plant &amp; Equipment:</v>
      </c>
      <c r="B24" s="261">
        <f>SUM(B20:B23)</f>
        <v>26745</v>
      </c>
      <c r="C24" s="311">
        <f>SUM(C20:C23)</f>
        <v>27229.848794963025</v>
      </c>
      <c r="D24" s="216">
        <f t="shared" ref="D24:J24" si="11">SUM(D20:D23)</f>
        <v>27557.046355154995</v>
      </c>
      <c r="E24" s="216">
        <f t="shared" si="11"/>
        <v>28094.799891935992</v>
      </c>
      <c r="F24" s="216">
        <f t="shared" si="11"/>
        <v>28911.885874830285</v>
      </c>
      <c r="G24" s="216">
        <f t="shared" si="11"/>
        <v>29642.872127549024</v>
      </c>
      <c r="H24" s="216">
        <f t="shared" si="11"/>
        <v>30288.071762861822</v>
      </c>
      <c r="I24" s="216">
        <f t="shared" si="11"/>
        <v>30947.804946610475</v>
      </c>
      <c r="J24" s="216">
        <f t="shared" si="11"/>
        <v>31622.399056584087</v>
      </c>
      <c r="K24" s="199">
        <f>RATE(8,,-B24,J24)</f>
        <v>2.1160545338292858E-2</v>
      </c>
      <c r="L24" s="2"/>
      <c r="M24" s="191" t="str">
        <f t="shared" si="7"/>
        <v>Total Plant &amp; Equipment:</v>
      </c>
      <c r="N24" s="90">
        <f t="shared" si="8"/>
        <v>1.2011047738806306</v>
      </c>
      <c r="O24" s="95">
        <f t="shared" ca="1" si="8"/>
        <v>1.1994420771763363</v>
      </c>
      <c r="P24" s="18">
        <f t="shared" ca="1" si="8"/>
        <v>1.204567488752845</v>
      </c>
      <c r="Q24" s="18">
        <f t="shared" ca="1" si="8"/>
        <v>1.2077199198303861</v>
      </c>
      <c r="R24" s="18">
        <f t="shared" ca="1" si="8"/>
        <v>1.2093702373194264</v>
      </c>
      <c r="S24" s="18">
        <f t="shared" ca="1" si="8"/>
        <v>1.2120479610518624</v>
      </c>
      <c r="T24" s="18">
        <f t="shared" ca="1" si="8"/>
        <v>1.2157201617663391</v>
      </c>
      <c r="U24" s="18">
        <f t="shared" ca="1" si="8"/>
        <v>1.2194141856622263</v>
      </c>
      <c r="V24" s="18">
        <f t="shared" ca="1" si="8"/>
        <v>1.2231301508554488</v>
      </c>
      <c r="W24" s="18">
        <f ca="1">SUM(C24:J24)/SUM($C$38:$J$38)</f>
        <v>1.2117528709357213</v>
      </c>
      <c r="X24" s="2"/>
    </row>
    <row r="25" spans="1:24" ht="7.5" customHeight="1" x14ac:dyDescent="0.2">
      <c r="B25" s="77"/>
      <c r="C25" s="2"/>
      <c r="D25" s="2"/>
      <c r="E25" s="2"/>
      <c r="F25" s="2"/>
      <c r="G25" s="2"/>
      <c r="H25" s="2"/>
      <c r="I25" s="2"/>
      <c r="J25" s="2"/>
      <c r="K25" s="18"/>
      <c r="L25" s="2"/>
      <c r="N25" s="90"/>
      <c r="O25" s="95"/>
      <c r="P25" s="18"/>
      <c r="Q25" s="18"/>
      <c r="R25" s="18"/>
      <c r="S25" s="18"/>
      <c r="T25" s="18"/>
      <c r="U25" s="18"/>
      <c r="V25" s="18"/>
      <c r="W25" s="18"/>
      <c r="X25" s="2"/>
    </row>
    <row r="26" spans="1:24" ht="12.75" customHeight="1" x14ac:dyDescent="0.2">
      <c r="A26" s="52" t="str">
        <f>Historical!A25</f>
        <v>Accumulated Depreciation &amp; Amort.</v>
      </c>
      <c r="B26" s="77">
        <f>Historical!P25</f>
        <v>8026</v>
      </c>
      <c r="C26" s="2">
        <f>C20*Assumptions!$C$24</f>
        <v>8162.2597286128794</v>
      </c>
      <c r="D26" s="2">
        <f>D20*(Assumptions!$C$24+0.0026)</f>
        <v>8395.5194249898741</v>
      </c>
      <c r="E26" s="2">
        <f>E20*(Assumptions!$C$24+0.0026*2)</f>
        <v>8634.847795147627</v>
      </c>
      <c r="F26" s="2">
        <f>F20*(Assumptions!$C$24+0.0026*3)</f>
        <v>8902.1843549639507</v>
      </c>
      <c r="G26" s="2">
        <f>G20*(Assumptions!$C$24+0.0026*4)</f>
        <v>9177.1834118285533</v>
      </c>
      <c r="H26" s="2">
        <f>H20*(Assumptions!$C$24+0.0026*5)</f>
        <v>9460.0545233491594</v>
      </c>
      <c r="I26" s="2">
        <f>I20*(Assumptions!$C$24+0.0026*6)</f>
        <v>9751.0127999883734</v>
      </c>
      <c r="J26" s="2">
        <f>J20*(Assumptions!$C$24+0.0026*7)</f>
        <v>10050.279048896471</v>
      </c>
      <c r="K26" s="5">
        <f>RATE(8,,-B26,J26)</f>
        <v>2.8513201839669315E-2</v>
      </c>
      <c r="L26" s="2"/>
      <c r="M26" s="52" t="str">
        <f>A26</f>
        <v>Accumulated Depreciation &amp; Amort.</v>
      </c>
      <c r="N26" s="90">
        <f t="shared" ref="N26:V26" si="12">B26/B$38</f>
        <v>0.36044370593254593</v>
      </c>
      <c r="O26" s="95">
        <f t="shared" ca="1" si="12"/>
        <v>0.35953772042800225</v>
      </c>
      <c r="P26" s="18">
        <f t="shared" ca="1" si="12"/>
        <v>0.3669830801240419</v>
      </c>
      <c r="Q26" s="18">
        <f t="shared" ca="1" si="12"/>
        <v>0.37118889356804241</v>
      </c>
      <c r="R26" s="18">
        <f t="shared" ca="1" si="12"/>
        <v>0.37237407662142807</v>
      </c>
      <c r="S26" s="18">
        <f t="shared" ca="1" si="12"/>
        <v>0.37523983487984214</v>
      </c>
      <c r="T26" s="18">
        <f t="shared" ca="1" si="12"/>
        <v>0.37971314600311673</v>
      </c>
      <c r="U26" s="18">
        <f t="shared" ca="1" si="12"/>
        <v>0.38421217121513696</v>
      </c>
      <c r="V26" s="18">
        <f t="shared" ca="1" si="12"/>
        <v>0.38873708813868812</v>
      </c>
      <c r="W26" s="18">
        <f ca="1">SUM(C26:J26)/SUM($C$38:$J$38)</f>
        <v>0.37513641364405503</v>
      </c>
      <c r="X26" s="2"/>
    </row>
    <row r="27" spans="1:24" ht="7.5" customHeight="1" x14ac:dyDescent="0.2">
      <c r="B27" s="77"/>
      <c r="C27" s="2"/>
      <c r="D27" s="2"/>
      <c r="E27" s="2"/>
      <c r="F27" s="2"/>
      <c r="G27" s="2"/>
      <c r="H27" s="2"/>
      <c r="I27" s="2"/>
      <c r="J27" s="2"/>
      <c r="K27" s="5"/>
      <c r="L27" s="2"/>
      <c r="N27" s="90"/>
      <c r="O27" s="95"/>
      <c r="P27" s="18"/>
      <c r="Q27" s="18"/>
      <c r="R27" s="18"/>
      <c r="S27" s="18"/>
      <c r="T27" s="18"/>
      <c r="U27" s="18"/>
      <c r="V27" s="18"/>
      <c r="W27" s="18"/>
      <c r="X27" s="2"/>
    </row>
    <row r="28" spans="1:24" x14ac:dyDescent="0.2">
      <c r="A28" s="191" t="str">
        <f>Historical!A27</f>
        <v>Net Plant &amp; Equipment</v>
      </c>
      <c r="B28" s="262">
        <f>B24-B26</f>
        <v>18719</v>
      </c>
      <c r="C28" s="191">
        <f>C24-C26</f>
        <v>19067.589066350145</v>
      </c>
      <c r="D28" s="191">
        <f t="shared" ref="D28:J28" si="13">D24-D26</f>
        <v>19161.526930165121</v>
      </c>
      <c r="E28" s="191">
        <f t="shared" si="13"/>
        <v>19459.952096788365</v>
      </c>
      <c r="F28" s="191">
        <f t="shared" si="13"/>
        <v>20009.701519866336</v>
      </c>
      <c r="G28" s="191">
        <f t="shared" si="13"/>
        <v>20465.688715720469</v>
      </c>
      <c r="H28" s="191">
        <f t="shared" si="13"/>
        <v>20828.017239512665</v>
      </c>
      <c r="I28" s="191">
        <f t="shared" si="13"/>
        <v>21196.792146622101</v>
      </c>
      <c r="J28" s="191">
        <f t="shared" si="13"/>
        <v>21572.120007687616</v>
      </c>
      <c r="K28" s="198">
        <f>RATE(8,,-B28,J28)</f>
        <v>1.7890996454058693E-2</v>
      </c>
      <c r="L28" s="2"/>
      <c r="M28" s="191" t="str">
        <f>A28</f>
        <v>Net Plant &amp; Equipment</v>
      </c>
      <c r="N28" s="90">
        <f t="shared" ref="N28:V28" si="14">B28/B$38</f>
        <v>0.84066106794808459</v>
      </c>
      <c r="O28" s="95">
        <f t="shared" ca="1" si="14"/>
        <v>0.83990435674833397</v>
      </c>
      <c r="P28" s="18">
        <f t="shared" ca="1" si="14"/>
        <v>0.83758440862880312</v>
      </c>
      <c r="Q28" s="18">
        <f t="shared" ca="1" si="14"/>
        <v>0.83653102626234366</v>
      </c>
      <c r="R28" s="18">
        <f t="shared" ca="1" si="14"/>
        <v>0.83699616069799831</v>
      </c>
      <c r="S28" s="18">
        <f t="shared" ca="1" si="14"/>
        <v>0.83680812617202005</v>
      </c>
      <c r="T28" s="18">
        <f t="shared" ca="1" si="14"/>
        <v>0.83600701576322245</v>
      </c>
      <c r="U28" s="18">
        <f t="shared" ca="1" si="14"/>
        <v>0.83520201444708919</v>
      </c>
      <c r="V28" s="18">
        <f t="shared" ca="1" si="14"/>
        <v>0.83439306271676061</v>
      </c>
      <c r="W28" s="18">
        <f ca="1">SUM(C28:J28)/SUM($C$38:$J$38)</f>
        <v>0.83661645729166645</v>
      </c>
      <c r="X28" s="2"/>
    </row>
    <row r="29" spans="1:24" x14ac:dyDescent="0.2">
      <c r="A29" s="191"/>
      <c r="B29" s="77"/>
      <c r="C29" s="2"/>
      <c r="D29" s="2"/>
      <c r="E29" s="2"/>
      <c r="F29" s="2"/>
      <c r="G29" s="2"/>
      <c r="H29" s="2"/>
      <c r="I29" s="2"/>
      <c r="J29" s="2"/>
      <c r="K29" s="5"/>
      <c r="L29" s="2"/>
      <c r="N29" s="90"/>
      <c r="O29" s="95"/>
      <c r="P29" s="18"/>
      <c r="Q29" s="18"/>
      <c r="R29" s="18"/>
      <c r="S29" s="18"/>
      <c r="T29" s="18"/>
      <c r="U29" s="18"/>
      <c r="V29" s="18"/>
      <c r="W29" s="18"/>
      <c r="X29" s="2"/>
    </row>
    <row r="30" spans="1:24" x14ac:dyDescent="0.2">
      <c r="A30" s="191" t="str">
        <f>Historical!A29</f>
        <v>Other Assets:</v>
      </c>
      <c r="B30" s="77"/>
      <c r="C30" s="2"/>
      <c r="D30" s="2"/>
      <c r="E30" s="2"/>
      <c r="F30" s="2"/>
      <c r="G30" s="2"/>
      <c r="H30" s="2"/>
      <c r="I30" s="2"/>
      <c r="J30" s="2"/>
      <c r="K30" s="5"/>
      <c r="L30" s="2"/>
      <c r="M30" s="191" t="str">
        <f>A30</f>
        <v>Other Assets:</v>
      </c>
      <c r="N30" s="90"/>
      <c r="O30" s="95"/>
      <c r="P30" s="18"/>
      <c r="Q30" s="18"/>
      <c r="R30" s="18"/>
      <c r="S30" s="18"/>
      <c r="T30" s="18"/>
      <c r="U30" s="18"/>
      <c r="V30" s="18"/>
      <c r="W30" s="18"/>
      <c r="X30" s="2"/>
    </row>
    <row r="31" spans="1:24" x14ac:dyDescent="0.2">
      <c r="A31" s="52" t="str">
        <f>Historical!A30</f>
        <v>Regulatory Assets</v>
      </c>
      <c r="B31" s="77">
        <f>Historical!P30</f>
        <v>1574</v>
      </c>
      <c r="C31" s="2">
        <f>Historical!P30</f>
        <v>1574</v>
      </c>
      <c r="D31" s="2">
        <f>(1+Assumptions!$C$28)*Forecast!C31</f>
        <v>1613.3948787080055</v>
      </c>
      <c r="E31" s="2">
        <f>(1+Assumptions!$C$28)*Forecast!D31</f>
        <v>1653.7757526310165</v>
      </c>
      <c r="F31" s="2">
        <f>(1+Assumptions!$C$28)*Forecast!E31</f>
        <v>1695.1672997626174</v>
      </c>
      <c r="G31" s="2">
        <f>(1+Assumptions!$C$28)*Forecast!F31</f>
        <v>1737.5948157498638</v>
      </c>
      <c r="H31" s="2">
        <f>(1+Assumptions!$C$28)*Forecast!G31</f>
        <v>1781.0842293522305</v>
      </c>
      <c r="I31" s="2">
        <f>(1+Assumptions!$C$28)*Forecast!H31</f>
        <v>1825.6621182874737</v>
      </c>
      <c r="J31" s="2">
        <f>(1+Assumptions!$C$28)*Forecast!I31</f>
        <v>1871.3557254740911</v>
      </c>
      <c r="K31" s="5">
        <f>RATE(8,,-B31,J31)</f>
        <v>2.1866008082706802E-2</v>
      </c>
      <c r="L31" s="2"/>
      <c r="M31" s="52" t="str">
        <f t="shared" ref="M31:M38" si="15">A31</f>
        <v>Regulatory Assets</v>
      </c>
      <c r="N31" s="90">
        <f t="shared" ref="N31:V38" si="16">B31/B$38</f>
        <v>7.0687564557416802E-2</v>
      </c>
      <c r="O31" s="95">
        <f t="shared" ca="1" si="16"/>
        <v>6.9332806204373085E-2</v>
      </c>
      <c r="P31" s="18">
        <f t="shared" ca="1" si="16"/>
        <v>7.0524358538463269E-2</v>
      </c>
      <c r="Q31" s="18">
        <f t="shared" ca="1" si="16"/>
        <v>7.1091373744158581E-2</v>
      </c>
      <c r="R31" s="18">
        <f t="shared" ca="1" si="16"/>
        <v>7.0908030298873811E-2</v>
      </c>
      <c r="S31" s="18">
        <f t="shared" ca="1" si="16"/>
        <v>7.1047375048608155E-2</v>
      </c>
      <c r="T31" s="18">
        <f t="shared" ca="1" si="16"/>
        <v>7.1490190078147678E-2</v>
      </c>
      <c r="U31" s="18">
        <f t="shared" ca="1" si="16"/>
        <v>7.1935256445698939E-2</v>
      </c>
      <c r="V31" s="18">
        <f t="shared" ca="1" si="16"/>
        <v>7.2382604707113746E-2</v>
      </c>
      <c r="W31" s="18">
        <f t="shared" ref="W31:W38" ca="1" si="17">SUM(C31:J31)/SUM($C$38:$J$38)</f>
        <v>7.1124381495495617E-2</v>
      </c>
      <c r="X31" s="2"/>
    </row>
    <row r="32" spans="1:24" hidden="1" x14ac:dyDescent="0.2">
      <c r="A32" s="52" t="str">
        <f>Historical!A31</f>
        <v>Intangible Assets-net</v>
      </c>
      <c r="B32" s="77">
        <f>Historical!M31</f>
        <v>0</v>
      </c>
      <c r="C32" s="2">
        <f t="shared" ref="C32:D34" si="18">B32</f>
        <v>0</v>
      </c>
      <c r="D32" s="2">
        <f t="shared" si="18"/>
        <v>0</v>
      </c>
      <c r="E32" s="2">
        <f t="shared" ref="E32:J32" si="19">D32</f>
        <v>0</v>
      </c>
      <c r="F32" s="2">
        <f t="shared" si="19"/>
        <v>0</v>
      </c>
      <c r="G32" s="2">
        <f t="shared" si="19"/>
        <v>0</v>
      </c>
      <c r="H32" s="2">
        <f t="shared" si="19"/>
        <v>0</v>
      </c>
      <c r="I32" s="2">
        <f t="shared" si="19"/>
        <v>0</v>
      </c>
      <c r="J32" s="2">
        <f t="shared" si="19"/>
        <v>0</v>
      </c>
      <c r="K32" s="5"/>
      <c r="L32" s="2"/>
      <c r="M32" s="52" t="str">
        <f t="shared" si="15"/>
        <v>Intangible Assets-net</v>
      </c>
      <c r="N32" s="90">
        <f t="shared" si="16"/>
        <v>0</v>
      </c>
      <c r="O32" s="95">
        <f t="shared" ca="1" si="16"/>
        <v>0</v>
      </c>
      <c r="P32" s="18">
        <f t="shared" ca="1" si="16"/>
        <v>0</v>
      </c>
      <c r="Q32" s="18">
        <f t="shared" ca="1" si="16"/>
        <v>0</v>
      </c>
      <c r="R32" s="18">
        <f t="shared" ca="1" si="16"/>
        <v>0</v>
      </c>
      <c r="S32" s="18">
        <f t="shared" ca="1" si="16"/>
        <v>0</v>
      </c>
      <c r="T32" s="18">
        <f t="shared" ca="1" si="16"/>
        <v>0</v>
      </c>
      <c r="U32" s="18">
        <f t="shared" ca="1" si="16"/>
        <v>0</v>
      </c>
      <c r="V32" s="18">
        <f t="shared" ca="1" si="16"/>
        <v>0</v>
      </c>
      <c r="W32" s="18">
        <f t="shared" ca="1" si="17"/>
        <v>0</v>
      </c>
      <c r="X32" s="2"/>
    </row>
    <row r="33" spans="1:24" x14ac:dyDescent="0.2">
      <c r="A33" s="52" t="str">
        <f>Historical!A32</f>
        <v>Financial Assets/Derivatives</v>
      </c>
      <c r="B33" s="77">
        <f>Historical!P32</f>
        <v>0</v>
      </c>
      <c r="C33" s="2">
        <f ca="1">Assumptions!$C$30*Forecast!C38</f>
        <v>2.2702095676905141</v>
      </c>
      <c r="D33" s="2">
        <f ca="1">Assumptions!$C$30*Forecast!D38</f>
        <v>2.2877129436463806</v>
      </c>
      <c r="E33" s="2">
        <f ca="1">Assumptions!$C$30*Forecast!E38</f>
        <v>2.3262678234107184</v>
      </c>
      <c r="F33" s="2">
        <f ca="1">Assumptions!$C$30*Forecast!F38</f>
        <v>2.3906563087672468</v>
      </c>
      <c r="G33" s="2">
        <f ca="1">Assumptions!$C$30*Forecast!G38</f>
        <v>2.4456847484668667</v>
      </c>
      <c r="H33" s="2">
        <f ca="1">Assumptions!$C$30*Forecast!H38</f>
        <v>2.4913687142323777</v>
      </c>
      <c r="I33" s="2">
        <f ca="1">Assumptions!$C$30*Forecast!I38</f>
        <v>2.5379239728791312</v>
      </c>
      <c r="J33" s="2">
        <f ca="1">Assumptions!$C$30*Forecast!J38</f>
        <v>2.5853666541101616</v>
      </c>
      <c r="K33" s="5"/>
      <c r="L33" s="2"/>
      <c r="M33" s="52" t="str">
        <f t="shared" si="15"/>
        <v>Financial Assets/Derivatives</v>
      </c>
      <c r="N33" s="90">
        <f t="shared" si="16"/>
        <v>0</v>
      </c>
      <c r="O33" s="95">
        <f t="shared" ca="1" si="16"/>
        <v>1E-4</v>
      </c>
      <c r="P33" s="18">
        <f t="shared" ca="1" si="16"/>
        <v>1E-4</v>
      </c>
      <c r="Q33" s="18">
        <f t="shared" ca="1" si="16"/>
        <v>1E-4</v>
      </c>
      <c r="R33" s="18">
        <f t="shared" ca="1" si="16"/>
        <v>1.0000000000000002E-4</v>
      </c>
      <c r="S33" s="18">
        <f t="shared" ca="1" si="16"/>
        <v>1E-4</v>
      </c>
      <c r="T33" s="18">
        <f t="shared" ca="1" si="16"/>
        <v>1E-4</v>
      </c>
      <c r="U33" s="18">
        <f t="shared" ca="1" si="16"/>
        <v>1E-4</v>
      </c>
      <c r="V33" s="18">
        <f t="shared" ca="1" si="16"/>
        <v>1E-4</v>
      </c>
      <c r="W33" s="18">
        <f t="shared" ca="1" si="17"/>
        <v>1E-4</v>
      </c>
      <c r="X33" s="2"/>
    </row>
    <row r="34" spans="1:24" hidden="1" x14ac:dyDescent="0.2">
      <c r="A34" s="52" t="str">
        <f>Historical!A33</f>
        <v>Investments in Affiliates</v>
      </c>
      <c r="B34" s="77">
        <f>Historical!M33</f>
        <v>0</v>
      </c>
      <c r="C34" s="2">
        <f t="shared" si="18"/>
        <v>0</v>
      </c>
      <c r="D34" s="2">
        <f t="shared" si="18"/>
        <v>0</v>
      </c>
      <c r="E34" s="2">
        <f t="shared" ref="E34:J34" si="20">D34</f>
        <v>0</v>
      </c>
      <c r="F34" s="2">
        <f t="shared" si="20"/>
        <v>0</v>
      </c>
      <c r="G34" s="2">
        <f t="shared" si="20"/>
        <v>0</v>
      </c>
      <c r="H34" s="2">
        <f t="shared" si="20"/>
        <v>0</v>
      </c>
      <c r="I34" s="2">
        <f t="shared" si="20"/>
        <v>0</v>
      </c>
      <c r="J34" s="2">
        <f t="shared" si="20"/>
        <v>0</v>
      </c>
      <c r="K34" s="5"/>
      <c r="L34" s="2"/>
      <c r="M34" s="52" t="str">
        <f t="shared" si="15"/>
        <v>Investments in Affiliates</v>
      </c>
      <c r="N34" s="90">
        <f t="shared" si="16"/>
        <v>0</v>
      </c>
      <c r="O34" s="95">
        <f t="shared" ca="1" si="16"/>
        <v>0</v>
      </c>
      <c r="P34" s="18">
        <f t="shared" ca="1" si="16"/>
        <v>0</v>
      </c>
      <c r="Q34" s="18">
        <f t="shared" ca="1" si="16"/>
        <v>0</v>
      </c>
      <c r="R34" s="18">
        <f t="shared" ca="1" si="16"/>
        <v>0</v>
      </c>
      <c r="S34" s="18">
        <f t="shared" ca="1" si="16"/>
        <v>0</v>
      </c>
      <c r="T34" s="18">
        <f t="shared" ca="1" si="16"/>
        <v>0</v>
      </c>
      <c r="U34" s="18">
        <f t="shared" ca="1" si="16"/>
        <v>0</v>
      </c>
      <c r="V34" s="18">
        <f t="shared" ca="1" si="16"/>
        <v>0</v>
      </c>
      <c r="W34" s="18">
        <f t="shared" ca="1" si="17"/>
        <v>0</v>
      </c>
      <c r="X34" s="2"/>
    </row>
    <row r="35" spans="1:24" x14ac:dyDescent="0.2">
      <c r="A35" s="52" t="str">
        <f>Historical!A34</f>
        <v>Deferred Charges and Other</v>
      </c>
      <c r="B35" s="77">
        <f>Historical!P34</f>
        <v>449</v>
      </c>
      <c r="C35" s="3">
        <f ca="1">Assumptions!$C$32*Forecast!C38</f>
        <v>442.69086569965026</v>
      </c>
      <c r="D35" s="3">
        <f ca="1">Assumptions!$C$32*Forecast!D38</f>
        <v>446.1040240110442</v>
      </c>
      <c r="E35" s="3">
        <f ca="1">Assumptions!$C$32*Forecast!E38</f>
        <v>453.62222556509005</v>
      </c>
      <c r="F35" s="3">
        <f ca="1">Assumptions!$C$32*Forecast!F38</f>
        <v>466.17798020961305</v>
      </c>
      <c r="G35" s="3">
        <f ca="1">Assumptions!$C$32*Forecast!G38</f>
        <v>476.908525951039</v>
      </c>
      <c r="H35" s="3">
        <f ca="1">Assumptions!$C$32*Forecast!H38</f>
        <v>485.81689927531363</v>
      </c>
      <c r="I35" s="3">
        <f ca="1">Assumptions!$C$32*Forecast!I38</f>
        <v>494.89517471143057</v>
      </c>
      <c r="J35" s="3">
        <f ca="1">Assumptions!$C$32*Forecast!J38</f>
        <v>504.1464975514815</v>
      </c>
      <c r="K35" s="5">
        <f ca="1">RATE(8,,-B35,J35)</f>
        <v>1.4585851328590726E-2</v>
      </c>
      <c r="L35" s="2"/>
      <c r="M35" s="52" t="str">
        <f t="shared" si="15"/>
        <v>Deferred Charges and Other</v>
      </c>
      <c r="N35" s="90">
        <f t="shared" si="16"/>
        <v>2.0164368796874298E-2</v>
      </c>
      <c r="O35" s="95">
        <f t="shared" ca="1" si="16"/>
        <v>1.95E-2</v>
      </c>
      <c r="P35" s="18">
        <f t="shared" ca="1" si="16"/>
        <v>1.95E-2</v>
      </c>
      <c r="Q35" s="18">
        <f t="shared" ca="1" si="16"/>
        <v>1.95E-2</v>
      </c>
      <c r="R35" s="18">
        <f t="shared" ca="1" si="16"/>
        <v>1.95E-2</v>
      </c>
      <c r="S35" s="18">
        <f t="shared" ca="1" si="16"/>
        <v>1.95E-2</v>
      </c>
      <c r="T35" s="18">
        <f t="shared" ca="1" si="16"/>
        <v>1.95E-2</v>
      </c>
      <c r="U35" s="18">
        <f t="shared" ca="1" si="16"/>
        <v>1.95E-2</v>
      </c>
      <c r="V35" s="18">
        <f t="shared" ca="1" si="16"/>
        <v>1.95E-2</v>
      </c>
      <c r="W35" s="18">
        <f t="shared" ca="1" si="17"/>
        <v>1.9499999999999997E-2</v>
      </c>
      <c r="X35" s="2"/>
    </row>
    <row r="36" spans="1:24" x14ac:dyDescent="0.2">
      <c r="A36" s="191" t="str">
        <f>Historical!A35</f>
        <v>Total Other Assets</v>
      </c>
      <c r="B36" s="261">
        <f>SUM(B31:B35)</f>
        <v>2023</v>
      </c>
      <c r="C36" s="194">
        <f t="shared" ref="C36" ca="1" si="21">SUM(C31:C35)</f>
        <v>2018.9610752673407</v>
      </c>
      <c r="D36" s="194">
        <f t="shared" ref="D36:J36" ca="1" si="22">SUM(D31:D35)</f>
        <v>2061.786615662696</v>
      </c>
      <c r="E36" s="194">
        <f t="shared" ca="1" si="22"/>
        <v>2109.7242460195175</v>
      </c>
      <c r="F36" s="194">
        <f t="shared" ca="1" si="22"/>
        <v>2163.735936280998</v>
      </c>
      <c r="G36" s="194">
        <f t="shared" ca="1" si="22"/>
        <v>2216.9490264493697</v>
      </c>
      <c r="H36" s="194">
        <f t="shared" ca="1" si="22"/>
        <v>2269.3924973417766</v>
      </c>
      <c r="I36" s="194">
        <f t="shared" ca="1" si="22"/>
        <v>2323.0952169717834</v>
      </c>
      <c r="J36" s="194">
        <f t="shared" ca="1" si="22"/>
        <v>2378.0875896796829</v>
      </c>
      <c r="K36" s="199">
        <f ca="1">RATE(8,,-B36,J36)</f>
        <v>2.0420078411861043E-2</v>
      </c>
      <c r="L36" s="2"/>
      <c r="M36" s="191" t="str">
        <f t="shared" si="15"/>
        <v>Total Other Assets</v>
      </c>
      <c r="N36" s="91">
        <f t="shared" si="16"/>
        <v>9.0851933354291106E-2</v>
      </c>
      <c r="O36" s="96">
        <f t="shared" ca="1" si="16"/>
        <v>8.8932806204373077E-2</v>
      </c>
      <c r="P36" s="97">
        <f t="shared" ca="1" si="16"/>
        <v>9.0124358538463262E-2</v>
      </c>
      <c r="Q36" s="97">
        <f t="shared" ca="1" si="16"/>
        <v>9.0691373744158588E-2</v>
      </c>
      <c r="R36" s="97">
        <f t="shared" ca="1" si="16"/>
        <v>9.0508030298873818E-2</v>
      </c>
      <c r="S36" s="97">
        <f t="shared" ca="1" si="16"/>
        <v>9.0647375048608161E-2</v>
      </c>
      <c r="T36" s="97">
        <f t="shared" ca="1" si="16"/>
        <v>9.1090190078147684E-2</v>
      </c>
      <c r="U36" s="97">
        <f t="shared" ca="1" si="16"/>
        <v>9.1535256445698931E-2</v>
      </c>
      <c r="V36" s="97">
        <f t="shared" ca="1" si="16"/>
        <v>9.1982604707113752E-2</v>
      </c>
      <c r="W36" s="97">
        <f t="shared" ca="1" si="17"/>
        <v>9.072438149549561E-2</v>
      </c>
      <c r="X36" s="2"/>
    </row>
    <row r="37" spans="1:24" x14ac:dyDescent="0.2">
      <c r="A37" s="52" t="str">
        <f>Historical!A36</f>
        <v>Total Non-Current Assets</v>
      </c>
      <c r="B37" s="85">
        <f>B28+B36</f>
        <v>20742</v>
      </c>
      <c r="C37" s="3">
        <f ca="1">C28+C36</f>
        <v>21086.550141617485</v>
      </c>
      <c r="D37" s="3">
        <f t="shared" ref="D37:J37" ca="1" si="23">D28+D36</f>
        <v>21223.313545827816</v>
      </c>
      <c r="E37" s="3">
        <f t="shared" ca="1" si="23"/>
        <v>21569.676342807885</v>
      </c>
      <c r="F37" s="3">
        <f t="shared" ca="1" si="23"/>
        <v>22173.437456147334</v>
      </c>
      <c r="G37" s="3">
        <f t="shared" ca="1" si="23"/>
        <v>22682.637742169838</v>
      </c>
      <c r="H37" s="3">
        <f t="shared" ca="1" si="23"/>
        <v>23097.409736854443</v>
      </c>
      <c r="I37" s="3">
        <f t="shared" ca="1" si="23"/>
        <v>23519.887363593883</v>
      </c>
      <c r="J37" s="3">
        <f t="shared" ca="1" si="23"/>
        <v>23950.207597367298</v>
      </c>
      <c r="K37" s="17">
        <f ca="1">RATE(8,,-B37,J37)</f>
        <v>1.8139604930658006E-2</v>
      </c>
      <c r="L37" s="2"/>
      <c r="M37" s="52" t="str">
        <f t="shared" si="15"/>
        <v>Total Non-Current Assets</v>
      </c>
      <c r="N37" s="91">
        <f t="shared" si="16"/>
        <v>0.93151300130237569</v>
      </c>
      <c r="O37" s="93">
        <f t="shared" ca="1" si="16"/>
        <v>0.92883716295270702</v>
      </c>
      <c r="P37" s="17">
        <f t="shared" ca="1" si="16"/>
        <v>0.92770876716726636</v>
      </c>
      <c r="Q37" s="17">
        <f t="shared" ca="1" si="16"/>
        <v>0.92722240000650236</v>
      </c>
      <c r="R37" s="17">
        <f t="shared" ca="1" si="16"/>
        <v>0.92750419099687209</v>
      </c>
      <c r="S37" s="17">
        <f t="shared" ca="1" si="16"/>
        <v>0.92745550122062825</v>
      </c>
      <c r="T37" s="17">
        <f t="shared" ca="1" si="16"/>
        <v>0.92709720584137012</v>
      </c>
      <c r="U37" s="17">
        <f t="shared" ca="1" si="16"/>
        <v>0.92673727089278812</v>
      </c>
      <c r="V37" s="17">
        <f t="shared" ca="1" si="16"/>
        <v>0.92637566742387434</v>
      </c>
      <c r="W37" s="17">
        <f t="shared" ca="1" si="17"/>
        <v>0.92734083878716178</v>
      </c>
      <c r="X37"/>
    </row>
    <row r="38" spans="1:24" ht="13.5" thickBot="1" x14ac:dyDescent="0.25">
      <c r="A38" s="191" t="str">
        <f>Historical!A37</f>
        <v>Total Assets</v>
      </c>
      <c r="B38" s="261">
        <f t="shared" ref="B38" si="24">B37+B17</f>
        <v>22267</v>
      </c>
      <c r="C38" s="264">
        <f ca="1">C37+C17</f>
        <v>22702.095676905141</v>
      </c>
      <c r="D38" s="264">
        <f t="shared" ref="D38:J38" ca="1" si="25">D37+D17</f>
        <v>22877.129436463805</v>
      </c>
      <c r="E38" s="264">
        <f t="shared" ca="1" si="25"/>
        <v>23262.678234107181</v>
      </c>
      <c r="F38" s="264">
        <f t="shared" ca="1" si="25"/>
        <v>23906.563087672464</v>
      </c>
      <c r="G38" s="264">
        <f t="shared" ca="1" si="25"/>
        <v>24456.847484668666</v>
      </c>
      <c r="H38" s="264">
        <f t="shared" ca="1" si="25"/>
        <v>24913.687142323775</v>
      </c>
      <c r="I38" s="264">
        <f t="shared" ca="1" si="25"/>
        <v>25379.239728791312</v>
      </c>
      <c r="J38" s="264">
        <f t="shared" ca="1" si="25"/>
        <v>25853.666541101615</v>
      </c>
      <c r="K38" s="199">
        <f ca="1">RATE(8,,-B38,J38)</f>
        <v>1.8843676281309178E-2</v>
      </c>
      <c r="L38" s="2"/>
      <c r="M38" s="191" t="str">
        <f t="shared" si="15"/>
        <v>Total Assets</v>
      </c>
      <c r="N38" s="91">
        <f t="shared" si="16"/>
        <v>1</v>
      </c>
      <c r="O38" s="93">
        <f t="shared" ca="1" si="16"/>
        <v>1</v>
      </c>
      <c r="P38" s="17">
        <f t="shared" ca="1" si="16"/>
        <v>1</v>
      </c>
      <c r="Q38" s="17">
        <f t="shared" ca="1" si="16"/>
        <v>1</v>
      </c>
      <c r="R38" s="17">
        <f t="shared" ca="1" si="16"/>
        <v>1</v>
      </c>
      <c r="S38" s="17">
        <f t="shared" ca="1" si="16"/>
        <v>1</v>
      </c>
      <c r="T38" s="17">
        <f t="shared" ca="1" si="16"/>
        <v>1</v>
      </c>
      <c r="U38" s="17">
        <f t="shared" ca="1" si="16"/>
        <v>1</v>
      </c>
      <c r="V38" s="17">
        <f t="shared" ca="1" si="16"/>
        <v>1</v>
      </c>
      <c r="W38" s="17">
        <f t="shared" ca="1" si="17"/>
        <v>1</v>
      </c>
      <c r="X38" s="2"/>
    </row>
    <row r="39" spans="1:24" ht="13.5" thickTop="1" x14ac:dyDescent="0.2">
      <c r="B39" s="86"/>
      <c r="C39" s="2"/>
      <c r="D39" s="2"/>
      <c r="E39" s="2"/>
      <c r="F39" s="2"/>
      <c r="G39" s="2"/>
      <c r="H39" s="2"/>
      <c r="I39" s="2"/>
      <c r="J39" s="2"/>
      <c r="K39" s="71"/>
      <c r="L39" s="2"/>
      <c r="N39" s="92"/>
      <c r="O39" s="94"/>
      <c r="P39" s="71"/>
      <c r="Q39" s="71"/>
      <c r="R39" s="71"/>
      <c r="S39" s="71"/>
      <c r="T39" s="71"/>
      <c r="U39" s="71"/>
      <c r="V39" s="71"/>
      <c r="W39" s="71"/>
      <c r="X39" s="2"/>
    </row>
    <row r="40" spans="1:24" ht="12.75" customHeight="1" x14ac:dyDescent="0.2">
      <c r="B40" s="77"/>
      <c r="C40" s="2"/>
      <c r="D40" s="2"/>
      <c r="E40" s="2"/>
      <c r="F40" s="2"/>
      <c r="G40" s="2"/>
      <c r="H40" s="2"/>
      <c r="I40" s="2"/>
      <c r="J40" s="2"/>
      <c r="K40" s="18"/>
      <c r="L40" s="2"/>
      <c r="N40" s="90"/>
      <c r="O40" s="18"/>
      <c r="P40" s="18"/>
      <c r="Q40" s="18"/>
      <c r="R40" s="18"/>
      <c r="S40" s="18"/>
      <c r="T40" s="18"/>
      <c r="U40" s="18"/>
      <c r="V40" s="18"/>
      <c r="W40" s="18"/>
      <c r="X40" s="2"/>
    </row>
    <row r="41" spans="1:24" ht="12.75" customHeight="1" x14ac:dyDescent="0.2">
      <c r="A41" s="191" t="str">
        <f>Historical!A40</f>
        <v>Current Liabilities:</v>
      </c>
      <c r="B41" s="77"/>
      <c r="C41" s="2"/>
      <c r="D41" s="2"/>
      <c r="E41" s="2"/>
      <c r="F41" s="2"/>
      <c r="G41" s="2"/>
      <c r="H41" s="2"/>
      <c r="I41" s="2"/>
      <c r="J41" s="2"/>
      <c r="K41" s="5"/>
      <c r="L41" s="2"/>
      <c r="M41" s="191" t="str">
        <f t="shared" ref="M41:M48" si="26">A41</f>
        <v>Current Liabilities:</v>
      </c>
      <c r="N41" s="90"/>
      <c r="O41" s="5"/>
      <c r="P41" s="5"/>
      <c r="Q41" s="5"/>
      <c r="R41" s="5"/>
      <c r="S41" s="5"/>
      <c r="T41" s="5"/>
      <c r="U41" s="5"/>
      <c r="V41" s="5"/>
      <c r="W41" s="5"/>
      <c r="X41" s="2"/>
    </row>
    <row r="42" spans="1:24" ht="12.75" customHeight="1" x14ac:dyDescent="0.2">
      <c r="A42" s="52" t="str">
        <f>Historical!A41</f>
        <v>Current Maturities LTD</v>
      </c>
      <c r="B42" s="77">
        <f>Historical!P41</f>
        <v>134</v>
      </c>
      <c r="C42" s="2">
        <f>Assumptions!$C$38*(Forecast!C50)</f>
        <v>233.43225612382571</v>
      </c>
      <c r="D42" s="2">
        <f>Assumptions!$C$38*(Forecast!D50)</f>
        <v>225.55675125331561</v>
      </c>
      <c r="E42" s="2">
        <f>Assumptions!$C$38*(Forecast!E50)</f>
        <v>217.94694906672478</v>
      </c>
      <c r="F42" s="2">
        <f>Assumptions!$C$38*(Forecast!F50)</f>
        <v>210.59388532399458</v>
      </c>
      <c r="G42" s="2">
        <f>Assumptions!$C$38*(Forecast!G50)</f>
        <v>203.48889821934617</v>
      </c>
      <c r="H42" s="2">
        <f>Assumptions!$C$38*(Forecast!H50)</f>
        <v>196.62361817779487</v>
      </c>
      <c r="I42" s="2">
        <f>Assumptions!$C$38*(Forecast!I50)</f>
        <v>189.98995799590841</v>
      </c>
      <c r="J42" s="2">
        <f>Assumptions!$C$38*(Forecast!J50)</f>
        <v>183.58010331519506</v>
      </c>
      <c r="K42" s="5">
        <f t="shared" ref="K42:K48" si="27">RATE(8,,-B42,J42)</f>
        <v>4.0135936544439088E-2</v>
      </c>
      <c r="L42" s="2"/>
      <c r="M42" s="52" t="str">
        <f t="shared" si="26"/>
        <v>Current Maturities LTD</v>
      </c>
      <c r="N42" s="90">
        <f t="shared" ref="N42:V48" si="28">B42/B$38</f>
        <v>6.0178739839223967E-3</v>
      </c>
      <c r="O42" s="95">
        <f t="shared" ca="1" si="28"/>
        <v>1.0282410022670132E-2</v>
      </c>
      <c r="P42" s="18">
        <f t="shared" ca="1" si="28"/>
        <v>9.8594866055966447E-3</v>
      </c>
      <c r="Q42" s="18">
        <f t="shared" ca="1" si="28"/>
        <v>9.3689534314744631E-3</v>
      </c>
      <c r="R42" s="18">
        <f t="shared" ca="1" si="28"/>
        <v>8.8090406200039828E-3</v>
      </c>
      <c r="S42" s="18">
        <f t="shared" ca="1" si="28"/>
        <v>8.3203241279117372E-3</v>
      </c>
      <c r="T42" s="18">
        <f t="shared" ca="1" si="28"/>
        <v>7.8921926350984592E-3</v>
      </c>
      <c r="U42" s="18">
        <f t="shared" ca="1" si="28"/>
        <v>7.486038196028999E-3</v>
      </c>
      <c r="V42" s="18">
        <f t="shared" ca="1" si="28"/>
        <v>7.1007376467605967E-3</v>
      </c>
      <c r="W42" s="18">
        <f t="shared" ref="W42:W48" ca="1" si="29">SUM(C42:J42)/SUM($C$38:$J$38)</f>
        <v>8.5916526110258896E-3</v>
      </c>
      <c r="X42" s="2"/>
    </row>
    <row r="43" spans="1:24" ht="12.75" customHeight="1" x14ac:dyDescent="0.2">
      <c r="A43" s="52" t="str">
        <f>Historical!A42</f>
        <v>Short-term Debt</v>
      </c>
      <c r="B43" s="77">
        <f>Historical!P42</f>
        <v>20</v>
      </c>
      <c r="C43" s="2">
        <v>0</v>
      </c>
      <c r="D43" s="2">
        <f ca="1">D38*Assumptions!$C$39</f>
        <v>134.52709536221764</v>
      </c>
      <c r="E43" s="2">
        <f ca="1">E38*Assumptions!$C$39</f>
        <v>136.79428364785491</v>
      </c>
      <c r="F43" s="2">
        <f ca="1">F38*Assumptions!$C$39</f>
        <v>140.58059605817863</v>
      </c>
      <c r="G43" s="2">
        <f ca="1">G38*Assumptions!$C$39</f>
        <v>143.81649861127843</v>
      </c>
      <c r="H43" s="2">
        <f ca="1">H38*Assumptions!$C$39</f>
        <v>146.50290698962399</v>
      </c>
      <c r="I43" s="2">
        <f ca="1">I38*Assumptions!$C$39</f>
        <v>149.24055103582239</v>
      </c>
      <c r="J43" s="2">
        <f ca="1">J38*Assumptions!$C$39</f>
        <v>152.03037924391623</v>
      </c>
      <c r="K43" s="5"/>
      <c r="L43" s="2"/>
      <c r="M43" s="52" t="str">
        <f t="shared" si="26"/>
        <v>Short-term Debt</v>
      </c>
      <c r="N43" s="90">
        <f t="shared" si="28"/>
        <v>8.9819014685408899E-4</v>
      </c>
      <c r="O43" s="95">
        <f t="shared" ca="1" si="28"/>
        <v>0</v>
      </c>
      <c r="P43" s="18">
        <f t="shared" ca="1" si="28"/>
        <v>5.8804185086173966E-3</v>
      </c>
      <c r="Q43" s="18">
        <f t="shared" ca="1" si="28"/>
        <v>5.8804185086173957E-3</v>
      </c>
      <c r="R43" s="18">
        <f t="shared" ca="1" si="28"/>
        <v>5.8804185086173974E-3</v>
      </c>
      <c r="S43" s="18">
        <f t="shared" ca="1" si="28"/>
        <v>5.8804185086173966E-3</v>
      </c>
      <c r="T43" s="18">
        <f t="shared" ca="1" si="28"/>
        <v>5.8804185086173974E-3</v>
      </c>
      <c r="U43" s="18">
        <f t="shared" ca="1" si="28"/>
        <v>5.8804185086173966E-3</v>
      </c>
      <c r="V43" s="18">
        <f t="shared" ca="1" si="28"/>
        <v>5.8804185086173957E-3</v>
      </c>
      <c r="W43" s="18">
        <f t="shared" ca="1" si="29"/>
        <v>5.1899788566638896E-3</v>
      </c>
      <c r="X43" s="2"/>
    </row>
    <row r="44" spans="1:24" ht="12.75" customHeight="1" x14ac:dyDescent="0.2">
      <c r="A44" s="52" t="str">
        <f>Historical!A43</f>
        <v>Accounts Payable</v>
      </c>
      <c r="B44" s="77">
        <f>Historical!P43</f>
        <v>465</v>
      </c>
      <c r="C44" s="2">
        <f>Assumptions!$C$40*Forecast!C80</f>
        <v>506.25304007017883</v>
      </c>
      <c r="D44" s="2">
        <f>Assumptions!$C$40*Forecast!D80</f>
        <v>518.92380062235407</v>
      </c>
      <c r="E44" s="2">
        <f>Assumptions!$C$40*Forecast!E80</f>
        <v>531.91169146365962</v>
      </c>
      <c r="F44" s="2">
        <f>Assumptions!$C$40*Forecast!F80</f>
        <v>545.22464989350772</v>
      </c>
      <c r="G44" s="2">
        <f>Assumptions!$C$40*Forecast!G80</f>
        <v>558.87081187010858</v>
      </c>
      <c r="H44" s="2">
        <f>Assumptions!$C$40*Forecast!H80</f>
        <v>572.85851698260387</v>
      </c>
      <c r="I44" s="2">
        <f>Assumptions!$C$40*Forecast!I80</f>
        <v>587.19631354764681</v>
      </c>
      <c r="J44" s="2">
        <f>Assumptions!$C$40*Forecast!J80</f>
        <v>601.8929638335411</v>
      </c>
      <c r="K44" s="5">
        <f t="shared" si="27"/>
        <v>3.2781117821955544E-2</v>
      </c>
      <c r="L44" s="2"/>
      <c r="M44" s="52" t="str">
        <f t="shared" si="26"/>
        <v>Accounts Payable</v>
      </c>
      <c r="N44" s="90">
        <f t="shared" si="28"/>
        <v>2.0882920914357568E-2</v>
      </c>
      <c r="O44" s="95">
        <f t="shared" ca="1" si="28"/>
        <v>2.2299837304676256E-2</v>
      </c>
      <c r="P44" s="18">
        <f t="shared" ca="1" si="28"/>
        <v>2.2683081899044666E-2</v>
      </c>
      <c r="Q44" s="18">
        <f t="shared" ca="1" si="28"/>
        <v>2.2865453672646491E-2</v>
      </c>
      <c r="R44" s="18">
        <f t="shared" ca="1" si="28"/>
        <v>2.2806484056031268E-2</v>
      </c>
      <c r="S44" s="18">
        <f t="shared" ca="1" si="28"/>
        <v>2.2851302164780214E-2</v>
      </c>
      <c r="T44" s="18">
        <f t="shared" ca="1" si="28"/>
        <v>2.299372685022694E-2</v>
      </c>
      <c r="U44" s="18">
        <f t="shared" ca="1" si="28"/>
        <v>2.3136875644131524E-2</v>
      </c>
      <c r="V44" s="18">
        <f t="shared" ca="1" si="28"/>
        <v>2.3280758374316632E-2</v>
      </c>
      <c r="W44" s="18">
        <f t="shared" ca="1" si="29"/>
        <v>2.2876070111312468E-2</v>
      </c>
      <c r="X44" s="2"/>
    </row>
    <row r="45" spans="1:24" x14ac:dyDescent="0.2">
      <c r="A45" s="52" t="str">
        <f>Historical!A44</f>
        <v>Accrued Expenses</v>
      </c>
      <c r="B45" s="77">
        <f>Historical!P44</f>
        <v>245</v>
      </c>
      <c r="C45" s="2">
        <f ca="1">Assumptions!$C$41*Forecast!C38</f>
        <v>269.21006298668613</v>
      </c>
      <c r="D45" s="2">
        <f ca="1">Assumptions!$C$41*Forecast!D38</f>
        <v>271.28567970975013</v>
      </c>
      <c r="E45" s="2">
        <f ca="1">Assumptions!$C$41*Forecast!E38</f>
        <v>275.85766361710387</v>
      </c>
      <c r="F45" s="2">
        <f ca="1">Assumptions!$C$41*Forecast!F38</f>
        <v>283.49309448002731</v>
      </c>
      <c r="G45" s="2">
        <f ca="1">Assumptions!$C$41*Forecast!G38</f>
        <v>290.0185756199312</v>
      </c>
      <c r="H45" s="2">
        <f ca="1">Assumptions!$C$41*Forecast!H38</f>
        <v>295.43595359077915</v>
      </c>
      <c r="I45" s="2">
        <f ca="1">Assumptions!$C$41*Forecast!I38</f>
        <v>300.9566527768917</v>
      </c>
      <c r="J45" s="2">
        <f ca="1">Assumptions!$C$41*Forecast!J38</f>
        <v>306.58258589964566</v>
      </c>
      <c r="K45" s="5">
        <f t="shared" ca="1" si="27"/>
        <v>2.8425117118667971E-2</v>
      </c>
      <c r="L45" s="2"/>
      <c r="M45" s="52" t="str">
        <f t="shared" si="26"/>
        <v>Accrued Expenses</v>
      </c>
      <c r="N45" s="90">
        <f t="shared" si="28"/>
        <v>1.1002829298962591E-2</v>
      </c>
      <c r="O45" s="95">
        <f t="shared" ca="1" si="28"/>
        <v>1.1858379368057802E-2</v>
      </c>
      <c r="P45" s="18">
        <f t="shared" ca="1" si="28"/>
        <v>1.1858379368057798E-2</v>
      </c>
      <c r="Q45" s="18">
        <f t="shared" ca="1" si="28"/>
        <v>1.18583793680578E-2</v>
      </c>
      <c r="R45" s="18">
        <f t="shared" ca="1" si="28"/>
        <v>1.18583793680578E-2</v>
      </c>
      <c r="S45" s="18">
        <f t="shared" ca="1" si="28"/>
        <v>1.18583793680578E-2</v>
      </c>
      <c r="T45" s="18">
        <f t="shared" ca="1" si="28"/>
        <v>1.18583793680578E-2</v>
      </c>
      <c r="U45" s="18">
        <f t="shared" ca="1" si="28"/>
        <v>1.1858379368057798E-2</v>
      </c>
      <c r="V45" s="18">
        <f t="shared" ca="1" si="28"/>
        <v>1.18583793680578E-2</v>
      </c>
      <c r="W45" s="18">
        <f t="shared" ca="1" si="29"/>
        <v>1.1858379368057798E-2</v>
      </c>
      <c r="X45" s="2"/>
    </row>
    <row r="46" spans="1:24" x14ac:dyDescent="0.2">
      <c r="A46" s="52" t="str">
        <f>Historical!A45</f>
        <v>Derivative Contacts</v>
      </c>
      <c r="B46" s="77">
        <f>Historical!P45</f>
        <v>0</v>
      </c>
      <c r="C46" s="2">
        <f>Assumptions!$C$42*Forecast!C80</f>
        <v>14.120180997622258</v>
      </c>
      <c r="D46" s="2">
        <f>Assumptions!$C$42*Forecast!D80</f>
        <v>14.473588124519599</v>
      </c>
      <c r="E46" s="2">
        <f>Assumptions!$C$42*Forecast!E80</f>
        <v>14.835840506117492</v>
      </c>
      <c r="F46" s="2">
        <f>Assumptions!$C$42*Forecast!F80</f>
        <v>15.207159525983956</v>
      </c>
      <c r="G46" s="2">
        <f>Assumptions!$C$42*Forecast!G80</f>
        <v>15.587772108588423</v>
      </c>
      <c r="H46" s="2">
        <f>Assumptions!$C$42*Forecast!H80</f>
        <v>15.977910857982245</v>
      </c>
      <c r="I46" s="2">
        <f>Assumptions!$C$42*Forecast!I80</f>
        <v>16.377814199950183</v>
      </c>
      <c r="J46" s="2">
        <f>Assumptions!$C$42*Forecast!J80</f>
        <v>16.787726527719744</v>
      </c>
      <c r="K46" s="5"/>
      <c r="L46" s="2"/>
      <c r="M46" s="52" t="str">
        <f t="shared" si="26"/>
        <v>Derivative Contacts</v>
      </c>
      <c r="N46" s="90">
        <f t="shared" si="28"/>
        <v>0</v>
      </c>
      <c r="O46" s="95">
        <f t="shared" ca="1" si="28"/>
        <v>6.2197698391284334E-4</v>
      </c>
      <c r="P46" s="18">
        <f t="shared" ca="1" si="28"/>
        <v>6.3266626893539277E-4</v>
      </c>
      <c r="Q46" s="18">
        <f t="shared" ca="1" si="28"/>
        <v>6.3775290002358962E-4</v>
      </c>
      <c r="R46" s="18">
        <f t="shared" ca="1" si="28"/>
        <v>6.3610814612768832E-4</v>
      </c>
      <c r="S46" s="18">
        <f t="shared" ca="1" si="28"/>
        <v>6.373581925618163E-4</v>
      </c>
      <c r="T46" s="18">
        <f t="shared" ca="1" si="28"/>
        <v>6.4133063752087947E-4</v>
      </c>
      <c r="U46" s="18">
        <f t="shared" ca="1" si="28"/>
        <v>6.4532327898579557E-4</v>
      </c>
      <c r="V46" s="18">
        <f t="shared" ca="1" si="28"/>
        <v>6.4933639106975289E-4</v>
      </c>
      <c r="W46" s="18">
        <f t="shared" ca="1" si="29"/>
        <v>6.3804900893286737E-4</v>
      </c>
      <c r="X46" s="2"/>
    </row>
    <row r="47" spans="1:24" x14ac:dyDescent="0.2">
      <c r="A47" s="52" t="str">
        <f>Historical!A46</f>
        <v xml:space="preserve">Other </v>
      </c>
      <c r="B47" s="77">
        <f>Historical!P46</f>
        <v>256</v>
      </c>
      <c r="C47" s="3">
        <f ca="1">Assumptions!$C$43*Forecast!C38</f>
        <v>211.41748167942882</v>
      </c>
      <c r="D47" s="3">
        <f ca="1">Assumptions!$C$43*Forecast!D38</f>
        <v>213.04751606838704</v>
      </c>
      <c r="E47" s="3">
        <f ca="1">Assumptions!$C$43*Forecast!E38</f>
        <v>216.63801084130867</v>
      </c>
      <c r="F47" s="3">
        <f ca="1">Assumptions!$C$43*Forecast!F38</f>
        <v>222.63430810697403</v>
      </c>
      <c r="G47" s="3">
        <f ca="1">Assumptions!$C$43*Forecast!G38</f>
        <v>227.75893373960992</v>
      </c>
      <c r="H47" s="3">
        <f ca="1">Assumptions!$C$43*Forecast!H38</f>
        <v>232.01333788481799</v>
      </c>
      <c r="I47" s="3">
        <f ca="1">Assumptions!$C$43*Forecast!I38</f>
        <v>236.34888279754779</v>
      </c>
      <c r="J47" s="3">
        <f ca="1">Assumptions!$C$43*Forecast!J38</f>
        <v>240.76707058634653</v>
      </c>
      <c r="K47" s="5">
        <f t="shared" ca="1" si="27"/>
        <v>-7.6391088619928195E-3</v>
      </c>
      <c r="L47" s="2"/>
      <c r="M47" s="52" t="str">
        <f t="shared" si="26"/>
        <v xml:space="preserve">Other </v>
      </c>
      <c r="N47" s="90">
        <f t="shared" si="28"/>
        <v>1.1496833879732339E-2</v>
      </c>
      <c r="O47" s="95">
        <f t="shared" ca="1" si="28"/>
        <v>9.3126856959951931E-3</v>
      </c>
      <c r="P47" s="18">
        <f t="shared" ca="1" si="28"/>
        <v>9.3126856959951931E-3</v>
      </c>
      <c r="Q47" s="18">
        <f t="shared" ca="1" si="28"/>
        <v>9.3126856959951931E-3</v>
      </c>
      <c r="R47" s="18">
        <f t="shared" ca="1" si="28"/>
        <v>9.3126856959951931E-3</v>
      </c>
      <c r="S47" s="18">
        <f t="shared" ca="1" si="28"/>
        <v>9.3126856959951931E-3</v>
      </c>
      <c r="T47" s="18">
        <f t="shared" ca="1" si="28"/>
        <v>9.3126856959951931E-3</v>
      </c>
      <c r="U47" s="18">
        <f t="shared" ca="1" si="28"/>
        <v>9.3126856959951931E-3</v>
      </c>
      <c r="V47" s="18">
        <f t="shared" ca="1" si="28"/>
        <v>9.3126856959951931E-3</v>
      </c>
      <c r="W47" s="18">
        <f t="shared" ca="1" si="29"/>
        <v>9.3126856959951931E-3</v>
      </c>
      <c r="X47" s="2"/>
    </row>
    <row r="48" spans="1:24" x14ac:dyDescent="0.2">
      <c r="A48" s="191" t="str">
        <f>Historical!A47</f>
        <v>Total Current Liabilities</v>
      </c>
      <c r="B48" s="261">
        <f>SUM(B42:B47)</f>
        <v>1120</v>
      </c>
      <c r="C48" s="191">
        <f t="shared" ref="C48:J48" ca="1" si="30">SUM(C41:C47)</f>
        <v>1234.4330218577418</v>
      </c>
      <c r="D48" s="191">
        <f t="shared" ca="1" si="30"/>
        <v>1377.8144311405442</v>
      </c>
      <c r="E48" s="191">
        <f t="shared" ca="1" si="30"/>
        <v>1393.9844391427694</v>
      </c>
      <c r="F48" s="191">
        <f t="shared" ca="1" si="30"/>
        <v>1417.7336933886663</v>
      </c>
      <c r="G48" s="191">
        <f t="shared" ca="1" si="30"/>
        <v>1439.5414901688628</v>
      </c>
      <c r="H48" s="191">
        <f t="shared" ca="1" si="30"/>
        <v>1459.4122444836023</v>
      </c>
      <c r="I48" s="191">
        <f t="shared" ca="1" si="30"/>
        <v>1480.110172353767</v>
      </c>
      <c r="J48" s="191">
        <f t="shared" ca="1" si="30"/>
        <v>1501.6408294063644</v>
      </c>
      <c r="K48" s="199">
        <f t="shared" ca="1" si="27"/>
        <v>3.7333744380658181E-2</v>
      </c>
      <c r="L48" s="2"/>
      <c r="M48" s="191" t="str">
        <f t="shared" si="26"/>
        <v>Total Current Liabilities</v>
      </c>
      <c r="N48" s="91">
        <f t="shared" si="28"/>
        <v>5.0298648223828984E-2</v>
      </c>
      <c r="O48" s="93">
        <f t="shared" ca="1" si="28"/>
        <v>5.4375289375312226E-2</v>
      </c>
      <c r="P48" s="17">
        <f t="shared" ca="1" si="28"/>
        <v>6.0226718346247099E-2</v>
      </c>
      <c r="Q48" s="17">
        <f t="shared" ca="1" si="28"/>
        <v>5.9923643576814935E-2</v>
      </c>
      <c r="R48" s="17">
        <f t="shared" ca="1" si="28"/>
        <v>5.9303116394833336E-2</v>
      </c>
      <c r="S48" s="17">
        <f t="shared" ca="1" si="28"/>
        <v>5.8860468057924158E-2</v>
      </c>
      <c r="T48" s="17">
        <f t="shared" ca="1" si="28"/>
        <v>5.8578733695516673E-2</v>
      </c>
      <c r="U48" s="17">
        <f t="shared" ca="1" si="28"/>
        <v>5.8319720691816693E-2</v>
      </c>
      <c r="V48" s="17">
        <f t="shared" ca="1" si="28"/>
        <v>5.8082315984817376E-2</v>
      </c>
      <c r="W48" s="17">
        <f t="shared" ca="1" si="29"/>
        <v>5.8466815651988108E-2</v>
      </c>
      <c r="X48" s="2"/>
    </row>
    <row r="49" spans="1:24" x14ac:dyDescent="0.2">
      <c r="B49" s="77"/>
      <c r="C49" s="2"/>
      <c r="D49" s="2"/>
      <c r="E49" s="2"/>
      <c r="F49" s="2"/>
      <c r="G49" s="2"/>
      <c r="H49" s="2"/>
      <c r="I49" s="2"/>
      <c r="J49" s="2"/>
      <c r="K49" s="5"/>
      <c r="L49" s="2"/>
      <c r="N49" s="90"/>
      <c r="O49" s="95"/>
      <c r="P49" s="18"/>
      <c r="Q49" s="18"/>
      <c r="R49" s="18"/>
      <c r="S49" s="18"/>
      <c r="T49" s="18"/>
      <c r="U49" s="18"/>
      <c r="V49" s="18"/>
      <c r="W49" s="18"/>
      <c r="X49" s="2"/>
    </row>
    <row r="50" spans="1:24" x14ac:dyDescent="0.2">
      <c r="A50" s="191" t="str">
        <f>Historical!A49</f>
        <v>Long-Term Debt</v>
      </c>
      <c r="B50" s="77">
        <f>Historical!P49</f>
        <v>6919</v>
      </c>
      <c r="C50" s="2">
        <f>Historical!P49</f>
        <v>6919</v>
      </c>
      <c r="D50" s="2">
        <f t="shared" ref="D50:J50" si="31">C50-C42</f>
        <v>6685.5677438761741</v>
      </c>
      <c r="E50" s="2">
        <f t="shared" si="31"/>
        <v>6460.0109926228588</v>
      </c>
      <c r="F50" s="2">
        <f t="shared" si="31"/>
        <v>6242.0640435561336</v>
      </c>
      <c r="G50" s="2">
        <f t="shared" si="31"/>
        <v>6031.4701582321386</v>
      </c>
      <c r="H50" s="2">
        <f t="shared" si="31"/>
        <v>5827.9812600127925</v>
      </c>
      <c r="I50" s="2">
        <f t="shared" si="31"/>
        <v>5631.3576418349976</v>
      </c>
      <c r="J50" s="2">
        <f t="shared" si="31"/>
        <v>5441.3676838390893</v>
      </c>
      <c r="K50" s="5">
        <f>RATE(8,,-B50,J50)</f>
        <v>-2.9583677487132733E-2</v>
      </c>
      <c r="L50" s="2"/>
      <c r="M50" s="52" t="str">
        <f>A50</f>
        <v>Long-Term Debt</v>
      </c>
      <c r="N50" s="90">
        <f t="shared" ref="N50:V52" si="32">B50/B$38</f>
        <v>0.31072888130417209</v>
      </c>
      <c r="O50" s="95">
        <f t="shared" ca="1" si="32"/>
        <v>0.30477362524018892</v>
      </c>
      <c r="P50" s="18">
        <f t="shared" ca="1" si="32"/>
        <v>0.29223805208795395</v>
      </c>
      <c r="Q50" s="18">
        <f t="shared" ca="1" si="32"/>
        <v>0.27769850606244234</v>
      </c>
      <c r="R50" s="18">
        <f t="shared" ca="1" si="32"/>
        <v>0.26110252739654094</v>
      </c>
      <c r="S50" s="18">
        <f t="shared" ca="1" si="32"/>
        <v>0.24661682835504878</v>
      </c>
      <c r="T50" s="18">
        <f t="shared" ca="1" si="32"/>
        <v>0.23392688632234301</v>
      </c>
      <c r="U50" s="18">
        <f t="shared" ca="1" si="32"/>
        <v>0.22188835055789874</v>
      </c>
      <c r="V50" s="18">
        <f t="shared" ca="1" si="32"/>
        <v>0.21046793015561324</v>
      </c>
      <c r="W50" s="18">
        <f ca="1">SUM(C50:J50)/SUM($C$38:$J$38)</f>
        <v>0.25465908355079592</v>
      </c>
      <c r="X50" s="2"/>
    </row>
    <row r="51" spans="1:24" x14ac:dyDescent="0.2">
      <c r="A51" s="52" t="str">
        <f>Historical!A50</f>
        <v>Deferred Income Taxes</v>
      </c>
      <c r="B51" s="77">
        <f>Historical!P50</f>
        <v>4609</v>
      </c>
      <c r="C51" s="2">
        <f>C28*Assumptions!$C$47</f>
        <v>4529.0451728562921</v>
      </c>
      <c r="D51" s="2">
        <f>D28*Assumptions!$C$47</f>
        <v>4551.3578431776004</v>
      </c>
      <c r="E51" s="2">
        <f>E28*Assumptions!$C$47</f>
        <v>4622.2415325444463</v>
      </c>
      <c r="F51" s="2">
        <f>F28*Assumptions!$C$47</f>
        <v>4752.8212278697356</v>
      </c>
      <c r="G51" s="2">
        <f>G28*Assumptions!$C$47</f>
        <v>4861.1299711031425</v>
      </c>
      <c r="H51" s="2">
        <f>H28*Assumptions!$C$47</f>
        <v>4947.1923592718267</v>
      </c>
      <c r="I51" s="2">
        <f>I28*Assumptions!$C$47</f>
        <v>5034.785930074233</v>
      </c>
      <c r="J51" s="2">
        <f>J28*Assumptions!$C$47</f>
        <v>5123.9359967912214</v>
      </c>
      <c r="K51" s="5">
        <f>RATE(8,,-B51,J51)</f>
        <v>1.3327020964159528E-2</v>
      </c>
      <c r="L51" s="2"/>
      <c r="M51" s="52" t="str">
        <f>A51</f>
        <v>Deferred Income Taxes</v>
      </c>
      <c r="N51" s="90">
        <f t="shared" si="32"/>
        <v>0.20698791934252481</v>
      </c>
      <c r="O51" s="95">
        <f t="shared" ca="1" si="32"/>
        <v>0.19949899063563956</v>
      </c>
      <c r="P51" s="18">
        <f t="shared" ca="1" si="32"/>
        <v>0.19894794300211466</v>
      </c>
      <c r="Q51" s="18">
        <f t="shared" ca="1" si="32"/>
        <v>0.19869773746719441</v>
      </c>
      <c r="R51" s="18">
        <f t="shared" ca="1" si="32"/>
        <v>0.19880821891627537</v>
      </c>
      <c r="S51" s="18">
        <f t="shared" ca="1" si="32"/>
        <v>0.19876355585692118</v>
      </c>
      <c r="T51" s="18">
        <f t="shared" ca="1" si="32"/>
        <v>0.19857327143148781</v>
      </c>
      <c r="U51" s="18">
        <f t="shared" ca="1" si="32"/>
        <v>0.19838206281500834</v>
      </c>
      <c r="V51" s="18">
        <f t="shared" ca="1" si="32"/>
        <v>0.19818991587306567</v>
      </c>
      <c r="W51" s="18">
        <f ca="1">SUM(C51:J51)/SUM($C$38:$J$38)</f>
        <v>0.19871802954447904</v>
      </c>
      <c r="X51" s="2"/>
    </row>
    <row r="52" spans="1:24" x14ac:dyDescent="0.2">
      <c r="A52" s="52" t="str">
        <f>Historical!A51</f>
        <v>Derivative Contracts</v>
      </c>
      <c r="B52" s="77">
        <f>Historical!P51</f>
        <v>0</v>
      </c>
      <c r="C52" s="2">
        <f>Assumptions!$C$48*Forecast!C83</f>
        <v>14.362519490644489</v>
      </c>
      <c r="D52" s="2">
        <f>Assumptions!$C$48*Forecast!D83</f>
        <v>14.7215824779106</v>
      </c>
      <c r="E52" s="2">
        <f>Assumptions!$C$48*Forecast!E83</f>
        <v>15.089622039858366</v>
      </c>
      <c r="F52" s="2">
        <f>Assumptions!$C$48*Forecast!F83</f>
        <v>15.466862590854822</v>
      </c>
      <c r="G52" s="2">
        <f>Assumptions!$C$48*Forecast!G83</f>
        <v>15.853534155626189</v>
      </c>
      <c r="H52" s="2">
        <f>Assumptions!$C$48*Forecast!H83</f>
        <v>16.249872509516845</v>
      </c>
      <c r="I52" s="2">
        <f>Assumptions!$C$48*Forecast!I83</f>
        <v>16.65611932225476</v>
      </c>
      <c r="J52" s="2">
        <f>Assumptions!$C$48*Forecast!J83</f>
        <v>17.072522305311129</v>
      </c>
      <c r="K52" s="5"/>
      <c r="L52" s="2"/>
      <c r="M52" s="52" t="str">
        <f>A52</f>
        <v>Derivative Contracts</v>
      </c>
      <c r="N52" s="90">
        <f t="shared" si="32"/>
        <v>0</v>
      </c>
      <c r="O52" s="95">
        <f t="shared" ca="1" si="32"/>
        <v>6.3265170295513694E-4</v>
      </c>
      <c r="P52" s="18">
        <f t="shared" ca="1" si="32"/>
        <v>6.4350654302134172E-4</v>
      </c>
      <c r="Q52" s="18">
        <f t="shared" ca="1" si="32"/>
        <v>6.4866228591574306E-4</v>
      </c>
      <c r="R52" s="18">
        <f t="shared" ca="1" si="32"/>
        <v>6.4697140003492954E-4</v>
      </c>
      <c r="S52" s="18">
        <f t="shared" ca="1" si="32"/>
        <v>6.4822476263812581E-4</v>
      </c>
      <c r="T52" s="18">
        <f t="shared" ca="1" si="32"/>
        <v>6.5224679176095529E-4</v>
      </c>
      <c r="U52" s="18">
        <f t="shared" ca="1" si="32"/>
        <v>6.5628913632741074E-4</v>
      </c>
      <c r="V52" s="18">
        <f t="shared" ca="1" si="32"/>
        <v>6.6035207339622769E-4</v>
      </c>
      <c r="W52" s="18">
        <f ca="1">SUM(C52:J52)/SUM($C$38:$J$38)</f>
        <v>6.4893404271678095E-4</v>
      </c>
      <c r="X52" s="2"/>
    </row>
    <row r="53" spans="1:24" ht="12.75" customHeight="1" x14ac:dyDescent="0.2">
      <c r="A53" s="52" t="str">
        <f>Historical!A52</f>
        <v>Other Long-term Liabilities</v>
      </c>
      <c r="B53" s="77">
        <f>Historical!P52</f>
        <v>1863</v>
      </c>
      <c r="C53" s="2">
        <f ca="1">C38*Assumptions!$C$49</f>
        <v>1934.0527686593905</v>
      </c>
      <c r="D53" s="2">
        <f ca="1">D38*Assumptions!$C$49</f>
        <v>1948.9643667823636</v>
      </c>
      <c r="E53" s="2">
        <f ca="1">E38*Assumptions!$C$49</f>
        <v>1981.8103088551936</v>
      </c>
      <c r="F53" s="2">
        <f ca="1">F38*Assumptions!$C$49</f>
        <v>2036.6645963826061</v>
      </c>
      <c r="G53" s="2">
        <f ca="1">G38*Assumptions!$C$49</f>
        <v>2083.544808531622</v>
      </c>
      <c r="H53" s="2">
        <f ca="1">H38*Assumptions!$C$49</f>
        <v>2122.4642112729339</v>
      </c>
      <c r="I53" s="2">
        <f ca="1">I38*Assumptions!$C$49</f>
        <v>2162.1258919225343</v>
      </c>
      <c r="J53" s="2">
        <f ca="1">J38*Assumptions!$C$49</f>
        <v>2202.5435918095286</v>
      </c>
      <c r="K53" s="5">
        <f ca="1">RATE(8,,-B53,J53)</f>
        <v>2.1148625728690022E-2</v>
      </c>
      <c r="L53" s="2"/>
      <c r="N53" s="90"/>
      <c r="O53" s="95"/>
      <c r="P53" s="18"/>
      <c r="Q53" s="18"/>
      <c r="R53" s="18"/>
      <c r="S53" s="18"/>
      <c r="T53" s="18"/>
      <c r="U53" s="18"/>
      <c r="V53" s="18"/>
      <c r="W53" s="18"/>
      <c r="X53" s="2"/>
    </row>
    <row r="54" spans="1:24" ht="12.75" customHeight="1" x14ac:dyDescent="0.2">
      <c r="A54" s="87" t="s">
        <v>137</v>
      </c>
      <c r="B54" s="77">
        <v>0</v>
      </c>
      <c r="C54" s="3">
        <f ca="1">C68</f>
        <v>291.62477176829805</v>
      </c>
      <c r="D54" s="3">
        <f t="shared" ref="D54:J54" ca="1" si="33">D68</f>
        <v>471.96724676070875</v>
      </c>
      <c r="E54" s="3">
        <f t="shared" ca="1" si="33"/>
        <v>892.63074716103927</v>
      </c>
      <c r="F54" s="3">
        <f t="shared" ca="1" si="33"/>
        <v>1460.7153841577435</v>
      </c>
      <c r="G54" s="3">
        <f t="shared" ca="1" si="33"/>
        <v>1946.3048236622521</v>
      </c>
      <c r="H54" s="3">
        <f t="shared" ca="1" si="33"/>
        <v>2345.1323363033243</v>
      </c>
      <c r="I54" s="3">
        <f t="shared" ca="1" si="33"/>
        <v>2721.561971601152</v>
      </c>
      <c r="J54" s="3">
        <f t="shared" ca="1" si="33"/>
        <v>3074.445243195305</v>
      </c>
      <c r="K54" s="5"/>
      <c r="L54" s="2"/>
      <c r="M54" s="52" t="str">
        <f>A54</f>
        <v>Additonal Loans</v>
      </c>
      <c r="N54" s="90">
        <f t="shared" ref="N54:V55" si="34">B54/B$38</f>
        <v>0</v>
      </c>
      <c r="O54" s="95">
        <f t="shared" ca="1" si="34"/>
        <v>1.2845720321096529E-2</v>
      </c>
      <c r="P54" s="18">
        <f t="shared" ca="1" si="34"/>
        <v>2.0630527447575708E-2</v>
      </c>
      <c r="Q54" s="18">
        <f t="shared" ca="1" si="34"/>
        <v>3.8371796152529225E-2</v>
      </c>
      <c r="R54" s="18">
        <f t="shared" ca="1" si="34"/>
        <v>6.1101019782762854E-2</v>
      </c>
      <c r="S54" s="18">
        <f t="shared" ca="1" si="34"/>
        <v>7.9581181707181925E-2</v>
      </c>
      <c r="T54" s="18">
        <f t="shared" ca="1" si="34"/>
        <v>9.4130279589140997E-2</v>
      </c>
      <c r="U54" s="18">
        <f t="shared" ca="1" si="34"/>
        <v>0.10723575649564056</v>
      </c>
      <c r="V54" s="18">
        <f t="shared" ca="1" si="34"/>
        <v>0.11891718485297305</v>
      </c>
      <c r="W54" s="18">
        <f ca="1">SUM(C54:J54)/SUM($C$38:$J$38)</f>
        <v>6.8291969325829135E-2</v>
      </c>
      <c r="X54" s="2"/>
    </row>
    <row r="55" spans="1:24" ht="12.75" customHeight="1" x14ac:dyDescent="0.2">
      <c r="A55" s="191" t="str">
        <f>Historical!A53</f>
        <v>Total LTD &amp; Deferrals</v>
      </c>
      <c r="B55" s="261">
        <f t="shared" ref="B55:J55" si="35">SUM(B50:B54)</f>
        <v>13391</v>
      </c>
      <c r="C55" s="191">
        <f t="shared" ca="1" si="35"/>
        <v>13688.085232774625</v>
      </c>
      <c r="D55" s="191">
        <f t="shared" ca="1" si="35"/>
        <v>13672.578783074758</v>
      </c>
      <c r="E55" s="191">
        <f t="shared" ca="1" si="35"/>
        <v>13971.783203223398</v>
      </c>
      <c r="F55" s="191">
        <f t="shared" ca="1" si="35"/>
        <v>14507.732114557073</v>
      </c>
      <c r="G55" s="191">
        <f t="shared" ca="1" si="35"/>
        <v>14938.303295684782</v>
      </c>
      <c r="H55" s="191">
        <f t="shared" ca="1" si="35"/>
        <v>15259.020039370394</v>
      </c>
      <c r="I55" s="191">
        <f t="shared" ca="1" si="35"/>
        <v>15566.487554755171</v>
      </c>
      <c r="J55" s="191">
        <f t="shared" ca="1" si="35"/>
        <v>15859.365037940453</v>
      </c>
      <c r="K55" s="199">
        <f ca="1">RATE(8,,-B55,J55)</f>
        <v>2.1372353451176544E-2</v>
      </c>
      <c r="L55" s="2"/>
      <c r="M55" s="52" t="str">
        <f>A55</f>
        <v>Total LTD &amp; Deferrals</v>
      </c>
      <c r="N55" s="91">
        <f t="shared" si="34"/>
        <v>0.60138321282615526</v>
      </c>
      <c r="O55" s="93">
        <f t="shared" ca="1" si="34"/>
        <v>0.60294368535762644</v>
      </c>
      <c r="P55" s="17">
        <f t="shared" ca="1" si="34"/>
        <v>0.59765272653841195</v>
      </c>
      <c r="Q55" s="17">
        <f t="shared" ca="1" si="34"/>
        <v>0.60060939942582814</v>
      </c>
      <c r="R55" s="17">
        <f t="shared" ca="1" si="34"/>
        <v>0.60685143495336036</v>
      </c>
      <c r="S55" s="17">
        <f t="shared" ca="1" si="34"/>
        <v>0.6108024881395363</v>
      </c>
      <c r="T55" s="17">
        <f t="shared" ca="1" si="34"/>
        <v>0.61247538159247905</v>
      </c>
      <c r="U55" s="17">
        <f t="shared" ca="1" si="34"/>
        <v>0.6133551564626214</v>
      </c>
      <c r="V55" s="17">
        <f t="shared" ca="1" si="34"/>
        <v>0.6134280804127944</v>
      </c>
      <c r="W55" s="17">
        <f ca="1">SUM(C55:J55)/SUM($C$38:$J$38)</f>
        <v>0.6075107139215673</v>
      </c>
      <c r="X55" s="2"/>
    </row>
    <row r="56" spans="1:24" ht="12.75" customHeight="1" x14ac:dyDescent="0.2">
      <c r="B56" s="77"/>
      <c r="C56" s="2"/>
      <c r="D56" s="2"/>
      <c r="E56" s="2"/>
      <c r="F56" s="2"/>
      <c r="G56" s="2"/>
      <c r="H56" s="2"/>
      <c r="I56" s="2"/>
      <c r="J56" s="2"/>
      <c r="K56" s="18"/>
      <c r="L56" s="2"/>
      <c r="N56" s="90"/>
      <c r="O56" s="95"/>
      <c r="P56" s="18"/>
      <c r="Q56" s="18"/>
      <c r="R56" s="18"/>
      <c r="S56" s="18"/>
      <c r="T56" s="18"/>
      <c r="U56" s="18"/>
      <c r="V56" s="18"/>
      <c r="W56" s="18"/>
      <c r="X56" s="2"/>
    </row>
    <row r="57" spans="1:24" ht="12.75" customHeight="1" x14ac:dyDescent="0.2">
      <c r="A57" s="52" t="str">
        <f>Historical!A55</f>
        <v>Total Liabilities</v>
      </c>
      <c r="B57" s="77">
        <f t="shared" ref="B57:J57" si="36">B48+B55</f>
        <v>14511</v>
      </c>
      <c r="C57" s="2">
        <f t="shared" ca="1" si="36"/>
        <v>14922.518254632367</v>
      </c>
      <c r="D57" s="2">
        <f t="shared" ca="1" si="36"/>
        <v>15050.393214215303</v>
      </c>
      <c r="E57" s="2">
        <f t="shared" ca="1" si="36"/>
        <v>15365.767642366167</v>
      </c>
      <c r="F57" s="2">
        <f t="shared" ca="1" si="36"/>
        <v>15925.46580794574</v>
      </c>
      <c r="G57" s="2">
        <f t="shared" ca="1" si="36"/>
        <v>16377.844785853646</v>
      </c>
      <c r="H57" s="2">
        <f t="shared" ca="1" si="36"/>
        <v>16718.432283853996</v>
      </c>
      <c r="I57" s="2">
        <f t="shared" ca="1" si="36"/>
        <v>17046.59772710894</v>
      </c>
      <c r="J57" s="2">
        <f t="shared" ca="1" si="36"/>
        <v>17361.005867346819</v>
      </c>
      <c r="K57" s="5">
        <f ca="1">RATE(8,,-B57,J57)</f>
        <v>2.2668061075804186E-2</v>
      </c>
      <c r="L57" s="2"/>
      <c r="M57" s="52" t="str">
        <f>A57</f>
        <v>Total Liabilities</v>
      </c>
      <c r="N57" s="90">
        <f t="shared" ref="N57:V57" si="37">B57/B$38</f>
        <v>0.65168186104998427</v>
      </c>
      <c r="O57" s="95">
        <f t="shared" ca="1" si="37"/>
        <v>0.65731897473293865</v>
      </c>
      <c r="P57" s="18">
        <f t="shared" ca="1" si="37"/>
        <v>0.6578794448846591</v>
      </c>
      <c r="Q57" s="18">
        <f t="shared" ca="1" si="37"/>
        <v>0.66053304300264304</v>
      </c>
      <c r="R57" s="18">
        <f t="shared" ca="1" si="37"/>
        <v>0.66615455134819379</v>
      </c>
      <c r="S57" s="18">
        <f t="shared" ca="1" si="37"/>
        <v>0.66966295619746052</v>
      </c>
      <c r="T57" s="18">
        <f t="shared" ca="1" si="37"/>
        <v>0.67105411528799574</v>
      </c>
      <c r="U57" s="18">
        <f t="shared" ca="1" si="37"/>
        <v>0.67167487715443808</v>
      </c>
      <c r="V57" s="18">
        <f t="shared" ca="1" si="37"/>
        <v>0.67151039639761179</v>
      </c>
      <c r="W57" s="18">
        <f ca="1">SUM(C57:J57)/SUM($C$38:$J$38)</f>
        <v>0.66597752957355527</v>
      </c>
      <c r="X57" s="2"/>
    </row>
    <row r="58" spans="1:24" ht="12.75" customHeight="1" x14ac:dyDescent="0.2">
      <c r="B58" s="77"/>
      <c r="C58" s="2"/>
      <c r="D58" s="2"/>
      <c r="E58" s="2"/>
      <c r="F58" s="2"/>
      <c r="G58" s="2"/>
      <c r="H58" s="2"/>
      <c r="I58" s="2"/>
      <c r="J58" s="2"/>
      <c r="K58" s="5"/>
      <c r="L58" s="2"/>
      <c r="N58" s="90"/>
      <c r="O58" s="95"/>
      <c r="P58" s="18"/>
      <c r="Q58" s="18"/>
      <c r="R58" s="18"/>
      <c r="S58" s="18"/>
      <c r="T58" s="18"/>
      <c r="U58" s="18"/>
      <c r="V58" s="18"/>
      <c r="W58" s="18"/>
      <c r="X58" s="2"/>
    </row>
    <row r="59" spans="1:24" ht="12.75" customHeight="1" x14ac:dyDescent="0.2">
      <c r="A59" s="52" t="str">
        <f>Historical!A57</f>
        <v>Preferred Stock</v>
      </c>
      <c r="B59" s="77">
        <f>Historical!P57</f>
        <v>2</v>
      </c>
      <c r="C59" s="2">
        <f>Assumptions!$C$53</f>
        <v>2</v>
      </c>
      <c r="D59" s="2">
        <f>Assumptions!$C$53</f>
        <v>2</v>
      </c>
      <c r="E59" s="2">
        <f>Assumptions!$C$53</f>
        <v>2</v>
      </c>
      <c r="F59" s="2">
        <f>Assumptions!$C$53</f>
        <v>2</v>
      </c>
      <c r="G59" s="2">
        <f>Assumptions!$C$53</f>
        <v>2</v>
      </c>
      <c r="H59" s="2">
        <f>Assumptions!$C$53</f>
        <v>2</v>
      </c>
      <c r="I59" s="2">
        <f>Assumptions!$C$53</f>
        <v>2</v>
      </c>
      <c r="J59" s="2">
        <f>Assumptions!$C$53</f>
        <v>2</v>
      </c>
      <c r="K59" s="5">
        <f>RATE(8,,-B59,J59)</f>
        <v>3.1899074321543544E-12</v>
      </c>
      <c r="L59" s="2"/>
      <c r="M59" s="52" t="str">
        <f>A59</f>
        <v>Preferred Stock</v>
      </c>
      <c r="N59" s="90">
        <f t="shared" ref="N59:V59" si="38">B59/B$38</f>
        <v>8.9819014685408897E-5</v>
      </c>
      <c r="O59" s="95">
        <f t="shared" ca="1" si="38"/>
        <v>8.8097593652316494E-5</v>
      </c>
      <c r="P59" s="18">
        <f t="shared" ca="1" si="38"/>
        <v>8.742355571989746E-5</v>
      </c>
      <c r="Q59" s="18">
        <f t="shared" ca="1" si="38"/>
        <v>8.5974623380537837E-5</v>
      </c>
      <c r="R59" s="18">
        <f t="shared" ca="1" si="38"/>
        <v>8.3659035080258353E-5</v>
      </c>
      <c r="S59" s="18">
        <f t="shared" ca="1" si="38"/>
        <v>8.1776688563550386E-5</v>
      </c>
      <c r="T59" s="18">
        <f t="shared" ca="1" si="38"/>
        <v>8.0277158036650773E-5</v>
      </c>
      <c r="U59" s="18">
        <f t="shared" ca="1" si="38"/>
        <v>7.880456709391153E-5</v>
      </c>
      <c r="V59" s="18">
        <f t="shared" ca="1" si="38"/>
        <v>7.7358466615187529E-5</v>
      </c>
      <c r="W59" s="18">
        <f ca="1">SUM(C59:J59)/SUM($C$38:$J$38)</f>
        <v>8.2750670633540568E-5</v>
      </c>
      <c r="X59" s="2"/>
    </row>
    <row r="60" spans="1:24" ht="12.75" customHeight="1" x14ac:dyDescent="0.2">
      <c r="B60" s="77"/>
      <c r="C60" s="2"/>
      <c r="D60" s="2"/>
      <c r="E60" s="2"/>
      <c r="F60" s="2"/>
      <c r="G60" s="2"/>
      <c r="H60" s="2"/>
      <c r="I60" s="2"/>
      <c r="J60" s="2"/>
      <c r="K60" s="5"/>
      <c r="L60" s="2"/>
      <c r="N60" s="90"/>
      <c r="O60" s="95"/>
      <c r="P60" s="18"/>
      <c r="Q60" s="18"/>
      <c r="R60" s="18"/>
      <c r="S60" s="18"/>
      <c r="T60" s="18"/>
      <c r="U60" s="18"/>
      <c r="V60" s="18"/>
      <c r="W60" s="18"/>
      <c r="X60" s="2"/>
    </row>
    <row r="61" spans="1:24" ht="12.75" customHeight="1" x14ac:dyDescent="0.2">
      <c r="A61" s="191" t="str">
        <f>Historical!A59</f>
        <v>Common Equity:</v>
      </c>
      <c r="B61" s="77"/>
      <c r="C61" s="2"/>
      <c r="D61" s="2"/>
      <c r="E61" s="2"/>
      <c r="F61" s="2"/>
      <c r="G61" s="2"/>
      <c r="H61" s="2"/>
      <c r="I61" s="2"/>
      <c r="J61" s="2"/>
      <c r="K61" s="5"/>
      <c r="L61" s="2"/>
      <c r="M61" s="191" t="str">
        <f>A61</f>
        <v>Common Equity:</v>
      </c>
      <c r="N61" s="90"/>
      <c r="O61" s="95"/>
      <c r="P61" s="18"/>
      <c r="Q61" s="18"/>
      <c r="R61" s="18"/>
      <c r="S61" s="18"/>
      <c r="T61" s="18"/>
      <c r="U61" s="18"/>
      <c r="V61" s="18"/>
      <c r="W61" s="18"/>
      <c r="X61" s="2"/>
    </row>
    <row r="62" spans="1:24" ht="12.75" customHeight="1" x14ac:dyDescent="0.2">
      <c r="A62" s="52" t="str">
        <f>Historical!A60</f>
        <v>Common Stock</v>
      </c>
      <c r="B62" s="77">
        <f>Historical!P60</f>
        <v>4479</v>
      </c>
      <c r="C62" s="2">
        <f>B62</f>
        <v>4479</v>
      </c>
      <c r="D62" s="2">
        <f t="shared" ref="D62:J62" si="39">C62</f>
        <v>4479</v>
      </c>
      <c r="E62" s="2">
        <f t="shared" si="39"/>
        <v>4479</v>
      </c>
      <c r="F62" s="2">
        <f t="shared" si="39"/>
        <v>4479</v>
      </c>
      <c r="G62" s="2">
        <f t="shared" si="39"/>
        <v>4479</v>
      </c>
      <c r="H62" s="2">
        <f t="shared" si="39"/>
        <v>4479</v>
      </c>
      <c r="I62" s="2">
        <f t="shared" si="39"/>
        <v>4479</v>
      </c>
      <c r="J62" s="2">
        <f t="shared" si="39"/>
        <v>4479</v>
      </c>
      <c r="K62" s="5">
        <f>RATE(8,,-B62,J62)</f>
        <v>-9.5574488083283431E-17</v>
      </c>
      <c r="L62" s="2"/>
      <c r="M62" s="52" t="str">
        <f>A62</f>
        <v>Common Stock</v>
      </c>
      <c r="N62" s="90">
        <f t="shared" ref="N62:V65" si="40">B62/B$38</f>
        <v>0.20114968338797323</v>
      </c>
      <c r="O62" s="95">
        <f t="shared" ca="1" si="40"/>
        <v>0.19729456098436279</v>
      </c>
      <c r="P62" s="18">
        <f t="shared" ca="1" si="40"/>
        <v>0.19578505303471039</v>
      </c>
      <c r="Q62" s="18">
        <f t="shared" ca="1" si="40"/>
        <v>0.1925401690607145</v>
      </c>
      <c r="R62" s="18">
        <f t="shared" ca="1" si="40"/>
        <v>0.18735440906223857</v>
      </c>
      <c r="S62" s="18">
        <f t="shared" ca="1" si="40"/>
        <v>0.18313889403807107</v>
      </c>
      <c r="T62" s="18">
        <f t="shared" ca="1" si="40"/>
        <v>0.1797806954230794</v>
      </c>
      <c r="U62" s="18">
        <f t="shared" ca="1" si="40"/>
        <v>0.17648282800681486</v>
      </c>
      <c r="V62" s="18">
        <f t="shared" ca="1" si="40"/>
        <v>0.17324428598471248</v>
      </c>
      <c r="W62" s="18">
        <f ca="1">SUM(C62:J62)/SUM($C$38:$J$38)</f>
        <v>0.18532012688381411</v>
      </c>
      <c r="X62" s="2"/>
    </row>
    <row r="63" spans="1:24" ht="12.75" customHeight="1" x14ac:dyDescent="0.2">
      <c r="A63" s="52" t="str">
        <f>Historical!A61</f>
        <v>Retained Earnings</v>
      </c>
      <c r="B63" s="77">
        <f>Historical!P61</f>
        <v>3275</v>
      </c>
      <c r="C63" s="3">
        <f t="shared" ref="C63" ca="1" si="41">B63+(IF(C102&gt;C104,(C102-C104-C105),C102))</f>
        <v>3298.5735507332597</v>
      </c>
      <c r="D63" s="3">
        <f t="shared" ref="D63" ca="1" si="42">C63+(IF(D102&gt;D104,(D102-D104-D105),D102))</f>
        <v>3345.7280473699684</v>
      </c>
      <c r="E63" s="3">
        <f t="shared" ref="E63" ca="1" si="43">D63+(IF(E102&gt;E104,(E102-E104-E105),E102))</f>
        <v>3415.8942415499573</v>
      </c>
      <c r="F63" s="3">
        <f t="shared" ref="F63" ca="1" si="44">E63+(IF(F102&gt;F104,(F102-F104-F105),F102))</f>
        <v>3500.0683684149412</v>
      </c>
      <c r="G63" s="3">
        <f t="shared" ref="G63" ca="1" si="45">F63+(IF(G102&gt;G104,(G102-G104-G105),G102))</f>
        <v>3597.9575802136733</v>
      </c>
      <c r="H63" s="3">
        <f t="shared" ref="H63" ca="1" si="46">G63+(IF(H102&gt;H104,(H102-H104-H105),H102))</f>
        <v>3714.1891206265827</v>
      </c>
      <c r="I63" s="3">
        <f t="shared" ref="I63" ca="1" si="47">H63+(IF(I102&gt;I104,(I102-I104-I105),I102))</f>
        <v>3851.5500476279303</v>
      </c>
      <c r="J63" s="3">
        <f t="shared" ref="J63" ca="1" si="48">I63+(IF(J102&gt;J104,(J102-J104-J105),J102))</f>
        <v>4011.5359146753026</v>
      </c>
      <c r="K63" s="5">
        <f ca="1">RATE(8,,-B63,J63)</f>
        <v>2.568126439690762E-2</v>
      </c>
      <c r="L63" s="2"/>
      <c r="M63" s="52" t="str">
        <f>A63</f>
        <v>Retained Earnings</v>
      </c>
      <c r="N63" s="90">
        <f t="shared" si="40"/>
        <v>0.14707863654735709</v>
      </c>
      <c r="O63" s="95">
        <f t="shared" ca="1" si="40"/>
        <v>0.14529819615238876</v>
      </c>
      <c r="P63" s="18">
        <f t="shared" ca="1" si="40"/>
        <v>0.14624772118643609</v>
      </c>
      <c r="Q63" s="18">
        <f t="shared" ca="1" si="40"/>
        <v>0.14684011046250275</v>
      </c>
      <c r="R63" s="18">
        <f t="shared" ca="1" si="40"/>
        <v>0.14640617120826407</v>
      </c>
      <c r="S63" s="18">
        <f t="shared" ca="1" si="40"/>
        <v>0.14711452825099944</v>
      </c>
      <c r="T63" s="18">
        <f t="shared" ca="1" si="40"/>
        <v>0.14908227350727457</v>
      </c>
      <c r="U63" s="18">
        <f t="shared" ca="1" si="40"/>
        <v>0.15175986707192668</v>
      </c>
      <c r="V63" s="18">
        <f t="shared" ca="1" si="40"/>
        <v>0.15516313356551759</v>
      </c>
      <c r="W63" s="103">
        <f ca="1">SUM(C63:J63)/SUM($C$38:$J$38)</f>
        <v>0.148617602317548</v>
      </c>
      <c r="X63" s="2"/>
    </row>
    <row r="64" spans="1:24" ht="12.75" customHeight="1" x14ac:dyDescent="0.2">
      <c r="A64" s="191" t="str">
        <f>Historical!A62</f>
        <v>Total Common Equity</v>
      </c>
      <c r="B64" s="263">
        <f>SUM(B62:B63)</f>
        <v>7754</v>
      </c>
      <c r="C64" s="194">
        <f t="shared" ref="C64" ca="1" si="49">SUM(C61:C63)</f>
        <v>7777.5735507332593</v>
      </c>
      <c r="D64" s="194">
        <f t="shared" ref="D64:J64" ca="1" si="50">SUM(D61:D63)</f>
        <v>7824.7280473699684</v>
      </c>
      <c r="E64" s="194">
        <f t="shared" ca="1" si="50"/>
        <v>7894.8942415499569</v>
      </c>
      <c r="F64" s="194">
        <f t="shared" ca="1" si="50"/>
        <v>7979.0683684149408</v>
      </c>
      <c r="G64" s="194">
        <f t="shared" ca="1" si="50"/>
        <v>8076.9575802136733</v>
      </c>
      <c r="H64" s="194">
        <f t="shared" ca="1" si="50"/>
        <v>8193.1891206265827</v>
      </c>
      <c r="I64" s="194">
        <f t="shared" ca="1" si="50"/>
        <v>8330.5500476279303</v>
      </c>
      <c r="J64" s="194">
        <f t="shared" ca="1" si="50"/>
        <v>8490.5359146753035</v>
      </c>
      <c r="K64" s="199">
        <f ca="1">RATE(8,,-B64,J64)</f>
        <v>1.1407484997387902E-2</v>
      </c>
      <c r="L64" s="2"/>
      <c r="M64" s="191" t="str">
        <f>A64</f>
        <v>Total Common Equity</v>
      </c>
      <c r="N64" s="266">
        <f t="shared" si="40"/>
        <v>0.34822831993533032</v>
      </c>
      <c r="O64" s="267">
        <f t="shared" ca="1" si="40"/>
        <v>0.34259275713675152</v>
      </c>
      <c r="P64" s="199">
        <f t="shared" ca="1" si="40"/>
        <v>0.34203277422114647</v>
      </c>
      <c r="Q64" s="199">
        <f t="shared" ca="1" si="40"/>
        <v>0.33938027952321725</v>
      </c>
      <c r="R64" s="199">
        <f t="shared" ca="1" si="40"/>
        <v>0.33376058027050265</v>
      </c>
      <c r="S64" s="199">
        <f t="shared" ca="1" si="40"/>
        <v>0.33025342228907051</v>
      </c>
      <c r="T64" s="199">
        <f t="shared" ca="1" si="40"/>
        <v>0.32886296893035394</v>
      </c>
      <c r="U64" s="199">
        <f t="shared" ca="1" si="40"/>
        <v>0.32824269507874154</v>
      </c>
      <c r="V64" s="199">
        <f t="shared" ca="1" si="40"/>
        <v>0.32840741955023006</v>
      </c>
      <c r="W64" s="199">
        <f ca="1">SUM(C64:J64)/SUM($C$38:$J$38)</f>
        <v>0.33393772920136205</v>
      </c>
      <c r="X64" s="2"/>
    </row>
    <row r="65" spans="1:24" ht="12.75" customHeight="1" thickBot="1" x14ac:dyDescent="0.25">
      <c r="A65" s="191" t="str">
        <f>Historical!A63</f>
        <v>Total Liabilities &amp; Equity</v>
      </c>
      <c r="B65" s="261">
        <f t="shared" ref="B65:J65" si="51">B57+B59+B64</f>
        <v>22267</v>
      </c>
      <c r="C65" s="309">
        <f t="shared" ca="1" si="51"/>
        <v>22702.091805365628</v>
      </c>
      <c r="D65" s="310">
        <f t="shared" ca="1" si="51"/>
        <v>22877.121261585271</v>
      </c>
      <c r="E65" s="310">
        <f t="shared" ca="1" si="51"/>
        <v>23262.661883916124</v>
      </c>
      <c r="F65" s="310">
        <f t="shared" ca="1" si="51"/>
        <v>23906.534176360681</v>
      </c>
      <c r="G65" s="310">
        <f t="shared" ca="1" si="51"/>
        <v>24456.802366067321</v>
      </c>
      <c r="H65" s="310">
        <f t="shared" ca="1" si="51"/>
        <v>24913.621404480578</v>
      </c>
      <c r="I65" s="310">
        <f t="shared" ca="1" si="51"/>
        <v>25379.14777473687</v>
      </c>
      <c r="J65" s="310">
        <f t="shared" ca="1" si="51"/>
        <v>25853.541782022123</v>
      </c>
      <c r="K65" s="199">
        <f ca="1">RATE(8,,-B65,J65)</f>
        <v>1.8843061715347442E-2</v>
      </c>
      <c r="L65" s="2"/>
      <c r="M65" s="191" t="str">
        <f>A65</f>
        <v>Total Liabilities &amp; Equity</v>
      </c>
      <c r="N65" s="266">
        <f t="shared" si="40"/>
        <v>1</v>
      </c>
      <c r="O65" s="267">
        <f t="shared" ca="1" si="40"/>
        <v>0.99999982946334254</v>
      </c>
      <c r="P65" s="199">
        <f t="shared" ca="1" si="40"/>
        <v>0.99999964266152552</v>
      </c>
      <c r="Q65" s="199">
        <f t="shared" ca="1" si="40"/>
        <v>0.99999929714924085</v>
      </c>
      <c r="R65" s="199">
        <f t="shared" ca="1" si="40"/>
        <v>0.99999879065377661</v>
      </c>
      <c r="S65" s="199">
        <f t="shared" ca="1" si="40"/>
        <v>0.99999815517509472</v>
      </c>
      <c r="T65" s="199">
        <f t="shared" ca="1" si="40"/>
        <v>0.9999973613763864</v>
      </c>
      <c r="U65" s="199">
        <f t="shared" ca="1" si="40"/>
        <v>0.99999637680027353</v>
      </c>
      <c r="V65" s="199">
        <f t="shared" ca="1" si="40"/>
        <v>0.99999517441445707</v>
      </c>
      <c r="W65" s="199">
        <f ca="1">SUM(C65:J65)/SUM($C$38:$J$38)</f>
        <v>0.99999800944555095</v>
      </c>
      <c r="X65" s="2"/>
    </row>
    <row r="66" spans="1:24" ht="12.75" customHeight="1" thickTop="1" x14ac:dyDescent="0.2">
      <c r="B66" s="86"/>
      <c r="C66" s="2"/>
      <c r="D66" s="2"/>
      <c r="E66" s="2"/>
      <c r="F66" s="2"/>
      <c r="G66" s="2"/>
      <c r="H66" s="2"/>
      <c r="I66" s="2"/>
      <c r="J66" s="2"/>
      <c r="K66" s="71"/>
      <c r="L66" s="2"/>
      <c r="N66" s="71"/>
      <c r="O66" s="129"/>
      <c r="P66" s="129"/>
      <c r="Q66" s="129"/>
      <c r="R66" s="129"/>
      <c r="S66" s="129"/>
      <c r="T66" s="129"/>
      <c r="U66" s="129"/>
      <c r="V66" s="129"/>
      <c r="W66" s="71"/>
      <c r="X66" s="2"/>
    </row>
    <row r="67" spans="1:24" ht="12.75" customHeight="1" x14ac:dyDescent="0.2">
      <c r="B67" s="77"/>
      <c r="C67" s="2">
        <f t="shared" ref="C67:J67" ca="1" si="52">IF(C38&lt;C65,(((C65-C38)*0.1)+C13),0)</f>
        <v>0</v>
      </c>
      <c r="D67" s="2">
        <f t="shared" ca="1" si="52"/>
        <v>0</v>
      </c>
      <c r="E67" s="2">
        <f t="shared" ca="1" si="52"/>
        <v>0</v>
      </c>
      <c r="F67" s="2">
        <f t="shared" ca="1" si="52"/>
        <v>0</v>
      </c>
      <c r="G67" s="2">
        <f t="shared" ca="1" si="52"/>
        <v>0</v>
      </c>
      <c r="H67" s="2">
        <f t="shared" ca="1" si="52"/>
        <v>0</v>
      </c>
      <c r="I67" s="2">
        <f t="shared" ca="1" si="52"/>
        <v>0</v>
      </c>
      <c r="J67" s="2">
        <f t="shared" ca="1" si="52"/>
        <v>0</v>
      </c>
      <c r="K67" s="5"/>
      <c r="L67" s="2"/>
    </row>
    <row r="68" spans="1:24" ht="12.75" customHeight="1" x14ac:dyDescent="0.2">
      <c r="A68" s="111"/>
      <c r="B68" s="77"/>
      <c r="C68" s="2">
        <f t="shared" ref="C68:J68" ca="1" si="53">IF(C38&gt;C65,(((C38-C65)*0.1)+C54),0)</f>
        <v>291.62515892224934</v>
      </c>
      <c r="D68" s="2">
        <f t="shared" ca="1" si="53"/>
        <v>471.96806424856214</v>
      </c>
      <c r="E68" s="2">
        <f t="shared" ca="1" si="53"/>
        <v>892.63238218014499</v>
      </c>
      <c r="F68" s="2">
        <f t="shared" ca="1" si="53"/>
        <v>1460.7182752889219</v>
      </c>
      <c r="G68" s="2">
        <f t="shared" ca="1" si="53"/>
        <v>1946.3093355223866</v>
      </c>
      <c r="H68" s="2">
        <f t="shared" ca="1" si="53"/>
        <v>2345.138910087644</v>
      </c>
      <c r="I68" s="2">
        <f t="shared" ca="1" si="53"/>
        <v>2721.5711670065962</v>
      </c>
      <c r="J68" s="2">
        <f t="shared" ca="1" si="53"/>
        <v>3074.457719103254</v>
      </c>
      <c r="K68" s="5"/>
      <c r="L68" s="2"/>
    </row>
    <row r="69" spans="1:24" ht="12.75" customHeight="1" x14ac:dyDescent="0.2">
      <c r="A69" s="111"/>
      <c r="B69" s="19"/>
      <c r="C69" s="2"/>
      <c r="D69" s="2"/>
      <c r="E69" s="2"/>
      <c r="F69" s="2"/>
      <c r="G69" s="2"/>
      <c r="H69" s="2"/>
      <c r="I69" s="2"/>
      <c r="J69" s="2"/>
      <c r="K69" s="5"/>
      <c r="L69" s="2"/>
    </row>
    <row r="70" spans="1:24" ht="12.75" customHeight="1" x14ac:dyDescent="0.2">
      <c r="A70" s="111"/>
      <c r="B70" s="19"/>
      <c r="C70" s="2"/>
      <c r="D70" s="2"/>
      <c r="E70" s="2"/>
      <c r="F70" s="2"/>
      <c r="G70" s="2"/>
      <c r="H70" s="2"/>
      <c r="I70" s="2"/>
      <c r="J70" s="2"/>
      <c r="K70" s="275" t="s">
        <v>206</v>
      </c>
      <c r="L70" s="2"/>
      <c r="W70" s="275" t="s">
        <v>206</v>
      </c>
    </row>
    <row r="71" spans="1:24" ht="12.75" customHeight="1" x14ac:dyDescent="0.2">
      <c r="A71" s="111"/>
      <c r="B71" s="19"/>
      <c r="C71" s="2"/>
      <c r="D71" s="2"/>
      <c r="E71" s="2"/>
      <c r="F71" s="2"/>
      <c r="G71" s="2"/>
      <c r="H71" s="2"/>
      <c r="I71" s="2"/>
      <c r="J71" s="2"/>
      <c r="K71" s="276" t="s">
        <v>201</v>
      </c>
      <c r="L71" s="2"/>
      <c r="N71"/>
      <c r="O71"/>
      <c r="P71"/>
      <c r="Q71"/>
      <c r="R71"/>
      <c r="S71"/>
      <c r="T71"/>
      <c r="U71"/>
      <c r="V71"/>
      <c r="W71" s="276" t="s">
        <v>204</v>
      </c>
      <c r="X71"/>
    </row>
    <row r="72" spans="1:24" ht="12.75" customHeight="1" x14ac:dyDescent="0.25">
      <c r="A72" s="105" t="str">
        <f>A4</f>
        <v>PacifiCorp</v>
      </c>
      <c r="B72" s="107"/>
      <c r="C72" s="10"/>
      <c r="D72" s="10"/>
      <c r="E72" s="12"/>
      <c r="F72" s="12"/>
      <c r="G72" s="12"/>
      <c r="H72" s="12"/>
      <c r="I72" s="12"/>
      <c r="J72" s="12"/>
      <c r="K72" s="13"/>
      <c r="L72" s="2"/>
      <c r="M72" s="105" t="str">
        <f>A72</f>
        <v>PacifiCorp</v>
      </c>
      <c r="N72" s="109"/>
      <c r="O72" s="12"/>
      <c r="P72" s="12"/>
      <c r="Q72" s="12"/>
      <c r="R72" s="12"/>
      <c r="S72" s="12"/>
      <c r="T72" s="12"/>
      <c r="U72" s="12"/>
      <c r="V72" s="12"/>
      <c r="W72" s="13"/>
      <c r="X72" s="2"/>
    </row>
    <row r="73" spans="1:24" ht="12.75" customHeight="1" x14ac:dyDescent="0.2">
      <c r="A73" s="107" t="s">
        <v>146</v>
      </c>
      <c r="B73" s="107"/>
      <c r="C73" s="10"/>
      <c r="D73" s="10"/>
      <c r="E73" s="12"/>
      <c r="F73" s="12"/>
      <c r="G73" s="12"/>
      <c r="H73" s="12"/>
      <c r="I73" s="12"/>
      <c r="J73" s="12"/>
      <c r="K73" s="13"/>
      <c r="L73" s="2"/>
      <c r="M73" s="107" t="s">
        <v>185</v>
      </c>
      <c r="N73" s="109"/>
      <c r="O73" s="10"/>
      <c r="P73" s="12"/>
      <c r="Q73" s="12"/>
      <c r="R73" s="12"/>
      <c r="S73" s="12"/>
      <c r="T73" s="12"/>
      <c r="U73" s="12"/>
      <c r="V73" s="12"/>
      <c r="W73" s="13"/>
      <c r="X73" s="2"/>
    </row>
    <row r="74" spans="1:24" ht="12.75" customHeight="1" x14ac:dyDescent="0.2">
      <c r="A74" s="136">
        <f ca="1">A6</f>
        <v>42142.639918055553</v>
      </c>
      <c r="B74" s="107"/>
      <c r="C74" s="12"/>
      <c r="D74" s="12"/>
      <c r="E74" s="12"/>
      <c r="F74" s="12"/>
      <c r="G74" s="12"/>
      <c r="H74" s="12"/>
      <c r="I74" s="12"/>
      <c r="J74" s="12"/>
      <c r="K74" s="13"/>
      <c r="L74" s="2"/>
      <c r="M74" s="107"/>
      <c r="N74" s="109"/>
      <c r="O74" s="10"/>
      <c r="P74" s="12"/>
      <c r="Q74" s="12"/>
      <c r="R74" s="12"/>
      <c r="S74" s="12"/>
      <c r="T74" s="12"/>
      <c r="U74" s="12"/>
      <c r="V74" s="12"/>
      <c r="W74" s="13"/>
      <c r="X74" s="2"/>
    </row>
    <row r="75" spans="1:24" ht="12.75" customHeight="1" x14ac:dyDescent="0.2">
      <c r="A75" s="104"/>
      <c r="B75" s="104"/>
      <c r="C75" s="2"/>
      <c r="D75" s="2"/>
      <c r="E75" s="2"/>
      <c r="F75" s="2"/>
      <c r="G75" s="2"/>
      <c r="H75" s="2"/>
      <c r="I75" s="2"/>
      <c r="J75" s="2"/>
      <c r="K75" s="5"/>
      <c r="L75" s="2"/>
      <c r="M75" s="104"/>
      <c r="N75" s="108"/>
      <c r="O75" s="2"/>
      <c r="P75" s="2"/>
      <c r="Q75" s="2"/>
      <c r="R75" s="2"/>
      <c r="S75" s="2"/>
      <c r="T75" s="2"/>
      <c r="U75" s="2"/>
      <c r="V75" s="2"/>
      <c r="W75" s="5"/>
      <c r="X75" s="2"/>
    </row>
    <row r="76" spans="1:24" ht="12.75" customHeight="1" x14ac:dyDescent="0.2">
      <c r="B76" s="74" t="s">
        <v>123</v>
      </c>
      <c r="C76" s="14" t="s">
        <v>124</v>
      </c>
      <c r="D76" s="14" t="s">
        <v>124</v>
      </c>
      <c r="E76" s="14" t="s">
        <v>124</v>
      </c>
      <c r="F76" s="14" t="s">
        <v>124</v>
      </c>
      <c r="G76" s="14" t="s">
        <v>124</v>
      </c>
      <c r="H76" s="14" t="s">
        <v>124</v>
      </c>
      <c r="I76" s="14" t="s">
        <v>124</v>
      </c>
      <c r="J76" s="14" t="s">
        <v>124</v>
      </c>
      <c r="K76" s="15" t="s">
        <v>4</v>
      </c>
      <c r="L76" s="2"/>
      <c r="N76" s="74" t="str">
        <f>B8</f>
        <v>Historical</v>
      </c>
      <c r="O76" s="14" t="s">
        <v>124</v>
      </c>
      <c r="P76" s="14" t="s">
        <v>124</v>
      </c>
      <c r="Q76" s="14" t="s">
        <v>124</v>
      </c>
      <c r="R76" s="14" t="s">
        <v>124</v>
      </c>
      <c r="S76" s="14" t="s">
        <v>124</v>
      </c>
      <c r="T76" s="14" t="s">
        <v>124</v>
      </c>
      <c r="U76" s="14" t="s">
        <v>124</v>
      </c>
      <c r="V76" s="14" t="s">
        <v>124</v>
      </c>
      <c r="W76" s="15"/>
      <c r="X76" s="2"/>
    </row>
    <row r="77" spans="1:24" ht="12.75" customHeight="1" x14ac:dyDescent="0.2">
      <c r="B77" s="88">
        <f>B9</f>
        <v>2014</v>
      </c>
      <c r="C77" s="4">
        <f>C9</f>
        <v>2015</v>
      </c>
      <c r="D77" s="4">
        <f t="shared" ref="D77:J77" si="54">D9</f>
        <v>2016</v>
      </c>
      <c r="E77" s="4">
        <f t="shared" si="54"/>
        <v>2017</v>
      </c>
      <c r="F77" s="4">
        <f t="shared" si="54"/>
        <v>2018</v>
      </c>
      <c r="G77" s="4">
        <f t="shared" si="54"/>
        <v>2019</v>
      </c>
      <c r="H77" s="4">
        <f t="shared" si="54"/>
        <v>2020</v>
      </c>
      <c r="I77" s="4">
        <f t="shared" si="54"/>
        <v>2021</v>
      </c>
      <c r="J77" s="4">
        <f t="shared" si="54"/>
        <v>2022</v>
      </c>
      <c r="K77" s="16" t="s">
        <v>23</v>
      </c>
      <c r="L77" s="2"/>
      <c r="N77" s="98">
        <f>B9</f>
        <v>2014</v>
      </c>
      <c r="O77" s="4">
        <f t="shared" ref="O77:V77" si="55">C9</f>
        <v>2015</v>
      </c>
      <c r="P77" s="4">
        <f t="shared" si="55"/>
        <v>2016</v>
      </c>
      <c r="Q77" s="4">
        <f t="shared" si="55"/>
        <v>2017</v>
      </c>
      <c r="R77" s="4">
        <f t="shared" si="55"/>
        <v>2018</v>
      </c>
      <c r="S77" s="4">
        <f t="shared" si="55"/>
        <v>2019</v>
      </c>
      <c r="T77" s="4">
        <f t="shared" si="55"/>
        <v>2020</v>
      </c>
      <c r="U77" s="4">
        <f t="shared" si="55"/>
        <v>2021</v>
      </c>
      <c r="V77" s="4">
        <f t="shared" si="55"/>
        <v>2022</v>
      </c>
      <c r="W77" s="16" t="s">
        <v>3</v>
      </c>
      <c r="X77" s="2"/>
    </row>
    <row r="78" spans="1:24" ht="12.75" customHeight="1" x14ac:dyDescent="0.2">
      <c r="A78" s="191" t="str">
        <f>Historical!A74</f>
        <v>Operating Sales and Revenues:</v>
      </c>
      <c r="B78" s="85"/>
      <c r="C78" s="2"/>
      <c r="D78" s="2"/>
      <c r="E78" s="2"/>
      <c r="F78" s="2"/>
      <c r="G78" s="2"/>
      <c r="H78" s="2"/>
      <c r="I78" s="2"/>
      <c r="J78" s="2"/>
      <c r="K78" s="5"/>
      <c r="L78" s="2"/>
      <c r="M78" s="52" t="str">
        <f>A78</f>
        <v>Operating Sales and Revenues:</v>
      </c>
      <c r="N78" s="91"/>
      <c r="O78" s="5"/>
      <c r="P78" s="5"/>
      <c r="Q78" s="5"/>
      <c r="R78" s="5"/>
      <c r="S78" s="5"/>
      <c r="T78" s="5"/>
      <c r="U78" s="5"/>
      <c r="V78" s="5"/>
      <c r="W78" s="5"/>
      <c r="X78" s="2"/>
    </row>
    <row r="79" spans="1:24" ht="12.75" customHeight="1" x14ac:dyDescent="0.2">
      <c r="A79" s="52" t="str">
        <f>Historical!A75</f>
        <v>Revenues</v>
      </c>
      <c r="B79" s="77">
        <f>Historical!P75</f>
        <v>5252</v>
      </c>
      <c r="C79" s="2">
        <f>(1+Assumptions!$C$61)*Forecast!B79</f>
        <v>5383.4497477601308</v>
      </c>
      <c r="D79" s="2">
        <f>(1+Assumptions!$C$61)*Forecast!C79</f>
        <v>5518.1894871779541</v>
      </c>
      <c r="E79" s="2">
        <f>(1+Assumptions!$C$61)*Forecast!D79</f>
        <v>5656.3015618508689</v>
      </c>
      <c r="F79" s="2">
        <f>(1+Assumptions!$C$61)*Forecast!E79</f>
        <v>5797.8703763140311</v>
      </c>
      <c r="G79" s="2">
        <f>(1+Assumptions!$C$61)*Forecast!F79</f>
        <v>5942.982447622564</v>
      </c>
      <c r="H79" s="2">
        <f>(1+Assumptions!$C$61)*Forecast!G79</f>
        <v>6091.7264582247863</v>
      </c>
      <c r="I79" s="2">
        <f>(1+Assumptions!$C$61)*Forecast!H79</f>
        <v>6244.1933101587847</v>
      </c>
      <c r="J79" s="2">
        <f>(1+Assumptions!$C$61)*Forecast!I79</f>
        <v>6400.4761806054466</v>
      </c>
      <c r="K79" s="5">
        <f>RATE(8,,-B79,J79)</f>
        <v>2.5028512520981122E-2</v>
      </c>
      <c r="L79" s="2"/>
      <c r="M79" s="52" t="str">
        <f t="shared" ref="M79:M105" si="56">A79</f>
        <v>Revenues</v>
      </c>
      <c r="N79" s="90">
        <f t="shared" ref="N79:V80" si="57">B79/B$80</f>
        <v>1</v>
      </c>
      <c r="O79" s="95">
        <f t="shared" si="57"/>
        <v>1</v>
      </c>
      <c r="P79" s="18">
        <f t="shared" si="57"/>
        <v>1</v>
      </c>
      <c r="Q79" s="18">
        <f t="shared" si="57"/>
        <v>1</v>
      </c>
      <c r="R79" s="18">
        <f t="shared" si="57"/>
        <v>1</v>
      </c>
      <c r="S79" s="18">
        <f t="shared" si="57"/>
        <v>1</v>
      </c>
      <c r="T79" s="18">
        <f t="shared" si="57"/>
        <v>1</v>
      </c>
      <c r="U79" s="18">
        <f t="shared" si="57"/>
        <v>1</v>
      </c>
      <c r="V79" s="18">
        <f t="shared" si="57"/>
        <v>1</v>
      </c>
      <c r="W79" s="18">
        <f>SUM(C79:J79)/SUM(C$80:J$80)</f>
        <v>1</v>
      </c>
      <c r="X79" s="2"/>
    </row>
    <row r="80" spans="1:24" ht="12.75" customHeight="1" x14ac:dyDescent="0.2">
      <c r="A80" s="191" t="str">
        <f>Historical!A76</f>
        <v>Total Revenues</v>
      </c>
      <c r="B80" s="261">
        <f>B79</f>
        <v>5252</v>
      </c>
      <c r="C80" s="216">
        <f t="shared" ref="C80:J80" si="58">SUM(C78:C79)</f>
        <v>5383.4497477601308</v>
      </c>
      <c r="D80" s="216">
        <f t="shared" si="58"/>
        <v>5518.1894871779541</v>
      </c>
      <c r="E80" s="216">
        <f t="shared" si="58"/>
        <v>5656.3015618508689</v>
      </c>
      <c r="F80" s="216">
        <f t="shared" si="58"/>
        <v>5797.8703763140311</v>
      </c>
      <c r="G80" s="216">
        <f t="shared" si="58"/>
        <v>5942.982447622564</v>
      </c>
      <c r="H80" s="216">
        <f t="shared" si="58"/>
        <v>6091.7264582247863</v>
      </c>
      <c r="I80" s="216">
        <f t="shared" si="58"/>
        <v>6244.1933101587847</v>
      </c>
      <c r="J80" s="216">
        <f t="shared" si="58"/>
        <v>6400.4761806054466</v>
      </c>
      <c r="K80" s="199">
        <f>RATE(8,,-B80,J80)</f>
        <v>2.5028512520981122E-2</v>
      </c>
      <c r="L80" s="191"/>
      <c r="M80" s="52" t="str">
        <f t="shared" si="56"/>
        <v>Total Revenues</v>
      </c>
      <c r="N80" s="91">
        <f t="shared" si="57"/>
        <v>1</v>
      </c>
      <c r="O80" s="93">
        <f t="shared" si="57"/>
        <v>1</v>
      </c>
      <c r="P80" s="17">
        <f t="shared" si="57"/>
        <v>1</v>
      </c>
      <c r="Q80" s="17">
        <f t="shared" si="57"/>
        <v>1</v>
      </c>
      <c r="R80" s="17">
        <f t="shared" si="57"/>
        <v>1</v>
      </c>
      <c r="S80" s="17">
        <f t="shared" si="57"/>
        <v>1</v>
      </c>
      <c r="T80" s="17">
        <f t="shared" si="57"/>
        <v>1</v>
      </c>
      <c r="U80" s="17">
        <f t="shared" si="57"/>
        <v>1</v>
      </c>
      <c r="V80" s="17">
        <f t="shared" si="57"/>
        <v>1</v>
      </c>
      <c r="W80" s="17">
        <f>SUM(C80:J80)/SUM(C$80:J$80)</f>
        <v>1</v>
      </c>
      <c r="X80" s="2"/>
    </row>
    <row r="81" spans="1:24" ht="12.75" customHeight="1" x14ac:dyDescent="0.2">
      <c r="B81" s="77"/>
      <c r="C81" s="2"/>
      <c r="D81" s="2"/>
      <c r="E81" s="2"/>
      <c r="F81" s="2"/>
      <c r="G81" s="2"/>
      <c r="H81" s="2"/>
      <c r="I81" s="2"/>
      <c r="J81" s="2"/>
      <c r="K81" s="5"/>
      <c r="L81" s="2"/>
      <c r="N81" s="90"/>
      <c r="O81" s="5"/>
      <c r="P81" s="5"/>
      <c r="Q81" s="5"/>
      <c r="R81" s="5"/>
      <c r="S81" s="5"/>
      <c r="T81" s="5"/>
      <c r="U81" s="5"/>
      <c r="V81" s="5"/>
      <c r="W81" s="5"/>
      <c r="X81" s="2"/>
    </row>
    <row r="82" spans="1:24" ht="12.75" customHeight="1" x14ac:dyDescent="0.2">
      <c r="A82" s="52" t="str">
        <f>Historical!A78</f>
        <v>Operating Expenses:</v>
      </c>
      <c r="B82" s="77"/>
      <c r="C82" s="2"/>
      <c r="D82" s="2"/>
      <c r="E82" s="2"/>
      <c r="F82" s="2"/>
      <c r="G82" s="2"/>
      <c r="H82" s="2"/>
      <c r="I82" s="2"/>
      <c r="J82" s="2"/>
      <c r="K82" s="5"/>
      <c r="L82" s="2"/>
      <c r="M82" s="52" t="str">
        <f t="shared" si="56"/>
        <v>Operating Expenses:</v>
      </c>
      <c r="N82" s="90"/>
      <c r="O82" s="95"/>
      <c r="P82" s="18"/>
      <c r="Q82" s="18"/>
      <c r="R82" s="18"/>
      <c r="S82" s="18"/>
      <c r="T82" s="18"/>
      <c r="U82" s="18"/>
      <c r="V82" s="18"/>
      <c r="W82" s="5"/>
      <c r="X82" s="2"/>
    </row>
    <row r="83" spans="1:24" ht="12.75" customHeight="1" x14ac:dyDescent="0.2">
      <c r="A83" s="52" t="str">
        <f>Historical!A79</f>
        <v>Energy Costs</v>
      </c>
      <c r="B83" s="77">
        <f>Historical!P79</f>
        <v>1997</v>
      </c>
      <c r="C83" s="2">
        <f>(1+Assumptions!$C$65)*Forecast!B83</f>
        <v>2046.9249999999997</v>
      </c>
      <c r="D83" s="2">
        <f>(1+Assumptions!$C$65)*Forecast!C83</f>
        <v>2098.0981249999995</v>
      </c>
      <c r="E83" s="2">
        <f>(1+Assumptions!$C$65)*Forecast!D83</f>
        <v>2150.5505781249994</v>
      </c>
      <c r="F83" s="2">
        <f>(1+Assumptions!$C$65)*Forecast!E83</f>
        <v>2204.3143425781241</v>
      </c>
      <c r="G83" s="2">
        <f>(1+Assumptions!$C$65)*Forecast!F83</f>
        <v>2259.4222011425768</v>
      </c>
      <c r="H83" s="2">
        <f>(1+Assumptions!$C$65)*Forecast!G83</f>
        <v>2315.907756171141</v>
      </c>
      <c r="I83" s="2">
        <f>(1+Assumptions!$C$65)*Forecast!H83</f>
        <v>2373.8054500754192</v>
      </c>
      <c r="J83" s="2">
        <f>(1+Assumptions!$C$65)*Forecast!I83</f>
        <v>2433.1505863273046</v>
      </c>
      <c r="K83" s="5">
        <f>RATE(8,,-B83,J83)</f>
        <v>2.5000000000011728E-2</v>
      </c>
      <c r="L83" s="2"/>
      <c r="M83" s="52" t="str">
        <f t="shared" si="56"/>
        <v>Energy Costs</v>
      </c>
      <c r="N83" s="90">
        <f t="shared" ref="N83:V89" si="59">B83/B$80</f>
        <v>0.38023610053313023</v>
      </c>
      <c r="O83" s="95">
        <f t="shared" si="59"/>
        <v>0.38022552376413565</v>
      </c>
      <c r="P83" s="18">
        <f t="shared" si="59"/>
        <v>0.3802149472893479</v>
      </c>
      <c r="Q83" s="18">
        <f t="shared" si="59"/>
        <v>0.38020437110875877</v>
      </c>
      <c r="R83" s="18">
        <f t="shared" si="59"/>
        <v>0.38019379522236002</v>
      </c>
      <c r="S83" s="18">
        <f t="shared" si="59"/>
        <v>0.38018321963014345</v>
      </c>
      <c r="T83" s="18">
        <f t="shared" si="59"/>
        <v>0.38017264433210102</v>
      </c>
      <c r="U83" s="18">
        <f t="shared" si="59"/>
        <v>0.38016206932822444</v>
      </c>
      <c r="V83" s="18">
        <f t="shared" si="59"/>
        <v>0.38015149461850556</v>
      </c>
      <c r="W83" s="18">
        <f t="shared" ref="W83:W89" si="60">SUM(C83:J83)/SUM(C$80:J$80)</f>
        <v>0.38018713654624448</v>
      </c>
      <c r="X83" s="2"/>
    </row>
    <row r="84" spans="1:24" ht="12.75" customHeight="1" x14ac:dyDescent="0.2">
      <c r="A84" s="52" t="str">
        <f>Historical!A80</f>
        <v>Other operations and maintenance</v>
      </c>
      <c r="B84" s="77">
        <f>Historical!P80</f>
        <v>1057</v>
      </c>
      <c r="C84" s="2">
        <f>B84*(1+Assumptions!$C$66)</f>
        <v>1083.425</v>
      </c>
      <c r="D84" s="2">
        <f>C84*(1+Assumptions!$C$66)</f>
        <v>1110.5106249999999</v>
      </c>
      <c r="E84" s="2">
        <f>D84*(1+Assumptions!$C$66)</f>
        <v>1138.2733906249998</v>
      </c>
      <c r="F84" s="2">
        <f>E84*(1+Assumptions!$C$66)</f>
        <v>1166.7302253906248</v>
      </c>
      <c r="G84" s="2">
        <f>F84*(1+Assumptions!$C$66)</f>
        <v>1195.8984810253903</v>
      </c>
      <c r="H84" s="2">
        <f>G84*(1+Assumptions!$C$66)</f>
        <v>1225.795943051025</v>
      </c>
      <c r="I84" s="2">
        <f>H84*(1+Assumptions!$C$66)</f>
        <v>1256.4408416273004</v>
      </c>
      <c r="J84" s="2">
        <f>I84*(1+Assumptions!$C$66)</f>
        <v>1287.8518626679829</v>
      </c>
      <c r="K84" s="5">
        <f>RATE(8,,-B84,J84)</f>
        <v>2.5000000000011804E-2</v>
      </c>
      <c r="L84" s="2"/>
      <c r="M84" s="52" t="str">
        <f t="shared" si="56"/>
        <v>Other operations and maintenance</v>
      </c>
      <c r="N84" s="90">
        <f t="shared" si="59"/>
        <v>0.20125666412795126</v>
      </c>
      <c r="O84" s="95">
        <f t="shared" si="59"/>
        <v>0.20125106590820802</v>
      </c>
      <c r="P84" s="18">
        <f t="shared" si="59"/>
        <v>0.20124546784418668</v>
      </c>
      <c r="Q84" s="18">
        <f t="shared" si="59"/>
        <v>0.20123986993588283</v>
      </c>
      <c r="R84" s="18">
        <f t="shared" si="59"/>
        <v>0.20123427218329226</v>
      </c>
      <c r="S84" s="18">
        <f t="shared" si="59"/>
        <v>0.2012286745864105</v>
      </c>
      <c r="T84" s="18">
        <f t="shared" si="59"/>
        <v>0.2012230771452333</v>
      </c>
      <c r="U84" s="18">
        <f t="shared" si="59"/>
        <v>0.20121747985975633</v>
      </c>
      <c r="V84" s="18">
        <f t="shared" si="59"/>
        <v>0.20121188272997523</v>
      </c>
      <c r="W84" s="18">
        <f t="shared" si="60"/>
        <v>0.20123074778636979</v>
      </c>
      <c r="X84" s="2"/>
    </row>
    <row r="85" spans="1:24" ht="12.75" customHeight="1" x14ac:dyDescent="0.2">
      <c r="A85" s="52" t="str">
        <f>Historical!A81</f>
        <v>Depreciation and amortization</v>
      </c>
      <c r="B85" s="77">
        <f>Historical!P81</f>
        <v>726</v>
      </c>
      <c r="C85" s="2">
        <f>Assumptions!$C$67*Forecast!C20</f>
        <v>705.97182945718271</v>
      </c>
      <c r="D85" s="2">
        <f>Assumptions!$C$67*Forecast!D20</f>
        <v>720.10736927559924</v>
      </c>
      <c r="E85" s="2">
        <f>Assumptions!$C$67*Forecast!E20</f>
        <v>734.52594232228444</v>
      </c>
      <c r="F85" s="2">
        <f>Assumptions!$C$67*Forecast!F20</f>
        <v>751.0716248922356</v>
      </c>
      <c r="G85" s="2">
        <f>Assumptions!$C$67*Forecast!G20</f>
        <v>767.99000990321963</v>
      </c>
      <c r="H85" s="2">
        <f>Assumptions!$C$67*Forecast!H20</f>
        <v>785.28949272417765</v>
      </c>
      <c r="I85" s="2">
        <f>Assumptions!$C$67*Forecast!I20</f>
        <v>802.97865783528709</v>
      </c>
      <c r="J85" s="2">
        <f>Assumptions!$C$67*Forecast!J20</f>
        <v>821.06628308781865</v>
      </c>
      <c r="K85" s="5">
        <f>RATE(8,,-B85,J85)</f>
        <v>1.5500635911433016E-2</v>
      </c>
      <c r="L85" s="2"/>
      <c r="M85" s="52" t="str">
        <f t="shared" si="56"/>
        <v>Depreciation and amortization</v>
      </c>
      <c r="N85" s="90">
        <f t="shared" si="59"/>
        <v>0.13823305407463823</v>
      </c>
      <c r="O85" s="95">
        <f t="shared" si="59"/>
        <v>0.13113744207437125</v>
      </c>
      <c r="P85" s="18">
        <f t="shared" si="59"/>
        <v>0.1304970354767335</v>
      </c>
      <c r="Q85" s="18">
        <f t="shared" si="59"/>
        <v>0.12985975628957291</v>
      </c>
      <c r="R85" s="18">
        <f t="shared" si="59"/>
        <v>0.12954267276491371</v>
      </c>
      <c r="S85" s="18">
        <f t="shared" si="59"/>
        <v>0.12922636347520208</v>
      </c>
      <c r="T85" s="18">
        <f t="shared" si="59"/>
        <v>0.12891082652995911</v>
      </c>
      <c r="U85" s="18">
        <f t="shared" si="59"/>
        <v>0.12859606004332175</v>
      </c>
      <c r="V85" s="18">
        <f t="shared" si="59"/>
        <v>0.12828206213403184</v>
      </c>
      <c r="W85" s="18">
        <f t="shared" si="60"/>
        <v>0.12945629145329191</v>
      </c>
      <c r="X85" s="2"/>
    </row>
    <row r="86" spans="1:24" ht="12.75" customHeight="1" x14ac:dyDescent="0.2">
      <c r="A86" s="52" t="str">
        <f>Historical!A82</f>
        <v>Taxes, other than income taxes</v>
      </c>
      <c r="B86" s="77">
        <f>Historical!P82</f>
        <v>172</v>
      </c>
      <c r="C86" s="2">
        <f>C28*Assumptions!$C$68</f>
        <v>168.71378428916003</v>
      </c>
      <c r="D86" s="2">
        <f>D28*Assumptions!$C$68</f>
        <v>169.54496501353557</v>
      </c>
      <c r="E86" s="2">
        <f>E28*Assumptions!$C$68</f>
        <v>172.18548967624628</v>
      </c>
      <c r="F86" s="2">
        <f>F28*Assumptions!$C$68</f>
        <v>177.0497808698272</v>
      </c>
      <c r="G86" s="2">
        <f>G28*Assumptions!$C$68</f>
        <v>181.08444540619061</v>
      </c>
      <c r="H86" s="2">
        <f>H28*Assumptions!$C$68</f>
        <v>184.29039956180884</v>
      </c>
      <c r="I86" s="2">
        <f>I28*Assumptions!$C$68</f>
        <v>187.55339258692683</v>
      </c>
      <c r="J86" s="2">
        <f>J28*Assumptions!$C$68</f>
        <v>190.87436743955092</v>
      </c>
      <c r="K86" s="5">
        <f>RATE(8,,-B86,J86)</f>
        <v>1.3100186929365544E-2</v>
      </c>
      <c r="L86" s="2"/>
      <c r="M86" s="52" t="str">
        <f t="shared" si="56"/>
        <v>Taxes, other than income taxes</v>
      </c>
      <c r="N86" s="90">
        <f t="shared" si="59"/>
        <v>3.2749428789032753E-2</v>
      </c>
      <c r="O86" s="95">
        <f t="shared" si="59"/>
        <v>3.1339344136973889E-2</v>
      </c>
      <c r="P86" s="18">
        <f t="shared" si="59"/>
        <v>3.072474502868915E-2</v>
      </c>
      <c r="Q86" s="18">
        <f t="shared" si="59"/>
        <v>3.0441356033341214E-2</v>
      </c>
      <c r="R86" s="18">
        <f t="shared" si="59"/>
        <v>3.0537036770108987E-2</v>
      </c>
      <c r="S86" s="18">
        <f t="shared" si="59"/>
        <v>3.0470297868477096E-2</v>
      </c>
      <c r="T86" s="18">
        <f t="shared" si="59"/>
        <v>3.0252573030916038E-2</v>
      </c>
      <c r="U86" s="18">
        <f t="shared" si="59"/>
        <v>3.0036448788635838E-2</v>
      </c>
      <c r="V86" s="18">
        <f t="shared" si="59"/>
        <v>2.9821901066975826E-2</v>
      </c>
      <c r="W86" s="18">
        <f t="shared" si="60"/>
        <v>3.0430336051304917E-2</v>
      </c>
      <c r="X86" s="2"/>
    </row>
    <row r="87" spans="1:24" ht="12.75" hidden="1" customHeight="1" x14ac:dyDescent="0.2">
      <c r="A87" s="52" t="str">
        <f>Historical!A83</f>
        <v>Other Operating Expenses</v>
      </c>
      <c r="B87" s="77">
        <f>Historical!K83</f>
        <v>0</v>
      </c>
      <c r="C87" s="2">
        <f>B87*(1+Assumptions!$C$16)</f>
        <v>0</v>
      </c>
      <c r="D87" s="2">
        <f>C87*(1+Assumptions!$C$16)</f>
        <v>0</v>
      </c>
      <c r="E87" s="2">
        <f>D87*(1+Assumptions!$C$16)</f>
        <v>0</v>
      </c>
      <c r="F87" s="2">
        <f>E87*(1+Assumptions!$C$16)</f>
        <v>0</v>
      </c>
      <c r="G87" s="2">
        <f>F87*(1+Assumptions!$C$16)</f>
        <v>0</v>
      </c>
      <c r="H87" s="2">
        <f>G87*(1+Assumptions!$C$16)</f>
        <v>0</v>
      </c>
      <c r="I87" s="2">
        <f>H87*(1+Assumptions!$C$16)</f>
        <v>0</v>
      </c>
      <c r="J87" s="2">
        <f>I87*(1+Assumptions!$C$16)</f>
        <v>0</v>
      </c>
      <c r="K87" s="5"/>
      <c r="L87" s="2"/>
      <c r="M87" s="52" t="str">
        <f t="shared" si="56"/>
        <v>Other Operating Expenses</v>
      </c>
      <c r="N87" s="90">
        <f t="shared" si="59"/>
        <v>0</v>
      </c>
      <c r="O87" s="95">
        <f t="shared" si="59"/>
        <v>0</v>
      </c>
      <c r="P87" s="18">
        <f t="shared" si="59"/>
        <v>0</v>
      </c>
      <c r="Q87" s="18">
        <f t="shared" si="59"/>
        <v>0</v>
      </c>
      <c r="R87" s="18">
        <f t="shared" si="59"/>
        <v>0</v>
      </c>
      <c r="S87" s="18">
        <f t="shared" si="59"/>
        <v>0</v>
      </c>
      <c r="T87" s="18">
        <f t="shared" si="59"/>
        <v>0</v>
      </c>
      <c r="U87" s="18">
        <f t="shared" si="59"/>
        <v>0</v>
      </c>
      <c r="V87" s="18">
        <f t="shared" si="59"/>
        <v>0</v>
      </c>
      <c r="W87" s="18">
        <f t="shared" si="60"/>
        <v>0</v>
      </c>
      <c r="X87" s="2"/>
    </row>
    <row r="88" spans="1:24" ht="12.75" customHeight="1" x14ac:dyDescent="0.2">
      <c r="A88" s="52" t="str">
        <f>Historical!A84</f>
        <v>Total Operating Expenses</v>
      </c>
      <c r="B88" s="85">
        <f>SUM(B83:B87)</f>
        <v>3952</v>
      </c>
      <c r="C88" s="20">
        <f>(3982.5+4036.6)/2</f>
        <v>4009.55</v>
      </c>
      <c r="D88" s="20">
        <f t="shared" ref="D88:J88" si="61">SUM(D82:D87)</f>
        <v>4098.2610842891336</v>
      </c>
      <c r="E88" s="20">
        <f t="shared" si="61"/>
        <v>4195.5354007485294</v>
      </c>
      <c r="F88" s="20">
        <f t="shared" si="61"/>
        <v>4299.1659737308119</v>
      </c>
      <c r="G88" s="20">
        <f t="shared" si="61"/>
        <v>4404.3951374773769</v>
      </c>
      <c r="H88" s="20">
        <f t="shared" si="61"/>
        <v>4511.2835915081523</v>
      </c>
      <c r="I88" s="20">
        <f t="shared" si="61"/>
        <v>4620.7783421249333</v>
      </c>
      <c r="J88" s="20">
        <f t="shared" si="61"/>
        <v>4732.9430995226567</v>
      </c>
      <c r="K88" s="17">
        <f>RATE(8,,-B88,J88)</f>
        <v>2.2796641822365064E-2</v>
      </c>
      <c r="L88" s="2"/>
      <c r="M88" s="52" t="str">
        <f t="shared" si="56"/>
        <v>Total Operating Expenses</v>
      </c>
      <c r="N88" s="134">
        <f t="shared" si="59"/>
        <v>0.75247524752475248</v>
      </c>
      <c r="O88" s="96">
        <f t="shared" si="59"/>
        <v>0.74479194343148403</v>
      </c>
      <c r="P88" s="97">
        <f t="shared" si="59"/>
        <v>0.7426821956389571</v>
      </c>
      <c r="Q88" s="97">
        <f t="shared" si="59"/>
        <v>0.74174535336755554</v>
      </c>
      <c r="R88" s="97">
        <f t="shared" si="59"/>
        <v>0.74150777694067493</v>
      </c>
      <c r="S88" s="97">
        <f t="shared" si="59"/>
        <v>0.74110855556023303</v>
      </c>
      <c r="T88" s="97">
        <f t="shared" si="59"/>
        <v>0.74055912103820942</v>
      </c>
      <c r="U88" s="97">
        <f t="shared" si="59"/>
        <v>0.7400120580199383</v>
      </c>
      <c r="V88" s="97">
        <f t="shared" si="59"/>
        <v>0.73946734054948837</v>
      </c>
      <c r="W88" s="97">
        <f t="shared" si="60"/>
        <v>0.74140049074778747</v>
      </c>
      <c r="X88" s="2"/>
    </row>
    <row r="89" spans="1:24" ht="12.75" customHeight="1" x14ac:dyDescent="0.2">
      <c r="A89" s="52" t="str">
        <f>Historical!A85</f>
        <v>Earnings From Operations</v>
      </c>
      <c r="B89" s="85">
        <f t="shared" ref="B89:J89" si="62">B80-B88</f>
        <v>1300</v>
      </c>
      <c r="C89" s="20">
        <f t="shared" si="62"/>
        <v>1373.8997477601306</v>
      </c>
      <c r="D89" s="20">
        <f t="shared" si="62"/>
        <v>1419.9284028888205</v>
      </c>
      <c r="E89" s="20">
        <f t="shared" si="62"/>
        <v>1460.7661611023395</v>
      </c>
      <c r="F89" s="20">
        <f t="shared" si="62"/>
        <v>1498.7044025832192</v>
      </c>
      <c r="G89" s="20">
        <f t="shared" si="62"/>
        <v>1538.5873101451871</v>
      </c>
      <c r="H89" s="20">
        <f t="shared" si="62"/>
        <v>1580.4428667166339</v>
      </c>
      <c r="I89" s="20">
        <f t="shared" si="62"/>
        <v>1623.4149680338514</v>
      </c>
      <c r="J89" s="20">
        <f t="shared" si="62"/>
        <v>1667.53308108279</v>
      </c>
      <c r="K89" s="17">
        <f>RATE(8,,-B89,J89)</f>
        <v>3.1612006949092719E-2</v>
      </c>
      <c r="L89" s="2"/>
      <c r="M89" s="52" t="str">
        <f t="shared" si="56"/>
        <v>Earnings From Operations</v>
      </c>
      <c r="N89" s="91">
        <f t="shared" si="59"/>
        <v>0.24752475247524752</v>
      </c>
      <c r="O89" s="93">
        <f t="shared" si="59"/>
        <v>0.25520805656851597</v>
      </c>
      <c r="P89" s="17">
        <f t="shared" si="59"/>
        <v>0.2573178043610429</v>
      </c>
      <c r="Q89" s="17">
        <f t="shared" si="59"/>
        <v>0.25825464663244441</v>
      </c>
      <c r="R89" s="17">
        <f t="shared" si="59"/>
        <v>0.25849222305932501</v>
      </c>
      <c r="S89" s="17">
        <f t="shared" si="59"/>
        <v>0.25889144443976692</v>
      </c>
      <c r="T89" s="17">
        <f t="shared" si="59"/>
        <v>0.25944087896179058</v>
      </c>
      <c r="U89" s="17">
        <f t="shared" si="59"/>
        <v>0.2599879419800617</v>
      </c>
      <c r="V89" s="17">
        <f t="shared" si="59"/>
        <v>0.26053265945051157</v>
      </c>
      <c r="W89" s="17">
        <f t="shared" si="60"/>
        <v>0.25859950925221259</v>
      </c>
      <c r="X89" s="2"/>
    </row>
    <row r="90" spans="1:24" ht="12.75" customHeight="1" x14ac:dyDescent="0.2">
      <c r="B90" s="77"/>
      <c r="C90" s="2"/>
      <c r="D90" s="2"/>
      <c r="E90" s="2"/>
      <c r="F90" s="2"/>
      <c r="G90" s="2"/>
      <c r="H90" s="2"/>
      <c r="I90" s="2"/>
      <c r="J90" s="2"/>
      <c r="K90" s="5"/>
      <c r="L90" s="2"/>
      <c r="N90" s="90"/>
      <c r="O90" s="95"/>
      <c r="P90" s="18"/>
      <c r="Q90" s="18"/>
      <c r="R90" s="18"/>
      <c r="S90" s="18"/>
      <c r="T90" s="18"/>
      <c r="U90" s="18"/>
      <c r="V90" s="18"/>
      <c r="W90" s="18"/>
      <c r="X90" s="2"/>
    </row>
    <row r="91" spans="1:24" ht="12.75" customHeight="1" x14ac:dyDescent="0.2">
      <c r="A91" s="52" t="str">
        <f>Historical!A87</f>
        <v>Interest expense (net)</v>
      </c>
      <c r="B91" s="77">
        <f>Historical!P87</f>
        <v>354</v>
      </c>
      <c r="C91" s="2">
        <f>AVERAGE(B43:C43)*Assumptions!$C$6+(AVERAGE(Forecast!B42:C42)+AVERAGE(Forecast!B50:C50))*Assumptions!$C$73</f>
        <v>372.44372951547012</v>
      </c>
      <c r="D91" s="2">
        <f ca="1">AVERAGE(C43:D43)*Assumptions!$C$6+(AVERAGE(Forecast!C42:D42)+AVERAGE(Forecast!C50:D50))*Assumptions!$C$73</f>
        <v>370.44488318840519</v>
      </c>
      <c r="E91" s="2">
        <f ca="1">AVERAGE(D43:E43)*Assumptions!$C$6+(AVERAGE(Forecast!D42:E42)+AVERAGE(Forecast!D50:E50))*Assumptions!$C$73</f>
        <v>360.06685953280453</v>
      </c>
      <c r="F91" s="2">
        <f ca="1">AVERAGE(E43:F43)*Assumptions!$C$6+(AVERAGE(Forecast!E42:F42)+AVERAGE(Forecast!E50:F50))*Assumptions!$C$73</f>
        <v>348.14708364295365</v>
      </c>
      <c r="G91" s="2">
        <f ca="1">AVERAGE(F43:G43)*Assumptions!$C$6+(AVERAGE(Forecast!F42:G42)+AVERAGE(Forecast!F50:G50))*Assumptions!$C$73</f>
        <v>336.64704968453498</v>
      </c>
      <c r="H91" s="2">
        <f ca="1">AVERAGE(G43:H43)*Assumptions!$C$6+(AVERAGE(Forecast!G42:H42)+AVERAGE(Forecast!G50:H50))*Assumptions!$C$73</f>
        <v>325.52205742357035</v>
      </c>
      <c r="I91" s="2">
        <f ca="1">AVERAGE(H43:I43)*Assumptions!$C$6+(AVERAGE(Forecast!H42:I42)+AVERAGE(Forecast!H50:I50))*Assumptions!$C$73</f>
        <v>314.76792181237181</v>
      </c>
      <c r="J91" s="2">
        <f ca="1">AVERAGE(I43:J43)*Assumptions!$C$6+(AVERAGE(Forecast!I42:J42)+AVERAGE(Forecast!I50:J50))*Assumptions!$C$73</f>
        <v>304.38090396347064</v>
      </c>
      <c r="K91" s="5">
        <f ca="1">RATE(8,,-B91,J91)</f>
        <v>-1.8700070693129598E-2</v>
      </c>
      <c r="L91" s="2"/>
      <c r="M91" s="52" t="str">
        <f t="shared" si="56"/>
        <v>Interest expense (net)</v>
      </c>
      <c r="N91" s="90">
        <f t="shared" ref="N91:V94" si="63">B91/B$80</f>
        <v>6.7402894135567409E-2</v>
      </c>
      <c r="O91" s="95">
        <f t="shared" si="63"/>
        <v>6.9183097635569318E-2</v>
      </c>
      <c r="P91" s="18">
        <f t="shared" ca="1" si="63"/>
        <v>6.7131598878430981E-2</v>
      </c>
      <c r="Q91" s="18">
        <f t="shared" ca="1" si="63"/>
        <v>6.3657649012437478E-2</v>
      </c>
      <c r="R91" s="18">
        <f t="shared" ca="1" si="63"/>
        <v>6.0047407245466311E-2</v>
      </c>
      <c r="S91" s="18">
        <f t="shared" ca="1" si="63"/>
        <v>5.6646145710763048E-2</v>
      </c>
      <c r="T91" s="18">
        <f t="shared" ca="1" si="63"/>
        <v>5.343674895054825E-2</v>
      </c>
      <c r="U91" s="18">
        <f t="shared" ca="1" si="63"/>
        <v>5.0409701650374998E-2</v>
      </c>
      <c r="V91" s="18">
        <f t="shared" ca="1" si="63"/>
        <v>4.7555977926423285E-2</v>
      </c>
      <c r="W91" s="5">
        <f t="shared" ref="W91:W96" ca="1" si="64">SUM(C91:J91)/SUM(C$80:J$80)</f>
        <v>5.8093111003914316E-2</v>
      </c>
      <c r="X91" s="2"/>
    </row>
    <row r="92" spans="1:24" ht="12.75" customHeight="1" x14ac:dyDescent="0.2">
      <c r="A92" s="52" t="str">
        <f>Historical!A88</f>
        <v>Interest income</v>
      </c>
      <c r="B92" s="77">
        <f>Historical!P88</f>
        <v>-10</v>
      </c>
      <c r="C92" s="2">
        <f>-AVERAGE(B12:C12)*Assumptions!$C$7</f>
        <v>-0.37505528606417299</v>
      </c>
      <c r="D92" s="2">
        <f>-AVERAGE(C12:D12)*Assumptions!$C$7</f>
        <v>-0.52661936911174745</v>
      </c>
      <c r="E92" s="2">
        <f>-AVERAGE(D12:E12)*Assumptions!$C$7</f>
        <v>-0.53979986858534579</v>
      </c>
      <c r="F92" s="2">
        <f>-AVERAGE(E12:F12)*Assumptions!$C$7</f>
        <v>-0.55331025635505171</v>
      </c>
      <c r="G92" s="2">
        <f>-AVERAGE(F12:G12)*Assumptions!$C$7</f>
        <v>-0.56715878903421479</v>
      </c>
      <c r="H92" s="2">
        <f>-AVERAGE(G12:H12)*Assumptions!$C$7</f>
        <v>-0.58135392988693546</v>
      </c>
      <c r="I92" s="2">
        <f>-AVERAGE(H12:I12)*Assumptions!$C$7</f>
        <v>-0.59590435400022534</v>
      </c>
      <c r="J92" s="2">
        <f>-AVERAGE(I12:J12)*Assumptions!$C$7</f>
        <v>-0.61081895358562011</v>
      </c>
      <c r="K92" s="5">
        <f>RATE(8,,-B92,J92)</f>
        <v>-0.29491891672433074</v>
      </c>
      <c r="L92" s="2"/>
      <c r="M92" s="52" t="str">
        <f t="shared" si="56"/>
        <v>Interest income</v>
      </c>
      <c r="N92" s="90">
        <f t="shared" si="63"/>
        <v>-1.904036557501904E-3</v>
      </c>
      <c r="O92" s="95">
        <f t="shared" si="63"/>
        <v>-6.9668206008650986E-5</v>
      </c>
      <c r="P92" s="18">
        <f t="shared" si="63"/>
        <v>-9.5433360948441227E-5</v>
      </c>
      <c r="Q92" s="18">
        <f t="shared" si="63"/>
        <v>-9.5433360948441213E-5</v>
      </c>
      <c r="R92" s="18">
        <f t="shared" si="63"/>
        <v>-9.5433360948441227E-5</v>
      </c>
      <c r="S92" s="18">
        <f t="shared" si="63"/>
        <v>-9.5433360948441213E-5</v>
      </c>
      <c r="T92" s="18">
        <f t="shared" si="63"/>
        <v>-9.5433360948441227E-5</v>
      </c>
      <c r="U92" s="18">
        <f t="shared" si="63"/>
        <v>-9.5433360948441227E-5</v>
      </c>
      <c r="V92" s="18">
        <f t="shared" si="63"/>
        <v>-9.5433360948441227E-5</v>
      </c>
      <c r="W92" s="5">
        <f t="shared" si="64"/>
        <v>-9.2484389802996431E-5</v>
      </c>
      <c r="X92" s="2"/>
    </row>
    <row r="93" spans="1:24" ht="15" customHeight="1" x14ac:dyDescent="0.2">
      <c r="A93" s="52" t="str">
        <f>Historical!A89</f>
        <v>Loss (Gain) on Sale of Assets</v>
      </c>
      <c r="B93" s="77">
        <f>Historical!P89</f>
        <v>0</v>
      </c>
      <c r="C93" s="2">
        <f>Assumptions!$C$22</f>
        <v>0</v>
      </c>
      <c r="D93" s="2">
        <f>Assumptions!$C$22</f>
        <v>0</v>
      </c>
      <c r="E93" s="2">
        <f>Assumptions!$C$22</f>
        <v>0</v>
      </c>
      <c r="F93" s="2">
        <f>Assumptions!$C$22</f>
        <v>0</v>
      </c>
      <c r="G93" s="2">
        <f>Assumptions!$C$22</f>
        <v>0</v>
      </c>
      <c r="H93" s="2">
        <f>Assumptions!$C$22</f>
        <v>0</v>
      </c>
      <c r="I93" s="2">
        <f>Assumptions!$C$22</f>
        <v>0</v>
      </c>
      <c r="J93" s="2">
        <f>Assumptions!$C$22</f>
        <v>0</v>
      </c>
      <c r="K93" s="5"/>
      <c r="L93" s="2"/>
      <c r="M93" s="52" t="str">
        <f t="shared" si="56"/>
        <v>Loss (Gain) on Sale of Assets</v>
      </c>
      <c r="N93" s="90">
        <f t="shared" si="63"/>
        <v>0</v>
      </c>
      <c r="O93" s="95">
        <f t="shared" si="63"/>
        <v>0</v>
      </c>
      <c r="P93" s="18">
        <f t="shared" si="63"/>
        <v>0</v>
      </c>
      <c r="Q93" s="18">
        <f t="shared" si="63"/>
        <v>0</v>
      </c>
      <c r="R93" s="18">
        <f t="shared" si="63"/>
        <v>0</v>
      </c>
      <c r="S93" s="18">
        <f t="shared" si="63"/>
        <v>0</v>
      </c>
      <c r="T93" s="18">
        <f t="shared" si="63"/>
        <v>0</v>
      </c>
      <c r="U93" s="18">
        <f t="shared" si="63"/>
        <v>0</v>
      </c>
      <c r="V93" s="18">
        <f t="shared" si="63"/>
        <v>0</v>
      </c>
      <c r="W93" s="5">
        <f t="shared" si="64"/>
        <v>0</v>
      </c>
      <c r="X93" s="2"/>
    </row>
    <row r="94" spans="1:24" ht="28.5" customHeight="1" x14ac:dyDescent="0.2">
      <c r="A94" s="114" t="s">
        <v>186</v>
      </c>
      <c r="B94" s="77">
        <v>0</v>
      </c>
      <c r="C94" s="2">
        <f ca="1">((B13+C13)/2)*-Assumptions!$C$6+((B54+C54)/2)*Assumptions!$C$5</f>
        <v>8.7487431530489417</v>
      </c>
      <c r="D94" s="2">
        <f ca="1">((C13+D13)/2)*-Assumptions!$C$6+((C54+D54)/2)*Assumptions!$C$5</f>
        <v>22.907760555870201</v>
      </c>
      <c r="E94" s="2">
        <f ca="1">((D13+E13)/2)*-Assumptions!$C$6+((D54+E54)/2)*Assumptions!$C$5</f>
        <v>40.937939817652435</v>
      </c>
      <c r="F94" s="2">
        <f ca="1">((E13+F13)/2)*-Assumptions!$C$6+((E54+F54)/2)*Assumptions!$C$5</f>
        <v>70.600383939563471</v>
      </c>
      <c r="G94" s="2">
        <f ca="1">((F13+G13)/2)*-Assumptions!$C$6+((F54+G54)/2)*Assumptions!$C$5</f>
        <v>102.21060623459987</v>
      </c>
      <c r="H94" s="2">
        <f ca="1">((G13+H13)/2)*-Assumptions!$C$6+((G54+H54)/2)*Assumptions!$C$5</f>
        <v>128.7431147989673</v>
      </c>
      <c r="I94" s="2">
        <f ca="1">((H13+I13)/2)*-Assumptions!$C$6+((H54+I54)/2)*Assumptions!$C$5</f>
        <v>152.00082923713427</v>
      </c>
      <c r="J94" s="2">
        <f ca="1">((I13+J13)/2)*-Assumptions!$C$6+((I54+J54)/2)*Assumptions!$C$5</f>
        <v>173.88021644389369</v>
      </c>
      <c r="K94" s="5"/>
      <c r="L94" s="2"/>
      <c r="M94" s="114" t="str">
        <f t="shared" si="56"/>
        <v>Interest Expense (Income) on Additional Loans (Surplus Cash)</v>
      </c>
      <c r="N94" s="90">
        <f>B94/B$80</f>
        <v>0</v>
      </c>
      <c r="O94" s="95">
        <f ca="1">C94/C$80</f>
        <v>1.6251183837443629E-3</v>
      </c>
      <c r="P94" s="18">
        <f t="shared" ca="1" si="63"/>
        <v>4.1513182193359966E-3</v>
      </c>
      <c r="Q94" s="18">
        <f t="shared" ref="Q94:V94" ca="1" si="65">E94/E$80</f>
        <v>7.2375808414741989E-3</v>
      </c>
      <c r="R94" s="18">
        <f t="shared" ca="1" si="65"/>
        <v>1.2176951079828614E-2</v>
      </c>
      <c r="S94" s="18">
        <f t="shared" ca="1" si="65"/>
        <v>1.7198537457482864E-2</v>
      </c>
      <c r="T94" s="18">
        <f t="shared" ca="1" si="65"/>
        <v>2.1134093213450826E-2</v>
      </c>
      <c r="U94" s="18">
        <f t="shared" ca="1" si="65"/>
        <v>2.4342748804692116E-2</v>
      </c>
      <c r="V94" s="18">
        <f t="shared" ca="1" si="65"/>
        <v>2.7166762524760409E-2</v>
      </c>
      <c r="W94" s="5">
        <f t="shared" ca="1" si="64"/>
        <v>1.4883103493038143E-2</v>
      </c>
      <c r="X94" s="2"/>
    </row>
    <row r="95" spans="1:24" ht="12.75" customHeight="1" x14ac:dyDescent="0.2">
      <c r="A95" s="52" t="str">
        <f>Historical!A90</f>
        <v>Other (Income) Expense</v>
      </c>
      <c r="B95" s="77">
        <f>Historical!P90</f>
        <v>-51</v>
      </c>
      <c r="C95" s="2">
        <f>Assumptions!$C$77</f>
        <v>-51</v>
      </c>
      <c r="D95" s="2">
        <f>Assumptions!$C$77</f>
        <v>-51</v>
      </c>
      <c r="E95" s="2">
        <f>Assumptions!$C$77</f>
        <v>-51</v>
      </c>
      <c r="F95" s="2">
        <f>Assumptions!$C$77</f>
        <v>-51</v>
      </c>
      <c r="G95" s="2">
        <f>Assumptions!$C$77</f>
        <v>-51</v>
      </c>
      <c r="H95" s="2">
        <f>Assumptions!$C$77</f>
        <v>-51</v>
      </c>
      <c r="I95" s="2">
        <f>Assumptions!$C$77</f>
        <v>-51</v>
      </c>
      <c r="J95" s="2">
        <f>Assumptions!$C$77</f>
        <v>-51</v>
      </c>
      <c r="K95" s="5">
        <f>RATE(8,,-B95,J95)</f>
        <v>2.5631644210790111E-12</v>
      </c>
      <c r="L95" s="2"/>
      <c r="M95" s="52" t="str">
        <f t="shared" si="56"/>
        <v>Other (Income) Expense</v>
      </c>
      <c r="N95" s="90">
        <f>B95/B$80</f>
        <v>-9.7105864432597104E-3</v>
      </c>
      <c r="O95" s="95">
        <f t="shared" ref="O95:V96" si="66">C95/C$80</f>
        <v>-9.4734793468109098E-3</v>
      </c>
      <c r="P95" s="18">
        <f t="shared" si="66"/>
        <v>-9.242161784857773E-3</v>
      </c>
      <c r="Q95" s="18">
        <f t="shared" si="66"/>
        <v>-9.0164923921262179E-3</v>
      </c>
      <c r="R95" s="18">
        <f t="shared" si="66"/>
        <v>-8.7963332551120287E-3</v>
      </c>
      <c r="S95" s="18">
        <f t="shared" si="66"/>
        <v>-8.5815498277976715E-3</v>
      </c>
      <c r="T95" s="18">
        <f t="shared" si="66"/>
        <v>-8.3720108494270955E-3</v>
      </c>
      <c r="U95" s="18">
        <f t="shared" si="66"/>
        <v>-8.1675882642882353E-3</v>
      </c>
      <c r="V95" s="18">
        <f t="shared" si="66"/>
        <v>-7.9681571434542398E-3</v>
      </c>
      <c r="W95" s="5">
        <f t="shared" si="64"/>
        <v>-8.6743564495529672E-3</v>
      </c>
      <c r="X95" s="2"/>
    </row>
    <row r="96" spans="1:24" ht="12.75" customHeight="1" x14ac:dyDescent="0.2">
      <c r="A96" s="52" t="str">
        <f>Historical!A91</f>
        <v>Total Other (Income)/Expense</v>
      </c>
      <c r="B96" s="85">
        <f>SUM(B91:B95)</f>
        <v>293</v>
      </c>
      <c r="C96" s="20">
        <f ca="1">SUM(C91:C95)</f>
        <v>329.81741738245489</v>
      </c>
      <c r="D96" s="20">
        <f t="shared" ref="D96:J96" ca="1" si="67">SUM(D91:D95)</f>
        <v>341.82602437516363</v>
      </c>
      <c r="E96" s="20">
        <f t="shared" ca="1" si="67"/>
        <v>349.46499948187159</v>
      </c>
      <c r="F96" s="20">
        <f t="shared" ca="1" si="67"/>
        <v>367.19415732616204</v>
      </c>
      <c r="G96" s="20">
        <f t="shared" ca="1" si="67"/>
        <v>387.29049713010062</v>
      </c>
      <c r="H96" s="20">
        <f t="shared" ca="1" si="67"/>
        <v>402.6838182926507</v>
      </c>
      <c r="I96" s="20">
        <f t="shared" ca="1" si="67"/>
        <v>415.17284669550588</v>
      </c>
      <c r="J96" s="20">
        <f t="shared" ca="1" si="67"/>
        <v>426.6503014537787</v>
      </c>
      <c r="K96" s="17">
        <f ca="1">RATE(8,,-B96,J96)</f>
        <v>4.809477169369359E-2</v>
      </c>
      <c r="L96" s="2"/>
      <c r="M96" s="52" t="str">
        <f t="shared" si="56"/>
        <v>Total Other (Income)/Expense</v>
      </c>
      <c r="N96" s="91">
        <f>B96/B$80</f>
        <v>5.5788271134805785E-2</v>
      </c>
      <c r="O96" s="93">
        <f t="shared" ca="1" si="66"/>
        <v>6.1265068466494113E-2</v>
      </c>
      <c r="P96" s="17">
        <f t="shared" ca="1" si="66"/>
        <v>6.1945321951960765E-2</v>
      </c>
      <c r="Q96" s="17">
        <f t="shared" ca="1" si="66"/>
        <v>6.178330410083701E-2</v>
      </c>
      <c r="R96" s="17">
        <f t="shared" ca="1" si="66"/>
        <v>6.3332591709234456E-2</v>
      </c>
      <c r="S96" s="17">
        <f t="shared" ca="1" si="66"/>
        <v>6.5167699979499796E-2</v>
      </c>
      <c r="T96" s="17">
        <f t="shared" ca="1" si="66"/>
        <v>6.6103397953623536E-2</v>
      </c>
      <c r="U96" s="17">
        <f t="shared" ca="1" si="66"/>
        <v>6.6489428829830444E-2</v>
      </c>
      <c r="V96" s="17">
        <f t="shared" ca="1" si="66"/>
        <v>6.6659149946781016E-2</v>
      </c>
      <c r="W96" s="17">
        <f t="shared" ca="1" si="64"/>
        <v>6.4209373657596505E-2</v>
      </c>
      <c r="X96" s="19"/>
    </row>
    <row r="97" spans="1:24" ht="12.75" customHeight="1" x14ac:dyDescent="0.2">
      <c r="B97" s="77"/>
      <c r="C97" s="19"/>
      <c r="D97" s="19"/>
      <c r="E97" s="19"/>
      <c r="F97" s="19"/>
      <c r="G97" s="19"/>
      <c r="H97" s="19"/>
      <c r="I97" s="19"/>
      <c r="J97" s="19"/>
      <c r="K97" s="18"/>
      <c r="L97" s="19"/>
      <c r="N97" s="90"/>
      <c r="O97" s="95"/>
      <c r="P97" s="18"/>
      <c r="Q97" s="18"/>
      <c r="R97" s="18"/>
      <c r="S97" s="18"/>
      <c r="T97" s="18"/>
      <c r="U97" s="18"/>
      <c r="V97" s="18"/>
      <c r="W97" s="18"/>
      <c r="X97" s="19"/>
    </row>
    <row r="98" spans="1:24" ht="12.75" customHeight="1" x14ac:dyDescent="0.2">
      <c r="A98" s="191" t="str">
        <f>Historical!A93</f>
        <v>Earnings Before Taxes</v>
      </c>
      <c r="B98" s="262">
        <f>B89-B96</f>
        <v>1007</v>
      </c>
      <c r="C98" s="270">
        <f ca="1">C89-C96</f>
        <v>1044.0823303776756</v>
      </c>
      <c r="D98" s="104">
        <f t="shared" ref="D98:J98" ca="1" si="68">D89-D96</f>
        <v>1078.102378513657</v>
      </c>
      <c r="E98" s="104">
        <f t="shared" ca="1" si="68"/>
        <v>1111.3011616204681</v>
      </c>
      <c r="F98" s="104">
        <f t="shared" ca="1" si="68"/>
        <v>1131.5102452570572</v>
      </c>
      <c r="G98" s="104">
        <f t="shared" ca="1" si="68"/>
        <v>1151.2968130150864</v>
      </c>
      <c r="H98" s="104">
        <f t="shared" ca="1" si="68"/>
        <v>1177.7590484239831</v>
      </c>
      <c r="I98" s="104">
        <f t="shared" ca="1" si="68"/>
        <v>1208.2421213383454</v>
      </c>
      <c r="J98" s="104">
        <f t="shared" ca="1" si="68"/>
        <v>1240.8827796290113</v>
      </c>
      <c r="K98" s="198">
        <f ca="1">RATE(8,,-B98,J98)</f>
        <v>2.6449673456314167E-2</v>
      </c>
      <c r="L98" s="191"/>
      <c r="M98" s="191" t="str">
        <f t="shared" si="56"/>
        <v>Earnings Before Taxes</v>
      </c>
      <c r="N98" s="268"/>
      <c r="O98" s="269"/>
      <c r="P98" s="108"/>
      <c r="Q98" s="108"/>
      <c r="R98" s="108"/>
      <c r="S98" s="108"/>
      <c r="T98" s="108"/>
      <c r="U98" s="108"/>
      <c r="V98" s="108"/>
      <c r="W98" s="108"/>
      <c r="X98" s="191"/>
    </row>
    <row r="99" spans="1:24" ht="12.75" customHeight="1" x14ac:dyDescent="0.2">
      <c r="B99" s="77"/>
      <c r="C99" s="19"/>
      <c r="D99" s="19"/>
      <c r="E99" s="19"/>
      <c r="F99" s="19"/>
      <c r="G99" s="19"/>
      <c r="H99" s="19"/>
      <c r="I99" s="19"/>
      <c r="J99" s="19"/>
      <c r="K99" s="18"/>
      <c r="L99" s="2"/>
      <c r="N99" s="90">
        <f t="shared" ref="N99:V102" si="69">B99/B$80</f>
        <v>0</v>
      </c>
      <c r="O99" s="95">
        <f t="shared" si="69"/>
        <v>0</v>
      </c>
      <c r="P99" s="18">
        <f t="shared" si="69"/>
        <v>0</v>
      </c>
      <c r="Q99" s="18">
        <f t="shared" si="69"/>
        <v>0</v>
      </c>
      <c r="R99" s="18">
        <f t="shared" si="69"/>
        <v>0</v>
      </c>
      <c r="S99" s="18">
        <f t="shared" si="69"/>
        <v>0</v>
      </c>
      <c r="T99" s="18">
        <f t="shared" si="69"/>
        <v>0</v>
      </c>
      <c r="U99" s="18">
        <f t="shared" si="69"/>
        <v>0</v>
      </c>
      <c r="V99" s="18">
        <f t="shared" si="69"/>
        <v>0</v>
      </c>
      <c r="W99" s="5">
        <f>SUM(C99:J99)/SUM(C$80:J$80)</f>
        <v>0</v>
      </c>
      <c r="X99" s="2"/>
    </row>
    <row r="100" spans="1:24" ht="12.75" customHeight="1" x14ac:dyDescent="0.2">
      <c r="A100" s="52" t="str">
        <f>Historical!A95</f>
        <v>Extraordinary Items</v>
      </c>
      <c r="B100" s="77">
        <f>Historical!P95</f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8"/>
      <c r="L100" s="2"/>
      <c r="M100" s="52" t="str">
        <f t="shared" si="56"/>
        <v>Extraordinary Items</v>
      </c>
      <c r="N100" s="91">
        <f t="shared" si="69"/>
        <v>0</v>
      </c>
      <c r="O100" s="93">
        <f t="shared" si="69"/>
        <v>0</v>
      </c>
      <c r="P100" s="17">
        <f t="shared" si="69"/>
        <v>0</v>
      </c>
      <c r="Q100" s="17">
        <f t="shared" si="69"/>
        <v>0</v>
      </c>
      <c r="R100" s="17">
        <f t="shared" si="69"/>
        <v>0</v>
      </c>
      <c r="S100" s="17">
        <f t="shared" si="69"/>
        <v>0</v>
      </c>
      <c r="T100" s="17">
        <f t="shared" si="69"/>
        <v>0</v>
      </c>
      <c r="U100" s="17">
        <f t="shared" si="69"/>
        <v>0</v>
      </c>
      <c r="V100" s="17">
        <f t="shared" si="69"/>
        <v>0</v>
      </c>
      <c r="W100" s="17">
        <f>SUM(C100:J100)/SUM(C$80:J$80)</f>
        <v>0</v>
      </c>
      <c r="X100" s="2"/>
    </row>
    <row r="101" spans="1:24" ht="12.75" customHeight="1" x14ac:dyDescent="0.2">
      <c r="A101" s="52" t="str">
        <f>Historical!A96</f>
        <v>Income Taxes</v>
      </c>
      <c r="B101" s="77">
        <f>Historical!P96</f>
        <v>309</v>
      </c>
      <c r="C101" s="100">
        <f ca="1">C98*Assumptions!$C$83</f>
        <v>320.37878856673461</v>
      </c>
      <c r="D101" s="100">
        <f ca="1">D98*Assumptions!$C$83</f>
        <v>330.81790959356505</v>
      </c>
      <c r="E101" s="100">
        <f ca="1">E98*Assumptions!$C$83</f>
        <v>341.0050237743045</v>
      </c>
      <c r="F101" s="100">
        <f ca="1">F98*Assumptions!$C$83</f>
        <v>347.20622222882889</v>
      </c>
      <c r="G101" s="100">
        <f ca="1">G98*Assumptions!$C$83</f>
        <v>353.27777082588051</v>
      </c>
      <c r="H101" s="100">
        <f ca="1">H98*Assumptions!$C$83</f>
        <v>361.39776163158967</v>
      </c>
      <c r="I101" s="100">
        <f ca="1">I98*Assumptions!$C$83</f>
        <v>370.75155461126985</v>
      </c>
      <c r="J101" s="100">
        <f ca="1">J98*Assumptions!$C$83</f>
        <v>380.76740705597268</v>
      </c>
      <c r="K101" s="103">
        <f ca="1">RATE(8,,-B101,J101)</f>
        <v>2.6449673456314229E-2</v>
      </c>
      <c r="L101" s="2"/>
      <c r="M101" s="52" t="str">
        <f t="shared" si="56"/>
        <v>Income Taxes</v>
      </c>
      <c r="N101" s="90">
        <f t="shared" si="69"/>
        <v>5.8834729626808836E-2</v>
      </c>
      <c r="O101" s="95">
        <f t="shared" ca="1" si="69"/>
        <v>5.9511800718495288E-2</v>
      </c>
      <c r="P101" s="18">
        <f t="shared" ca="1" si="69"/>
        <v>5.9950443956709426E-2</v>
      </c>
      <c r="Q101" s="18">
        <f t="shared" ca="1" si="69"/>
        <v>6.0287631422310521E-2</v>
      </c>
      <c r="R101" s="18">
        <f t="shared" ca="1" si="69"/>
        <v>5.9885130175946363E-2</v>
      </c>
      <c r="S101" s="18">
        <f t="shared" ca="1" si="69"/>
        <v>5.944452536069765E-2</v>
      </c>
      <c r="T101" s="18">
        <f t="shared" ca="1" si="69"/>
        <v>5.9325999634085018E-2</v>
      </c>
      <c r="U101" s="18">
        <f t="shared" ca="1" si="69"/>
        <v>5.9375412674698556E-2</v>
      </c>
      <c r="V101" s="18">
        <f t="shared" ca="1" si="69"/>
        <v>5.9490481069168571E-2</v>
      </c>
      <c r="W101" s="103">
        <f ca="1">SUM(C101:J101)/SUM(C$80:J$80)</f>
        <v>5.9649008836878209E-2</v>
      </c>
      <c r="X101" s="2"/>
    </row>
    <row r="102" spans="1:24" ht="12.75" customHeight="1" thickBot="1" x14ac:dyDescent="0.25">
      <c r="A102" s="52" t="str">
        <f>Historical!A97</f>
        <v>Net Income</v>
      </c>
      <c r="B102" s="85">
        <f>B98-B100-B101</f>
        <v>698</v>
      </c>
      <c r="C102" s="20">
        <f ca="1">C98-C100-C101</f>
        <v>723.70354181094103</v>
      </c>
      <c r="D102" s="20">
        <f t="shared" ref="D102:J102" ca="1" si="70">D98-D100-D101</f>
        <v>747.28446892009197</v>
      </c>
      <c r="E102" s="20">
        <f t="shared" ca="1" si="70"/>
        <v>770.29613784616356</v>
      </c>
      <c r="F102" s="20">
        <f t="shared" ca="1" si="70"/>
        <v>784.30402302822836</v>
      </c>
      <c r="G102" s="20">
        <f t="shared" ca="1" si="70"/>
        <v>798.01904218920595</v>
      </c>
      <c r="H102" s="20">
        <f t="shared" ca="1" si="70"/>
        <v>816.36128679239346</v>
      </c>
      <c r="I102" s="20">
        <f t="shared" ca="1" si="70"/>
        <v>837.49056672707559</v>
      </c>
      <c r="J102" s="20">
        <f t="shared" ca="1" si="70"/>
        <v>860.11537257303871</v>
      </c>
      <c r="K102" s="5">
        <f ca="1">RATE(8,,-B102,J102)</f>
        <v>2.6449673456314222E-2</v>
      </c>
      <c r="L102" s="2"/>
      <c r="M102" s="52" t="str">
        <f t="shared" si="56"/>
        <v>Net Income</v>
      </c>
      <c r="N102" s="91">
        <f t="shared" si="69"/>
        <v>0.13290175171363292</v>
      </c>
      <c r="O102" s="93">
        <f t="shared" ca="1" si="69"/>
        <v>0.13443118738352658</v>
      </c>
      <c r="P102" s="17">
        <f t="shared" ca="1" si="69"/>
        <v>0.13542203845237274</v>
      </c>
      <c r="Q102" s="17">
        <f t="shared" ca="1" si="69"/>
        <v>0.13618371110929689</v>
      </c>
      <c r="R102" s="17">
        <f t="shared" ca="1" si="69"/>
        <v>0.13527450117414422</v>
      </c>
      <c r="S102" s="17">
        <f t="shared" ca="1" si="69"/>
        <v>0.13427921909956947</v>
      </c>
      <c r="T102" s="17">
        <f t="shared" ca="1" si="69"/>
        <v>0.134011481374082</v>
      </c>
      <c r="U102" s="17">
        <f t="shared" ca="1" si="69"/>
        <v>0.13412310047553266</v>
      </c>
      <c r="V102" s="17">
        <f t="shared" ca="1" si="69"/>
        <v>0.13438302843456204</v>
      </c>
      <c r="W102" s="72">
        <f ca="1">SUM(C102:J102)/SUM(C$80:J$80)</f>
        <v>0.13474112675773781</v>
      </c>
      <c r="X102" s="2"/>
    </row>
    <row r="103" spans="1:24" ht="12.75" customHeight="1" thickTop="1" x14ac:dyDescent="0.2">
      <c r="B103" s="86"/>
      <c r="C103" s="78"/>
      <c r="D103" s="78"/>
      <c r="E103" s="78"/>
      <c r="F103" s="78"/>
      <c r="G103" s="78"/>
      <c r="H103" s="78"/>
      <c r="I103" s="78"/>
      <c r="J103" s="78"/>
      <c r="K103" s="71"/>
      <c r="L103" s="2"/>
      <c r="N103" s="92"/>
      <c r="O103" s="94"/>
      <c r="P103" s="71"/>
      <c r="Q103" s="71"/>
      <c r="R103" s="71"/>
      <c r="S103" s="71"/>
      <c r="T103" s="71"/>
      <c r="U103" s="71"/>
      <c r="V103" s="71"/>
      <c r="W103" s="71"/>
      <c r="X103" s="2"/>
    </row>
    <row r="104" spans="1:24" ht="12.75" customHeight="1" x14ac:dyDescent="0.2">
      <c r="A104" s="52" t="str">
        <f>Historical!A99</f>
        <v>Preferred Stock Dividends</v>
      </c>
      <c r="B104" s="77">
        <f>Historical!P99</f>
        <v>0.1</v>
      </c>
      <c r="C104" s="83">
        <v>0.13</v>
      </c>
      <c r="D104" s="83">
        <v>0.13</v>
      </c>
      <c r="E104" s="83">
        <v>0.13</v>
      </c>
      <c r="F104" s="83">
        <v>0.13</v>
      </c>
      <c r="G104" s="83">
        <v>0.13</v>
      </c>
      <c r="H104" s="83">
        <v>0.13</v>
      </c>
      <c r="I104" s="83">
        <v>0.13</v>
      </c>
      <c r="J104" s="83">
        <v>0.13</v>
      </c>
      <c r="K104" s="5">
        <f>RATE(8,,-B104,J104)</f>
        <v>3.3339233926808411E-2</v>
      </c>
      <c r="L104" s="2"/>
      <c r="M104" s="52" t="str">
        <f t="shared" si="56"/>
        <v>Preferred Stock Dividends</v>
      </c>
      <c r="N104" s="90">
        <f t="shared" ref="N104:V105" si="71">B104/B$80</f>
        <v>1.9040365575019042E-5</v>
      </c>
      <c r="O104" s="95">
        <f t="shared" si="71"/>
        <v>2.4148084609518007E-5</v>
      </c>
      <c r="P104" s="18">
        <f t="shared" si="71"/>
        <v>2.3558451608460992E-5</v>
      </c>
      <c r="Q104" s="18">
        <f t="shared" si="71"/>
        <v>2.2983215901498201E-5</v>
      </c>
      <c r="R104" s="18">
        <f t="shared" si="71"/>
        <v>2.2422025944403208E-5</v>
      </c>
      <c r="S104" s="18">
        <f t="shared" si="71"/>
        <v>2.1874538776739163E-5</v>
      </c>
      <c r="T104" s="18">
        <f t="shared" si="71"/>
        <v>2.1340419812265143E-5</v>
      </c>
      <c r="U104" s="18">
        <f t="shared" si="71"/>
        <v>2.0819342634460208E-5</v>
      </c>
      <c r="V104" s="18">
        <f t="shared" si="71"/>
        <v>2.0310988797040219E-5</v>
      </c>
      <c r="W104" s="5"/>
      <c r="X104" s="2"/>
    </row>
    <row r="105" spans="1:24" ht="12.75" customHeight="1" x14ac:dyDescent="0.2">
      <c r="A105" s="52" t="str">
        <f>Historical!A100</f>
        <v>Common Stock Dividends</v>
      </c>
      <c r="B105" s="77">
        <f>Historical!P100</f>
        <v>725</v>
      </c>
      <c r="C105" s="2">
        <v>700</v>
      </c>
      <c r="D105" s="2">
        <v>700</v>
      </c>
      <c r="E105" s="2">
        <v>700</v>
      </c>
      <c r="F105" s="2">
        <v>700</v>
      </c>
      <c r="G105" s="2">
        <v>700</v>
      </c>
      <c r="H105" s="2">
        <v>700</v>
      </c>
      <c r="I105" s="2">
        <v>700</v>
      </c>
      <c r="J105" s="2">
        <v>700</v>
      </c>
      <c r="K105" s="5"/>
      <c r="L105" s="2"/>
      <c r="M105" s="52" t="str">
        <f t="shared" si="56"/>
        <v>Common Stock Dividends</v>
      </c>
      <c r="N105" s="90">
        <f t="shared" si="71"/>
        <v>0.13804265041888805</v>
      </c>
      <c r="O105" s="95">
        <f t="shared" si="71"/>
        <v>0.13002814789740463</v>
      </c>
      <c r="P105" s="18">
        <f t="shared" si="71"/>
        <v>0.12685320096863612</v>
      </c>
      <c r="Q105" s="18">
        <f t="shared" si="71"/>
        <v>0.12375577793114416</v>
      </c>
      <c r="R105" s="18">
        <f t="shared" si="71"/>
        <v>0.12073398585447881</v>
      </c>
      <c r="S105" s="18">
        <f t="shared" si="71"/>
        <v>0.1177859780285955</v>
      </c>
      <c r="T105" s="18">
        <f t="shared" si="71"/>
        <v>0.11490995283527385</v>
      </c>
      <c r="U105" s="18">
        <f t="shared" si="71"/>
        <v>0.11210415264709343</v>
      </c>
      <c r="V105" s="18">
        <f t="shared" si="71"/>
        <v>0.10936686275329349</v>
      </c>
      <c r="W105" s="5"/>
      <c r="X105" s="2"/>
    </row>
    <row r="106" spans="1:24" ht="12.75" customHeight="1" x14ac:dyDescent="0.2">
      <c r="B106" s="19"/>
      <c r="C106" s="2"/>
      <c r="D106" s="2"/>
      <c r="E106" s="2"/>
      <c r="F106" s="2"/>
      <c r="G106" s="2"/>
      <c r="H106" s="2"/>
      <c r="I106" s="2"/>
      <c r="J106" s="2"/>
      <c r="K106" s="2"/>
      <c r="L106" s="2"/>
      <c r="N106" s="18"/>
      <c r="O106" s="18"/>
      <c r="P106" s="18"/>
      <c r="Q106" s="18"/>
      <c r="R106" s="18"/>
      <c r="S106" s="18"/>
      <c r="T106" s="18"/>
      <c r="U106" s="18"/>
      <c r="V106" s="18"/>
      <c r="W106" s="5"/>
      <c r="X106" s="2"/>
    </row>
    <row r="107" spans="1:24" ht="12.75" customHeight="1" x14ac:dyDescent="0.2">
      <c r="B107" s="19"/>
      <c r="C107" s="2"/>
      <c r="D107" s="2"/>
      <c r="E107" s="2"/>
      <c r="F107" s="2"/>
      <c r="G107" s="2"/>
      <c r="H107" s="2"/>
      <c r="I107" s="2"/>
      <c r="J107" s="2"/>
      <c r="K107" s="2"/>
      <c r="L107" s="2"/>
      <c r="N107" s="18"/>
      <c r="O107" s="18"/>
      <c r="P107" s="18"/>
      <c r="Q107" s="18"/>
      <c r="R107" s="18"/>
      <c r="S107" s="18"/>
      <c r="T107" s="18"/>
      <c r="U107" s="18"/>
      <c r="V107" s="18"/>
      <c r="W107" s="5"/>
      <c r="X107" s="2"/>
    </row>
    <row r="108" spans="1:24" ht="12.75" customHeight="1" x14ac:dyDescent="0.2">
      <c r="B108" s="19"/>
      <c r="C108" s="2"/>
      <c r="D108" s="2"/>
      <c r="E108" s="2"/>
      <c r="F108" s="2"/>
      <c r="G108" s="2"/>
      <c r="H108" s="2"/>
      <c r="I108" s="2"/>
      <c r="J108" s="2"/>
      <c r="K108" s="275" t="s">
        <v>206</v>
      </c>
      <c r="L108" s="2"/>
      <c r="N108" s="18"/>
      <c r="O108" s="18"/>
      <c r="P108" s="18"/>
      <c r="Q108" s="18"/>
      <c r="R108" s="18"/>
      <c r="S108" s="18"/>
      <c r="T108" s="18"/>
      <c r="U108" s="18"/>
      <c r="V108" s="18"/>
      <c r="W108" s="5"/>
      <c r="X108" s="2"/>
    </row>
    <row r="109" spans="1:24" ht="12.75" customHeight="1" x14ac:dyDescent="0.2">
      <c r="A109" s="111"/>
      <c r="B109" s="19"/>
      <c r="C109" s="2"/>
      <c r="D109" s="2"/>
      <c r="E109" s="2"/>
      <c r="F109" s="2"/>
      <c r="G109" s="2"/>
      <c r="H109" s="2"/>
      <c r="I109" s="2"/>
      <c r="J109" s="2"/>
      <c r="K109" s="276" t="s">
        <v>202</v>
      </c>
      <c r="L109" s="2"/>
      <c r="M109" s="111"/>
      <c r="N109" s="19"/>
      <c r="O109" s="2"/>
      <c r="P109" s="2"/>
      <c r="Q109" s="2"/>
      <c r="R109" s="2"/>
      <c r="S109" s="2"/>
      <c r="T109" s="2"/>
      <c r="U109" s="2"/>
      <c r="V109" s="2"/>
      <c r="W109" s="5"/>
      <c r="X109" s="2"/>
    </row>
    <row r="110" spans="1:24" ht="15.95" customHeight="1" x14ac:dyDescent="0.25">
      <c r="A110" s="11" t="str">
        <f>A4</f>
        <v>PacifiCorp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73"/>
      <c r="X110" s="2"/>
    </row>
    <row r="111" spans="1:24" ht="12.75" customHeight="1" x14ac:dyDescent="0.25">
      <c r="A111" s="215" t="s">
        <v>147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73"/>
      <c r="X111" s="2"/>
    </row>
    <row r="112" spans="1:24" ht="12.75" customHeight="1" x14ac:dyDescent="0.2">
      <c r="A112" s="136">
        <f ca="1">A6</f>
        <v>42142.639918055553</v>
      </c>
      <c r="B112" s="106"/>
      <c r="C112" s="12"/>
      <c r="D112" s="12"/>
      <c r="E112" s="12"/>
      <c r="F112" s="12"/>
      <c r="G112" s="12"/>
      <c r="H112" s="12"/>
      <c r="I112" s="12"/>
      <c r="J112" s="12"/>
      <c r="K112" s="13"/>
      <c r="L112" s="2"/>
    </row>
    <row r="113" spans="1:12" ht="12.75" customHeight="1" x14ac:dyDescent="0.2">
      <c r="B113" s="106"/>
      <c r="C113" s="10"/>
      <c r="D113" s="12"/>
      <c r="E113" s="12"/>
      <c r="F113" s="12"/>
      <c r="G113" s="12"/>
      <c r="H113" s="12"/>
      <c r="I113" s="12"/>
      <c r="J113" s="12"/>
      <c r="K113" s="13"/>
      <c r="L113" s="2"/>
    </row>
    <row r="114" spans="1:12" ht="12.75" customHeight="1" x14ac:dyDescent="0.2">
      <c r="A114" s="107"/>
      <c r="B114" s="106"/>
      <c r="C114" s="10"/>
      <c r="D114" s="10"/>
      <c r="E114" s="12"/>
      <c r="F114" s="12"/>
      <c r="G114" s="12"/>
      <c r="H114" s="12"/>
      <c r="I114" s="12"/>
      <c r="J114" s="12"/>
      <c r="K114" s="13"/>
      <c r="L114" s="2"/>
    </row>
    <row r="115" spans="1:12" ht="12.75" customHeight="1" x14ac:dyDescent="0.2">
      <c r="A115" s="111"/>
      <c r="B115" s="19"/>
      <c r="C115" s="10"/>
      <c r="D115" s="10"/>
      <c r="E115" s="12"/>
      <c r="F115" s="12"/>
      <c r="G115" s="12"/>
      <c r="H115" s="12"/>
      <c r="I115" s="12"/>
      <c r="J115" s="12"/>
      <c r="K115" s="13"/>
      <c r="L115" s="2"/>
    </row>
    <row r="116" spans="1:12" ht="12.75" customHeight="1" x14ac:dyDescent="0.2">
      <c r="A116" s="111"/>
      <c r="B116" s="19"/>
      <c r="C116" s="10"/>
      <c r="D116" s="10"/>
      <c r="E116" s="12"/>
      <c r="F116" s="12"/>
      <c r="G116" s="12"/>
      <c r="H116" s="12"/>
      <c r="I116" s="12"/>
      <c r="J116" s="12"/>
      <c r="K116" s="13"/>
      <c r="L116" s="2"/>
    </row>
    <row r="117" spans="1:12" ht="12.75" customHeight="1" x14ac:dyDescent="0.2">
      <c r="A117" s="111"/>
      <c r="B117" s="19"/>
      <c r="C117" s="2"/>
      <c r="D117" s="2"/>
      <c r="E117" s="2"/>
      <c r="F117" s="2"/>
      <c r="G117" s="2"/>
      <c r="H117" s="2"/>
      <c r="I117" s="2"/>
      <c r="J117" s="2"/>
      <c r="K117" s="99" t="s">
        <v>124</v>
      </c>
      <c r="L117" s="2"/>
    </row>
    <row r="118" spans="1:12" ht="12.75" customHeight="1" x14ac:dyDescent="0.2">
      <c r="B118" s="74" t="s">
        <v>123</v>
      </c>
      <c r="C118" s="14" t="s">
        <v>124</v>
      </c>
      <c r="D118" s="14" t="s">
        <v>124</v>
      </c>
      <c r="E118" s="14" t="s">
        <v>124</v>
      </c>
      <c r="F118" s="14" t="s">
        <v>124</v>
      </c>
      <c r="G118" s="14" t="s">
        <v>124</v>
      </c>
      <c r="H118" s="14" t="s">
        <v>124</v>
      </c>
      <c r="I118" s="14" t="s">
        <v>124</v>
      </c>
      <c r="J118" s="14" t="s">
        <v>124</v>
      </c>
      <c r="K118" s="99" t="s">
        <v>138</v>
      </c>
      <c r="L118" s="2"/>
    </row>
    <row r="119" spans="1:12" ht="12.75" customHeight="1" x14ac:dyDescent="0.2">
      <c r="A119" s="191" t="str">
        <f>Historical!A111</f>
        <v>Ratio Group And Name</v>
      </c>
      <c r="B119" s="98" t="s">
        <v>3</v>
      </c>
      <c r="C119" s="4">
        <f t="shared" ref="C119:J119" si="72">O77</f>
        <v>2015</v>
      </c>
      <c r="D119" s="4">
        <f t="shared" si="72"/>
        <v>2016</v>
      </c>
      <c r="E119" s="4">
        <f t="shared" si="72"/>
        <v>2017</v>
      </c>
      <c r="F119" s="4">
        <f t="shared" si="72"/>
        <v>2018</v>
      </c>
      <c r="G119" s="4">
        <f t="shared" si="72"/>
        <v>2019</v>
      </c>
      <c r="H119" s="4">
        <f t="shared" si="72"/>
        <v>2020</v>
      </c>
      <c r="I119" s="4">
        <f t="shared" si="72"/>
        <v>2021</v>
      </c>
      <c r="J119" s="4">
        <f t="shared" si="72"/>
        <v>2022</v>
      </c>
      <c r="K119" s="79" t="s">
        <v>3</v>
      </c>
      <c r="L119" s="2"/>
    </row>
    <row r="120" spans="1:12" ht="6.95" customHeight="1" x14ac:dyDescent="0.2">
      <c r="A120" s="258"/>
      <c r="B120" s="85"/>
      <c r="C120" s="22"/>
      <c r="D120" s="22"/>
      <c r="E120" s="22"/>
      <c r="F120" s="22"/>
      <c r="G120" s="22"/>
      <c r="H120" s="22"/>
      <c r="I120" s="22"/>
      <c r="J120" s="22"/>
      <c r="K120" s="80"/>
      <c r="L120" s="2"/>
    </row>
    <row r="121" spans="1:12" ht="12.75" customHeight="1" x14ac:dyDescent="0.2">
      <c r="A121" s="191" t="str">
        <f>Historical!A113</f>
        <v>Short-term Liquidity Ratios:</v>
      </c>
      <c r="B121" s="89"/>
      <c r="C121" s="8"/>
      <c r="D121" s="8"/>
      <c r="E121" s="8"/>
      <c r="F121" s="8"/>
      <c r="H121" s="2"/>
      <c r="I121" s="2"/>
      <c r="K121" s="8"/>
      <c r="L121" s="2"/>
    </row>
    <row r="122" spans="1:12" ht="12.75" customHeight="1" x14ac:dyDescent="0.2">
      <c r="A122" s="52" t="str">
        <f>Historical!A114</f>
        <v>Current</v>
      </c>
      <c r="B122" s="89">
        <f>Historical!R114</f>
        <v>1.181880213483802</v>
      </c>
      <c r="C122" s="8">
        <f t="shared" ref="C122:J122" ca="1" si="73">C17/C48</f>
        <v>1.3087348658709428</v>
      </c>
      <c r="D122" s="8">
        <f t="shared" ca="1" si="73"/>
        <v>1.2003183108388349</v>
      </c>
      <c r="E122" s="8">
        <f t="shared" ca="1" si="73"/>
        <v>1.2145055882692706</v>
      </c>
      <c r="F122" s="8">
        <f t="shared" ca="1" si="73"/>
        <v>1.2224620460155782</v>
      </c>
      <c r="G122" s="8">
        <f t="shared" ca="1" si="73"/>
        <v>1.2324825332340421</v>
      </c>
      <c r="H122" s="8">
        <f t="shared" ca="1" si="73"/>
        <v>1.2445266320977071</v>
      </c>
      <c r="I122" s="8">
        <f t="shared" ca="1" si="73"/>
        <v>1.2562256512571386</v>
      </c>
      <c r="J122" s="8">
        <f t="shared" ca="1" si="73"/>
        <v>1.267586034196208</v>
      </c>
      <c r="K122" s="8">
        <f ca="1">AVERAGE(C122:J122)</f>
        <v>1.2433552077224654</v>
      </c>
      <c r="L122" s="2"/>
    </row>
    <row r="123" spans="1:12" ht="12.75" customHeight="1" x14ac:dyDescent="0.2">
      <c r="A123" s="52" t="str">
        <f>Historical!A115</f>
        <v>Quick</v>
      </c>
      <c r="B123" s="89">
        <f>Historical!R115</f>
        <v>0.55945144633407529</v>
      </c>
      <c r="C123" s="8">
        <f t="shared" ref="C123:J123" ca="1" si="74">SUM(C12:C14)/C48</f>
        <v>0.64533322704503449</v>
      </c>
      <c r="D123" s="8">
        <f t="shared" ca="1" si="74"/>
        <v>0.59264793350472489</v>
      </c>
      <c r="E123" s="8">
        <f t="shared" ca="1" si="74"/>
        <v>0.60043434194962009</v>
      </c>
      <c r="F123" s="8">
        <f t="shared" ca="1" si="74"/>
        <v>0.6051523650107008</v>
      </c>
      <c r="G123" s="8">
        <f t="shared" ca="1" si="74"/>
        <v>0.61090144891618725</v>
      </c>
      <c r="H123" s="8">
        <f t="shared" ca="1" si="74"/>
        <v>0.61766543997629741</v>
      </c>
      <c r="I123" s="8">
        <f t="shared" ca="1" si="74"/>
        <v>0.62427104279538026</v>
      </c>
      <c r="J123" s="8">
        <f t="shared" ca="1" si="74"/>
        <v>0.63072073927453642</v>
      </c>
      <c r="K123" s="8">
        <f ca="1">AVERAGE(C123:J123)</f>
        <v>0.61589081730906026</v>
      </c>
      <c r="L123" s="2"/>
    </row>
    <row r="124" spans="1:12" ht="12.75" customHeight="1" x14ac:dyDescent="0.2">
      <c r="A124" s="52" t="str">
        <f>Historical!A116</f>
        <v>Days Revenues Cash</v>
      </c>
      <c r="B124" s="89">
        <f>Historical!R116</f>
        <v>4.7515436867860563</v>
      </c>
      <c r="C124" s="176">
        <f ca="1">((C80/365)/((B12+B13+C12+C13)/2))^-1</f>
        <v>2.5428895193157612</v>
      </c>
      <c r="D124" s="176">
        <f t="shared" ref="D124:J124" ca="1" si="75">((D80/365)/((C12+C13+D12+D13)/2))^-1</f>
        <v>3.4833176746181045</v>
      </c>
      <c r="E124" s="176">
        <f t="shared" ca="1" si="75"/>
        <v>3.4833176746181045</v>
      </c>
      <c r="F124" s="176">
        <f t="shared" ca="1" si="75"/>
        <v>3.4833176746181045</v>
      </c>
      <c r="G124" s="176">
        <f t="shared" ca="1" si="75"/>
        <v>3.4833176746181049</v>
      </c>
      <c r="H124" s="176">
        <f t="shared" ca="1" si="75"/>
        <v>3.4833176746181045</v>
      </c>
      <c r="I124" s="176">
        <f t="shared" ca="1" si="75"/>
        <v>3.4833176746181045</v>
      </c>
      <c r="J124" s="176">
        <f t="shared" ca="1" si="75"/>
        <v>3.4833176746181049</v>
      </c>
      <c r="K124" s="8">
        <f ca="1">AVERAGE(C124:J124)</f>
        <v>3.3657641552053112</v>
      </c>
      <c r="L124" s="2"/>
    </row>
    <row r="125" spans="1:12" ht="12.75" customHeight="1" x14ac:dyDescent="0.2">
      <c r="A125" s="52" t="str">
        <f>Historical!A117</f>
        <v>Days Revenues Receivable</v>
      </c>
      <c r="B125" s="89">
        <f>Historical!R117</f>
        <v>50.536232428060764</v>
      </c>
      <c r="C125" s="8">
        <f t="shared" ref="C125:J125" si="76">365*(((B14+C14)/2)/((B80+C80)/2))</f>
        <v>49.612147324581152</v>
      </c>
      <c r="D125" s="8">
        <f t="shared" si="76"/>
        <v>50.484821533280673</v>
      </c>
      <c r="E125" s="8">
        <f t="shared" si="76"/>
        <v>50.484821533280666</v>
      </c>
      <c r="F125" s="8">
        <f t="shared" si="76"/>
        <v>50.484821533280666</v>
      </c>
      <c r="G125" s="8">
        <f t="shared" si="76"/>
        <v>50.484821533280666</v>
      </c>
      <c r="H125" s="8">
        <f t="shared" si="76"/>
        <v>50.484821533280666</v>
      </c>
      <c r="I125" s="8">
        <f t="shared" si="76"/>
        <v>50.484821533280673</v>
      </c>
      <c r="J125" s="8">
        <f t="shared" si="76"/>
        <v>50.484821533280666</v>
      </c>
      <c r="K125" s="8">
        <f>AVERAGE(C125:J125)</f>
        <v>50.375737257193236</v>
      </c>
      <c r="L125" s="2"/>
    </row>
    <row r="126" spans="1:12" ht="6.95" customHeight="1" x14ac:dyDescent="0.2">
      <c r="B126" s="89"/>
      <c r="C126" s="8"/>
      <c r="D126" s="8"/>
      <c r="E126" s="8"/>
      <c r="F126" s="8"/>
      <c r="G126" s="8"/>
      <c r="H126" s="8"/>
      <c r="I126" s="81"/>
      <c r="J126" s="81"/>
      <c r="K126" s="8"/>
      <c r="L126" s="2"/>
    </row>
    <row r="127" spans="1:12" ht="12.75" customHeight="1" x14ac:dyDescent="0.2">
      <c r="A127" s="191" t="str">
        <f>Historical!A119</f>
        <v>Long-term Solvency Ratios:</v>
      </c>
      <c r="B127" s="89"/>
      <c r="C127" s="8"/>
      <c r="D127" s="8"/>
      <c r="E127" s="8"/>
      <c r="F127" s="8"/>
      <c r="G127" s="8"/>
      <c r="H127" s="8"/>
      <c r="I127" s="81"/>
      <c r="J127" s="81"/>
      <c r="K127" s="8"/>
      <c r="L127" s="2"/>
    </row>
    <row r="128" spans="1:12" ht="12.75" customHeight="1" x14ac:dyDescent="0.2">
      <c r="A128" s="52" t="str">
        <f>Historical!A120</f>
        <v>Net Worth/Total Debt</v>
      </c>
      <c r="B128" s="89">
        <f>Historical!R120</f>
        <v>0.54597328542289991</v>
      </c>
      <c r="C128" s="8">
        <f t="shared" ref="C128:J128" ca="1" si="77">C64/(C57+C59)</f>
        <v>0.52112727647468327</v>
      </c>
      <c r="D128" s="8">
        <f t="shared" ca="1" si="77"/>
        <v>0.51983282233023165</v>
      </c>
      <c r="E128" s="8">
        <f t="shared" ca="1" si="77"/>
        <v>0.51373071387318192</v>
      </c>
      <c r="F128" s="8">
        <f t="shared" ca="1" si="77"/>
        <v>0.50096283141505282</v>
      </c>
      <c r="G128" s="8">
        <f t="shared" ca="1" si="77"/>
        <v>0.49310342593656864</v>
      </c>
      <c r="H128" s="8">
        <f t="shared" ca="1" si="77"/>
        <v>0.49001060388482276</v>
      </c>
      <c r="I128" s="8">
        <f t="shared" ca="1" si="77"/>
        <v>0.48863549841295978</v>
      </c>
      <c r="J128" s="8">
        <f t="shared" ca="1" si="77"/>
        <v>0.48900150005954657</v>
      </c>
      <c r="K128" s="8">
        <f ca="1">AVERAGE(C128:J128)</f>
        <v>0.50205058404838099</v>
      </c>
      <c r="L128" s="2"/>
    </row>
    <row r="129" spans="1:12" ht="12.75" customHeight="1" x14ac:dyDescent="0.2">
      <c r="A129" s="52" t="str">
        <f>Historical!A121</f>
        <v>Net Worth/Non Current Debt</v>
      </c>
      <c r="B129" s="89">
        <f>Historical!R121</f>
        <v>0.60651831086755015</v>
      </c>
      <c r="C129" s="8">
        <f t="shared" ref="C129:J129" ca="1" si="78">C64/(C55+C59)</f>
        <v>0.56811724824863974</v>
      </c>
      <c r="D129" s="8">
        <f t="shared" ca="1" si="78"/>
        <v>0.57220980415533951</v>
      </c>
      <c r="E129" s="8">
        <f t="shared" ca="1" si="78"/>
        <v>0.56497901296542263</v>
      </c>
      <c r="F129" s="8">
        <f t="shared" ca="1" si="78"/>
        <v>0.54991148736714712</v>
      </c>
      <c r="G129" s="8">
        <f t="shared" ca="1" si="78"/>
        <v>0.54061536906995367</v>
      </c>
      <c r="H129" s="8">
        <f t="shared" ca="1" si="78"/>
        <v>0.53687034677169587</v>
      </c>
      <c r="I129" s="8">
        <f t="shared" ca="1" si="78"/>
        <v>0.53509051655332329</v>
      </c>
      <c r="J129" s="8">
        <f t="shared" ca="1" si="78"/>
        <v>0.53529667177862084</v>
      </c>
      <c r="K129" s="8">
        <f ca="1">AVERAGE(C129:J129)</f>
        <v>0.55038630711376779</v>
      </c>
      <c r="L129" s="2"/>
    </row>
    <row r="130" spans="1:12" ht="12.75" customHeight="1" x14ac:dyDescent="0.2">
      <c r="A130" s="52" t="str">
        <f>Historical!A122</f>
        <v>Net Worth/Fixed Assets</v>
      </c>
      <c r="B130" s="89">
        <f>Historical!R122</f>
        <v>0.42476601230614053</v>
      </c>
      <c r="C130" s="8">
        <f t="shared" ref="C130:J130" ca="1" si="79">C64/C28</f>
        <v>0.40789496373502543</v>
      </c>
      <c r="D130" s="8">
        <f t="shared" ca="1" si="79"/>
        <v>0.4083561855945757</v>
      </c>
      <c r="E130" s="8">
        <f t="shared" ca="1" si="79"/>
        <v>0.40569957224370123</v>
      </c>
      <c r="F130" s="8">
        <f t="shared" ca="1" si="79"/>
        <v>0.39875998952273428</v>
      </c>
      <c r="G130" s="8">
        <f t="shared" ca="1" si="79"/>
        <v>0.39465847899902129</v>
      </c>
      <c r="H130" s="8">
        <f t="shared" ca="1" si="79"/>
        <v>0.39337345587958078</v>
      </c>
      <c r="I130" s="8">
        <f t="shared" ca="1" si="79"/>
        <v>0.39300994178760573</v>
      </c>
      <c r="J130" s="8">
        <f t="shared" ca="1" si="79"/>
        <v>0.39358838684605624</v>
      </c>
      <c r="K130" s="8">
        <f ca="1">AVERAGE(C130:J130)</f>
        <v>0.39941762182603763</v>
      </c>
      <c r="L130" s="2"/>
    </row>
    <row r="131" spans="1:12" ht="12.75" customHeight="1" x14ac:dyDescent="0.2">
      <c r="A131" s="52" t="str">
        <f>Historical!A123</f>
        <v>Times Interest Earned</v>
      </c>
      <c r="B131" s="89">
        <f>Historical!R123</f>
        <v>3.3802267673578519</v>
      </c>
      <c r="C131" s="8">
        <f ca="1">(C98+C91+C94)/(C91+C94)</f>
        <v>3.7389898941829274</v>
      </c>
      <c r="D131" s="8">
        <f t="shared" ref="D131:J131" ca="1" si="80">(D98+D91+D94)/(D91+D94)</f>
        <v>3.7408036927153536</v>
      </c>
      <c r="E131" s="8">
        <f t="shared" ca="1" si="80"/>
        <v>3.7712914244930267</v>
      </c>
      <c r="F131" s="8">
        <f t="shared" ca="1" si="80"/>
        <v>3.7021303598309769</v>
      </c>
      <c r="G131" s="8">
        <f t="shared" ca="1" si="80"/>
        <v>3.6233946189313548</v>
      </c>
      <c r="H131" s="8">
        <f t="shared" ca="1" si="80"/>
        <v>3.5926686007242852</v>
      </c>
      <c r="I131" s="8">
        <f t="shared" ca="1" si="80"/>
        <v>3.5885240145611155</v>
      </c>
      <c r="J131" s="8">
        <f t="shared" ca="1" si="80"/>
        <v>3.5945717238567823</v>
      </c>
      <c r="K131" s="8">
        <f ca="1">AVERAGE(C131:J131)</f>
        <v>3.6690467911619775</v>
      </c>
      <c r="L131" s="2"/>
    </row>
    <row r="132" spans="1:12" ht="6.95" customHeight="1" x14ac:dyDescent="0.2">
      <c r="B132" s="89"/>
      <c r="C132" s="8"/>
      <c r="D132" s="8"/>
      <c r="E132" s="8"/>
      <c r="F132" s="8"/>
      <c r="G132" s="8"/>
      <c r="H132" s="8"/>
      <c r="I132" s="81"/>
      <c r="J132" s="81"/>
      <c r="K132" s="8"/>
      <c r="L132" s="2"/>
    </row>
    <row r="133" spans="1:12" ht="12.75" customHeight="1" x14ac:dyDescent="0.2">
      <c r="A133" s="191" t="str">
        <f>Historical!A126</f>
        <v>Profitability Ratios:</v>
      </c>
      <c r="B133" s="89"/>
      <c r="C133" s="8"/>
      <c r="D133" s="8"/>
      <c r="E133" s="8"/>
      <c r="F133" s="8"/>
      <c r="G133" s="8"/>
      <c r="H133" s="8"/>
      <c r="I133" s="81"/>
      <c r="J133" s="81"/>
      <c r="K133" s="8"/>
      <c r="L133" s="2"/>
    </row>
    <row r="134" spans="1:12" ht="12.75" customHeight="1" x14ac:dyDescent="0.2">
      <c r="A134" s="52" t="str">
        <f>Historical!A127</f>
        <v>Return On Total Assets</v>
      </c>
      <c r="B134" s="90">
        <f>Historical!R127</f>
        <v>4.1420823560522631E-2</v>
      </c>
      <c r="C134" s="5">
        <f t="shared" ref="C134" ca="1" si="81">(C102+((C91+C92)*(1-(C101/C98))))/((B38+C38)/2)</f>
        <v>4.3656745644474484E-2</v>
      </c>
      <c r="D134" s="5">
        <f t="shared" ref="D134" ca="1" si="82">(D102+((D91+D92)*(1-(D101/D98))))/((C38+D38)/2)</f>
        <v>4.4041668454386527E-2</v>
      </c>
      <c r="E134" s="5">
        <f t="shared" ref="E134" ca="1" si="83">(E102+((E91+E92)*(1-(E101/E98))))/((D38+E38)/2)</f>
        <v>4.4191843824938869E-2</v>
      </c>
      <c r="F134" s="5">
        <f t="shared" ref="F134" ca="1" si="84">(F102+((F91+F92)*(1-(F101/F98))))/((E38+F38)/2)</f>
        <v>4.3470613930091939E-2</v>
      </c>
      <c r="G134" s="5">
        <f t="shared" ref="G134" ca="1" si="85">(G102+((G91+G92)*(1-(G101/G98))))/((F38+G38)/2)</f>
        <v>4.2634385052177322E-2</v>
      </c>
      <c r="H134" s="5">
        <f t="shared" ref="H134" ca="1" si="86">(H102+((H91+H92)*(1-(H101/H98))))/((G38+H38)/2)</f>
        <v>4.2194935979146211E-2</v>
      </c>
      <c r="I134" s="5">
        <f t="shared" ref="I134" ca="1" si="87">(I102+((I91+I92)*(1-(I101/I98))))/((H38+I38)/2)</f>
        <v>4.1964479965822366E-2</v>
      </c>
      <c r="J134" s="5">
        <f t="shared" ref="J134" ca="1" si="88">(J102+((J91+J92)*(1-(J101/J98))))/((I38+J38)/2)</f>
        <v>4.1796301109974218E-2</v>
      </c>
      <c r="K134" s="5">
        <f ca="1">AVERAGE(C134:J134)</f>
        <v>4.2993871745126491E-2</v>
      </c>
      <c r="L134" s="2"/>
    </row>
    <row r="135" spans="1:12" ht="12.75" customHeight="1" x14ac:dyDescent="0.2">
      <c r="A135" s="52" t="str">
        <f>Historical!A128</f>
        <v>Return On Total Capital</v>
      </c>
      <c r="B135" s="90">
        <f>Historical!R128</f>
        <v>6.2579512874573959E-2</v>
      </c>
      <c r="C135" s="5">
        <f t="shared" ref="C135" ca="1" si="89">(C102+((C91+C92+C93)*(1-(C101/C98))))/((B42+B43+B50+B59+B64+C42+C43+C50+C59+C64)/2)</f>
        <v>6.5965659378902877E-2</v>
      </c>
      <c r="D135" s="5">
        <f t="shared" ref="D135" ca="1" si="90">(D102+((D91+D92+D93)*(1-(D101/D98))))/((C42+C43+C50+C59+C64+D42+D43+D50+D59+D64)/2)</f>
        <v>6.7352005112608193E-2</v>
      </c>
      <c r="E135" s="5">
        <f t="shared" ref="E135" ca="1" si="91">(E102+((E91+E92+E93)*(1-(E101/E98))))/((D42+D43+D50+D59+D64+E42+E43+E50+E59+E64)/2)</f>
        <v>6.8922436975651258E-2</v>
      </c>
      <c r="F135" s="5">
        <f t="shared" ref="F135" ca="1" si="92">(F102+((F91+F92+F93)*(1-(F101/F98))))/((E42+E43+E50+E59+E64+F42+F43+F50+F59+F64)/2)</f>
        <v>7.0015677948125146E-2</v>
      </c>
      <c r="G135" s="5">
        <f t="shared" ref="G135" ca="1" si="93">(G102+((G91+G92+G93)*(1-(G101/G98))))/((F42+F43+F50+F59+F64+G42+G43+G50+G59+G64)/2)</f>
        <v>7.1023058205498743E-2</v>
      </c>
      <c r="H135" s="5">
        <f t="shared" ref="H135" ca="1" si="94">(H102+((H91+H92+H93)*(1-(H101/H98))))/((G42+G43+G50+G59+G64+H42+H43+H50+H59+H64)/2)</f>
        <v>7.2272563721068037E-2</v>
      </c>
      <c r="I135" s="5">
        <f t="shared" ref="I135" ca="1" si="95">(I102+((I91+I92+I93)*(1-(I101/I98))))/((H42+H43+H50+H59+H64+I42+I43+I50+I59+I64)/2)</f>
        <v>7.3615560070411867E-2</v>
      </c>
      <c r="J135" s="5">
        <f t="shared" ref="J135" ca="1" si="96">(J102+((J91+J92+J93)*(1-(J101/J98))))/((I42+I43+I50+I59+I64+J42+J43+J50+J59+J64)/2)</f>
        <v>7.4943899370755046E-2</v>
      </c>
      <c r="K135" s="5">
        <f ca="1">AVERAGE(C135:J135)</f>
        <v>7.0513857597877649E-2</v>
      </c>
      <c r="L135" s="2"/>
    </row>
    <row r="136" spans="1:12" ht="12.75" customHeight="1" x14ac:dyDescent="0.2">
      <c r="A136" s="52" t="str">
        <f>Historical!A129</f>
        <v>Return On Common Equity</v>
      </c>
      <c r="B136" s="90">
        <f>Historical!R129</f>
        <v>8.2197485364995729E-2</v>
      </c>
      <c r="C136" s="5">
        <f t="shared" ref="C136" ca="1" si="97">(C102-C104)/((C64+B64)/2)</f>
        <v>9.3174531150680542E-2</v>
      </c>
      <c r="D136" s="5">
        <f t="shared" ref="D136" ca="1" si="98">(D102-D104)/((D64+C64)/2)</f>
        <v>9.5774904006588821E-2</v>
      </c>
      <c r="E136" s="5">
        <f t="shared" ref="E136" ca="1" si="99">(E102-E104)/((E64+D64)/2)</f>
        <v>9.7987868116782936E-2</v>
      </c>
      <c r="F136" s="5">
        <f t="shared" ref="F136" ca="1" si="100">(F102-F104)/((F64+E64)/2)</f>
        <v>9.8800034030061559E-2</v>
      </c>
      <c r="G136" s="5">
        <f t="shared" ref="G136" ca="1" si="101">(G102-G104)/((G64+F64)/2)</f>
        <v>9.9388110699628718E-2</v>
      </c>
      <c r="H136" s="5">
        <f t="shared" ref="H136" ca="1" si="102">(H102-H104)/((H64+G64)/2)</f>
        <v>0.10033484046585026</v>
      </c>
      <c r="I136" s="5">
        <f t="shared" ref="I136" ca="1" si="103">(I102-I104)/((I64+H64)/2)</f>
        <v>0.1013524309722604</v>
      </c>
      <c r="J136" s="5">
        <f t="shared" ref="J136" ca="1" si="104">(J102-J104)/((J64+I64)/2)</f>
        <v>0.10225087423015403</v>
      </c>
      <c r="K136" s="5">
        <f ca="1">AVERAGE(C136:J136)</f>
        <v>9.8632949209000911E-2</v>
      </c>
      <c r="L136" s="2"/>
    </row>
    <row r="137" spans="1:12" ht="6.95" customHeight="1" x14ac:dyDescent="0.2">
      <c r="B137" s="89"/>
      <c r="C137" s="8"/>
      <c r="D137" s="8"/>
      <c r="E137" s="8"/>
      <c r="F137" s="8"/>
      <c r="G137" s="8"/>
      <c r="H137" s="8"/>
      <c r="I137" s="81"/>
      <c r="J137" s="81"/>
      <c r="K137" s="8"/>
      <c r="L137" s="2"/>
    </row>
    <row r="138" spans="1:12" ht="12.75" customHeight="1" x14ac:dyDescent="0.2">
      <c r="A138" s="191" t="str">
        <f>Historical!A131</f>
        <v>Asset-Utilization Ratios:</v>
      </c>
      <c r="B138" s="89"/>
      <c r="C138" s="8"/>
      <c r="D138" s="8"/>
      <c r="E138" s="8"/>
      <c r="F138" s="8"/>
      <c r="G138" s="8"/>
      <c r="H138" s="8"/>
      <c r="I138" s="81"/>
      <c r="J138" s="81"/>
      <c r="K138" s="8"/>
      <c r="L138" s="2"/>
    </row>
    <row r="139" spans="1:12" ht="12.75" customHeight="1" x14ac:dyDescent="0.2">
      <c r="A139" s="52" t="str">
        <f>Historical!A132</f>
        <v>Revenues/Fixed Assets</v>
      </c>
      <c r="B139" s="89">
        <f>Historical!R132</f>
        <v>0.29339480625122355</v>
      </c>
      <c r="C139" s="8">
        <f t="shared" ref="C139:J139" si="105">C80/((B28+C28)/2)</f>
        <v>0.28493970378258993</v>
      </c>
      <c r="D139" s="8">
        <f t="shared" si="105"/>
        <v>0.28869040485691372</v>
      </c>
      <c r="E139" s="8">
        <f t="shared" si="105"/>
        <v>0.29290962978934088</v>
      </c>
      <c r="F139" s="8">
        <f t="shared" si="105"/>
        <v>0.29378876402743748</v>
      </c>
      <c r="G139" s="8">
        <f t="shared" si="105"/>
        <v>0.29365905618359522</v>
      </c>
      <c r="H139" s="8">
        <f t="shared" si="105"/>
        <v>0.29504382410379343</v>
      </c>
      <c r="I139" s="8">
        <f t="shared" si="105"/>
        <v>0.29716700212893432</v>
      </c>
      <c r="J139" s="8">
        <f t="shared" si="105"/>
        <v>0.2993050726898363</v>
      </c>
      <c r="K139" s="102">
        <f>AVERAGE(C139:J139)</f>
        <v>0.2931879321953052</v>
      </c>
      <c r="L139" s="2"/>
    </row>
    <row r="140" spans="1:12" ht="12.75" customHeight="1" x14ac:dyDescent="0.2">
      <c r="A140" s="52" t="str">
        <f>Historical!A133</f>
        <v>Revenues/Total Assets</v>
      </c>
      <c r="B140" s="89">
        <f>Historical!R133</f>
        <v>0.2402263012245508</v>
      </c>
      <c r="C140" s="8">
        <f t="shared" ref="C140:J140" ca="1" si="106">C80/C38</f>
        <v>0.23713448416291885</v>
      </c>
      <c r="D140" s="8">
        <f t="shared" ca="1" si="106"/>
        <v>0.24120987305262714</v>
      </c>
      <c r="E140" s="8">
        <f t="shared" ca="1" si="106"/>
        <v>0.2431491982534382</v>
      </c>
      <c r="F140" s="8">
        <f t="shared" ca="1" si="106"/>
        <v>0.24252212060142309</v>
      </c>
      <c r="G140" s="8">
        <f t="shared" ca="1" si="106"/>
        <v>0.24299871237893839</v>
      </c>
      <c r="H140" s="8">
        <f t="shared" ca="1" si="106"/>
        <v>0.24451324380147901</v>
      </c>
      <c r="I140" s="8">
        <f t="shared" ca="1" si="106"/>
        <v>0.24603547532888073</v>
      </c>
      <c r="J140" s="8">
        <f t="shared" ca="1" si="106"/>
        <v>0.2475655114693347</v>
      </c>
      <c r="K140" s="102">
        <f ca="1">AVERAGE(C140:J140)</f>
        <v>0.24314107738113</v>
      </c>
      <c r="L140" s="2"/>
    </row>
    <row r="141" spans="1:12" ht="6.95" customHeight="1" x14ac:dyDescent="0.2">
      <c r="B141" s="89"/>
      <c r="C141" s="2"/>
      <c r="D141" s="2"/>
      <c r="E141" s="2"/>
      <c r="F141" s="2"/>
      <c r="G141" s="2"/>
      <c r="H141" s="2"/>
      <c r="I141" s="2"/>
      <c r="J141" s="2"/>
      <c r="K141" s="5"/>
      <c r="L141" s="2"/>
    </row>
    <row r="142" spans="1:12" ht="12.75" customHeight="1" x14ac:dyDescent="0.2">
      <c r="A142" s="191" t="str">
        <f>Historical!A135</f>
        <v>Regulatory Capital Structure</v>
      </c>
      <c r="B142" s="89"/>
      <c r="C142" s="2"/>
      <c r="D142" s="2"/>
      <c r="E142" s="2"/>
      <c r="F142" s="2"/>
      <c r="G142" s="2"/>
      <c r="H142" s="2"/>
      <c r="I142" s="2"/>
      <c r="J142" s="2"/>
      <c r="K142" s="5"/>
      <c r="L142" s="2"/>
    </row>
    <row r="143" spans="1:12" ht="12.75" customHeight="1" x14ac:dyDescent="0.2">
      <c r="A143" s="52" t="str">
        <f>Historical!A136</f>
        <v>Common Equity</v>
      </c>
      <c r="B143" s="90">
        <f>Historical!R136</f>
        <v>0.52589080688859091</v>
      </c>
      <c r="C143" s="141">
        <f t="shared" ref="C143:J143" ca="1" si="107">C64/C$146</f>
        <v>0.51088823554411944</v>
      </c>
      <c r="D143" s="141">
        <f t="shared" ca="1" si="107"/>
        <v>0.5144524129733814</v>
      </c>
      <c r="E143" s="141">
        <f t="shared" ca="1" si="107"/>
        <v>0.51041886686123172</v>
      </c>
      <c r="F143" s="141">
        <f t="shared" ca="1" si="107"/>
        <v>0.50200378344327068</v>
      </c>
      <c r="G143" s="141">
        <f t="shared" ca="1" si="107"/>
        <v>0.49673123253760182</v>
      </c>
      <c r="H143" s="141">
        <f t="shared" ca="1" si="107"/>
        <v>0.494610853807883</v>
      </c>
      <c r="I143" s="141">
        <f t="shared" ca="1" si="107"/>
        <v>0.49364904349182648</v>
      </c>
      <c r="J143" s="141">
        <f t="shared" ca="1" si="107"/>
        <v>0.49386790150390703</v>
      </c>
      <c r="K143" s="5">
        <f ca="1">AVERAGE(C143:J143)</f>
        <v>0.50207779127040275</v>
      </c>
      <c r="L143" s="2"/>
    </row>
    <row r="144" spans="1:12" ht="12.75" customHeight="1" x14ac:dyDescent="0.2">
      <c r="A144" s="52" t="str">
        <f>Historical!A137</f>
        <v>Preferred Stock</v>
      </c>
      <c r="B144" s="90">
        <f>Historical!R137</f>
        <v>2.0396504869596272E-3</v>
      </c>
      <c r="C144" s="141">
        <f t="shared" ref="C144:J144" ca="1" si="108">C59/C$146</f>
        <v>1.3137471017447431E-4</v>
      </c>
      <c r="D144" s="141">
        <f t="shared" ca="1" si="108"/>
        <v>1.3149400461177639E-4</v>
      </c>
      <c r="E144" s="141">
        <f t="shared" ca="1" si="108"/>
        <v>1.2930353497959569E-4</v>
      </c>
      <c r="F144" s="141">
        <f t="shared" ca="1" si="108"/>
        <v>1.2583017471825343E-4</v>
      </c>
      <c r="G144" s="141">
        <f t="shared" ca="1" si="108"/>
        <v>1.2299958928952575E-4</v>
      </c>
      <c r="H144" s="141">
        <f t="shared" ca="1" si="108"/>
        <v>1.2073707722983871E-4</v>
      </c>
      <c r="I144" s="141">
        <f t="shared" ca="1" si="108"/>
        <v>1.1851535388888032E-4</v>
      </c>
      <c r="J144" s="141">
        <f t="shared" ca="1" si="108"/>
        <v>1.1633374064181051E-4</v>
      </c>
      <c r="K144" s="5">
        <f ca="1">AVERAGE(C144:J144)</f>
        <v>1.245735231917694E-4</v>
      </c>
      <c r="L144" s="2"/>
    </row>
    <row r="145" spans="1:12" ht="12.75" customHeight="1" x14ac:dyDescent="0.2">
      <c r="A145" s="52" t="str">
        <f>Historical!A138</f>
        <v>Long Term Debt (incl. current portion)</v>
      </c>
      <c r="B145" s="90">
        <f>Historical!R138</f>
        <v>0.47206954262444945</v>
      </c>
      <c r="C145" s="178">
        <f t="shared" ref="C145:J145" ca="1" si="109">(C42+C50+C54)/C$146</f>
        <v>0.48898041728079322</v>
      </c>
      <c r="D145" s="178">
        <f t="shared" ca="1" si="109"/>
        <v>0.48541614977863895</v>
      </c>
      <c r="E145" s="178">
        <f t="shared" ca="1" si="109"/>
        <v>0.48945193967246403</v>
      </c>
      <c r="F145" s="178">
        <f t="shared" ca="1" si="109"/>
        <v>0.49787057329515971</v>
      </c>
      <c r="G145" s="178">
        <f t="shared" ca="1" si="109"/>
        <v>0.50314604856161071</v>
      </c>
      <c r="H145" s="178">
        <f t="shared" ca="1" si="109"/>
        <v>0.50526880422990317</v>
      </c>
      <c r="I145" s="178">
        <f t="shared" ca="1" si="109"/>
        <v>0.50623297554948654</v>
      </c>
      <c r="J145" s="178">
        <f t="shared" ca="1" si="109"/>
        <v>0.50601646626693153</v>
      </c>
      <c r="K145" s="5">
        <f ca="1">AVERAGE(C145:J145)</f>
        <v>0.49779792182937344</v>
      </c>
      <c r="L145" s="2"/>
    </row>
    <row r="146" spans="1:12" ht="12.75" customHeight="1" x14ac:dyDescent="0.2">
      <c r="B146" s="110"/>
      <c r="C146" s="140">
        <f t="shared" ref="C146:J146" ca="1" si="110">C42+C50+C54+C59+C64</f>
        <v>15223.630578625383</v>
      </c>
      <c r="D146" s="140">
        <f t="shared" ca="1" si="110"/>
        <v>15209.819789260167</v>
      </c>
      <c r="E146" s="140">
        <f t="shared" ca="1" si="110"/>
        <v>15467.48293040058</v>
      </c>
      <c r="F146" s="140">
        <f t="shared" ca="1" si="110"/>
        <v>15894.441681452812</v>
      </c>
      <c r="G146" s="140">
        <f t="shared" ca="1" si="110"/>
        <v>16260.22146032741</v>
      </c>
      <c r="H146" s="140">
        <f t="shared" ca="1" si="110"/>
        <v>16564.926335120494</v>
      </c>
      <c r="I146" s="140">
        <f t="shared" ca="1" si="110"/>
        <v>16875.459619059988</v>
      </c>
      <c r="J146" s="140">
        <f t="shared" ca="1" si="110"/>
        <v>17191.928945024891</v>
      </c>
      <c r="K146" s="17"/>
      <c r="L146" s="2"/>
    </row>
    <row r="147" spans="1:12" x14ac:dyDescent="0.2">
      <c r="E147" s="2"/>
      <c r="F147" s="2"/>
      <c r="G147" s="2"/>
      <c r="H147" s="2"/>
      <c r="I147" s="2"/>
      <c r="J147" s="2"/>
      <c r="K147" s="5"/>
      <c r="L147" s="2"/>
    </row>
    <row r="148" spans="1:12" x14ac:dyDescent="0.2">
      <c r="C148" s="55">
        <f ca="1">SUM(C143:C145)</f>
        <v>1.0000000275350871</v>
      </c>
      <c r="D148" s="55">
        <f t="shared" ref="D148:J148" ca="1" si="111">SUM(D143:D145)</f>
        <v>1.0000000567566321</v>
      </c>
      <c r="E148" s="55">
        <f t="shared" ca="1" si="111"/>
        <v>1.0000001100686755</v>
      </c>
      <c r="F148" s="55">
        <f t="shared" ca="1" si="111"/>
        <v>1.0000001869131485</v>
      </c>
      <c r="G148" s="55">
        <f t="shared" ca="1" si="111"/>
        <v>1.000000280688502</v>
      </c>
      <c r="H148" s="55">
        <f t="shared" ca="1" si="111"/>
        <v>1.000000395115016</v>
      </c>
      <c r="I148" s="55">
        <f t="shared" ca="1" si="111"/>
        <v>1.0000005343952019</v>
      </c>
      <c r="J148" s="55">
        <f t="shared" ca="1" si="111"/>
        <v>1.0000007015114805</v>
      </c>
      <c r="K148" s="55">
        <f ca="1">SUM(K143:K145)</f>
        <v>1.000000286622968</v>
      </c>
      <c r="L148" s="2"/>
    </row>
    <row r="149" spans="1:12" x14ac:dyDescent="0.2">
      <c r="E149" s="2"/>
      <c r="F149" s="2"/>
      <c r="G149" s="2"/>
      <c r="H149" s="2"/>
      <c r="I149" s="2"/>
      <c r="J149" s="2"/>
      <c r="K149" s="5"/>
      <c r="L149" s="2"/>
    </row>
    <row r="150" spans="1:12" x14ac:dyDescent="0.2">
      <c r="B150" s="19"/>
      <c r="E150" s="2"/>
      <c r="F150" s="2"/>
      <c r="G150" s="2"/>
      <c r="H150" s="2"/>
      <c r="I150" s="2"/>
      <c r="J150" s="2"/>
      <c r="K150" s="5"/>
      <c r="L150" s="2"/>
    </row>
    <row r="151" spans="1:12" x14ac:dyDescent="0.2">
      <c r="A151" s="52" t="s">
        <v>148</v>
      </c>
      <c r="B151" s="19"/>
      <c r="E151" s="2"/>
      <c r="F151" s="2"/>
      <c r="G151" s="2"/>
      <c r="H151" s="2"/>
      <c r="I151" s="2"/>
      <c r="J151" s="2"/>
      <c r="K151" s="5"/>
      <c r="L151" s="2"/>
    </row>
    <row r="152" spans="1:12" x14ac:dyDescent="0.2">
      <c r="A152" s="258"/>
      <c r="B152" s="20" t="s">
        <v>127</v>
      </c>
      <c r="C152" s="20" t="s">
        <v>128</v>
      </c>
      <c r="D152" s="20"/>
      <c r="E152" s="20"/>
      <c r="F152" s="2"/>
      <c r="G152" s="2"/>
      <c r="H152" s="2"/>
      <c r="I152" s="2"/>
      <c r="J152" s="2"/>
      <c r="K152" s="5"/>
      <c r="L152" s="2"/>
    </row>
    <row r="153" spans="1:12" x14ac:dyDescent="0.2">
      <c r="B153" s="8"/>
      <c r="C153" s="83"/>
      <c r="D153" s="82"/>
      <c r="E153" s="2"/>
      <c r="F153" s="2"/>
      <c r="G153" s="2"/>
      <c r="H153" s="2"/>
      <c r="I153" s="2"/>
      <c r="J153" s="2"/>
      <c r="K153" s="5"/>
      <c r="L153" s="2"/>
    </row>
    <row r="154" spans="1:12" x14ac:dyDescent="0.2">
      <c r="A154" s="259">
        <f>B9</f>
        <v>2014</v>
      </c>
      <c r="B154" s="8">
        <f>B102-C154</f>
        <v>0</v>
      </c>
      <c r="C154" s="2">
        <f>B$102</f>
        <v>698</v>
      </c>
      <c r="D154" s="82"/>
      <c r="E154" s="2"/>
      <c r="F154" s="2"/>
      <c r="G154" s="2"/>
      <c r="H154" s="2"/>
      <c r="I154" s="2"/>
      <c r="J154" s="2"/>
      <c r="K154" s="5"/>
      <c r="L154" s="2"/>
    </row>
    <row r="155" spans="1:12" x14ac:dyDescent="0.2">
      <c r="A155" s="259">
        <f t="shared" ref="A155:A162" si="112">A154+1</f>
        <v>2015</v>
      </c>
      <c r="B155" s="8">
        <f ca="1">C102-C155</f>
        <v>-8.9223187842435436E-6</v>
      </c>
      <c r="C155" s="2">
        <f ca="1">C$102</f>
        <v>723.70354181094103</v>
      </c>
      <c r="D155" s="82"/>
      <c r="E155" s="2"/>
      <c r="F155" s="2"/>
      <c r="G155" s="2"/>
      <c r="H155" s="2" t="s">
        <v>233</v>
      </c>
      <c r="I155" s="2"/>
      <c r="J155" s="2"/>
      <c r="K155" s="5"/>
      <c r="L155" s="2"/>
    </row>
    <row r="156" spans="1:12" x14ac:dyDescent="0.2">
      <c r="A156" s="259">
        <f t="shared" si="112"/>
        <v>2016</v>
      </c>
      <c r="B156" s="8">
        <f ca="1">D102-C156</f>
        <v>-2.7716616614270606E-5</v>
      </c>
      <c r="C156" s="2">
        <f ca="1">D$102</f>
        <v>747.28446892009197</v>
      </c>
      <c r="D156" s="82"/>
      <c r="E156" s="2"/>
      <c r="F156" s="2"/>
      <c r="G156" s="2"/>
      <c r="H156" s="2"/>
      <c r="I156" s="2"/>
      <c r="J156" s="2"/>
      <c r="K156" s="5"/>
      <c r="L156" s="2"/>
    </row>
    <row r="157" spans="1:12" x14ac:dyDescent="0.2">
      <c r="A157" s="259">
        <f t="shared" si="112"/>
        <v>2017</v>
      </c>
      <c r="B157" s="8">
        <f ca="1">E102-C157</f>
        <v>-5.6333825227738998E-5</v>
      </c>
      <c r="C157" s="2">
        <f ca="1">E$102</f>
        <v>770.29613784616356</v>
      </c>
      <c r="D157" s="2"/>
      <c r="E157" s="2"/>
      <c r="F157" s="2"/>
      <c r="G157" s="2"/>
      <c r="H157" s="2"/>
      <c r="I157" s="2"/>
      <c r="J157" s="2"/>
      <c r="K157" s="5"/>
      <c r="L157" s="2"/>
    </row>
    <row r="158" spans="1:12" x14ac:dyDescent="0.2">
      <c r="A158" s="259">
        <f t="shared" si="112"/>
        <v>2018</v>
      </c>
      <c r="B158" s="8">
        <f ca="1">F102-C158</f>
        <v>-1.0383675544289872E-4</v>
      </c>
      <c r="C158" s="2">
        <f ca="1">F$102</f>
        <v>784.30402302822836</v>
      </c>
      <c r="D158" s="2"/>
      <c r="E158" s="2"/>
      <c r="F158" s="2"/>
      <c r="G158" s="2"/>
      <c r="H158" s="2"/>
      <c r="I158" s="2"/>
      <c r="J158" s="2"/>
      <c r="K158" s="5"/>
      <c r="L158" s="2"/>
    </row>
    <row r="159" spans="1:12" x14ac:dyDescent="0.2">
      <c r="A159" s="259">
        <f t="shared" si="112"/>
        <v>2019</v>
      </c>
      <c r="B159" s="8">
        <f ca="1">G102-C159</f>
        <v>-1.6960952632416593E-4</v>
      </c>
      <c r="C159" s="2">
        <f ca="1">G$102</f>
        <v>798.01904218920595</v>
      </c>
      <c r="D159" s="2"/>
      <c r="E159" s="2"/>
      <c r="F159" s="2"/>
      <c r="G159" s="2"/>
      <c r="H159" s="2"/>
      <c r="I159" s="2"/>
      <c r="J159" s="2"/>
      <c r="K159" s="5"/>
      <c r="L159" s="2"/>
    </row>
    <row r="160" spans="1:12" x14ac:dyDescent="0.2">
      <c r="A160" s="259">
        <f t="shared" si="112"/>
        <v>2020</v>
      </c>
      <c r="B160" s="8">
        <f ca="1">H102-C160</f>
        <v>-2.5362051610500203E-4</v>
      </c>
      <c r="C160" s="2">
        <f ca="1">H$102</f>
        <v>816.36128679239346</v>
      </c>
      <c r="D160" s="2"/>
      <c r="E160" s="2"/>
      <c r="F160" s="2"/>
      <c r="G160" s="2"/>
      <c r="H160" s="2"/>
      <c r="I160" s="2"/>
      <c r="J160" s="2"/>
      <c r="K160" s="5"/>
      <c r="L160" s="2"/>
    </row>
    <row r="161" spans="1:12" x14ac:dyDescent="0.2">
      <c r="A161" s="259">
        <f t="shared" si="112"/>
        <v>2021</v>
      </c>
      <c r="B161" s="8">
        <f ca="1">I102-C161</f>
        <v>-3.6027427211138274E-4</v>
      </c>
      <c r="C161" s="2">
        <f ca="1">I$102</f>
        <v>837.49056672707559</v>
      </c>
      <c r="D161" s="2"/>
      <c r="E161" s="2"/>
      <c r="F161" s="2"/>
      <c r="G161" s="2"/>
      <c r="H161" s="2"/>
      <c r="I161" s="2"/>
      <c r="J161" s="2"/>
      <c r="K161" s="5"/>
      <c r="L161" s="2"/>
    </row>
    <row r="162" spans="1:12" x14ac:dyDescent="0.2">
      <c r="A162" s="259">
        <f t="shared" si="112"/>
        <v>2022</v>
      </c>
      <c r="B162" s="8">
        <f ca="1">J102-C162</f>
        <v>-4.9447433366367477E-4</v>
      </c>
      <c r="C162" s="2">
        <f ca="1">J$102</f>
        <v>860.11537257303871</v>
      </c>
      <c r="D162" s="2"/>
      <c r="E162" s="2"/>
      <c r="F162" s="2"/>
      <c r="G162" s="2"/>
      <c r="H162" s="2"/>
      <c r="I162" s="2"/>
      <c r="J162" s="2"/>
      <c r="K162" s="5"/>
      <c r="L162" s="2"/>
    </row>
    <row r="163" spans="1:12" x14ac:dyDescent="0.2">
      <c r="A163" s="259"/>
      <c r="B163" s="8"/>
      <c r="C163" s="2"/>
      <c r="D163" s="2"/>
      <c r="E163" s="2"/>
      <c r="F163" s="2"/>
      <c r="G163" s="2"/>
      <c r="H163" s="2"/>
      <c r="I163" s="2"/>
      <c r="J163" s="2"/>
      <c r="K163" s="5"/>
      <c r="L163" s="2"/>
    </row>
    <row r="164" spans="1:12" x14ac:dyDescent="0.2">
      <c r="A164" s="260" t="s">
        <v>129</v>
      </c>
      <c r="B164" s="3"/>
      <c r="C164" s="2"/>
      <c r="D164" s="2"/>
      <c r="E164" s="2"/>
      <c r="F164" s="2"/>
      <c r="G164" s="2"/>
      <c r="H164" s="2"/>
      <c r="I164" s="2"/>
      <c r="J164" s="2"/>
      <c r="K164" s="5"/>
      <c r="L164" s="2"/>
    </row>
    <row r="165" spans="1:12" x14ac:dyDescent="0.2">
      <c r="A165" s="52" t="s">
        <v>130</v>
      </c>
      <c r="B165" s="2" t="s">
        <v>127</v>
      </c>
      <c r="C165" s="82" t="s">
        <v>131</v>
      </c>
      <c r="D165" s="2"/>
      <c r="E165" s="2"/>
      <c r="F165" s="2"/>
      <c r="G165" s="2"/>
      <c r="H165" s="2"/>
      <c r="I165" s="2"/>
      <c r="J165" s="2"/>
      <c r="K165" s="5"/>
      <c r="L165" s="2"/>
    </row>
    <row r="166" spans="1:12" x14ac:dyDescent="0.2">
      <c r="A166" s="259">
        <f t="shared" ref="A166:A174" si="113">A154</f>
        <v>2014</v>
      </c>
      <c r="B166" s="8">
        <f>$C166-B$65</f>
        <v>0</v>
      </c>
      <c r="C166" s="2">
        <f>B$38</f>
        <v>22267</v>
      </c>
      <c r="D166" s="2"/>
      <c r="E166" s="2"/>
      <c r="F166" s="2"/>
      <c r="G166" s="2"/>
      <c r="H166" s="2"/>
      <c r="I166" s="2"/>
      <c r="J166" s="2"/>
      <c r="K166" s="5"/>
      <c r="L166" s="2"/>
    </row>
    <row r="167" spans="1:12" x14ac:dyDescent="0.2">
      <c r="A167" s="259">
        <f t="shared" si="113"/>
        <v>2015</v>
      </c>
      <c r="B167" s="8">
        <f ca="1">$C167-C$65</f>
        <v>3.8715395130566321E-3</v>
      </c>
      <c r="C167" s="2">
        <f ca="1">C$38</f>
        <v>22702.095676905141</v>
      </c>
      <c r="D167" s="2"/>
      <c r="E167" s="2"/>
      <c r="F167" s="2"/>
      <c r="G167" s="2"/>
      <c r="H167" s="2"/>
      <c r="I167" s="2"/>
      <c r="J167" s="2"/>
      <c r="K167" s="5"/>
      <c r="L167" s="2"/>
    </row>
    <row r="168" spans="1:12" x14ac:dyDescent="0.2">
      <c r="A168" s="259">
        <f t="shared" si="113"/>
        <v>2016</v>
      </c>
      <c r="B168" s="8">
        <f ca="1">$C168-D$65</f>
        <v>8.1748785341915209E-3</v>
      </c>
      <c r="C168" s="2">
        <f ca="1">D$38</f>
        <v>22877.129436463805</v>
      </c>
      <c r="D168" s="2"/>
      <c r="E168" s="2"/>
      <c r="F168" s="2"/>
      <c r="G168" s="2"/>
      <c r="H168" s="2"/>
      <c r="I168" s="2"/>
      <c r="J168" s="2"/>
      <c r="K168" s="5"/>
      <c r="L168" s="2"/>
    </row>
    <row r="169" spans="1:12" x14ac:dyDescent="0.2">
      <c r="A169" s="259">
        <f t="shared" si="113"/>
        <v>2017</v>
      </c>
      <c r="B169" s="8">
        <f ca="1">$C169-E$65</f>
        <v>1.6350191057426855E-2</v>
      </c>
      <c r="C169" s="2">
        <f ca="1">E$38</f>
        <v>23262.678234107181</v>
      </c>
      <c r="D169" s="2"/>
      <c r="E169" s="2"/>
      <c r="F169" s="2"/>
      <c r="G169" s="2"/>
      <c r="H169" s="2"/>
      <c r="I169" s="2"/>
      <c r="J169" s="2"/>
      <c r="K169" s="5"/>
      <c r="L169" s="2"/>
    </row>
    <row r="170" spans="1:12" x14ac:dyDescent="0.2">
      <c r="A170" s="259">
        <f t="shared" si="113"/>
        <v>2018</v>
      </c>
      <c r="B170" s="8">
        <f ca="1">$C170-F$65</f>
        <v>2.8911311783303972E-2</v>
      </c>
      <c r="C170" s="2">
        <f ca="1">F$38</f>
        <v>23906.563087672464</v>
      </c>
      <c r="D170" s="2"/>
      <c r="E170" s="2"/>
      <c r="F170" s="2"/>
      <c r="G170" s="2"/>
      <c r="H170" s="2"/>
      <c r="I170" s="2"/>
      <c r="J170" s="2"/>
      <c r="K170" s="5"/>
      <c r="L170" s="2"/>
    </row>
    <row r="171" spans="1:12" x14ac:dyDescent="0.2">
      <c r="A171" s="259">
        <f t="shared" si="113"/>
        <v>2019</v>
      </c>
      <c r="B171" s="8">
        <f ca="1">$C171-G$65</f>
        <v>4.5118601345166098E-2</v>
      </c>
      <c r="C171" s="2">
        <f ca="1">G$38</f>
        <v>24456.847484668666</v>
      </c>
      <c r="D171" s="2"/>
      <c r="E171" s="2"/>
      <c r="F171" s="2"/>
      <c r="G171" s="2"/>
      <c r="H171" s="2"/>
      <c r="I171" s="2"/>
      <c r="J171" s="2"/>
      <c r="K171" s="5"/>
      <c r="L171" s="2"/>
    </row>
    <row r="172" spans="1:12" x14ac:dyDescent="0.2">
      <c r="A172" s="259">
        <f t="shared" si="113"/>
        <v>2020</v>
      </c>
      <c r="B172" s="8">
        <f ca="1">$C172-H$65</f>
        <v>6.5737843196984613E-2</v>
      </c>
      <c r="C172" s="2">
        <f ca="1">H$38</f>
        <v>24913.687142323775</v>
      </c>
      <c r="D172" s="2"/>
      <c r="E172" s="2"/>
      <c r="F172" s="2"/>
      <c r="G172" s="2"/>
      <c r="H172" s="2"/>
      <c r="I172" s="2"/>
      <c r="J172" s="2"/>
      <c r="K172" s="5"/>
      <c r="L172" s="2"/>
    </row>
    <row r="173" spans="1:12" x14ac:dyDescent="0.2">
      <c r="A173" s="259">
        <f t="shared" si="113"/>
        <v>2021</v>
      </c>
      <c r="B173" s="8">
        <f ca="1">$C173-I$65</f>
        <v>9.1954054441885091E-2</v>
      </c>
      <c r="C173" s="2">
        <f ca="1">I$38</f>
        <v>25379.239728791312</v>
      </c>
      <c r="D173" s="2"/>
      <c r="E173" s="2"/>
      <c r="F173" s="2"/>
      <c r="G173" s="2"/>
      <c r="H173" s="2"/>
      <c r="I173" s="2"/>
      <c r="J173" s="2"/>
      <c r="K173" s="5"/>
      <c r="L173" s="2"/>
    </row>
    <row r="174" spans="1:12" x14ac:dyDescent="0.2">
      <c r="A174" s="259">
        <f t="shared" si="113"/>
        <v>2022</v>
      </c>
      <c r="B174" s="8">
        <f ca="1">$C174-J$65</f>
        <v>0.12475907949192333</v>
      </c>
      <c r="C174" s="2">
        <f ca="1">J$38</f>
        <v>25853.666541101615</v>
      </c>
      <c r="D174" s="2"/>
      <c r="E174" s="2"/>
      <c r="F174" s="2"/>
      <c r="G174" s="2"/>
      <c r="H174" s="2"/>
      <c r="I174" s="2"/>
      <c r="J174" s="2"/>
      <c r="K174" s="5"/>
      <c r="L174" s="2"/>
    </row>
    <row r="175" spans="1:12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5"/>
      <c r="L175" s="2"/>
    </row>
    <row r="176" spans="1:12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5"/>
      <c r="L176" s="2"/>
    </row>
    <row r="177" spans="2:12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5"/>
      <c r="L177" s="2"/>
    </row>
    <row r="178" spans="2:12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5"/>
      <c r="L178" s="2"/>
    </row>
    <row r="179" spans="2:12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5"/>
      <c r="L179" s="2"/>
    </row>
    <row r="180" spans="2:12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5"/>
      <c r="L180" s="2"/>
    </row>
    <row r="181" spans="2:12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5"/>
    </row>
    <row r="182" spans="2:12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5"/>
    </row>
    <row r="183" spans="2:12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5"/>
    </row>
    <row r="184" spans="2:12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5"/>
    </row>
    <row r="185" spans="2:12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5"/>
    </row>
    <row r="186" spans="2:12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5"/>
    </row>
    <row r="187" spans="2:12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5"/>
    </row>
    <row r="188" spans="2:12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5"/>
    </row>
    <row r="189" spans="2:12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5"/>
    </row>
    <row r="190" spans="2:12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5"/>
    </row>
    <row r="191" spans="2:12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5"/>
    </row>
    <row r="192" spans="2:12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5"/>
    </row>
    <row r="193" spans="2:11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5"/>
    </row>
    <row r="194" spans="2:11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5"/>
    </row>
    <row r="195" spans="2:11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5"/>
    </row>
    <row r="196" spans="2:11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5"/>
    </row>
    <row r="197" spans="2:11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5"/>
    </row>
    <row r="198" spans="2:11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5"/>
    </row>
    <row r="199" spans="2:11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5"/>
    </row>
    <row r="200" spans="2:11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5"/>
    </row>
    <row r="201" spans="2:11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5"/>
    </row>
    <row r="202" spans="2:11" x14ac:dyDescent="0.2">
      <c r="C202" s="2"/>
      <c r="D202" s="2"/>
      <c r="E202" s="2"/>
      <c r="F202" s="2"/>
      <c r="G202" s="2"/>
      <c r="H202" s="2"/>
      <c r="I202" s="2"/>
      <c r="J202" s="2"/>
      <c r="K202" s="5"/>
    </row>
  </sheetData>
  <phoneticPr fontId="6" type="noConversion"/>
  <printOptions horizontalCentered="1"/>
  <pageMargins left="0.5" right="0.5" top="0.59" bottom="1" header="0.5" footer="0.5"/>
  <pageSetup scale="56" fitToHeight="2" orientation="portrait" r:id="rId1"/>
  <headerFooter alignWithMargins="0"/>
  <rowBreaks count="2" manualBreakCount="2">
    <brk id="68" max="23" man="1"/>
    <brk id="10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8"/>
  <sheetViews>
    <sheetView topLeftCell="A48" zoomScaleNormal="100" workbookViewId="0">
      <selection activeCell="A67" sqref="A67"/>
    </sheetView>
  </sheetViews>
  <sheetFormatPr defaultRowHeight="12.75" x14ac:dyDescent="0.2"/>
  <cols>
    <col min="1" max="1" width="25.140625" style="52" customWidth="1"/>
    <col min="2" max="3" width="12.7109375" style="52" customWidth="1"/>
    <col min="4" max="4" width="26.42578125" style="125" customWidth="1"/>
    <col min="5" max="5" width="50.140625" style="114" customWidth="1"/>
    <col min="6" max="6" width="6.5703125" style="52" customWidth="1"/>
    <col min="7" max="15" width="10.7109375" style="52" customWidth="1"/>
    <col min="16" max="25" width="9.140625" style="52"/>
    <col min="27" max="53" width="9.140625" style="52"/>
  </cols>
  <sheetData>
    <row r="1" spans="1:14" x14ac:dyDescent="0.2">
      <c r="A1" s="52" t="s">
        <v>132</v>
      </c>
    </row>
    <row r="2" spans="1:14" x14ac:dyDescent="0.2">
      <c r="A2" s="52" t="s">
        <v>133</v>
      </c>
      <c r="D2" s="125" t="s">
        <v>176</v>
      </c>
      <c r="E2" s="114" t="s">
        <v>177</v>
      </c>
    </row>
    <row r="4" spans="1:14" ht="25.5" x14ac:dyDescent="0.2">
      <c r="A4" s="119" t="s">
        <v>134</v>
      </c>
      <c r="B4" s="119"/>
      <c r="C4" s="120">
        <v>2.5000000000000001E-2</v>
      </c>
      <c r="E4" s="115" t="s">
        <v>139</v>
      </c>
      <c r="F4" s="84"/>
      <c r="G4" s="84">
        <f>Historical!K9</f>
        <v>2009</v>
      </c>
      <c r="H4" s="84">
        <f>Historical!L9</f>
        <v>2010</v>
      </c>
      <c r="I4" s="84">
        <f>Historical!M9</f>
        <v>2011</v>
      </c>
      <c r="J4" s="84">
        <f>Historical!N9</f>
        <v>2012</v>
      </c>
      <c r="K4" s="84">
        <f>Historical!O9</f>
        <v>2013</v>
      </c>
      <c r="L4" s="84">
        <f>Historical!P9</f>
        <v>2014</v>
      </c>
      <c r="M4" s="135" t="s">
        <v>183</v>
      </c>
    </row>
    <row r="5" spans="1:14" x14ac:dyDescent="0.2">
      <c r="A5" s="119" t="s">
        <v>195</v>
      </c>
      <c r="B5" s="119"/>
      <c r="C5" s="120">
        <v>0.06</v>
      </c>
      <c r="E5" s="115"/>
    </row>
    <row r="6" spans="1:14" x14ac:dyDescent="0.2">
      <c r="A6" s="121" t="s">
        <v>140</v>
      </c>
      <c r="B6" s="119"/>
      <c r="C6" s="120">
        <v>0.03</v>
      </c>
      <c r="E6" s="115"/>
    </row>
    <row r="7" spans="1:14" x14ac:dyDescent="0.2">
      <c r="A7" s="119" t="s">
        <v>141</v>
      </c>
      <c r="B7" s="119"/>
      <c r="C7" s="120">
        <v>0.01</v>
      </c>
      <c r="E7" s="115"/>
    </row>
    <row r="8" spans="1:14" x14ac:dyDescent="0.2">
      <c r="A8" s="119"/>
      <c r="B8" s="119"/>
      <c r="C8" s="119"/>
    </row>
    <row r="9" spans="1:14" x14ac:dyDescent="0.2">
      <c r="A9" s="191" t="str">
        <f>Historical!A11</f>
        <v>Current Assets:</v>
      </c>
      <c r="B9" s="119"/>
      <c r="C9" s="120"/>
      <c r="D9" s="126"/>
      <c r="E9" s="133"/>
      <c r="M9" s="130"/>
    </row>
    <row r="10" spans="1:14" x14ac:dyDescent="0.2">
      <c r="A10" s="52" t="str">
        <f>Historical!A12</f>
        <v>Cash &amp; Equivalents</v>
      </c>
      <c r="B10" s="119"/>
      <c r="C10" s="120">
        <f>M10</f>
        <v>9.661287770815475E-3</v>
      </c>
      <c r="D10" s="125" t="s">
        <v>181</v>
      </c>
      <c r="E10" s="288" t="s">
        <v>228</v>
      </c>
      <c r="F10" s="55"/>
      <c r="G10" s="55">
        <f>Historical!K12/Historical!K76</f>
        <v>2.6250841373120934E-2</v>
      </c>
      <c r="H10" s="55">
        <f>Historical!L12/Historical!L76</f>
        <v>6.994584837545126E-3</v>
      </c>
      <c r="I10" s="55">
        <f>Historical!M12/Historical!M76</f>
        <v>1.0248582642825993E-2</v>
      </c>
      <c r="J10" s="55">
        <f>Historical!N12/Historical!N76</f>
        <v>1.6386726751331421E-2</v>
      </c>
      <c r="K10" s="55">
        <f>Historical!O12/Historical!O76</f>
        <v>1.0297260540120458E-2</v>
      </c>
      <c r="L10" s="55">
        <f>Historical!P12/Historical!P76</f>
        <v>4.3792840822543793E-3</v>
      </c>
      <c r="M10" s="55">
        <f>AVERAGE(H10:L10)</f>
        <v>9.661287770815475E-3</v>
      </c>
      <c r="N10" s="55"/>
    </row>
    <row r="11" spans="1:14" x14ac:dyDescent="0.2">
      <c r="A11" s="52" t="s">
        <v>136</v>
      </c>
      <c r="B11" s="119"/>
      <c r="C11" s="120"/>
      <c r="D11" s="265" t="s">
        <v>179</v>
      </c>
      <c r="E11" s="126"/>
    </row>
    <row r="12" spans="1:14" x14ac:dyDescent="0.2">
      <c r="A12" s="52" t="str">
        <f>Historical!A13</f>
        <v>Accounts Receivable</v>
      </c>
      <c r="B12" s="119"/>
      <c r="C12" s="120">
        <f>M12</f>
        <v>0.1383145795432347</v>
      </c>
      <c r="D12" s="286" t="s">
        <v>213</v>
      </c>
      <c r="E12" s="301" t="s">
        <v>224</v>
      </c>
      <c r="F12" s="120"/>
      <c r="G12" s="120">
        <f>Historical!K13/Historical!K76</f>
        <v>0.13888265649540049</v>
      </c>
      <c r="H12" s="120">
        <f>Historical!L13/Historical!L76</f>
        <v>0.14169675090252706</v>
      </c>
      <c r="I12" s="120">
        <f>Historical!M13/Historical!M76</f>
        <v>0.14238988225032709</v>
      </c>
      <c r="J12" s="120">
        <f>Historical!N13/Historical!N76</f>
        <v>0.1374436706267923</v>
      </c>
      <c r="K12" s="120">
        <f>Historical!O13/Historical!O76</f>
        <v>0.13600155430347777</v>
      </c>
      <c r="L12" s="120">
        <f>Historical!P13/Historical!P76</f>
        <v>0.13347296268088346</v>
      </c>
      <c r="M12" s="55">
        <f>AVERAGE(G12:L12)</f>
        <v>0.1383145795432347</v>
      </c>
      <c r="N12" s="55"/>
    </row>
    <row r="13" spans="1:14" x14ac:dyDescent="0.2">
      <c r="A13" s="52" t="str">
        <f>Historical!A14</f>
        <v>Material, Supplies, Fuel</v>
      </c>
      <c r="B13" s="119"/>
      <c r="C13" s="120">
        <f>C61</f>
        <v>2.5028512520969378E-2</v>
      </c>
      <c r="D13" s="125" t="s">
        <v>194</v>
      </c>
      <c r="E13" s="117"/>
      <c r="F13" s="84"/>
      <c r="G13" s="84"/>
      <c r="H13" s="84"/>
      <c r="I13" s="84"/>
      <c r="J13" s="113"/>
      <c r="K13" s="113"/>
      <c r="L13" s="113"/>
      <c r="M13" s="112"/>
    </row>
    <row r="14" spans="1:14" x14ac:dyDescent="0.2">
      <c r="A14" s="52" t="str">
        <f>Historical!A15</f>
        <v>Other Current Assets</v>
      </c>
      <c r="B14" s="119"/>
      <c r="C14" s="120">
        <f>AVERAGE(K14:L14)</f>
        <v>1.4047621947035505E-2</v>
      </c>
      <c r="D14" s="284" t="s">
        <v>214</v>
      </c>
      <c r="E14" s="300" t="s">
        <v>230</v>
      </c>
      <c r="F14" s="55"/>
      <c r="G14" s="55">
        <f>Historical!AD15</f>
        <v>2.4095750289992619E-2</v>
      </c>
      <c r="H14" s="55">
        <f>Historical!AE15</f>
        <v>3.2860121115854263E-2</v>
      </c>
      <c r="I14" s="55">
        <f>Historical!AF15</f>
        <v>1.6582962190846207E-2</v>
      </c>
      <c r="J14" s="55">
        <f>Historical!AG15</f>
        <v>1.1459867452135493E-2</v>
      </c>
      <c r="K14" s="55">
        <f>Historical!AH15</f>
        <v>1.0849993074472505E-2</v>
      </c>
      <c r="L14" s="55">
        <f>Historical!AI15</f>
        <v>1.7245250819598507E-2</v>
      </c>
      <c r="M14" s="55">
        <f>AVERAGE(G14:L14)</f>
        <v>1.8848990823816598E-2</v>
      </c>
      <c r="N14" s="101"/>
    </row>
    <row r="15" spans="1:14" x14ac:dyDescent="0.2">
      <c r="A15" s="52" t="str">
        <f>Historical!A16</f>
        <v>Total Current Assets</v>
      </c>
      <c r="B15" s="119"/>
      <c r="C15" s="120"/>
      <c r="D15" s="265" t="s">
        <v>179</v>
      </c>
      <c r="E15" s="116"/>
      <c r="F15" s="55"/>
      <c r="G15" s="55"/>
      <c r="H15" s="55"/>
      <c r="I15" s="55"/>
      <c r="J15" s="55"/>
      <c r="K15" s="55"/>
      <c r="L15" s="55"/>
      <c r="M15" s="55"/>
    </row>
    <row r="16" spans="1:14" x14ac:dyDescent="0.2">
      <c r="B16" s="119"/>
      <c r="C16" s="120"/>
    </row>
    <row r="17" spans="1:53" x14ac:dyDescent="0.2">
      <c r="A17" s="191" t="str">
        <f>Historical!A18</f>
        <v>Plant &amp; Equipment:</v>
      </c>
      <c r="B17" s="119"/>
      <c r="C17" s="119"/>
    </row>
    <row r="18" spans="1:53" ht="51" x14ac:dyDescent="0.2">
      <c r="A18" s="52" t="str">
        <f>Historical!A19</f>
        <v>Plant in Service</v>
      </c>
      <c r="B18" s="119"/>
      <c r="C18" s="120">
        <f>C61*0.8</f>
        <v>2.0022810016775503E-2</v>
      </c>
      <c r="D18" s="286" t="s">
        <v>238</v>
      </c>
      <c r="G18" s="84">
        <v>2015</v>
      </c>
      <c r="H18" s="84">
        <v>2016</v>
      </c>
      <c r="I18" s="84">
        <v>2017</v>
      </c>
      <c r="J18" s="84">
        <v>2018</v>
      </c>
      <c r="K18" s="295" t="s">
        <v>236</v>
      </c>
      <c r="L18" s="84"/>
      <c r="M18" s="84"/>
      <c r="N18" s="84"/>
    </row>
    <row r="19" spans="1:53" x14ac:dyDescent="0.2">
      <c r="A19" s="2" t="s">
        <v>237</v>
      </c>
      <c r="B19" s="119"/>
      <c r="C19" s="120">
        <f>C61*0.9</f>
        <v>2.2525661268872441E-2</v>
      </c>
      <c r="D19" s="286"/>
      <c r="G19" s="84"/>
      <c r="H19" s="84"/>
      <c r="I19" s="84"/>
      <c r="J19" s="84"/>
      <c r="K19" s="295"/>
      <c r="L19" s="84"/>
      <c r="M19" s="84"/>
      <c r="N19" s="84"/>
    </row>
    <row r="20" spans="1:53" s="299" customFormat="1" ht="32.25" customHeight="1" x14ac:dyDescent="0.2">
      <c r="A20" s="114" t="str">
        <f>Historical!A20</f>
        <v>Construction Work in Progress</v>
      </c>
      <c r="B20" s="125"/>
      <c r="C20" s="296">
        <v>900</v>
      </c>
      <c r="D20" s="286" t="s">
        <v>180</v>
      </c>
      <c r="E20" s="288" t="s">
        <v>235</v>
      </c>
      <c r="F20" s="297"/>
      <c r="G20" s="298">
        <v>900</v>
      </c>
      <c r="H20" s="298">
        <v>700</v>
      </c>
      <c r="I20" s="298">
        <v>700</v>
      </c>
      <c r="J20" s="298">
        <v>900</v>
      </c>
      <c r="K20" s="298">
        <v>1000</v>
      </c>
      <c r="L20" s="298"/>
      <c r="M20" s="298"/>
      <c r="N20" s="298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</row>
    <row r="21" spans="1:53" ht="6" hidden="1" customHeight="1" x14ac:dyDescent="0.2">
      <c r="A21" s="52" t="str">
        <f>Historical!A21</f>
        <v>Australian Electric Operations</v>
      </c>
      <c r="B21" s="119"/>
      <c r="C21" s="122">
        <v>0</v>
      </c>
      <c r="D21" s="126"/>
      <c r="F21" s="55"/>
      <c r="G21" s="55"/>
      <c r="H21" s="55"/>
      <c r="I21" s="55"/>
      <c r="J21" s="55"/>
      <c r="L21" s="55"/>
      <c r="M21" s="55"/>
      <c r="N21" s="55"/>
    </row>
    <row r="22" spans="1:53" ht="5.25" hidden="1" customHeight="1" x14ac:dyDescent="0.2">
      <c r="A22" s="52" t="str">
        <f>Historical!A22</f>
        <v>Other PP&amp;E</v>
      </c>
      <c r="B22" s="119"/>
      <c r="C22" s="122">
        <v>0</v>
      </c>
    </row>
    <row r="23" spans="1:53" x14ac:dyDescent="0.2">
      <c r="A23" s="52" t="str">
        <f>Historical!A23</f>
        <v>Total Plant &amp; Equipment:</v>
      </c>
      <c r="B23" s="119"/>
      <c r="C23" s="119"/>
      <c r="D23" s="265" t="s">
        <v>179</v>
      </c>
    </row>
    <row r="24" spans="1:53" ht="76.5" x14ac:dyDescent="0.2">
      <c r="A24" s="119" t="str">
        <f>Historical!A25</f>
        <v>Accumulated Depreciation &amp; Amort.</v>
      </c>
      <c r="B24" s="119"/>
      <c r="C24" s="120">
        <f>AVERAGE(K24:L24)</f>
        <v>0.31000025074866144</v>
      </c>
      <c r="D24" s="286" t="s">
        <v>239</v>
      </c>
      <c r="E24" s="286" t="s">
        <v>230</v>
      </c>
      <c r="F24" s="55"/>
      <c r="G24" s="55">
        <f>Historical!K25/Historical!K19</f>
        <v>0.32577471716674866</v>
      </c>
      <c r="H24" s="55">
        <f>Historical!L25/Historical!L19</f>
        <v>0.30162476173186892</v>
      </c>
      <c r="I24" s="55">
        <f>Historical!M25/Historical!M19</f>
        <v>0.29876382563435261</v>
      </c>
      <c r="J24" s="55">
        <f>Historical!N25/Historical!N19</f>
        <v>0.30061605061605062</v>
      </c>
      <c r="K24" s="55">
        <f>Historical!O25/Historical!O19</f>
        <v>0.30907189963004666</v>
      </c>
      <c r="L24" s="55">
        <f>Historical!P25/Historical!P19</f>
        <v>0.31092860186727617</v>
      </c>
      <c r="M24" s="55">
        <f>AVERAGE(G24:L24)</f>
        <v>0.30779664277439062</v>
      </c>
    </row>
    <row r="25" spans="1:53" x14ac:dyDescent="0.2">
      <c r="A25" s="52" t="str">
        <f>Historical!A27</f>
        <v>Net Plant &amp; Equipment</v>
      </c>
      <c r="B25" s="119"/>
      <c r="C25" s="120"/>
      <c r="D25" s="265" t="s">
        <v>179</v>
      </c>
      <c r="E25" s="116"/>
    </row>
    <row r="26" spans="1:53" x14ac:dyDescent="0.2">
      <c r="B26" s="119"/>
      <c r="C26" s="120"/>
      <c r="D26" s="265"/>
      <c r="E26" s="116"/>
    </row>
    <row r="27" spans="1:53" x14ac:dyDescent="0.2">
      <c r="A27" s="191" t="str">
        <f>Historical!A29</f>
        <v>Other Assets:</v>
      </c>
      <c r="B27" s="119"/>
      <c r="C27" s="119"/>
    </row>
    <row r="28" spans="1:53" x14ac:dyDescent="0.2">
      <c r="A28" s="52" t="str">
        <f>Historical!A30</f>
        <v>Regulatory Assets</v>
      </c>
      <c r="B28" s="119"/>
      <c r="C28" s="57">
        <f>C61</f>
        <v>2.5028512520969378E-2</v>
      </c>
      <c r="D28" s="286" t="s">
        <v>212</v>
      </c>
      <c r="E28" s="288" t="s">
        <v>221</v>
      </c>
      <c r="F28" s="55"/>
    </row>
    <row r="29" spans="1:53" hidden="1" x14ac:dyDescent="0.2">
      <c r="A29" s="52" t="str">
        <f>Historical!A31</f>
        <v>Intangible Assets-net</v>
      </c>
      <c r="B29" s="119"/>
      <c r="C29" s="119"/>
      <c r="F29" s="84"/>
      <c r="G29" s="84"/>
      <c r="H29" s="84"/>
      <c r="I29" s="84"/>
      <c r="J29" s="84"/>
      <c r="K29" s="84"/>
    </row>
    <row r="30" spans="1:53" ht="12" customHeight="1" x14ac:dyDescent="0.2">
      <c r="A30" s="52" t="str">
        <f>Historical!A32</f>
        <v>Financial Assets/Derivatives</v>
      </c>
      <c r="B30" s="119"/>
      <c r="C30" s="120">
        <v>1E-4</v>
      </c>
      <c r="D30" s="125" t="s">
        <v>178</v>
      </c>
      <c r="E30" s="287"/>
      <c r="F30" s="55"/>
      <c r="G30" s="55">
        <f>Historical!AD32</f>
        <v>2.2672150163450385E-3</v>
      </c>
      <c r="H30" s="55">
        <f>Historical!AE32</f>
        <v>4.4673880671100964E-4</v>
      </c>
      <c r="I30" s="55">
        <f>Historical!AF32</f>
        <v>1.895195678953852E-4</v>
      </c>
      <c r="J30" s="55">
        <f>Historical!AG32</f>
        <v>4.6023564064801177E-5</v>
      </c>
      <c r="K30" s="55">
        <f>Historical!AH32</f>
        <v>0</v>
      </c>
      <c r="L30" s="55">
        <f>Historical!AI32</f>
        <v>0</v>
      </c>
      <c r="M30" s="55">
        <f>AVERAGE(G30:K30)</f>
        <v>5.8989939100324688E-4</v>
      </c>
    </row>
    <row r="31" spans="1:53" hidden="1" x14ac:dyDescent="0.2">
      <c r="A31" s="52" t="str">
        <f>Historical!A33</f>
        <v>Investments in Affiliates</v>
      </c>
      <c r="B31" s="119"/>
      <c r="C31" s="120"/>
      <c r="D31" s="125" t="s">
        <v>178</v>
      </c>
      <c r="E31" s="116"/>
      <c r="F31" s="55"/>
      <c r="G31" s="55"/>
      <c r="H31" s="55"/>
      <c r="I31" s="55"/>
      <c r="J31" s="55"/>
      <c r="K31" s="55"/>
      <c r="L31" s="55"/>
      <c r="M31" s="55" t="e">
        <f>AVERAGE(G31:K31)</f>
        <v>#DIV/0!</v>
      </c>
    </row>
    <row r="32" spans="1:53" x14ac:dyDescent="0.2">
      <c r="A32" s="52" t="str">
        <f>Historical!A34</f>
        <v>Deferred Charges and Other</v>
      </c>
      <c r="B32" s="119"/>
      <c r="C32" s="120">
        <v>1.95E-2</v>
      </c>
      <c r="D32" s="125" t="s">
        <v>178</v>
      </c>
      <c r="E32" s="288" t="s">
        <v>222</v>
      </c>
      <c r="G32" s="55">
        <f>Historical!AD34</f>
        <v>1.4499630918485711E-2</v>
      </c>
      <c r="H32" s="55">
        <f>Historical!AE34</f>
        <v>1.9656507495284425E-2</v>
      </c>
      <c r="I32" s="55">
        <f>Historical!AF34</f>
        <v>2.0610253008623139E-2</v>
      </c>
      <c r="J32" s="55">
        <f>Historical!AG34</f>
        <v>1.9744108983799705E-2</v>
      </c>
      <c r="K32" s="55">
        <f>Historical!AH34</f>
        <v>1.9391476984163627E-2</v>
      </c>
      <c r="L32" s="55">
        <f>Historical!AI34</f>
        <v>2.0164368796874298E-2</v>
      </c>
      <c r="M32" s="55">
        <f>AVERAGE(G32:K32)</f>
        <v>1.878039547807132E-2</v>
      </c>
      <c r="O32"/>
    </row>
    <row r="33" spans="1:14" x14ac:dyDescent="0.2">
      <c r="A33" s="52" t="str">
        <f>Historical!A35</f>
        <v>Total Other Assets</v>
      </c>
      <c r="B33" s="119"/>
      <c r="C33" s="120"/>
      <c r="D33" s="265" t="s">
        <v>179</v>
      </c>
      <c r="E33" s="116"/>
      <c r="J33"/>
      <c r="K33"/>
    </row>
    <row r="34" spans="1:14" x14ac:dyDescent="0.2">
      <c r="A34" s="52" t="str">
        <f>Historical!A36</f>
        <v>Total Non-Current Assets</v>
      </c>
      <c r="B34" s="119"/>
      <c r="C34" s="119"/>
      <c r="D34" s="265" t="s">
        <v>179</v>
      </c>
      <c r="F34" s="84"/>
      <c r="G34" s="84"/>
      <c r="H34" s="84"/>
      <c r="I34" s="84"/>
      <c r="J34" s="84"/>
      <c r="K34" s="84"/>
      <c r="L34" s="84"/>
      <c r="M34" s="132"/>
    </row>
    <row r="35" spans="1:14" x14ac:dyDescent="0.2">
      <c r="A35" s="191" t="str">
        <f>Historical!A37</f>
        <v>Total Assets</v>
      </c>
      <c r="B35" s="119"/>
      <c r="C35" s="119"/>
      <c r="D35" s="265" t="s">
        <v>179</v>
      </c>
      <c r="E35" s="116"/>
      <c r="F35" s="119"/>
      <c r="G35" s="119"/>
      <c r="H35" s="119"/>
      <c r="I35" s="119"/>
      <c r="J35" s="119"/>
      <c r="K35" s="119"/>
      <c r="L35" s="119"/>
      <c r="M35" s="119"/>
      <c r="N35" s="120"/>
    </row>
    <row r="36" spans="1:14" x14ac:dyDescent="0.2">
      <c r="B36" s="119"/>
      <c r="C36" s="119"/>
      <c r="D36" s="126"/>
      <c r="E36" s="116"/>
      <c r="F36" s="119"/>
      <c r="G36" s="119"/>
      <c r="H36" s="119"/>
      <c r="I36" s="119"/>
      <c r="J36" s="119"/>
      <c r="K36" s="119"/>
      <c r="L36" s="119"/>
      <c r="M36" s="119"/>
      <c r="N36" s="120"/>
    </row>
    <row r="37" spans="1:14" x14ac:dyDescent="0.2">
      <c r="A37" s="52" t="str">
        <f>Historical!A40</f>
        <v>Current Liabilities:</v>
      </c>
      <c r="B37" s="119"/>
      <c r="C37" s="120"/>
      <c r="E37" s="116"/>
      <c r="F37" s="84"/>
      <c r="G37" s="84">
        <f>G4</f>
        <v>2009</v>
      </c>
      <c r="H37" s="84">
        <f t="shared" ref="H37:L37" si="0">H4</f>
        <v>2010</v>
      </c>
      <c r="I37" s="84">
        <f t="shared" si="0"/>
        <v>2011</v>
      </c>
      <c r="J37" s="84">
        <f t="shared" si="0"/>
        <v>2012</v>
      </c>
      <c r="K37" s="84">
        <f t="shared" si="0"/>
        <v>2013</v>
      </c>
      <c r="L37" s="84">
        <f t="shared" si="0"/>
        <v>2014</v>
      </c>
      <c r="M37" s="113" t="str">
        <f t="shared" ref="M37" si="1">M4</f>
        <v xml:space="preserve">average </v>
      </c>
    </row>
    <row r="38" spans="1:14" x14ac:dyDescent="0.2">
      <c r="A38" s="52" t="str">
        <f>Historical!A41</f>
        <v>Current Maturities LTD</v>
      </c>
      <c r="B38" s="119"/>
      <c r="C38" s="120">
        <f>M38</f>
        <v>3.3737860402345096E-2</v>
      </c>
      <c r="D38" s="125" t="s">
        <v>182</v>
      </c>
      <c r="F38" s="55"/>
      <c r="G38" s="55">
        <f>Historical!K41/(Historical!K49)</f>
        <v>2.5000000000000001E-3</v>
      </c>
      <c r="H38" s="55">
        <f>Historical!L41/(Historical!L49)</f>
        <v>0.10115258902460003</v>
      </c>
      <c r="I38" s="55">
        <f>Historical!M41/(Historical!M49)</f>
        <v>3.0674846625766872E-3</v>
      </c>
      <c r="J38" s="55">
        <f>Historical!N41/(Historical!N49)</f>
        <v>4.0491355777979979E-2</v>
      </c>
      <c r="K38" s="55">
        <f>Historical!O41/(Historical!O49)</f>
        <v>3.5848772405482753E-2</v>
      </c>
      <c r="L38" s="55">
        <f>Historical!P41/(Historical!P49)</f>
        <v>1.9366960543431132E-2</v>
      </c>
      <c r="M38" s="55">
        <f t="shared" ref="M38:M43" si="2">AVERAGE(G38:L38)</f>
        <v>3.3737860402345096E-2</v>
      </c>
    </row>
    <row r="39" spans="1:14" x14ac:dyDescent="0.2">
      <c r="A39" s="52" t="str">
        <f>Historical!A42</f>
        <v>Short-term Debt</v>
      </c>
      <c r="B39" s="119"/>
      <c r="C39" s="120">
        <f>M39</f>
        <v>5.8804185086173966E-3</v>
      </c>
      <c r="D39" s="286" t="s">
        <v>178</v>
      </c>
      <c r="E39" s="288"/>
      <c r="G39" s="55">
        <f>Historical!K42/Historical!K37</f>
        <v>0</v>
      </c>
      <c r="H39" s="55">
        <f>Historical!L42/Historical!L37</f>
        <v>1.7869552268440386E-3</v>
      </c>
      <c r="I39" s="55">
        <f>Historical!M42/Historical!M37</f>
        <v>3.2597365678006252E-2</v>
      </c>
      <c r="J39" s="55">
        <f>Historical!N42/Historical!N37</f>
        <v>0</v>
      </c>
      <c r="K39" s="55">
        <f>Historical!O42/Historical!O37</f>
        <v>0</v>
      </c>
      <c r="L39" s="55">
        <f>Historical!P42/Historical!P37</f>
        <v>8.9819014685408899E-4</v>
      </c>
      <c r="M39" s="55">
        <f t="shared" si="2"/>
        <v>5.8804185086173966E-3</v>
      </c>
    </row>
    <row r="40" spans="1:14" x14ac:dyDescent="0.2">
      <c r="A40" s="52" t="str">
        <f>Historical!A43</f>
        <v>Accounts Payable</v>
      </c>
      <c r="B40" s="123"/>
      <c r="C40" s="120">
        <f>AVERAGE(J40:L40)</f>
        <v>9.4038778811079901E-2</v>
      </c>
      <c r="D40" s="286" t="s">
        <v>213</v>
      </c>
      <c r="E40" s="285" t="s">
        <v>229</v>
      </c>
      <c r="F40" s="55"/>
      <c r="G40" s="55">
        <f>Historical!K43/Historical!K76</f>
        <v>0.1240744895669733</v>
      </c>
      <c r="H40" s="55">
        <f>Historical!L43/Historical!L76</f>
        <v>0.10807761732851985</v>
      </c>
      <c r="I40" s="55">
        <f>Historical!M43/Historical!M76</f>
        <v>0.12690798081116442</v>
      </c>
      <c r="J40" s="55">
        <f>Historical!N43/Historical!N76</f>
        <v>9.5657517410897175E-2</v>
      </c>
      <c r="K40" s="55">
        <f>Historical!O43/Historical!O76</f>
        <v>9.7921119098503984E-2</v>
      </c>
      <c r="L40" s="55">
        <f>Historical!P43/Historical!P76</f>
        <v>8.8537699923838531E-2</v>
      </c>
      <c r="M40" s="55">
        <f t="shared" si="2"/>
        <v>0.10686273735664953</v>
      </c>
    </row>
    <row r="41" spans="1:14" x14ac:dyDescent="0.2">
      <c r="A41" s="52" t="str">
        <f>Historical!A44</f>
        <v>Accrued Expenses</v>
      </c>
      <c r="B41" s="123"/>
      <c r="C41" s="120">
        <f>M41</f>
        <v>1.18583793680578E-2</v>
      </c>
      <c r="D41" s="286" t="s">
        <v>215</v>
      </c>
      <c r="E41" s="285"/>
      <c r="F41" s="55"/>
      <c r="G41" s="55">
        <f>Historical!K44/Historical!K$37</f>
        <v>1.3392386375619529E-2</v>
      </c>
      <c r="H41" s="55">
        <f>Historical!L44/Historical!L$37</f>
        <v>1.2607961878288493E-2</v>
      </c>
      <c r="I41" s="55">
        <f>Historical!M44/Historical!M$37</f>
        <v>1.1513313749644651E-2</v>
      </c>
      <c r="J41" s="55">
        <f>Historical!N44/Historical!N$37</f>
        <v>1.1229749631811487E-2</v>
      </c>
      <c r="K41" s="55">
        <f>Historical!O44/Historical!O$37</f>
        <v>1.1404035274020037E-2</v>
      </c>
      <c r="L41" s="55">
        <f>Historical!P44/Historical!P$37</f>
        <v>1.1002829298962591E-2</v>
      </c>
      <c r="M41" s="55">
        <f t="shared" si="2"/>
        <v>1.18583793680578E-2</v>
      </c>
    </row>
    <row r="42" spans="1:14" x14ac:dyDescent="0.2">
      <c r="A42" s="52" t="str">
        <f>Historical!A45</f>
        <v>Derivative Contacts</v>
      </c>
      <c r="B42" s="123"/>
      <c r="C42" s="120">
        <f>AVERAGE(K42:L42)</f>
        <v>2.6228871187099281E-3</v>
      </c>
      <c r="D42" s="286" t="s">
        <v>213</v>
      </c>
      <c r="E42" s="285" t="s">
        <v>230</v>
      </c>
      <c r="F42" s="55"/>
      <c r="G42" s="55">
        <f>Historical!K45/Historical!K76</f>
        <v>1.9071124074489566E-2</v>
      </c>
      <c r="H42" s="55">
        <f>Historical!L45/Historical!L76</f>
        <v>1.895306859205776E-2</v>
      </c>
      <c r="I42" s="55">
        <f>Historical!M45/Historical!M76</f>
        <v>1.9624945486262538E-2</v>
      </c>
      <c r="J42" s="55">
        <f>Historical!N45/Historical!N76</f>
        <v>1.0036870135190496E-2</v>
      </c>
      <c r="K42" s="55">
        <f>Historical!O45/Historical!O76</f>
        <v>5.2457742374198563E-3</v>
      </c>
      <c r="L42" s="55">
        <f>Historical!P45/Historical!P76</f>
        <v>0</v>
      </c>
      <c r="M42" s="55">
        <f t="shared" si="2"/>
        <v>1.2155297087570037E-2</v>
      </c>
    </row>
    <row r="43" spans="1:14" x14ac:dyDescent="0.2">
      <c r="A43" s="52" t="str">
        <f>Historical!A46</f>
        <v xml:space="preserve">Other </v>
      </c>
      <c r="B43" s="123"/>
      <c r="C43" s="120">
        <f>M43</f>
        <v>9.3126856959951931E-3</v>
      </c>
      <c r="D43" s="125" t="s">
        <v>135</v>
      </c>
      <c r="E43" s="285"/>
      <c r="G43" s="55">
        <f>Historical!AD46</f>
        <v>5.5362227143309082E-3</v>
      </c>
      <c r="H43" s="55">
        <f>Historical!AE46</f>
        <v>6.0061550680035741E-3</v>
      </c>
      <c r="I43" s="55">
        <f>Historical!AF46</f>
        <v>9.0969392589784898E-3</v>
      </c>
      <c r="J43" s="55">
        <f>Historical!AG46</f>
        <v>1.1828055964653902E-2</v>
      </c>
      <c r="K43" s="55">
        <f>Historical!AH46</f>
        <v>1.1911907290271943E-2</v>
      </c>
      <c r="L43" s="55">
        <f>Historical!AI46</f>
        <v>1.1496833879732339E-2</v>
      </c>
      <c r="M43" s="55">
        <f t="shared" si="2"/>
        <v>9.3126856959951931E-3</v>
      </c>
    </row>
    <row r="44" spans="1:14" x14ac:dyDescent="0.2">
      <c r="A44" s="191" t="str">
        <f>Historical!A47</f>
        <v>Total Current Liabilities</v>
      </c>
      <c r="B44" s="123"/>
      <c r="C44" s="120"/>
      <c r="D44" s="265" t="s">
        <v>179</v>
      </c>
      <c r="E44" s="115"/>
      <c r="F44" s="84"/>
      <c r="G44" s="84"/>
      <c r="H44" s="84"/>
      <c r="I44" s="84"/>
      <c r="J44" s="84"/>
    </row>
    <row r="45" spans="1:14" x14ac:dyDescent="0.2">
      <c r="B45" s="123"/>
      <c r="C45" s="120"/>
      <c r="F45" s="84"/>
      <c r="G45" s="84">
        <f t="shared" ref="G45:L45" si="3">G37</f>
        <v>2009</v>
      </c>
      <c r="H45" s="84">
        <f t="shared" si="3"/>
        <v>2010</v>
      </c>
      <c r="I45" s="84">
        <f t="shared" si="3"/>
        <v>2011</v>
      </c>
      <c r="J45" s="84">
        <f t="shared" si="3"/>
        <v>2012</v>
      </c>
      <c r="K45" s="84">
        <f t="shared" si="3"/>
        <v>2013</v>
      </c>
      <c r="L45" s="84">
        <f t="shared" si="3"/>
        <v>2014</v>
      </c>
    </row>
    <row r="46" spans="1:14" ht="25.5" x14ac:dyDescent="0.2">
      <c r="A46" s="191" t="str">
        <f>Historical!A49</f>
        <v>Long-Term Debt</v>
      </c>
      <c r="B46" s="123"/>
      <c r="C46" s="120"/>
      <c r="D46" s="125" t="s">
        <v>193</v>
      </c>
      <c r="F46" s="55"/>
      <c r="G46" s="55">
        <f>Historical!K49/Historical!K27</f>
        <v>0.41191993306301089</v>
      </c>
      <c r="H46" s="55">
        <f>Historical!L49/Historical!L27</f>
        <v>0.35462420693020985</v>
      </c>
      <c r="I46" s="55">
        <f>Historical!M49/Historical!M27</f>
        <v>0.35650972717854262</v>
      </c>
      <c r="J46" s="55">
        <f>Historical!N49/Historical!N27</f>
        <v>0.36517693969097859</v>
      </c>
      <c r="K46" s="55">
        <f>Historical!O49/Historical!O27</f>
        <v>0.35872912951856056</v>
      </c>
      <c r="L46" s="55">
        <f>Historical!P49/Historical!P27</f>
        <v>0.36962444575030717</v>
      </c>
      <c r="M46" s="55">
        <f>AVERAGE(F46:L46)</f>
        <v>0.36943073035526824</v>
      </c>
    </row>
    <row r="47" spans="1:14" x14ac:dyDescent="0.2">
      <c r="A47" s="52" t="str">
        <f>Historical!A50</f>
        <v>Deferred Income Taxes</v>
      </c>
      <c r="B47" s="123"/>
      <c r="C47" s="120">
        <f>AVERAGE(J47:L47)</f>
        <v>0.2375258433091052</v>
      </c>
      <c r="D47" s="289" t="s">
        <v>240</v>
      </c>
      <c r="E47" s="285" t="s">
        <v>229</v>
      </c>
      <c r="F47" s="84"/>
      <c r="G47" s="55">
        <f>Historical!K50/Historical!K27</f>
        <v>0.16895153504537555</v>
      </c>
      <c r="H47" s="55">
        <f>Historical!L50/Historical!L27</f>
        <v>0.21034651049292338</v>
      </c>
      <c r="I47" s="55">
        <f>Historical!M50/Historical!M27</f>
        <v>0.22234373201335328</v>
      </c>
      <c r="J47" s="55">
        <f>Historical!N50/Historical!N27</f>
        <v>0.23082461095420059</v>
      </c>
      <c r="K47" s="55">
        <f>Historical!O50/Historical!O27</f>
        <v>0.2355325012157562</v>
      </c>
      <c r="L47" s="55">
        <f>Historical!P50/Historical!P27</f>
        <v>0.24622041775735884</v>
      </c>
      <c r="M47" s="55">
        <f>AVERAGE(G47:L47)</f>
        <v>0.21903655124649465</v>
      </c>
    </row>
    <row r="48" spans="1:14" x14ac:dyDescent="0.2">
      <c r="A48" s="52" t="str">
        <f>Historical!A51</f>
        <v>Derivative Contracts</v>
      </c>
      <c r="B48" s="123"/>
      <c r="C48" s="120">
        <f>AVERAGE(K48:L48)</f>
        <v>7.016632016632017E-3</v>
      </c>
      <c r="D48" s="286" t="s">
        <v>213</v>
      </c>
      <c r="E48" s="285" t="s">
        <v>223</v>
      </c>
      <c r="F48" s="55"/>
      <c r="G48" s="55">
        <f>Historical!K45/Historical!K79</f>
        <v>5.0685748360166961E-2</v>
      </c>
      <c r="H48" s="55">
        <f>Historical!L45/Historical!L79</f>
        <v>5.19159456118665E-2</v>
      </c>
      <c r="I48" s="55">
        <f>Historical!M45/Historical!M79</f>
        <v>5.5012224938875302E-2</v>
      </c>
      <c r="J48" s="55">
        <f>Historical!N45/Historical!N79</f>
        <v>2.6952695269526952E-2</v>
      </c>
      <c r="K48" s="55">
        <f>Historical!O45/Historical!O79</f>
        <v>1.4033264033264034E-2</v>
      </c>
      <c r="L48" s="55">
        <f>Historical!P45/Historical!P79</f>
        <v>0</v>
      </c>
      <c r="M48" s="55">
        <f>AVERAGE(J48:L48)</f>
        <v>1.3661986434263662E-2</v>
      </c>
    </row>
    <row r="49" spans="1:13" x14ac:dyDescent="0.2">
      <c r="A49" s="52" t="str">
        <f>Historical!A52</f>
        <v>Other Long-term Liabilities</v>
      </c>
      <c r="B49" s="123"/>
      <c r="C49" s="120">
        <f>M49</f>
        <v>8.5192697457746325E-2</v>
      </c>
      <c r="D49" s="289" t="s">
        <v>178</v>
      </c>
      <c r="E49" s="116"/>
      <c r="G49" s="55">
        <f>Historical!AD52</f>
        <v>9.4168512074238112E-2</v>
      </c>
      <c r="H49" s="55">
        <f>Historical!AE52</f>
        <v>8.0065521691650945E-2</v>
      </c>
      <c r="I49" s="55">
        <f>Historical!AF52</f>
        <v>8.7984459395432577E-2</v>
      </c>
      <c r="J49" s="55">
        <f>Historical!AG52</f>
        <v>9.2599410898379975E-2</v>
      </c>
      <c r="K49" s="55">
        <f>Historical!AH52</f>
        <v>7.267186850731798E-2</v>
      </c>
      <c r="L49" s="55">
        <f>Historical!AI52</f>
        <v>8.3666412179458388E-2</v>
      </c>
      <c r="M49" s="55">
        <f>AVERAGE(G49:L49)</f>
        <v>8.5192697457746325E-2</v>
      </c>
    </row>
    <row r="50" spans="1:13" x14ac:dyDescent="0.2">
      <c r="A50" s="52" t="str">
        <f>Historical!A53</f>
        <v>Total LTD &amp; Deferrals</v>
      </c>
      <c r="B50" s="123"/>
      <c r="C50" s="119"/>
      <c r="D50" s="265" t="s">
        <v>179</v>
      </c>
    </row>
    <row r="51" spans="1:13" x14ac:dyDescent="0.2">
      <c r="A51" s="52" t="str">
        <f>Historical!A55</f>
        <v>Total Liabilities</v>
      </c>
      <c r="B51" s="119"/>
      <c r="C51" s="120"/>
      <c r="D51" s="265" t="s">
        <v>179</v>
      </c>
    </row>
    <row r="52" spans="1:13" x14ac:dyDescent="0.2">
      <c r="B52" s="123"/>
      <c r="C52" s="119"/>
      <c r="D52" s="127"/>
    </row>
    <row r="53" spans="1:13" ht="25.5" x14ac:dyDescent="0.2">
      <c r="A53" s="52" t="str">
        <f>Historical!A57</f>
        <v>Preferred Stock</v>
      </c>
      <c r="B53" s="119"/>
      <c r="C53" s="119">
        <v>2</v>
      </c>
      <c r="D53" s="284" t="s">
        <v>218</v>
      </c>
      <c r="E53" s="126"/>
    </row>
    <row r="54" spans="1:13" x14ac:dyDescent="0.2">
      <c r="B54" s="119"/>
      <c r="C54" s="120"/>
      <c r="D54" s="265"/>
    </row>
    <row r="55" spans="1:13" x14ac:dyDescent="0.2">
      <c r="A55" s="191" t="str">
        <f>Historical!A59</f>
        <v>Common Equity:</v>
      </c>
      <c r="B55" s="119"/>
      <c r="C55" s="119"/>
      <c r="D55" s="265"/>
    </row>
    <row r="56" spans="1:13" x14ac:dyDescent="0.2">
      <c r="A56" s="52" t="str">
        <f>Historical!A60</f>
        <v>Common Stock</v>
      </c>
      <c r="B56" s="119"/>
      <c r="C56" s="120"/>
      <c r="D56" s="265" t="s">
        <v>184</v>
      </c>
      <c r="E56" s="118"/>
    </row>
    <row r="57" spans="1:13" x14ac:dyDescent="0.2">
      <c r="A57" s="52" t="str">
        <f>Historical!A61</f>
        <v>Retained Earnings</v>
      </c>
      <c r="B57" s="119"/>
      <c r="C57" s="120"/>
      <c r="D57" s="265" t="s">
        <v>179</v>
      </c>
    </row>
    <row r="58" spans="1:13" x14ac:dyDescent="0.2">
      <c r="A58" s="191" t="str">
        <f>Historical!A62</f>
        <v>Total Common Equity</v>
      </c>
      <c r="B58" s="119"/>
      <c r="C58" s="124"/>
      <c r="D58" s="265" t="s">
        <v>179</v>
      </c>
      <c r="E58" s="116"/>
    </row>
    <row r="59" spans="1:13" x14ac:dyDescent="0.2">
      <c r="A59" s="191" t="str">
        <f>Historical!A63</f>
        <v>Total Liabilities &amp; Equity</v>
      </c>
      <c r="B59" s="119"/>
      <c r="C59" s="120"/>
      <c r="D59" s="265" t="s">
        <v>179</v>
      </c>
    </row>
    <row r="60" spans="1:13" x14ac:dyDescent="0.2">
      <c r="B60" s="119"/>
      <c r="C60" s="120"/>
      <c r="D60" s="128"/>
    </row>
    <row r="61" spans="1:13" ht="25.5" x14ac:dyDescent="0.2">
      <c r="A61" s="52" t="str">
        <f>Historical!A75</f>
        <v>Revenues</v>
      </c>
      <c r="B61" s="55"/>
      <c r="C61" s="55">
        <f>Historical!R76*0.75</f>
        <v>2.5028512520969378E-2</v>
      </c>
      <c r="D61" s="286" t="s">
        <v>241</v>
      </c>
      <c r="E61" s="288"/>
    </row>
    <row r="62" spans="1:13" x14ac:dyDescent="0.2">
      <c r="A62" s="191" t="str">
        <f>Historical!A76</f>
        <v>Total Revenues</v>
      </c>
      <c r="B62" s="55"/>
      <c r="C62" s="55"/>
      <c r="D62" s="265" t="s">
        <v>179</v>
      </c>
    </row>
    <row r="63" spans="1:13" x14ac:dyDescent="0.2">
      <c r="B63" s="55"/>
      <c r="C63" s="55"/>
    </row>
    <row r="64" spans="1:13" x14ac:dyDescent="0.2">
      <c r="A64" s="191" t="str">
        <f>Historical!A78</f>
        <v>Operating Expenses:</v>
      </c>
      <c r="B64" s="55"/>
      <c r="C64" s="55"/>
    </row>
    <row r="65" spans="1:16" x14ac:dyDescent="0.2">
      <c r="A65" s="52" t="str">
        <f>Historical!A79</f>
        <v>Energy Costs</v>
      </c>
      <c r="B65" s="55"/>
      <c r="C65" s="55">
        <f>C4</f>
        <v>2.5000000000000001E-2</v>
      </c>
      <c r="D65" s="286" t="s">
        <v>231</v>
      </c>
      <c r="F65" s="84"/>
      <c r="G65" s="84">
        <f t="shared" ref="G65:L65" si="4">G45</f>
        <v>2009</v>
      </c>
      <c r="H65" s="84">
        <f t="shared" si="4"/>
        <v>2010</v>
      </c>
      <c r="I65" s="84">
        <f t="shared" si="4"/>
        <v>2011</v>
      </c>
      <c r="J65" s="84">
        <f t="shared" si="4"/>
        <v>2012</v>
      </c>
      <c r="K65" s="84">
        <f t="shared" si="4"/>
        <v>2013</v>
      </c>
      <c r="L65" s="84">
        <f t="shared" si="4"/>
        <v>2014</v>
      </c>
      <c r="M65" s="295" t="s">
        <v>3</v>
      </c>
      <c r="N65" s="84"/>
      <c r="O65" s="84"/>
      <c r="P65" s="84"/>
    </row>
    <row r="66" spans="1:16" x14ac:dyDescent="0.2">
      <c r="A66" s="52" t="str">
        <f>Historical!A80</f>
        <v>Other operations and maintenance</v>
      </c>
      <c r="B66" s="55"/>
      <c r="C66" s="55">
        <f>C4</f>
        <v>2.5000000000000001E-2</v>
      </c>
      <c r="D66" s="286" t="s">
        <v>231</v>
      </c>
    </row>
    <row r="67" spans="1:16" x14ac:dyDescent="0.2">
      <c r="A67" s="52" t="str">
        <f>Historical!A81</f>
        <v>Depreciation and amortization</v>
      </c>
      <c r="B67" s="55"/>
      <c r="C67" s="55">
        <f>M67</f>
        <v>2.6812604772429877E-2</v>
      </c>
      <c r="D67" s="125" t="s">
        <v>187</v>
      </c>
      <c r="E67" s="285"/>
      <c r="F67" s="55"/>
      <c r="G67" s="55">
        <f>Historical!K81/Historical!K19</f>
        <v>2.7004426955238563E-2</v>
      </c>
      <c r="H67" s="55">
        <f>Historical!L81/Historical!L19</f>
        <v>2.5460651720068984E-2</v>
      </c>
      <c r="I67" s="55">
        <f>Historical!M81/Historical!M19</f>
        <v>2.6501843417913683E-2</v>
      </c>
      <c r="J67" s="55">
        <f>Historical!N81/Historical!N19</f>
        <v>2.664002664002664E-2</v>
      </c>
      <c r="K67" s="55">
        <f>Historical!O81/Historical!O19</f>
        <v>2.7143316712240632E-2</v>
      </c>
      <c r="L67" s="55">
        <f>Historical!P81/Historical!P19</f>
        <v>2.8125363189090768E-2</v>
      </c>
      <c r="M67" s="55">
        <f>AVERAGE(G67:L67)</f>
        <v>2.6812604772429877E-2</v>
      </c>
    </row>
    <row r="68" spans="1:16" x14ac:dyDescent="0.2">
      <c r="A68" s="52" t="str">
        <f>Historical!A82</f>
        <v>Taxes, other than income taxes</v>
      </c>
      <c r="B68" s="55"/>
      <c r="C68" s="55">
        <f>M68</f>
        <v>8.848196995544684E-3</v>
      </c>
      <c r="D68" s="286" t="s">
        <v>216</v>
      </c>
      <c r="E68" s="285"/>
      <c r="G68" s="55">
        <f>Historical!K82/Historical!K27</f>
        <v>8.7532985775889815E-3</v>
      </c>
      <c r="H68" s="55">
        <f>Historical!L82/Historical!L27</f>
        <v>8.2967301122498782E-3</v>
      </c>
      <c r="I68" s="55">
        <f>Historical!M82/Historical!M27</f>
        <v>8.7487049614366295E-3</v>
      </c>
      <c r="J68" s="55">
        <f>Historical!N82/Historical!N27</f>
        <v>8.9162097801406652E-3</v>
      </c>
      <c r="K68" s="55">
        <f>Historical!O82/Historical!O27</f>
        <v>9.1857135138055865E-3</v>
      </c>
      <c r="L68" s="55">
        <f>Historical!P82/Historical!P27</f>
        <v>9.1885250280463703E-3</v>
      </c>
      <c r="M68" s="55">
        <f>AVERAGE(G68:L68)</f>
        <v>8.848196995544684E-3</v>
      </c>
    </row>
    <row r="69" spans="1:16" ht="12.75" hidden="1" customHeight="1" x14ac:dyDescent="0.2">
      <c r="A69" s="52" t="str">
        <f>Historical!A83</f>
        <v>Other Operating Expenses</v>
      </c>
      <c r="B69" s="55"/>
      <c r="C69" s="55"/>
    </row>
    <row r="70" spans="1:16" x14ac:dyDescent="0.2">
      <c r="A70" s="52" t="str">
        <f>Historical!A84</f>
        <v>Total Operating Expenses</v>
      </c>
      <c r="B70" s="55"/>
      <c r="C70" s="55"/>
      <c r="D70" s="265" t="s">
        <v>179</v>
      </c>
    </row>
    <row r="71" spans="1:16" x14ac:dyDescent="0.2">
      <c r="A71" s="52" t="str">
        <f>Historical!A85</f>
        <v>Earnings From Operations</v>
      </c>
      <c r="B71" s="55"/>
      <c r="C71" s="55"/>
      <c r="D71" s="265" t="s">
        <v>179</v>
      </c>
    </row>
    <row r="72" spans="1:16" x14ac:dyDescent="0.2">
      <c r="B72" s="55"/>
      <c r="C72" s="55"/>
    </row>
    <row r="73" spans="1:16" x14ac:dyDescent="0.2">
      <c r="A73" s="52" t="str">
        <f>Forecast!A91</f>
        <v>Interest expense (net)</v>
      </c>
      <c r="B73" s="55"/>
      <c r="C73" s="55">
        <f>M73</f>
        <v>5.2394566079471822E-2</v>
      </c>
      <c r="D73" s="125" t="s">
        <v>188</v>
      </c>
      <c r="E73" s="285"/>
      <c r="G73" s="55">
        <f>Historical!K87/(Historical!K41+Historical!K42+Historical!K49)</f>
        <v>5.5953865336658352E-2</v>
      </c>
      <c r="H73" s="55">
        <f>Historical!L87/(Historical!L41+Historical!L42+Historical!L49)</f>
        <v>5.3130340220599662E-2</v>
      </c>
      <c r="I73" s="55">
        <f>Historical!M87/(Historical!M41+Historical!M42+Historical!M49)</f>
        <v>5.3180698449500075E-2</v>
      </c>
      <c r="J73" s="55">
        <f>Historical!N87/(Historical!N41+Historical!N42+Historical!N49)</f>
        <v>5.1158723218189768E-2</v>
      </c>
      <c r="K73" s="55">
        <f>Historical!O87/(Historical!O41+Historical!O42+Historical!O49)</f>
        <v>5.0894285298822159E-2</v>
      </c>
      <c r="L73" s="55">
        <f>Historical!P87/(Historical!P41+Historical!P42+Historical!P49)</f>
        <v>5.0049483953060935E-2</v>
      </c>
      <c r="M73" s="55">
        <f>AVERAGE(G73:L73)</f>
        <v>5.2394566079471822E-2</v>
      </c>
    </row>
    <row r="74" spans="1:16" x14ac:dyDescent="0.2">
      <c r="A74" s="52" t="str">
        <f>Forecast!A92</f>
        <v>Interest income</v>
      </c>
      <c r="C74" s="55">
        <f>C7</f>
        <v>0.01</v>
      </c>
      <c r="D74" s="125" t="s">
        <v>189</v>
      </c>
    </row>
    <row r="75" spans="1:16" hidden="1" x14ac:dyDescent="0.2">
      <c r="A75" s="52" t="str">
        <f>Forecast!A93</f>
        <v>Loss (Gain) on Sale of Assets</v>
      </c>
    </row>
    <row r="76" spans="1:16" ht="51" x14ac:dyDescent="0.2">
      <c r="A76" s="114" t="str">
        <f>Forecast!A94</f>
        <v>Interest Expense (Income) on Additional Loans (Surplus Cash)</v>
      </c>
      <c r="D76" s="125" t="s">
        <v>190</v>
      </c>
    </row>
    <row r="77" spans="1:16" ht="25.5" x14ac:dyDescent="0.2">
      <c r="A77" s="52" t="str">
        <f>Forecast!A95</f>
        <v>Other (Income) Expense</v>
      </c>
      <c r="C77" s="302">
        <f>Forecast!B95</f>
        <v>-51</v>
      </c>
      <c r="D77" s="286" t="s">
        <v>234</v>
      </c>
      <c r="E77" s="285"/>
      <c r="G77" s="55">
        <f>Historical!AD90</f>
        <v>-1.4359434597262733E-2</v>
      </c>
      <c r="H77" s="55">
        <f>Historical!AE90</f>
        <v>-1.759927797833935E-2</v>
      </c>
      <c r="I77" s="55">
        <f>Historical!AF90</f>
        <v>-1.0248582642825993E-2</v>
      </c>
      <c r="J77" s="55">
        <f>Historical!AG90</f>
        <v>-1.1880376894715281E-2</v>
      </c>
      <c r="K77" s="55">
        <f>Historical!AH90</f>
        <v>-1.1074412278997475E-2</v>
      </c>
      <c r="L77" s="55">
        <f>Historical!AI90</f>
        <v>-9.7105864432597104E-3</v>
      </c>
      <c r="M77" s="55">
        <f>AVERAGE(G77:L77)</f>
        <v>-1.2478778472566758E-2</v>
      </c>
    </row>
    <row r="78" spans="1:16" x14ac:dyDescent="0.2">
      <c r="A78" s="52" t="str">
        <f>Forecast!A96</f>
        <v>Total Other (Income)/Expense</v>
      </c>
      <c r="D78" s="265" t="s">
        <v>179</v>
      </c>
    </row>
    <row r="80" spans="1:16" x14ac:dyDescent="0.2">
      <c r="A80" s="52" t="str">
        <f>Forecast!A98</f>
        <v>Earnings Before Taxes</v>
      </c>
      <c r="D80" s="265" t="s">
        <v>179</v>
      </c>
    </row>
    <row r="81" spans="1:13" x14ac:dyDescent="0.2">
      <c r="F81" s="84"/>
      <c r="G81" s="84"/>
      <c r="H81" s="84"/>
      <c r="I81" s="84"/>
      <c r="J81" s="84"/>
      <c r="K81" s="84"/>
      <c r="L81" s="84"/>
      <c r="M81" s="84"/>
    </row>
    <row r="82" spans="1:13" x14ac:dyDescent="0.2">
      <c r="A82" s="52" t="str">
        <f>Forecast!A100</f>
        <v>Extraordinary Items</v>
      </c>
      <c r="C82" s="52">
        <v>0</v>
      </c>
      <c r="D82" s="125" t="s">
        <v>191</v>
      </c>
      <c r="F82" s="84"/>
      <c r="G82" s="84">
        <f>G65</f>
        <v>2009</v>
      </c>
      <c r="H82" s="84">
        <f t="shared" ref="H82:L82" si="5">H65</f>
        <v>2010</v>
      </c>
      <c r="I82" s="84">
        <f t="shared" si="5"/>
        <v>2011</v>
      </c>
      <c r="J82" s="84">
        <f t="shared" si="5"/>
        <v>2012</v>
      </c>
      <c r="K82" s="84">
        <f t="shared" si="5"/>
        <v>2013</v>
      </c>
      <c r="L82" s="84">
        <f t="shared" si="5"/>
        <v>2014</v>
      </c>
      <c r="M82" s="52" t="s">
        <v>3</v>
      </c>
    </row>
    <row r="83" spans="1:13" x14ac:dyDescent="0.2">
      <c r="A83" s="52" t="str">
        <f>Forecast!A101</f>
        <v>Income Taxes</v>
      </c>
      <c r="C83" s="55">
        <f>L83</f>
        <v>0.30685203574975173</v>
      </c>
      <c r="D83" s="125" t="s">
        <v>192</v>
      </c>
      <c r="E83" s="288" t="s">
        <v>232</v>
      </c>
      <c r="F83" s="55"/>
      <c r="G83" s="55">
        <f>+Historical!K96/Historical!K93</f>
        <v>0.29846938775510207</v>
      </c>
      <c r="H83" s="55">
        <f>+Historical!L96/Historical!L93</f>
        <v>0.27155727155727155</v>
      </c>
      <c r="I83" s="55">
        <f>+Historical!M96/Historical!M93</f>
        <v>0.27734375</v>
      </c>
      <c r="J83" s="55">
        <f>+Historical!N96/Historical!N93</f>
        <v>0.26839237057220711</v>
      </c>
      <c r="K83" s="55">
        <f>+Historical!O96/Historical!O93</f>
        <v>0.30337078651685395</v>
      </c>
      <c r="L83" s="55">
        <f>+Historical!P96/Historical!P93</f>
        <v>0.30685203574975173</v>
      </c>
      <c r="M83" s="55">
        <f>AVERAGE(G83:L83)</f>
        <v>0.28766426702519771</v>
      </c>
    </row>
    <row r="84" spans="1:13" x14ac:dyDescent="0.2">
      <c r="A84" s="52" t="str">
        <f>Forecast!A102</f>
        <v>Net Income</v>
      </c>
      <c r="D84" s="265" t="s">
        <v>179</v>
      </c>
    </row>
    <row r="86" spans="1:13" x14ac:dyDescent="0.2">
      <c r="A86" s="52" t="str">
        <f>Forecast!A104</f>
        <v>Preferred Stock Dividends</v>
      </c>
      <c r="C86" s="52">
        <v>0</v>
      </c>
      <c r="D86" s="125" t="s">
        <v>180</v>
      </c>
    </row>
    <row r="87" spans="1:13" ht="38.25" x14ac:dyDescent="0.2">
      <c r="A87" s="52" t="str">
        <f>Forecast!A105</f>
        <v>Common Stock Dividends</v>
      </c>
      <c r="D87" s="125" t="s">
        <v>205</v>
      </c>
    </row>
    <row r="92" spans="1:13" x14ac:dyDescent="0.2">
      <c r="E92" s="115"/>
    </row>
    <row r="93" spans="1:13" x14ac:dyDescent="0.2">
      <c r="E93" s="115"/>
    </row>
    <row r="94" spans="1:13" x14ac:dyDescent="0.2">
      <c r="E94" s="115"/>
    </row>
    <row r="95" spans="1:13" x14ac:dyDescent="0.2">
      <c r="E95" s="115"/>
    </row>
    <row r="135" spans="5:5" x14ac:dyDescent="0.2">
      <c r="E135" s="115"/>
    </row>
    <row r="136" spans="5:5" x14ac:dyDescent="0.2">
      <c r="E136" s="115"/>
    </row>
    <row r="137" spans="5:5" x14ac:dyDescent="0.2">
      <c r="E137" s="115"/>
    </row>
    <row r="138" spans="5:5" x14ac:dyDescent="0.2">
      <c r="E138" s="115"/>
    </row>
  </sheetData>
  <phoneticPr fontId="6" type="noConversion"/>
  <pageMargins left="0.22" right="0.19" top="0.61" bottom="1" header="0.5" footer="0.5"/>
  <pageSetup scale="63" fitToHeight="2" orientation="landscape" r:id="rId1"/>
  <headerFooter alignWithMargins="0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Historical</vt:lpstr>
      <vt:lpstr>Historical CF</vt:lpstr>
      <vt:lpstr>Forecast</vt:lpstr>
      <vt:lpstr>Assumptions</vt:lpstr>
      <vt:lpstr>Assumptions!Print_Area</vt:lpstr>
      <vt:lpstr>Forecast!Print_Area</vt:lpstr>
      <vt:lpstr>Historical!Print_Area</vt:lpstr>
      <vt:lpstr>'Historical CF'!Print_Area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Peterson</dc:creator>
  <cp:lastModifiedBy>laurieharris</cp:lastModifiedBy>
  <cp:lastPrinted>2015-05-14T18:03:09Z</cp:lastPrinted>
  <dcterms:created xsi:type="dcterms:W3CDTF">2005-09-19T14:11:29Z</dcterms:created>
  <dcterms:modified xsi:type="dcterms:W3CDTF">2015-05-18T21:21:29Z</dcterms:modified>
</cp:coreProperties>
</file>