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56\"/>
    </mc:Choice>
  </mc:AlternateContent>
  <bookViews>
    <workbookView xWindow="-15" yWindow="-15" windowWidth="9660" windowHeight="9315" activeTab="1"/>
  </bookViews>
  <sheets>
    <sheet name="Incremental" sheetId="6" r:id="rId1"/>
    <sheet name="Total" sheetId="5" r:id="rId2"/>
    <sheet name="Energy" sheetId="12" r:id="rId3"/>
    <sheet name="Capacity" sheetId="10" r:id="rId4"/>
  </sheets>
  <definedNames>
    <definedName name="_Order1" hidden="1">255</definedName>
    <definedName name="_Order2" hidden="1">0</definedName>
    <definedName name="Discount_Rate">Total!$B$41</definedName>
    <definedName name="_xlnm.Print_Area" localSheetId="3">Capacity!$A$1:$H$36</definedName>
    <definedName name="_xlnm.Print_Area" localSheetId="2">Energy!$A$1:$H$38</definedName>
    <definedName name="_xlnm.Print_Area" localSheetId="0">Incremental!$A$1:$H$37</definedName>
    <definedName name="_xlnm.Print_Area" localSheetId="1">Total!$A$1:$H$37</definedName>
    <definedName name="Study_CF">#REF!</definedName>
    <definedName name="Study_MW">#REF!</definedName>
    <definedName name="Study_Name">#REF!</definedName>
  </definedNames>
  <calcPr calcId="152511" calcOnSave="0"/>
</workbook>
</file>

<file path=xl/calcChain.xml><?xml version="1.0" encoding="utf-8"?>
<calcChain xmlns="http://schemas.openxmlformats.org/spreadsheetml/2006/main">
  <c r="B4" i="10" l="1"/>
  <c r="F8" i="6" l="1"/>
  <c r="E8" i="6"/>
  <c r="D8" i="6"/>
  <c r="F7" i="6"/>
  <c r="E7" i="6"/>
  <c r="D7" i="6"/>
  <c r="G8" i="5" l="1"/>
  <c r="G7" i="5"/>
  <c r="B35" i="10" l="1"/>
  <c r="C8" i="6" l="1"/>
  <c r="C7" i="6"/>
  <c r="F8" i="5" l="1"/>
  <c r="E8" i="5"/>
  <c r="F7" i="5"/>
  <c r="E7" i="5"/>
  <c r="D8" i="10" l="1"/>
  <c r="B1" i="12" l="1"/>
  <c r="B3" i="12"/>
  <c r="C7" i="12"/>
  <c r="C8" i="12"/>
  <c r="B10" i="12"/>
  <c r="B35" i="12"/>
  <c r="B41" i="12"/>
  <c r="D10" i="5" l="1"/>
  <c r="C8" i="10"/>
  <c r="B11" i="12"/>
  <c r="B31" i="12"/>
  <c r="D11" i="5" l="1"/>
  <c r="B12" i="12"/>
  <c r="D12" i="5" l="1"/>
  <c r="B13" i="12"/>
  <c r="D13" i="5" l="1"/>
  <c r="B14" i="12"/>
  <c r="D14" i="5" l="1"/>
  <c r="B15" i="12"/>
  <c r="D15" i="5" l="1"/>
  <c r="B16" i="12"/>
  <c r="D16" i="5" l="1"/>
  <c r="B17" i="12"/>
  <c r="D17" i="5" l="1"/>
  <c r="B18" i="12"/>
  <c r="D18" i="5" l="1"/>
  <c r="B19" i="12"/>
  <c r="G8" i="10"/>
  <c r="D19" i="5" l="1"/>
  <c r="B20" i="12"/>
  <c r="B36" i="5"/>
  <c r="D20" i="5" l="1"/>
  <c r="B37" i="12"/>
  <c r="B21" i="12"/>
  <c r="D21" i="5" l="1"/>
  <c r="B22" i="12"/>
  <c r="B40" i="10"/>
  <c r="D22" i="5" l="1"/>
  <c r="B23" i="12"/>
  <c r="B1" i="10"/>
  <c r="B3" i="10"/>
  <c r="B10" i="10"/>
  <c r="B31" i="10"/>
  <c r="D23" i="5" l="1"/>
  <c r="B24" i="12"/>
  <c r="B11" i="10"/>
  <c r="D24" i="5" l="1"/>
  <c r="B25" i="12"/>
  <c r="B12" i="10"/>
  <c r="D25" i="5" l="1"/>
  <c r="B26" i="12"/>
  <c r="B13" i="10"/>
  <c r="D26" i="5" l="1"/>
  <c r="B27" i="12"/>
  <c r="B14" i="10"/>
  <c r="D27" i="5" l="1"/>
  <c r="B28" i="12"/>
  <c r="B15" i="10"/>
  <c r="D28" i="5" l="1"/>
  <c r="B29" i="12"/>
  <c r="B16" i="10"/>
  <c r="B32" i="12" l="1"/>
  <c r="B17" i="10"/>
  <c r="D32" i="12" l="1"/>
  <c r="D29" i="5"/>
  <c r="C32" i="12"/>
  <c r="B18" i="10"/>
  <c r="B19" i="10" l="1"/>
  <c r="B20" i="10" l="1"/>
  <c r="B21" i="10" l="1"/>
  <c r="B22" i="10" l="1"/>
  <c r="B23" i="10" l="1"/>
  <c r="B24" i="10" l="1"/>
  <c r="F23" i="10" l="1"/>
  <c r="C23" i="5" s="1"/>
  <c r="B25" i="10"/>
  <c r="B26" i="10" l="1"/>
  <c r="B27" i="10" l="1"/>
  <c r="B28" i="10" l="1"/>
  <c r="B29" i="10" l="1"/>
  <c r="B32" i="10" l="1"/>
  <c r="B31" i="5" l="1"/>
  <c r="B36" i="6" l="1"/>
  <c r="B37" i="6"/>
  <c r="B34" i="6"/>
  <c r="D8" i="5" l="1"/>
  <c r="D7" i="5"/>
  <c r="B41" i="6" l="1"/>
  <c r="B31" i="6" l="1"/>
  <c r="B10" i="6" l="1"/>
  <c r="B11" i="5"/>
  <c r="B3" i="6"/>
  <c r="B1" i="6"/>
  <c r="B11" i="6" l="1"/>
  <c r="B12" i="5"/>
  <c r="B13" i="5" l="1"/>
  <c r="F8" i="10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2" i="6" s="1"/>
  <c r="B14" i="5" l="1"/>
  <c r="B4" i="12"/>
  <c r="B4" i="6"/>
  <c r="B4" i="5"/>
  <c r="B15" i="5" l="1"/>
  <c r="B16" i="5" l="1"/>
  <c r="B17" i="5" l="1"/>
  <c r="F10" i="10"/>
  <c r="C10" i="5" s="1"/>
  <c r="B18" i="5" l="1"/>
  <c r="F11" i="10"/>
  <c r="C11" i="5" s="1"/>
  <c r="C10" i="6" l="1"/>
  <c r="B19" i="5"/>
  <c r="F12" i="10"/>
  <c r="C12" i="5" s="1"/>
  <c r="B20" i="5" l="1"/>
  <c r="F13" i="10"/>
  <c r="C13" i="5" s="1"/>
  <c r="B21" i="5" l="1"/>
  <c r="F29" i="10"/>
  <c r="C29" i="5" s="1"/>
  <c r="F19" i="10"/>
  <c r="C19" i="5" s="1"/>
  <c r="F18" i="10"/>
  <c r="C18" i="5" s="1"/>
  <c r="F25" i="10"/>
  <c r="C25" i="5" s="1"/>
  <c r="F22" i="10"/>
  <c r="C22" i="5" s="1"/>
  <c r="F15" i="10"/>
  <c r="C15" i="5" s="1"/>
  <c r="F26" i="10"/>
  <c r="C26" i="5" s="1"/>
  <c r="F27" i="10"/>
  <c r="C27" i="5" s="1"/>
  <c r="F20" i="10"/>
  <c r="C20" i="5" s="1"/>
  <c r="F17" i="10"/>
  <c r="C17" i="5" s="1"/>
  <c r="F24" i="10"/>
  <c r="C24" i="5" s="1"/>
  <c r="F21" i="10"/>
  <c r="C21" i="5" s="1"/>
  <c r="F16" i="10"/>
  <c r="C16" i="5" s="1"/>
  <c r="F28" i="10"/>
  <c r="C28" i="5" s="1"/>
  <c r="B22" i="5" l="1"/>
  <c r="F14" i="10"/>
  <c r="C14" i="5" s="1"/>
  <c r="C32" i="5" s="1"/>
  <c r="C32" i="10"/>
  <c r="B23" i="5" l="1"/>
  <c r="F32" i="10"/>
  <c r="D32" i="5" l="1"/>
  <c r="B24" i="5"/>
  <c r="B25" i="5" l="1"/>
  <c r="C11" i="6"/>
  <c r="B26" i="5" l="1"/>
  <c r="C12" i="6"/>
  <c r="B27" i="5" l="1"/>
  <c r="B28" i="5" l="1"/>
  <c r="C13" i="6"/>
  <c r="B29" i="5" l="1"/>
  <c r="B32" i="5" l="1"/>
  <c r="C16" i="6"/>
  <c r="C23" i="6"/>
  <c r="C15" i="6"/>
  <c r="C24" i="6"/>
  <c r="C21" i="6"/>
  <c r="C20" i="6"/>
  <c r="C17" i="6"/>
  <c r="C19" i="6"/>
  <c r="C27" i="6"/>
  <c r="C26" i="6"/>
  <c r="C18" i="6"/>
  <c r="C25" i="6"/>
  <c r="C22" i="6"/>
  <c r="C29" i="6" l="1"/>
  <c r="C28" i="6"/>
  <c r="C14" i="6" l="1"/>
  <c r="C32" i="6"/>
  <c r="F32" i="12" l="1"/>
  <c r="B35" i="5" l="1"/>
  <c r="B35" i="6" l="1"/>
  <c r="B36" i="12"/>
  <c r="E32" i="12" l="1"/>
  <c r="G10" i="10" l="1"/>
  <c r="G11" i="10"/>
  <c r="F11" i="5" l="1"/>
  <c r="E11" i="5"/>
  <c r="D11" i="6" s="1"/>
  <c r="G11" i="5"/>
  <c r="F10" i="5"/>
  <c r="E10" i="5"/>
  <c r="D10" i="6" s="1"/>
  <c r="G10" i="5"/>
  <c r="E10" i="6" l="1"/>
  <c r="E11" i="6"/>
  <c r="G12" i="10"/>
  <c r="F10" i="6"/>
  <c r="G10" i="6" s="1"/>
  <c r="F11" i="6"/>
  <c r="G11" i="6" l="1"/>
  <c r="G13" i="10"/>
  <c r="F12" i="5"/>
  <c r="E12" i="5"/>
  <c r="D12" i="6" s="1"/>
  <c r="G12" i="5"/>
  <c r="E12" i="6" l="1"/>
  <c r="G15" i="10"/>
  <c r="F12" i="6"/>
  <c r="G12" i="6" s="1"/>
  <c r="G14" i="10"/>
  <c r="F13" i="5"/>
  <c r="E13" i="5"/>
  <c r="D13" i="6" s="1"/>
  <c r="G13" i="5"/>
  <c r="E13" i="6" l="1"/>
  <c r="F14" i="5"/>
  <c r="E14" i="5"/>
  <c r="D14" i="6" s="1"/>
  <c r="G14" i="5"/>
  <c r="F15" i="5"/>
  <c r="E15" i="5"/>
  <c r="D15" i="6" s="1"/>
  <c r="G15" i="5"/>
  <c r="F13" i="6"/>
  <c r="E15" i="6" l="1"/>
  <c r="G13" i="6"/>
  <c r="G17" i="10"/>
  <c r="F14" i="6"/>
  <c r="F15" i="6"/>
  <c r="G15" i="6" s="1"/>
  <c r="E14" i="6"/>
  <c r="G16" i="10"/>
  <c r="G14" i="6" l="1"/>
  <c r="F17" i="5"/>
  <c r="E17" i="5"/>
  <c r="D17" i="6" s="1"/>
  <c r="G17" i="5"/>
  <c r="G18" i="10"/>
  <c r="F16" i="5"/>
  <c r="E16" i="5"/>
  <c r="D16" i="6" s="1"/>
  <c r="G16" i="5"/>
  <c r="E16" i="6" l="1"/>
  <c r="F16" i="6"/>
  <c r="G16" i="6" s="1"/>
  <c r="E17" i="6"/>
  <c r="F18" i="5"/>
  <c r="E18" i="5"/>
  <c r="D18" i="6" s="1"/>
  <c r="G18" i="5"/>
  <c r="G19" i="10"/>
  <c r="F17" i="6"/>
  <c r="G17" i="6" l="1"/>
  <c r="E18" i="6"/>
  <c r="F19" i="5"/>
  <c r="E19" i="5"/>
  <c r="D19" i="6" s="1"/>
  <c r="G19" i="5"/>
  <c r="F18" i="6"/>
  <c r="G20" i="10"/>
  <c r="G18" i="6" l="1"/>
  <c r="E19" i="6"/>
  <c r="G21" i="10"/>
  <c r="F20" i="5"/>
  <c r="E20" i="5"/>
  <c r="D20" i="6" s="1"/>
  <c r="F19" i="6"/>
  <c r="G19" i="6" l="1"/>
  <c r="G22" i="10"/>
  <c r="F21" i="5"/>
  <c r="E21" i="5"/>
  <c r="D21" i="6" s="1"/>
  <c r="E20" i="6"/>
  <c r="F22" i="5" l="1"/>
  <c r="E22" i="5"/>
  <c r="D22" i="6" s="1"/>
  <c r="G23" i="10"/>
  <c r="E21" i="6"/>
  <c r="E22" i="6" l="1"/>
  <c r="F23" i="5"/>
  <c r="E23" i="5"/>
  <c r="D23" i="6" s="1"/>
  <c r="E23" i="6" l="1"/>
  <c r="G27" i="10" l="1"/>
  <c r="F27" i="5" s="1"/>
  <c r="G24" i="10"/>
  <c r="G25" i="10"/>
  <c r="F25" i="5" s="1"/>
  <c r="G29" i="10"/>
  <c r="G28" i="10"/>
  <c r="E28" i="5" s="1"/>
  <c r="D28" i="6" s="1"/>
  <c r="G26" i="10"/>
  <c r="F26" i="5" s="1"/>
  <c r="E27" i="5"/>
  <c r="D27" i="6" s="1"/>
  <c r="F28" i="5"/>
  <c r="E26" i="5" l="1"/>
  <c r="D26" i="6" s="1"/>
  <c r="E27" i="6"/>
  <c r="E25" i="5"/>
  <c r="D25" i="6" s="1"/>
  <c r="E29" i="5"/>
  <c r="D29" i="6" s="1"/>
  <c r="F29" i="5"/>
  <c r="D32" i="10"/>
  <c r="E28" i="6"/>
  <c r="E26" i="6"/>
  <c r="G32" i="10"/>
  <c r="F24" i="5"/>
  <c r="E24" i="5"/>
  <c r="E25" i="6" l="1"/>
  <c r="E29" i="6"/>
  <c r="F32" i="5"/>
  <c r="E24" i="6"/>
  <c r="D24" i="6"/>
  <c r="E32" i="5"/>
  <c r="D32" i="6" s="1"/>
  <c r="E32" i="6" l="1"/>
  <c r="G23" i="5" l="1"/>
  <c r="G22" i="5"/>
  <c r="G27" i="5"/>
  <c r="G28" i="5"/>
  <c r="G25" i="5"/>
  <c r="G24" i="5"/>
  <c r="G29" i="5"/>
  <c r="G26" i="5"/>
  <c r="G21" i="5"/>
  <c r="F25" i="6" l="1"/>
  <c r="F22" i="6"/>
  <c r="F21" i="6"/>
  <c r="F26" i="6"/>
  <c r="F28" i="6"/>
  <c r="F29" i="6"/>
  <c r="F27" i="6"/>
  <c r="F23" i="6"/>
  <c r="G20" i="5"/>
  <c r="G32" i="12"/>
  <c r="F24" i="6"/>
  <c r="G24" i="6" l="1"/>
  <c r="G23" i="6"/>
  <c r="G29" i="6"/>
  <c r="G26" i="6"/>
  <c r="G22" i="6"/>
  <c r="F20" i="6"/>
  <c r="G32" i="5"/>
  <c r="G27" i="6"/>
  <c r="G28" i="6"/>
  <c r="G21" i="6"/>
  <c r="G25" i="6"/>
  <c r="G20" i="6" l="1"/>
  <c r="F32" i="6"/>
  <c r="G32" i="6" l="1"/>
</calcChain>
</file>

<file path=xl/sharedStrings.xml><?xml version="1.0" encoding="utf-8"?>
<sst xmlns="http://schemas.openxmlformats.org/spreadsheetml/2006/main" count="38" uniqueCount="30">
  <si>
    <t>Year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</si>
  <si>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</si>
  <si>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</si>
  <si>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</si>
  <si>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</si>
  <si>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</si>
  <si>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</si>
  <si>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GRID Calculated Energy Avoided Cost Prices $/MWH (1)</t>
  </si>
  <si>
    <t>As Filed</t>
  </si>
  <si>
    <t>$/MWH  (1)</t>
  </si>
  <si>
    <t>Capacity Avoided Cost Prices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</si>
  <si>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</si>
  <si>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</si>
  <si>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</si>
  <si>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OFPC Date</t>
  </si>
  <si>
    <t>(x)  Extrapolated</t>
  </si>
  <si>
    <t>Discount Rate - 2013 IRP Page 164</t>
  </si>
  <si>
    <t>Update</t>
  </si>
  <si>
    <t>2014.Q4</t>
  </si>
  <si>
    <t>IRP</t>
  </si>
  <si>
    <t>1503</t>
  </si>
  <si>
    <t>2015.Q1</t>
  </si>
  <si>
    <t>Discount Rate - 2015 IRP Page 141</t>
  </si>
  <si>
    <t>Impact</t>
  </si>
  <si>
    <t>QF Queue</t>
  </si>
  <si>
    <t>2015</t>
  </si>
  <si>
    <t>All Other</t>
  </si>
  <si>
    <t>OFPC (2)</t>
  </si>
  <si>
    <t>(3)  Capacity costs reflect  2030 - 368 MW - CCCT Dry "G/H" 1x1 - East Side Resource (5,050')</t>
  </si>
  <si>
    <t>(4)  Capacity costs reflect  2034 - Utah - 635 MW - CCCT Dry "F" 2x1 - East Side Resource (5,050')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</si>
</sst>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* #,##0.00_);[Red]_(&quot;$&quot;* \(#,##0.00\);_(&quot;$&quot;* &quot;-&quot;?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  <numFmt numFmtId="171" formatCode="&quot;$&quot;###0;[Red]\(&quot;$&quot;###0\)"/>
    <numFmt numFmtId="172" formatCode="0.0"/>
    <numFmt numFmtId="173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8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8" fillId="0" borderId="0" applyFont="0" applyFill="0" applyBorder="0" applyProtection="0">
      <alignment horizontal="right"/>
    </xf>
    <xf numFmtId="172" fontId="9" fillId="0" borderId="0" applyNumberFormat="0" applyFill="0" applyBorder="0" applyAlignment="0" applyProtection="0"/>
    <xf numFmtId="0" fontId="2" fillId="0" borderId="6" applyNumberFormat="0" applyBorder="0" applyAlignment="0"/>
    <xf numFmtId="173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</cellStyleXfs>
  <cellXfs count="59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4" fillId="0" borderId="0" xfId="0" quotePrefix="1" applyFont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5" fontId="4" fillId="0" borderId="0" xfId="4" applyFont="1" applyAlignment="1"/>
    <xf numFmtId="169" fontId="4" fillId="0" borderId="0" xfId="4" applyNumberFormat="1" applyFont="1" applyAlignment="1">
      <alignment horizontal="center"/>
    </xf>
    <xf numFmtId="169" fontId="4" fillId="0" borderId="0" xfId="3" applyNumberFormat="1" applyFont="1"/>
    <xf numFmtId="169" fontId="4" fillId="0" borderId="0" xfId="4" applyNumberFormat="1" applyFont="1"/>
    <xf numFmtId="166" fontId="4" fillId="0" borderId="0" xfId="4" applyNumberFormat="1" applyFont="1"/>
    <xf numFmtId="8" fontId="4" fillId="0" borderId="2" xfId="4" applyNumberFormat="1" applyFont="1" applyFill="1" applyBorder="1" applyAlignment="1">
      <alignment horizontal="center"/>
    </xf>
    <xf numFmtId="8" fontId="4" fillId="0" borderId="0" xfId="4" applyNumberFormat="1" applyFont="1"/>
    <xf numFmtId="8" fontId="4" fillId="0" borderId="0" xfId="4" applyNumberFormat="1" applyFont="1" applyFill="1" applyBorder="1" applyAlignment="1">
      <alignment horizontal="center"/>
    </xf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1" xfId="4" quotePrefix="1" applyFont="1" applyBorder="1" applyAlignment="1">
      <alignment horizontal="center"/>
    </xf>
    <xf numFmtId="165" fontId="3" fillId="0" borderId="5" xfId="4" quotePrefix="1" applyFont="1" applyBorder="1" applyAlignment="1">
      <alignment horizontal="center"/>
    </xf>
  </cellXfs>
  <cellStyles count="18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H41"/>
  <sheetViews>
    <sheetView zoomScale="70" zoomScaleNormal="70" workbookViewId="0">
      <pane xSplit="2" ySplit="9" topLeftCell="C13" activePane="bottomRight" state="frozen"/>
      <selection activeCell="F46" sqref="F46"/>
      <selection pane="topRight" activeCell="F46" sqref="F46"/>
      <selection pane="bottomLeft" activeCell="F46" sqref="F46"/>
      <selection pane="bottomRight" activeCell="D19" sqref="D19"/>
    </sheetView>
  </sheetViews>
  <sheetFormatPr defaultRowHeight="15" x14ac:dyDescent="0.2"/>
  <cols>
    <col min="1" max="1" width="1.85546875" style="1" customWidth="1"/>
    <col min="2" max="2" width="13.85546875" style="1" customWidth="1"/>
    <col min="3" max="7" width="16.5703125" style="1" customWidth="1"/>
    <col min="8" max="8" width="2.28515625" style="1" customWidth="1"/>
    <col min="9" max="16384" width="9.140625" style="1"/>
  </cols>
  <sheetData>
    <row r="1" spans="2:8" ht="15.75" x14ac:dyDescent="0.25">
      <c r="B1" s="6" t="str">
        <f>Total!B1</f>
        <v>Appendix C</v>
      </c>
      <c r="C1" s="6"/>
      <c r="D1" s="6"/>
      <c r="E1" s="6"/>
      <c r="F1" s="6"/>
      <c r="G1" s="6"/>
    </row>
    <row r="2" spans="2:8" ht="8.25" customHeight="1" x14ac:dyDescent="0.25">
      <c r="B2" s="6"/>
      <c r="C2" s="6"/>
      <c r="D2" s="6"/>
      <c r="E2" s="6"/>
      <c r="F2" s="6"/>
      <c r="G2" s="6"/>
    </row>
    <row r="3" spans="2:8" ht="15.75" x14ac:dyDescent="0.25">
      <c r="B3" s="6" t="str">
        <f>Total!B3</f>
        <v>Utah Quarterly Compliance Filing</v>
      </c>
      <c r="C3" s="6"/>
      <c r="D3" s="6"/>
      <c r="E3" s="6"/>
      <c r="F3" s="6"/>
      <c r="G3" s="6"/>
    </row>
    <row r="4" spans="2:8" ht="15.75" x14ac:dyDescent="0.25">
      <c r="B4" s="6" t="str">
        <f>Capacity!$B$4</f>
        <v>Step Study between 2015.Q1 and 2014.Q4 Compliance Filing</v>
      </c>
      <c r="C4" s="6"/>
      <c r="D4" s="6"/>
      <c r="E4" s="6"/>
      <c r="F4" s="6"/>
      <c r="G4" s="6"/>
    </row>
    <row r="5" spans="2:8" ht="15.75" x14ac:dyDescent="0.25">
      <c r="B5" s="6" t="s">
        <v>13</v>
      </c>
      <c r="C5" s="6"/>
      <c r="D5" s="6"/>
      <c r="E5" s="6"/>
      <c r="F5" s="6"/>
      <c r="G5" s="6"/>
    </row>
    <row r="6" spans="2:8" x14ac:dyDescent="0.2">
      <c r="C6" s="9"/>
      <c r="D6" s="9"/>
      <c r="E6" s="9"/>
      <c r="F6" s="9"/>
    </row>
    <row r="7" spans="2:8" s="4" customFormat="1" ht="15.75" x14ac:dyDescent="0.25">
      <c r="B7" s="14"/>
      <c r="C7" s="11" t="str">
        <f>Energy!D7</f>
        <v>QF Queue</v>
      </c>
      <c r="D7" s="11" t="str">
        <f>Energy!E7</f>
        <v>2015</v>
      </c>
      <c r="E7" s="11" t="str">
        <f>Energy!F7</f>
        <v>1503</v>
      </c>
      <c r="F7" s="11" t="str">
        <f>Energy!G7</f>
        <v>All Other</v>
      </c>
      <c r="G7" s="11" t="s">
        <v>6</v>
      </c>
      <c r="H7" s="1"/>
    </row>
    <row r="8" spans="2:8" s="4" customFormat="1" ht="15.75" x14ac:dyDescent="0.25">
      <c r="B8" s="15" t="s">
        <v>0</v>
      </c>
      <c r="C8" s="12" t="str">
        <f>Energy!D8</f>
        <v>Update</v>
      </c>
      <c r="D8" s="12" t="str">
        <f>Energy!E8</f>
        <v>IRP</v>
      </c>
      <c r="E8" s="12" t="str">
        <f>Energy!F8</f>
        <v>OFPC (2)</v>
      </c>
      <c r="F8" s="12" t="str">
        <f>Energy!G8</f>
        <v>Update</v>
      </c>
      <c r="G8" s="12" t="s">
        <v>23</v>
      </c>
      <c r="H8" s="1"/>
    </row>
    <row r="9" spans="2:8" ht="4.5" customHeight="1" x14ac:dyDescent="0.2"/>
    <row r="10" spans="2:8" ht="15.75" x14ac:dyDescent="0.25">
      <c r="B10" s="3">
        <f>Total!B10</f>
        <v>2016</v>
      </c>
      <c r="C10" s="20">
        <f>ROUND(Total!D10-Total!C10,2)</f>
        <v>-0.44</v>
      </c>
      <c r="D10" s="20">
        <f>ROUND(Total!E10-Total!D10,2)</f>
        <v>0.16</v>
      </c>
      <c r="E10" s="20">
        <f>ROUND(Total!F10-Total!E10,2)</f>
        <v>-0.55000000000000004</v>
      </c>
      <c r="F10" s="20">
        <f>ROUND(Total!G10-Total!F10,2)</f>
        <v>0.11</v>
      </c>
      <c r="G10" s="20">
        <f ca="1">SUM(OFFSET($C10,0,0,1,COLUMN(G10)-3))</f>
        <v>-0.72000000000000008</v>
      </c>
    </row>
    <row r="11" spans="2:8" ht="15.75" x14ac:dyDescent="0.25">
      <c r="B11" s="3">
        <f t="shared" ref="B11:B29" si="0">B10+1</f>
        <v>2017</v>
      </c>
      <c r="C11" s="20">
        <f>ROUND(Total!D11-Total!C11,2)</f>
        <v>-0.81</v>
      </c>
      <c r="D11" s="20">
        <f>ROUND(Total!E11-Total!D11,2)</f>
        <v>0.48</v>
      </c>
      <c r="E11" s="20">
        <f>ROUND(Total!F11-Total!E11,2)</f>
        <v>-0.73</v>
      </c>
      <c r="F11" s="20">
        <f>ROUND(Total!G11-Total!F11,2)</f>
        <v>-0.59</v>
      </c>
      <c r="G11" s="20">
        <f t="shared" ref="G11:G29" ca="1" si="1">SUM(OFFSET($C11,0,0,1,COLUMN(G11)-3))</f>
        <v>-1.65</v>
      </c>
    </row>
    <row r="12" spans="2:8" ht="15.75" x14ac:dyDescent="0.25">
      <c r="B12" s="3">
        <f t="shared" si="0"/>
        <v>2018</v>
      </c>
      <c r="C12" s="20">
        <f>ROUND(Total!D12-Total!C12,2)</f>
        <v>-0.08</v>
      </c>
      <c r="D12" s="20">
        <f>ROUND(Total!E12-Total!D12,2)</f>
        <v>0.01</v>
      </c>
      <c r="E12" s="20">
        <f>ROUND(Total!F12-Total!E12,2)</f>
        <v>-1.81</v>
      </c>
      <c r="F12" s="20">
        <f>ROUND(Total!G12-Total!F12,2)</f>
        <v>-0.77</v>
      </c>
      <c r="G12" s="20">
        <f t="shared" ca="1" si="1"/>
        <v>-2.6500000000000004</v>
      </c>
    </row>
    <row r="13" spans="2:8" ht="15.75" x14ac:dyDescent="0.25">
      <c r="B13" s="3">
        <f t="shared" si="0"/>
        <v>2019</v>
      </c>
      <c r="C13" s="20">
        <f>ROUND(Total!D13-Total!C13,2)</f>
        <v>-0.47</v>
      </c>
      <c r="D13" s="20">
        <f>ROUND(Total!E13-Total!D13,2)</f>
        <v>0.06</v>
      </c>
      <c r="E13" s="20">
        <f>ROUND(Total!F13-Total!E13,2)</f>
        <v>-2.11</v>
      </c>
      <c r="F13" s="20">
        <f>ROUND(Total!G13-Total!F13,2)</f>
        <v>-0.9</v>
      </c>
      <c r="G13" s="20">
        <f t="shared" ca="1" si="1"/>
        <v>-3.42</v>
      </c>
    </row>
    <row r="14" spans="2:8" ht="15.75" x14ac:dyDescent="0.25">
      <c r="B14" s="3">
        <f t="shared" si="0"/>
        <v>2020</v>
      </c>
      <c r="C14" s="20">
        <f>ROUND(Total!D14-Total!C14,2)</f>
        <v>-0.77</v>
      </c>
      <c r="D14" s="20">
        <f>ROUND(Total!E14-Total!D14,2)</f>
        <v>0</v>
      </c>
      <c r="E14" s="20">
        <f>ROUND(Total!F14-Total!E14,2)</f>
        <v>-2.21</v>
      </c>
      <c r="F14" s="20">
        <f>ROUND(Total!G14-Total!F14,2)</f>
        <v>-0.2</v>
      </c>
      <c r="G14" s="20">
        <f t="shared" ca="1" si="1"/>
        <v>-3.18</v>
      </c>
    </row>
    <row r="15" spans="2:8" ht="15.75" x14ac:dyDescent="0.25">
      <c r="B15" s="3">
        <f t="shared" si="0"/>
        <v>2021</v>
      </c>
      <c r="C15" s="20">
        <f>ROUND(Total!D15-Total!C15,2)</f>
        <v>0.06</v>
      </c>
      <c r="D15" s="20">
        <f>ROUND(Total!E15-Total!D15,2)</f>
        <v>0.12</v>
      </c>
      <c r="E15" s="20">
        <f>ROUND(Total!F15-Total!E15,2)</f>
        <v>-2.13</v>
      </c>
      <c r="F15" s="20">
        <f>ROUND(Total!G15-Total!F15,2)</f>
        <v>-0.61</v>
      </c>
      <c r="G15" s="20">
        <f t="shared" ca="1" si="1"/>
        <v>-2.56</v>
      </c>
    </row>
    <row r="16" spans="2:8" ht="15.75" x14ac:dyDescent="0.25">
      <c r="B16" s="3">
        <f t="shared" si="0"/>
        <v>2022</v>
      </c>
      <c r="C16" s="20">
        <f>ROUND(Total!D16-Total!C16,2)</f>
        <v>-0.5</v>
      </c>
      <c r="D16" s="20">
        <f>ROUND(Total!E16-Total!D16,2)</f>
        <v>0.14000000000000001</v>
      </c>
      <c r="E16" s="20">
        <f>ROUND(Total!F16-Total!E16,2)</f>
        <v>-1.17</v>
      </c>
      <c r="F16" s="20">
        <f>ROUND(Total!G16-Total!F16,2)</f>
        <v>-1.3</v>
      </c>
      <c r="G16" s="20">
        <f t="shared" ca="1" si="1"/>
        <v>-2.83</v>
      </c>
    </row>
    <row r="17" spans="2:7" ht="15.75" x14ac:dyDescent="0.25">
      <c r="B17" s="3">
        <f t="shared" si="0"/>
        <v>2023</v>
      </c>
      <c r="C17" s="20">
        <f>ROUND(Total!D17-Total!C17,2)</f>
        <v>-1.44</v>
      </c>
      <c r="D17" s="20">
        <f>ROUND(Total!E17-Total!D17,2)</f>
        <v>0.21</v>
      </c>
      <c r="E17" s="20">
        <f>ROUND(Total!F17-Total!E17,2)</f>
        <v>-0.99</v>
      </c>
      <c r="F17" s="20">
        <f>ROUND(Total!G17-Total!F17,2)</f>
        <v>-0.59</v>
      </c>
      <c r="G17" s="20">
        <f t="shared" ca="1" si="1"/>
        <v>-2.8099999999999996</v>
      </c>
    </row>
    <row r="18" spans="2:7" ht="15.75" x14ac:dyDescent="0.25">
      <c r="B18" s="3">
        <f t="shared" si="0"/>
        <v>2024</v>
      </c>
      <c r="C18" s="20">
        <f>ROUND(Total!D18-Total!C18,2)</f>
        <v>-1.1299999999999999</v>
      </c>
      <c r="D18" s="20">
        <f>ROUND(Total!E18-Total!D18,2)</f>
        <v>0.44</v>
      </c>
      <c r="E18" s="20">
        <f>ROUND(Total!F18-Total!E18,2)</f>
        <v>-1.32</v>
      </c>
      <c r="F18" s="20">
        <f>ROUND(Total!G18-Total!F18,2)</f>
        <v>0.39</v>
      </c>
      <c r="G18" s="20">
        <f t="shared" ca="1" si="1"/>
        <v>-1.6199999999999997</v>
      </c>
    </row>
    <row r="19" spans="2:7" ht="15.75" x14ac:dyDescent="0.25">
      <c r="B19" s="3">
        <f t="shared" si="0"/>
        <v>2025</v>
      </c>
      <c r="C19" s="20">
        <f>ROUND(Total!D19-Total!C19,2)</f>
        <v>-0.43</v>
      </c>
      <c r="D19" s="20">
        <f>ROUND(Total!E19-Total!D19,2)</f>
        <v>1.46</v>
      </c>
      <c r="E19" s="20">
        <f>ROUND(Total!F19-Total!E19,2)</f>
        <v>-2.08</v>
      </c>
      <c r="F19" s="20">
        <f>ROUND(Total!G19-Total!F19,2)</f>
        <v>0.04</v>
      </c>
      <c r="G19" s="20">
        <f t="shared" ca="1" si="1"/>
        <v>-1.01</v>
      </c>
    </row>
    <row r="20" spans="2:7" ht="15.75" x14ac:dyDescent="0.25">
      <c r="B20" s="3">
        <f t="shared" si="0"/>
        <v>2026</v>
      </c>
      <c r="C20" s="20">
        <f>ROUND(Total!D20-Total!C20,2)</f>
        <v>-1.47</v>
      </c>
      <c r="D20" s="20">
        <f>ROUND(Total!E20-Total!D20,2)</f>
        <v>1.88</v>
      </c>
      <c r="E20" s="20">
        <f>ROUND(Total!F20-Total!E20,2)</f>
        <v>-3.13</v>
      </c>
      <c r="F20" s="20">
        <f>ROUND(Total!G20-Total!F20,2)</f>
        <v>0.63</v>
      </c>
      <c r="G20" s="20">
        <f t="shared" ca="1" si="1"/>
        <v>-2.09</v>
      </c>
    </row>
    <row r="21" spans="2:7" ht="15.75" x14ac:dyDescent="0.25">
      <c r="B21" s="3">
        <f t="shared" si="0"/>
        <v>2027</v>
      </c>
      <c r="C21" s="20">
        <f>ROUND(Total!D21-Total!C21,2)</f>
        <v>-1.4</v>
      </c>
      <c r="D21" s="20">
        <f>ROUND(Total!E21-Total!D21,2)</f>
        <v>1.87</v>
      </c>
      <c r="E21" s="20">
        <f>ROUND(Total!F21-Total!E21,2)</f>
        <v>-3.21</v>
      </c>
      <c r="F21" s="20">
        <f>ROUND(Total!G21-Total!F21,2)</f>
        <v>0.75</v>
      </c>
      <c r="G21" s="20">
        <f t="shared" ca="1" si="1"/>
        <v>-1.9899999999999998</v>
      </c>
    </row>
    <row r="22" spans="2:7" ht="15.75" x14ac:dyDescent="0.25">
      <c r="B22" s="3">
        <f t="shared" si="0"/>
        <v>2028</v>
      </c>
      <c r="C22" s="20">
        <f>ROUND(Total!D22-Total!C22,2)</f>
        <v>-4.08</v>
      </c>
      <c r="D22" s="20">
        <f>ROUND(Total!E22-Total!D22,2)</f>
        <v>2.4300000000000002</v>
      </c>
      <c r="E22" s="20">
        <f>ROUND(Total!F22-Total!E22,2)</f>
        <v>-2.09</v>
      </c>
      <c r="F22" s="20">
        <f>ROUND(Total!G22-Total!F22,2)</f>
        <v>0.23</v>
      </c>
      <c r="G22" s="20">
        <f t="shared" ca="1" si="1"/>
        <v>-3.51</v>
      </c>
    </row>
    <row r="23" spans="2:7" ht="15.75" x14ac:dyDescent="0.25">
      <c r="B23" s="3">
        <f t="shared" si="0"/>
        <v>2029</v>
      </c>
      <c r="C23" s="20">
        <f>ROUND(Total!D23-Total!C23,2)</f>
        <v>-5.05</v>
      </c>
      <c r="D23" s="20">
        <f>ROUND(Total!E23-Total!D23,2)</f>
        <v>3.13</v>
      </c>
      <c r="E23" s="20">
        <f>ROUND(Total!F23-Total!E23,2)</f>
        <v>-2.63</v>
      </c>
      <c r="F23" s="20">
        <f>ROUND(Total!G23-Total!F23,2)</f>
        <v>-0.13</v>
      </c>
      <c r="G23" s="20">
        <f t="shared" ca="1" si="1"/>
        <v>-4.68</v>
      </c>
    </row>
    <row r="24" spans="2:7" ht="15.75" x14ac:dyDescent="0.25">
      <c r="B24" s="3">
        <f t="shared" si="0"/>
        <v>2030</v>
      </c>
      <c r="C24" s="20">
        <f>ROUND(Total!D24-Total!C24,2)</f>
        <v>-12.92</v>
      </c>
      <c r="D24" s="20">
        <f>ROUND(Total!E24-Total!D24,2)</f>
        <v>4.16</v>
      </c>
      <c r="E24" s="20">
        <f>ROUND(Total!F24-Total!E24,2)</f>
        <v>-2.35</v>
      </c>
      <c r="F24" s="20">
        <f>ROUND(Total!G24-Total!F24,2)</f>
        <v>-0.48</v>
      </c>
      <c r="G24" s="20">
        <f t="shared" ca="1" si="1"/>
        <v>-11.59</v>
      </c>
    </row>
    <row r="25" spans="2:7" ht="15.75" x14ac:dyDescent="0.25">
      <c r="B25" s="3">
        <f t="shared" si="0"/>
        <v>2031</v>
      </c>
      <c r="C25" s="20">
        <f>ROUND(Total!D25-Total!C25,2)</f>
        <v>-13.6</v>
      </c>
      <c r="D25" s="20">
        <f>ROUND(Total!E25-Total!D25,2)</f>
        <v>4</v>
      </c>
      <c r="E25" s="20">
        <f>ROUND(Total!F25-Total!E25,2)</f>
        <v>-3.36</v>
      </c>
      <c r="F25" s="20">
        <f>ROUND(Total!G25-Total!F25,2)</f>
        <v>0.78</v>
      </c>
      <c r="G25" s="20">
        <f t="shared" ca="1" si="1"/>
        <v>-12.18</v>
      </c>
    </row>
    <row r="26" spans="2:7" ht="15.75" x14ac:dyDescent="0.25">
      <c r="B26" s="3">
        <f t="shared" si="0"/>
        <v>2032</v>
      </c>
      <c r="C26" s="20">
        <f>ROUND(Total!D26-Total!C26,2)</f>
        <v>-14.62</v>
      </c>
      <c r="D26" s="20">
        <f>ROUND(Total!E26-Total!D26,2)</f>
        <v>4.3899999999999997</v>
      </c>
      <c r="E26" s="20">
        <f>ROUND(Total!F26-Total!E26,2)</f>
        <v>-4.1399999999999997</v>
      </c>
      <c r="F26" s="20">
        <f>ROUND(Total!G26-Total!F26,2)</f>
        <v>1.92</v>
      </c>
      <c r="G26" s="20">
        <f t="shared" ca="1" si="1"/>
        <v>-12.450000000000001</v>
      </c>
    </row>
    <row r="27" spans="2:7" ht="15.75" x14ac:dyDescent="0.25">
      <c r="B27" s="3">
        <f t="shared" si="0"/>
        <v>2033</v>
      </c>
      <c r="C27" s="20">
        <f>ROUND(Total!D27-Total!C27,2)</f>
        <v>-14.34</v>
      </c>
      <c r="D27" s="20">
        <f>ROUND(Total!E27-Total!D27,2)</f>
        <v>5.13</v>
      </c>
      <c r="E27" s="20">
        <f>ROUND(Total!F27-Total!E27,2)</f>
        <v>-3.65</v>
      </c>
      <c r="F27" s="20">
        <f>ROUND(Total!G27-Total!F27,2)</f>
        <v>1.06</v>
      </c>
      <c r="G27" s="20">
        <f t="shared" ca="1" si="1"/>
        <v>-11.8</v>
      </c>
    </row>
    <row r="28" spans="2:7" ht="15.75" x14ac:dyDescent="0.25">
      <c r="B28" s="3">
        <f t="shared" si="0"/>
        <v>2034</v>
      </c>
      <c r="C28" s="20">
        <f>ROUND(Total!D28-Total!C28,2)</f>
        <v>-14.81</v>
      </c>
      <c r="D28" s="20">
        <f>ROUND(Total!E28-Total!D28,2)</f>
        <v>11.39</v>
      </c>
      <c r="E28" s="20">
        <f>ROUND(Total!F28-Total!E28,2)</f>
        <v>-1.8</v>
      </c>
      <c r="F28" s="20">
        <f>ROUND(Total!G28-Total!F28,2)</f>
        <v>-0.51</v>
      </c>
      <c r="G28" s="20">
        <f t="shared" ca="1" si="1"/>
        <v>-5.7299999999999995</v>
      </c>
    </row>
    <row r="29" spans="2:7" ht="15.75" x14ac:dyDescent="0.25">
      <c r="B29" s="3">
        <f t="shared" si="0"/>
        <v>2035</v>
      </c>
      <c r="C29" s="20">
        <f>ROUND(Total!D29-Total!C29,2)</f>
        <v>-13.91</v>
      </c>
      <c r="D29" s="20">
        <f>ROUND(Total!E29-Total!D29,2)</f>
        <v>11.02</v>
      </c>
      <c r="E29" s="20">
        <f>ROUND(Total!F29-Total!E29,2)</f>
        <v>-3.33</v>
      </c>
      <c r="F29" s="20">
        <f>ROUND(Total!G29-Total!F29,2)</f>
        <v>-0.12</v>
      </c>
      <c r="G29" s="20">
        <f t="shared" ca="1" si="1"/>
        <v>-6.3400000000000007</v>
      </c>
    </row>
    <row r="30" spans="2:7" x14ac:dyDescent="0.2">
      <c r="C30" s="18"/>
      <c r="D30" s="18"/>
      <c r="E30" s="18"/>
      <c r="F30" s="18"/>
      <c r="G30" s="18"/>
    </row>
    <row r="31" spans="2:7" x14ac:dyDescent="0.2">
      <c r="B31" s="13" t="str">
        <f>Total!B31</f>
        <v>Nominal Levelized Payment at 6.660% Discount Rate (3)</v>
      </c>
      <c r="C31" s="21"/>
      <c r="D31" s="21"/>
      <c r="E31" s="21"/>
      <c r="F31" s="21"/>
      <c r="G31" s="21"/>
    </row>
    <row r="32" spans="2:7" x14ac:dyDescent="0.2">
      <c r="B32" s="8" t="str">
        <f>B10&amp;" - "&amp;B29</f>
        <v>2016 - 2035</v>
      </c>
      <c r="C32" s="19">
        <f>ROUND(Total!D32-Total!C32,2)</f>
        <v>-3.37</v>
      </c>
      <c r="D32" s="19">
        <f>ROUND(Total!E32-Total!D32,2)</f>
        <v>1.7</v>
      </c>
      <c r="E32" s="19">
        <f>ROUND(Total!F32-Total!E32,2)</f>
        <v>-1.98</v>
      </c>
      <c r="F32" s="19">
        <f>ROUND(Total!G32-Total!F32,2)</f>
        <v>-0.15</v>
      </c>
      <c r="G32" s="19">
        <f t="shared" ref="G32" ca="1" si="2">SUM(OFFSET($C32,0,0,1,COLUMN(G32)-3))</f>
        <v>-3.8000000000000003</v>
      </c>
    </row>
    <row r="33" spans="2:7" x14ac:dyDescent="0.2">
      <c r="F33" s="16"/>
      <c r="G33" s="16"/>
    </row>
    <row r="34" spans="2:7" x14ac:dyDescent="0.2">
      <c r="B34" s="1" t="str">
        <f>Total!B34</f>
        <v>(1)   Studies are sequential.  The order of the studies would effect the price impact.</v>
      </c>
    </row>
    <row r="35" spans="2:7" x14ac:dyDescent="0.2">
      <c r="B35" s="1" t="str">
        <f>Total!B35</f>
        <v>(2)   Official Forward Price Curve Dated March 2015</v>
      </c>
    </row>
    <row r="36" spans="2:7" x14ac:dyDescent="0.2">
      <c r="B36" s="1" t="str">
        <f>Total!B36</f>
        <v>(3)   Discount Rate - 2015 IRP Page 141</v>
      </c>
      <c r="C36" s="8"/>
    </row>
    <row r="37" spans="2:7" x14ac:dyDescent="0.2">
      <c r="B37" s="1" t="str">
        <f>Total!B37</f>
        <v xml:space="preserve">(4)   Capacity costs are allocated assuming an 85% capacity factor. </v>
      </c>
    </row>
    <row r="40" spans="2:7" hidden="1" x14ac:dyDescent="0.2">
      <c r="B40" s="22" t="s">
        <v>16</v>
      </c>
    </row>
    <row r="41" spans="2:7" hidden="1" x14ac:dyDescent="0.2">
      <c r="B41" s="45">
        <f>Discount_Rate</f>
        <v>6.6600000000000006E-2</v>
      </c>
    </row>
  </sheetData>
  <phoneticPr fontId="2" type="noConversion"/>
  <printOptions horizontalCentered="1"/>
  <pageMargins left="0.25" right="0.25" top="0.75" bottom="0.75" header="0.3" footer="0.2"/>
  <pageSetup orientation="portrait" r:id="rId1"/>
  <headerFooter alignWithMargins="0">
    <oddFooter>&amp;L&amp;8NPC Group ( &amp;A )&amp;C&amp;8Page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P44"/>
  <sheetViews>
    <sheetView tabSelected="1" zoomScale="70" zoomScaleNormal="70" workbookViewId="0">
      <pane xSplit="2" ySplit="9" topLeftCell="C10" activePane="bottomRight" state="frozen"/>
      <selection activeCell="F46" sqref="F46"/>
      <selection pane="topRight" activeCell="F46" sqref="F46"/>
      <selection pane="bottomLeft" activeCell="F46" sqref="F46"/>
      <selection pane="bottomRight" activeCell="G32" sqref="G32"/>
    </sheetView>
  </sheetViews>
  <sheetFormatPr defaultRowHeight="15" x14ac:dyDescent="0.2"/>
  <cols>
    <col min="1" max="1" width="1.85546875" style="1" customWidth="1"/>
    <col min="2" max="2" width="14.42578125" style="1" customWidth="1"/>
    <col min="3" max="7" width="16.5703125" style="1" customWidth="1"/>
    <col min="8" max="8" width="2.42578125" style="1" customWidth="1"/>
    <col min="9" max="14" width="9.140625" style="1"/>
    <col min="15" max="15" width="10.28515625" style="1" customWidth="1"/>
    <col min="16" max="16384" width="9.140625" style="1"/>
  </cols>
  <sheetData>
    <row r="1" spans="2:16" ht="15.75" x14ac:dyDescent="0.25">
      <c r="B1" s="6" t="s">
        <v>4</v>
      </c>
      <c r="C1" s="6"/>
      <c r="D1" s="6"/>
      <c r="E1" s="6"/>
      <c r="F1" s="6"/>
      <c r="G1" s="6"/>
    </row>
    <row r="2" spans="2:16" ht="8.25" customHeight="1" x14ac:dyDescent="0.25">
      <c r="B2" s="6"/>
      <c r="C2" s="6"/>
      <c r="D2" s="6"/>
      <c r="E2" s="6"/>
      <c r="F2" s="6"/>
      <c r="G2" s="6"/>
    </row>
    <row r="3" spans="2:16" ht="15.75" x14ac:dyDescent="0.25">
      <c r="B3" s="6" t="s">
        <v>1</v>
      </c>
      <c r="C3" s="6"/>
      <c r="D3" s="6"/>
      <c r="E3" s="6"/>
      <c r="F3" s="6"/>
      <c r="G3" s="6"/>
    </row>
    <row r="4" spans="2:16" ht="15.75" x14ac:dyDescent="0.25">
      <c r="B4" s="6" t="str">
        <f>Capacity!$B$4</f>
        <v>Step Study between 2015.Q1 and 2014.Q4 Compliance Filing</v>
      </c>
      <c r="C4" s="6"/>
      <c r="D4" s="6"/>
      <c r="E4" s="6"/>
      <c r="F4" s="6"/>
      <c r="G4" s="6"/>
    </row>
    <row r="5" spans="2:16" ht="15.75" x14ac:dyDescent="0.25">
      <c r="B5" s="6" t="s">
        <v>12</v>
      </c>
      <c r="C5" s="6"/>
      <c r="D5" s="6"/>
      <c r="E5" s="6"/>
      <c r="F5" s="6"/>
      <c r="G5" s="6"/>
    </row>
    <row r="6" spans="2:16" s="25" customFormat="1" ht="15.75" x14ac:dyDescent="0.25">
      <c r="B6" s="23"/>
      <c r="C6" s="23"/>
      <c r="D6" s="24"/>
      <c r="E6" s="23"/>
      <c r="F6" s="23"/>
      <c r="G6" s="23"/>
    </row>
    <row r="7" spans="2:16" ht="15.75" x14ac:dyDescent="0.25">
      <c r="B7" s="54"/>
      <c r="C7" s="55" t="s">
        <v>18</v>
      </c>
      <c r="D7" s="55" t="str">
        <f>Energy!D7</f>
        <v>QF Queue</v>
      </c>
      <c r="E7" s="55" t="str">
        <f>Energy!E7</f>
        <v>2015</v>
      </c>
      <c r="F7" s="55" t="str">
        <f>Energy!F7</f>
        <v>1503</v>
      </c>
      <c r="G7" s="55" t="str">
        <f>Energy!G7</f>
        <v>All Other</v>
      </c>
    </row>
    <row r="8" spans="2:16" ht="15.75" x14ac:dyDescent="0.25">
      <c r="B8" s="7" t="s">
        <v>0</v>
      </c>
      <c r="C8" s="2" t="s">
        <v>8</v>
      </c>
      <c r="D8" s="2" t="str">
        <f>Energy!D8</f>
        <v>Update</v>
      </c>
      <c r="E8" s="2" t="str">
        <f>Energy!E8</f>
        <v>IRP</v>
      </c>
      <c r="F8" s="2" t="str">
        <f>Energy!F8</f>
        <v>OFPC (2)</v>
      </c>
      <c r="G8" s="2" t="str">
        <f>Energy!G8</f>
        <v>Update</v>
      </c>
    </row>
    <row r="9" spans="2:16" ht="4.5" customHeight="1" x14ac:dyDescent="0.2"/>
    <row r="10" spans="2:16" ht="15.75" x14ac:dyDescent="0.25">
      <c r="B10" s="3">
        <v>2016</v>
      </c>
      <c r="C10" s="17">
        <f>ROUND(Capacity!$F10+Energy!C10,2)</f>
        <v>24.41</v>
      </c>
      <c r="D10" s="17">
        <f>ROUND(Energy!D10,2)</f>
        <v>23.97</v>
      </c>
      <c r="E10" s="17">
        <f>ROUND(Capacity!$G10+Energy!E10,2)</f>
        <v>24.13</v>
      </c>
      <c r="F10" s="17">
        <f>ROUND(Capacity!$G10+Energy!F10,2)</f>
        <v>23.58</v>
      </c>
      <c r="G10" s="17">
        <f>ROUND(Capacity!$G10+Energy!G10,2)</f>
        <v>23.69</v>
      </c>
      <c r="I10" s="56"/>
      <c r="J10" s="56"/>
      <c r="K10" s="56"/>
      <c r="L10" s="56"/>
      <c r="M10" s="56"/>
      <c r="N10" s="56"/>
      <c r="O10" s="56"/>
    </row>
    <row r="11" spans="2:16" ht="15.75" x14ac:dyDescent="0.25">
      <c r="B11" s="3">
        <f t="shared" ref="B11:B29" si="0">B10+1</f>
        <v>2017</v>
      </c>
      <c r="C11" s="17">
        <f>ROUND(Capacity!$F11+Energy!C11,2)</f>
        <v>24.23</v>
      </c>
      <c r="D11" s="17">
        <f>ROUND(Energy!D11,2)</f>
        <v>23.42</v>
      </c>
      <c r="E11" s="17">
        <f>ROUND(Capacity!$G11+Energy!E11,2)</f>
        <v>23.9</v>
      </c>
      <c r="F11" s="17">
        <f>ROUND(Capacity!$G11+Energy!F11,2)</f>
        <v>23.17</v>
      </c>
      <c r="G11" s="17">
        <f>ROUND(Capacity!$G11+Energy!G11,2)</f>
        <v>22.58</v>
      </c>
      <c r="I11" s="56"/>
      <c r="J11" s="56"/>
      <c r="K11" s="56"/>
      <c r="L11" s="56"/>
      <c r="M11" s="56"/>
      <c r="N11" s="56"/>
      <c r="O11" s="56"/>
    </row>
    <row r="12" spans="2:16" ht="15.75" x14ac:dyDescent="0.25">
      <c r="B12" s="3">
        <f t="shared" si="0"/>
        <v>2018</v>
      </c>
      <c r="C12" s="17">
        <f>ROUND(Capacity!$F12+Energy!C12,2)</f>
        <v>26.77</v>
      </c>
      <c r="D12" s="17">
        <f>ROUND(Energy!D12,2)</f>
        <v>26.69</v>
      </c>
      <c r="E12" s="17">
        <f>ROUND(Capacity!$G12+Energy!E12,2)</f>
        <v>26.7</v>
      </c>
      <c r="F12" s="17">
        <f>ROUND(Capacity!$G12+Energy!F12,2)</f>
        <v>24.89</v>
      </c>
      <c r="G12" s="17">
        <f>ROUND(Capacity!$G12+Energy!G12,2)</f>
        <v>24.12</v>
      </c>
      <c r="I12" s="56"/>
      <c r="J12" s="56"/>
      <c r="K12" s="56"/>
      <c r="L12" s="56"/>
      <c r="M12" s="56"/>
      <c r="N12" s="56"/>
      <c r="O12" s="56"/>
    </row>
    <row r="13" spans="2:16" ht="15.75" x14ac:dyDescent="0.25">
      <c r="B13" s="3">
        <f t="shared" si="0"/>
        <v>2019</v>
      </c>
      <c r="C13" s="17">
        <f>ROUND(Capacity!$F13+Energy!C13,2)</f>
        <v>28.12</v>
      </c>
      <c r="D13" s="17">
        <f>ROUND(Energy!D13,2)</f>
        <v>27.65</v>
      </c>
      <c r="E13" s="17">
        <f>ROUND(Capacity!$G13+Energy!E13,2)</f>
        <v>27.71</v>
      </c>
      <c r="F13" s="17">
        <f>ROUND(Capacity!$G13+Energy!F13,2)</f>
        <v>25.6</v>
      </c>
      <c r="G13" s="17">
        <f>ROUND(Capacity!$G13+Energy!G13,2)</f>
        <v>24.7</v>
      </c>
      <c r="I13" s="56"/>
      <c r="J13" s="56"/>
      <c r="K13" s="56"/>
      <c r="L13" s="56"/>
      <c r="M13" s="56"/>
      <c r="N13" s="56"/>
      <c r="O13" s="56"/>
      <c r="P13" s="5"/>
    </row>
    <row r="14" spans="2:16" ht="15.75" x14ac:dyDescent="0.25">
      <c r="B14" s="3">
        <f t="shared" si="0"/>
        <v>2020</v>
      </c>
      <c r="C14" s="17">
        <f>ROUND(Capacity!$F14+Energy!C14,2)</f>
        <v>28.14</v>
      </c>
      <c r="D14" s="17">
        <f>ROUND(Energy!D14,2)</f>
        <v>27.37</v>
      </c>
      <c r="E14" s="17">
        <f>ROUND(Capacity!$G14+Energy!E14,2)</f>
        <v>27.37</v>
      </c>
      <c r="F14" s="17">
        <f>ROUND(Capacity!$G14+Energy!F14,2)</f>
        <v>25.16</v>
      </c>
      <c r="G14" s="17">
        <f>ROUND(Capacity!$G14+Energy!G14,2)</f>
        <v>24.96</v>
      </c>
      <c r="I14" s="56"/>
      <c r="J14" s="56"/>
      <c r="K14" s="56"/>
      <c r="L14" s="56"/>
      <c r="M14" s="56"/>
      <c r="N14" s="56"/>
      <c r="O14" s="56"/>
    </row>
    <row r="15" spans="2:16" ht="15.75" x14ac:dyDescent="0.25">
      <c r="B15" s="3">
        <f t="shared" si="0"/>
        <v>2021</v>
      </c>
      <c r="C15" s="17">
        <f>ROUND(Capacity!$F15+Energy!C15,2)</f>
        <v>29.29</v>
      </c>
      <c r="D15" s="17">
        <f>ROUND(Energy!D15,2)</f>
        <v>29.35</v>
      </c>
      <c r="E15" s="17">
        <f>ROUND(Capacity!$G15+Energy!E15,2)</f>
        <v>29.47</v>
      </c>
      <c r="F15" s="17">
        <f>ROUND(Capacity!$G15+Energy!F15,2)</f>
        <v>27.34</v>
      </c>
      <c r="G15" s="17">
        <f>ROUND(Capacity!$G15+Energy!G15,2)</f>
        <v>26.73</v>
      </c>
      <c r="I15" s="56"/>
      <c r="J15" s="56"/>
      <c r="K15" s="56"/>
      <c r="L15" s="56"/>
      <c r="M15" s="56"/>
      <c r="N15" s="56"/>
      <c r="O15" s="56"/>
    </row>
    <row r="16" spans="2:16" ht="15.75" x14ac:dyDescent="0.25">
      <c r="B16" s="3">
        <f t="shared" si="0"/>
        <v>2022</v>
      </c>
      <c r="C16" s="17">
        <f>ROUND(Capacity!$F16+Energy!C16,2)</f>
        <v>31.19</v>
      </c>
      <c r="D16" s="17">
        <f>ROUND(Energy!D16,2)</f>
        <v>30.69</v>
      </c>
      <c r="E16" s="17">
        <f>ROUND(Capacity!$G16+Energy!E16,2)</f>
        <v>30.83</v>
      </c>
      <c r="F16" s="17">
        <f>ROUND(Capacity!$G16+Energy!F16,2)</f>
        <v>29.66</v>
      </c>
      <c r="G16" s="17">
        <f>ROUND(Capacity!$G16+Energy!G16,2)</f>
        <v>28.36</v>
      </c>
      <c r="I16" s="56"/>
      <c r="J16" s="56"/>
      <c r="K16" s="56"/>
      <c r="L16" s="56"/>
      <c r="M16" s="56"/>
      <c r="N16" s="56"/>
      <c r="O16" s="56"/>
    </row>
    <row r="17" spans="2:15" ht="15.75" x14ac:dyDescent="0.25">
      <c r="B17" s="3">
        <f t="shared" si="0"/>
        <v>2023</v>
      </c>
      <c r="C17" s="17">
        <f>ROUND(Capacity!$F17+Energy!C17,2)</f>
        <v>33.26</v>
      </c>
      <c r="D17" s="17">
        <f>ROUND(Energy!D17,2)</f>
        <v>31.82</v>
      </c>
      <c r="E17" s="17">
        <f>ROUND(Capacity!$G17+Energy!E17,2)</f>
        <v>32.03</v>
      </c>
      <c r="F17" s="17">
        <f>ROUND(Capacity!$G17+Energy!F17,2)</f>
        <v>31.04</v>
      </c>
      <c r="G17" s="17">
        <f>ROUND(Capacity!$G17+Energy!G17,2)</f>
        <v>30.45</v>
      </c>
      <c r="I17" s="56"/>
      <c r="J17" s="56"/>
      <c r="K17" s="56"/>
      <c r="L17" s="56"/>
      <c r="M17" s="56"/>
      <c r="N17" s="56"/>
      <c r="O17" s="56"/>
    </row>
    <row r="18" spans="2:15" ht="15.75" x14ac:dyDescent="0.25">
      <c r="B18" s="3">
        <f t="shared" si="0"/>
        <v>2024</v>
      </c>
      <c r="C18" s="17">
        <f>ROUND(Capacity!$F18+Energy!C18,2)</f>
        <v>33.56</v>
      </c>
      <c r="D18" s="17">
        <f>ROUND(Energy!D18,2)</f>
        <v>32.43</v>
      </c>
      <c r="E18" s="17">
        <f>ROUND(Capacity!$G18+Energy!E18,2)</f>
        <v>32.869999999999997</v>
      </c>
      <c r="F18" s="17">
        <f>ROUND(Capacity!$G18+Energy!F18,2)</f>
        <v>31.55</v>
      </c>
      <c r="G18" s="17">
        <f>ROUND(Capacity!$G18+Energy!G18,2)</f>
        <v>31.94</v>
      </c>
      <c r="I18" s="56"/>
      <c r="J18" s="56"/>
      <c r="K18" s="56"/>
      <c r="L18" s="56"/>
      <c r="M18" s="56"/>
      <c r="N18" s="56"/>
      <c r="O18" s="56"/>
    </row>
    <row r="19" spans="2:15" ht="15.75" x14ac:dyDescent="0.25">
      <c r="B19" s="3">
        <f t="shared" si="0"/>
        <v>2025</v>
      </c>
      <c r="C19" s="17">
        <f>ROUND(Capacity!$F19+Energy!C19,2)</f>
        <v>34.56</v>
      </c>
      <c r="D19" s="17">
        <f>ROUND(Energy!D19,2)</f>
        <v>34.130000000000003</v>
      </c>
      <c r="E19" s="17">
        <f>ROUND(Capacity!$G19+Energy!E19,2)</f>
        <v>35.590000000000003</v>
      </c>
      <c r="F19" s="17">
        <f>ROUND(Capacity!$G19+Energy!F19,2)</f>
        <v>33.51</v>
      </c>
      <c r="G19" s="17">
        <f>ROUND(Capacity!$G19+Energy!G19,2)</f>
        <v>33.549999999999997</v>
      </c>
      <c r="I19" s="56"/>
      <c r="J19" s="56"/>
      <c r="K19" s="56"/>
      <c r="L19" s="56"/>
      <c r="M19" s="56"/>
      <c r="N19" s="56"/>
      <c r="O19" s="56"/>
    </row>
    <row r="20" spans="2:15" ht="15.75" x14ac:dyDescent="0.25">
      <c r="B20" s="3">
        <f t="shared" si="0"/>
        <v>2026</v>
      </c>
      <c r="C20" s="17">
        <f>ROUND(Capacity!$F20+Energy!C20,2)</f>
        <v>36.979999999999997</v>
      </c>
      <c r="D20" s="17">
        <f>ROUND(Energy!D20,2)</f>
        <v>35.51</v>
      </c>
      <c r="E20" s="17">
        <f>ROUND(Capacity!$G20+Energy!E20,2)</f>
        <v>37.39</v>
      </c>
      <c r="F20" s="17">
        <f>ROUND(Capacity!$G20+Energy!F20,2)</f>
        <v>34.26</v>
      </c>
      <c r="G20" s="17">
        <f>ROUND(Capacity!$G20+Energy!G20,2)</f>
        <v>34.89</v>
      </c>
      <c r="I20" s="56"/>
      <c r="J20" s="56"/>
      <c r="K20" s="56"/>
      <c r="L20" s="56"/>
      <c r="M20" s="56"/>
      <c r="N20" s="56"/>
      <c r="O20" s="56"/>
    </row>
    <row r="21" spans="2:15" ht="15.75" x14ac:dyDescent="0.25">
      <c r="B21" s="3">
        <f t="shared" si="0"/>
        <v>2027</v>
      </c>
      <c r="C21" s="17">
        <f>ROUND(Capacity!$F21+Energy!C21,2)</f>
        <v>38.76</v>
      </c>
      <c r="D21" s="17">
        <f>ROUND(Energy!D21,2)</f>
        <v>37.36</v>
      </c>
      <c r="E21" s="17">
        <f>ROUND(Capacity!$G21+Energy!E21,2)</f>
        <v>39.229999999999997</v>
      </c>
      <c r="F21" s="17">
        <f>ROUND(Capacity!$G21+Energy!F21,2)</f>
        <v>36.020000000000003</v>
      </c>
      <c r="G21" s="17">
        <f>ROUND(Capacity!$G21+Energy!G21,2)</f>
        <v>36.770000000000003</v>
      </c>
      <c r="I21" s="56"/>
      <c r="J21" s="56"/>
      <c r="K21" s="56"/>
      <c r="L21" s="56"/>
      <c r="M21" s="56"/>
      <c r="N21" s="56"/>
      <c r="O21" s="56"/>
    </row>
    <row r="22" spans="2:15" ht="15.75" x14ac:dyDescent="0.25">
      <c r="B22" s="3">
        <f t="shared" si="0"/>
        <v>2028</v>
      </c>
      <c r="C22" s="17">
        <f>ROUND(Capacity!$F22+Energy!C22,2)</f>
        <v>43.93</v>
      </c>
      <c r="D22" s="17">
        <f>ROUND(Energy!D22,2)</f>
        <v>39.85</v>
      </c>
      <c r="E22" s="17">
        <f>ROUND(Capacity!$G22+Energy!E22,2)</f>
        <v>42.28</v>
      </c>
      <c r="F22" s="17">
        <f>ROUND(Capacity!$G22+Energy!F22,2)</f>
        <v>40.19</v>
      </c>
      <c r="G22" s="17">
        <f>ROUND(Capacity!$G22+Energy!G22,2)</f>
        <v>40.42</v>
      </c>
      <c r="I22" s="56"/>
      <c r="J22" s="56"/>
      <c r="K22" s="56"/>
      <c r="L22" s="56"/>
      <c r="M22" s="56"/>
      <c r="N22" s="56"/>
      <c r="O22" s="56"/>
    </row>
    <row r="23" spans="2:15" ht="15.75" x14ac:dyDescent="0.25">
      <c r="B23" s="3">
        <f t="shared" si="0"/>
        <v>2029</v>
      </c>
      <c r="C23" s="17">
        <f>ROUND(Capacity!$F23+Energy!C23,2)</f>
        <v>46.1</v>
      </c>
      <c r="D23" s="17">
        <f>ROUND(Energy!D23,2)</f>
        <v>41.05</v>
      </c>
      <c r="E23" s="17">
        <f>ROUND(Capacity!$G23+Energy!E23,2)</f>
        <v>44.18</v>
      </c>
      <c r="F23" s="17">
        <f>ROUND(Capacity!$G23+Energy!F23,2)</f>
        <v>41.55</v>
      </c>
      <c r="G23" s="17">
        <f>ROUND(Capacity!$G23+Energy!G23,2)</f>
        <v>41.42</v>
      </c>
      <c r="I23" s="56"/>
      <c r="J23" s="56"/>
      <c r="K23" s="56"/>
      <c r="L23" s="56"/>
      <c r="M23" s="56"/>
      <c r="N23" s="56"/>
      <c r="O23" s="56"/>
    </row>
    <row r="24" spans="2:15" ht="15.75" x14ac:dyDescent="0.25">
      <c r="B24" s="3">
        <f t="shared" si="0"/>
        <v>2030</v>
      </c>
      <c r="C24" s="17">
        <f>ROUND(Capacity!$F24+Energy!C24,2)</f>
        <v>60.93</v>
      </c>
      <c r="D24" s="17">
        <f>ROUND(Energy!D24,2)</f>
        <v>48.01</v>
      </c>
      <c r="E24" s="17">
        <f>ROUND(Capacity!$G24+Energy!E24,2)</f>
        <v>52.17</v>
      </c>
      <c r="F24" s="17">
        <f>ROUND(Capacity!$G24+Energy!F24,2)</f>
        <v>49.82</v>
      </c>
      <c r="G24" s="17">
        <f>ROUND(Capacity!$G24+Energy!G24,2)</f>
        <v>49.34</v>
      </c>
      <c r="I24" s="56"/>
      <c r="J24" s="56"/>
      <c r="K24" s="56"/>
      <c r="L24" s="56"/>
      <c r="M24" s="56"/>
      <c r="N24" s="56"/>
      <c r="O24" s="56"/>
    </row>
    <row r="25" spans="2:15" ht="15.75" x14ac:dyDescent="0.25">
      <c r="B25" s="3">
        <f t="shared" si="0"/>
        <v>2031</v>
      </c>
      <c r="C25" s="17">
        <f>ROUND(Capacity!$F25+Energy!C25,2)</f>
        <v>63.7</v>
      </c>
      <c r="D25" s="17">
        <f>ROUND(Energy!D25,2)</f>
        <v>50.1</v>
      </c>
      <c r="E25" s="17">
        <f>ROUND(Capacity!$G25+Energy!E25,2)</f>
        <v>54.1</v>
      </c>
      <c r="F25" s="17">
        <f>ROUND(Capacity!$G25+Energy!F25,2)</f>
        <v>50.74</v>
      </c>
      <c r="G25" s="17">
        <f>ROUND(Capacity!$G25+Energy!G25,2)</f>
        <v>51.52</v>
      </c>
      <c r="I25" s="56"/>
      <c r="J25" s="56"/>
      <c r="K25" s="56"/>
      <c r="L25" s="56"/>
      <c r="M25" s="56"/>
      <c r="N25" s="56"/>
      <c r="O25" s="56"/>
    </row>
    <row r="26" spans="2:15" ht="15.75" x14ac:dyDescent="0.25">
      <c r="B26" s="3">
        <f t="shared" si="0"/>
        <v>2032</v>
      </c>
      <c r="C26" s="17">
        <f>ROUND(Capacity!$F26+Energy!C26,2)</f>
        <v>66.13</v>
      </c>
      <c r="D26" s="17">
        <f>ROUND(Energy!D26,2)</f>
        <v>51.51</v>
      </c>
      <c r="E26" s="17">
        <f>ROUND(Capacity!$G26+Energy!E26,2)</f>
        <v>55.9</v>
      </c>
      <c r="F26" s="17">
        <f>ROUND(Capacity!$G26+Energy!F26,2)</f>
        <v>51.76</v>
      </c>
      <c r="G26" s="17">
        <f>ROUND(Capacity!$G26+Energy!G26,2)</f>
        <v>53.68</v>
      </c>
      <c r="I26" s="56"/>
      <c r="J26" s="56"/>
      <c r="K26" s="56"/>
      <c r="L26" s="56"/>
      <c r="M26" s="56"/>
      <c r="N26" s="56"/>
      <c r="O26" s="56"/>
    </row>
    <row r="27" spans="2:15" ht="15.75" x14ac:dyDescent="0.25">
      <c r="B27" s="3">
        <f t="shared" si="0"/>
        <v>2033</v>
      </c>
      <c r="C27" s="17">
        <f>ROUND(Capacity!$F27+Energy!C27,2)</f>
        <v>67</v>
      </c>
      <c r="D27" s="17">
        <f>ROUND(Energy!D27,2)</f>
        <v>52.66</v>
      </c>
      <c r="E27" s="17">
        <f>ROUND(Capacity!$G27+Energy!E27,2)</f>
        <v>57.79</v>
      </c>
      <c r="F27" s="17">
        <f>ROUND(Capacity!$G27+Energy!F27,2)</f>
        <v>54.14</v>
      </c>
      <c r="G27" s="17">
        <f>ROUND(Capacity!$G27+Energy!G27,2)</f>
        <v>55.2</v>
      </c>
      <c r="I27" s="56"/>
      <c r="J27" s="56"/>
      <c r="K27" s="56"/>
      <c r="L27" s="56"/>
      <c r="M27" s="56"/>
      <c r="N27" s="56"/>
      <c r="O27" s="56"/>
    </row>
    <row r="28" spans="2:15" ht="15.75" x14ac:dyDescent="0.25">
      <c r="B28" s="3">
        <f t="shared" si="0"/>
        <v>2034</v>
      </c>
      <c r="C28" s="17">
        <f>ROUND(Capacity!$F28+Energy!C28,2)</f>
        <v>68.2</v>
      </c>
      <c r="D28" s="17">
        <f>ROUND(Energy!D28,2)</f>
        <v>53.39</v>
      </c>
      <c r="E28" s="17">
        <f>ROUND(Capacity!$G28+Energy!E28,2)</f>
        <v>64.78</v>
      </c>
      <c r="F28" s="17">
        <f>ROUND(Capacity!$G28+Energy!F28,2)</f>
        <v>62.98</v>
      </c>
      <c r="G28" s="17">
        <f>ROUND(Capacity!$G28+Energy!G28,2)</f>
        <v>62.47</v>
      </c>
      <c r="I28" s="56"/>
      <c r="J28" s="56"/>
      <c r="K28" s="56"/>
      <c r="L28" s="56"/>
      <c r="M28" s="56"/>
      <c r="N28" s="56"/>
      <c r="O28" s="56"/>
    </row>
    <row r="29" spans="2:15" ht="15.75" x14ac:dyDescent="0.25">
      <c r="B29" s="3">
        <f t="shared" si="0"/>
        <v>2035</v>
      </c>
      <c r="C29" s="17">
        <f>ROUND(Capacity!$F29+Energy!C29,2)</f>
        <v>71.319999999999993</v>
      </c>
      <c r="D29" s="17">
        <f>ROUND(Energy!D29,2)</f>
        <v>57.41</v>
      </c>
      <c r="E29" s="17">
        <f>ROUND(Capacity!$G29+Energy!E29,2)</f>
        <v>68.430000000000007</v>
      </c>
      <c r="F29" s="17">
        <f>ROUND(Capacity!$G29+Energy!F29,2)</f>
        <v>65.099999999999994</v>
      </c>
      <c r="G29" s="17">
        <f>ROUND(Capacity!$G29+Energy!G29,2)</f>
        <v>64.98</v>
      </c>
      <c r="I29" s="56"/>
      <c r="J29" s="56"/>
      <c r="K29" s="56"/>
      <c r="L29" s="56"/>
      <c r="M29" s="56"/>
      <c r="N29" s="56"/>
      <c r="O29" s="56"/>
    </row>
    <row r="30" spans="2:15" x14ac:dyDescent="0.2">
      <c r="C30" s="18"/>
      <c r="D30" s="18"/>
      <c r="E30" s="18"/>
      <c r="F30" s="18"/>
      <c r="G30" s="18"/>
      <c r="I30" s="56"/>
      <c r="J30" s="56"/>
    </row>
    <row r="31" spans="2:15" x14ac:dyDescent="0.2">
      <c r="B31" s="4" t="str">
        <f>"Nominal Levelized Payment at "&amp;TEXT(Discount_Rate,"0.000%")&amp;" Discount Rate (3)"</f>
        <v>Nominal Levelized Payment at 6.660% Discount Rate (3)</v>
      </c>
      <c r="C31" s="18"/>
      <c r="D31" s="18"/>
      <c r="E31" s="18"/>
      <c r="F31" s="18"/>
      <c r="G31" s="18"/>
      <c r="I31" s="56"/>
      <c r="J31" s="56"/>
    </row>
    <row r="32" spans="2:15" x14ac:dyDescent="0.2">
      <c r="B32" s="8" t="str">
        <f>B10&amp;" - "&amp;B29</f>
        <v>2016 - 2035</v>
      </c>
      <c r="C32" s="19">
        <f t="shared" ref="C32:F32" si="1">ROUND(PMT(Discount_Rate,COUNT(C10:C29),-NPV(Discount_Rate,C10:C29)),2)</f>
        <v>37.44</v>
      </c>
      <c r="D32" s="19">
        <f t="shared" si="1"/>
        <v>34.07</v>
      </c>
      <c r="E32" s="19">
        <f t="shared" si="1"/>
        <v>35.770000000000003</v>
      </c>
      <c r="F32" s="19">
        <f t="shared" si="1"/>
        <v>33.79</v>
      </c>
      <c r="G32" s="19">
        <f t="shared" ref="G32" si="2">ROUND(PMT(Discount_Rate,COUNT(G10:G29),-NPV(Discount_Rate,G10:G29)),2)</f>
        <v>33.64</v>
      </c>
      <c r="I32" s="56"/>
      <c r="J32" s="56"/>
    </row>
    <row r="33" spans="2:10" x14ac:dyDescent="0.2">
      <c r="D33" s="10"/>
      <c r="E33" s="10"/>
      <c r="F33" s="10"/>
      <c r="G33" s="10"/>
      <c r="I33" s="56"/>
      <c r="J33" s="56"/>
    </row>
    <row r="34" spans="2:10" x14ac:dyDescent="0.2">
      <c r="B34" s="8" t="s">
        <v>5</v>
      </c>
      <c r="I34" s="56"/>
      <c r="J34" s="56"/>
    </row>
    <row r="35" spans="2:10" x14ac:dyDescent="0.2">
      <c r="B35" s="1" t="str">
        <f>"(2)   Official Forward Price Curve Dated "&amp;TEXT(B44,"MMMM YYYY")</f>
        <v>(2)   Official Forward Price Curve Dated March 2015</v>
      </c>
      <c r="I35" s="56"/>
      <c r="J35" s="56"/>
    </row>
    <row r="36" spans="2:10" x14ac:dyDescent="0.2">
      <c r="B36" s="1" t="str">
        <f>"(3)   "&amp;B40</f>
        <v>(3)   Discount Rate - 2015 IRP Page 141</v>
      </c>
    </row>
    <row r="37" spans="2:10" x14ac:dyDescent="0.2">
      <c r="B37" s="1" t="s">
        <v>11</v>
      </c>
    </row>
    <row r="38" spans="2:10" hidden="1" x14ac:dyDescent="0.2">
      <c r="B38" s="1" t="s">
        <v>15</v>
      </c>
    </row>
    <row r="39" spans="2:10" hidden="1" x14ac:dyDescent="0.2">
      <c r="B39" s="28"/>
    </row>
    <row r="40" spans="2:10" hidden="1" x14ac:dyDescent="0.2">
      <c r="B40" s="28" t="s">
        <v>22</v>
      </c>
      <c r="E40" s="26"/>
      <c r="F40" s="26"/>
      <c r="G40" s="26"/>
    </row>
    <row r="41" spans="2:10" hidden="1" x14ac:dyDescent="0.2">
      <c r="B41" s="27">
        <v>6.6600000000000006E-2</v>
      </c>
      <c r="E41" s="26"/>
      <c r="F41" s="26"/>
      <c r="G41" s="26"/>
    </row>
    <row r="42" spans="2:10" hidden="1" x14ac:dyDescent="0.2">
      <c r="D42" s="26"/>
      <c r="E42" s="26"/>
      <c r="F42" s="26"/>
      <c r="G42" s="26"/>
    </row>
    <row r="43" spans="2:10" hidden="1" x14ac:dyDescent="0.2">
      <c r="B43" s="1" t="s">
        <v>14</v>
      </c>
    </row>
    <row r="44" spans="2:10" hidden="1" x14ac:dyDescent="0.2">
      <c r="B44" s="29">
        <v>42094</v>
      </c>
    </row>
  </sheetData>
  <phoneticPr fontId="2" type="noConversion"/>
  <printOptions horizontalCentered="1"/>
  <pageMargins left="0.25" right="0.25" top="0.75" bottom="0.75" header="0.3" footer="0.2"/>
  <pageSetup orientation="portrait" r:id="rId1"/>
  <headerFooter alignWithMargins="0">
    <oddFooter>&amp;L&amp;8NPC Group ( &amp;A )&amp;C&amp;8Page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G41"/>
  <sheetViews>
    <sheetView zoomScale="70" zoomScaleNormal="70" workbookViewId="0">
      <pane xSplit="2" ySplit="8" topLeftCell="C9" activePane="bottomRight" state="frozen"/>
      <selection activeCell="F46" sqref="F46"/>
      <selection pane="topRight" activeCell="F46" sqref="F46"/>
      <selection pane="bottomLeft" activeCell="F46" sqref="F46"/>
      <selection pane="bottomRight" activeCell="F46" sqref="F46"/>
    </sheetView>
  </sheetViews>
  <sheetFormatPr defaultRowHeight="15" x14ac:dyDescent="0.2"/>
  <cols>
    <col min="1" max="1" width="1.85546875" style="32" customWidth="1"/>
    <col min="2" max="2" width="14.140625" style="32" customWidth="1"/>
    <col min="3" max="7" width="16.5703125" style="32" customWidth="1"/>
    <col min="8" max="8" width="2.28515625" style="32" customWidth="1"/>
    <col min="9" max="16384" width="9.140625" style="32"/>
  </cols>
  <sheetData>
    <row r="1" spans="2:7" ht="15.75" x14ac:dyDescent="0.25">
      <c r="B1" s="30" t="str">
        <f>Total!B1</f>
        <v>Appendix C</v>
      </c>
      <c r="C1" s="30"/>
      <c r="D1" s="30"/>
      <c r="E1" s="30"/>
      <c r="F1" s="30"/>
      <c r="G1" s="30"/>
    </row>
    <row r="2" spans="2:7" ht="8.25" customHeight="1" x14ac:dyDescent="0.25">
      <c r="B2" s="30"/>
      <c r="C2" s="30"/>
      <c r="D2" s="30"/>
      <c r="E2" s="30"/>
      <c r="F2" s="30"/>
      <c r="G2" s="30"/>
    </row>
    <row r="3" spans="2:7" ht="15.75" x14ac:dyDescent="0.25">
      <c r="B3" s="30" t="str">
        <f>Total!B3</f>
        <v>Utah Quarterly Compliance Filing</v>
      </c>
      <c r="C3" s="30"/>
      <c r="D3" s="30"/>
      <c r="E3" s="30"/>
      <c r="F3" s="30"/>
      <c r="G3" s="30"/>
    </row>
    <row r="4" spans="2:7" ht="15.75" x14ac:dyDescent="0.25">
      <c r="B4" s="30" t="str">
        <f>Capacity!$B$4</f>
        <v>Step Study between 2015.Q1 and 2014.Q4 Compliance Filing</v>
      </c>
      <c r="C4" s="30"/>
      <c r="D4" s="30"/>
      <c r="E4" s="30"/>
      <c r="F4" s="30"/>
      <c r="G4" s="30"/>
    </row>
    <row r="5" spans="2:7" ht="15.75" x14ac:dyDescent="0.25">
      <c r="B5" s="30" t="s">
        <v>7</v>
      </c>
      <c r="C5" s="30"/>
      <c r="D5" s="30"/>
      <c r="E5" s="30"/>
      <c r="F5" s="30"/>
      <c r="G5" s="30"/>
    </row>
    <row r="6" spans="2:7" ht="15.75" x14ac:dyDescent="0.25">
      <c r="B6" s="30"/>
      <c r="C6" s="30"/>
      <c r="D6" s="9"/>
      <c r="E6" s="9"/>
      <c r="F6" s="9"/>
      <c r="G6" s="9"/>
    </row>
    <row r="7" spans="2:7" ht="15.75" x14ac:dyDescent="0.25">
      <c r="B7" s="33"/>
      <c r="C7" s="52" t="str">
        <f>Total!C7</f>
        <v>2014.Q4</v>
      </c>
      <c r="D7" s="52" t="s">
        <v>24</v>
      </c>
      <c r="E7" s="58" t="s">
        <v>25</v>
      </c>
      <c r="F7" s="58" t="s">
        <v>20</v>
      </c>
      <c r="G7" s="58" t="s">
        <v>26</v>
      </c>
    </row>
    <row r="8" spans="2:7" ht="15.75" x14ac:dyDescent="0.25">
      <c r="B8" s="35" t="s">
        <v>0</v>
      </c>
      <c r="C8" s="51" t="str">
        <f>Total!C8</f>
        <v>As Filed</v>
      </c>
      <c r="D8" s="51" t="s">
        <v>17</v>
      </c>
      <c r="E8" s="57" t="s">
        <v>19</v>
      </c>
      <c r="F8" s="57" t="s">
        <v>27</v>
      </c>
      <c r="G8" s="57" t="s">
        <v>17</v>
      </c>
    </row>
    <row r="9" spans="2:7" ht="4.5" customHeight="1" x14ac:dyDescent="0.2"/>
    <row r="10" spans="2:7" ht="15.75" x14ac:dyDescent="0.25">
      <c r="B10" s="37">
        <f>Total!B10</f>
        <v>2016</v>
      </c>
      <c r="C10" s="50">
        <v>24.41</v>
      </c>
      <c r="D10" s="50">
        <v>23.97</v>
      </c>
      <c r="E10" s="50">
        <v>24.13</v>
      </c>
      <c r="F10" s="50">
        <v>23.58</v>
      </c>
      <c r="G10" s="50">
        <v>23.69</v>
      </c>
    </row>
    <row r="11" spans="2:7" ht="15.75" x14ac:dyDescent="0.25">
      <c r="B11" s="37">
        <f t="shared" ref="B11:B29" si="0">B10+1</f>
        <v>2017</v>
      </c>
      <c r="C11" s="50">
        <v>24.23</v>
      </c>
      <c r="D11" s="50">
        <v>23.42</v>
      </c>
      <c r="E11" s="50">
        <v>23.9</v>
      </c>
      <c r="F11" s="50">
        <v>23.17</v>
      </c>
      <c r="G11" s="50">
        <v>22.58</v>
      </c>
    </row>
    <row r="12" spans="2:7" ht="15.75" x14ac:dyDescent="0.25">
      <c r="B12" s="37">
        <f t="shared" si="0"/>
        <v>2018</v>
      </c>
      <c r="C12" s="50">
        <v>26.77</v>
      </c>
      <c r="D12" s="50">
        <v>26.69</v>
      </c>
      <c r="E12" s="50">
        <v>26.7</v>
      </c>
      <c r="F12" s="50">
        <v>24.89</v>
      </c>
      <c r="G12" s="50">
        <v>24.12</v>
      </c>
    </row>
    <row r="13" spans="2:7" ht="15.75" x14ac:dyDescent="0.25">
      <c r="B13" s="37">
        <f t="shared" si="0"/>
        <v>2019</v>
      </c>
      <c r="C13" s="50">
        <v>28.12</v>
      </c>
      <c r="D13" s="50">
        <v>27.65</v>
      </c>
      <c r="E13" s="50">
        <v>27.71</v>
      </c>
      <c r="F13" s="50">
        <v>25.6</v>
      </c>
      <c r="G13" s="50">
        <v>24.7</v>
      </c>
    </row>
    <row r="14" spans="2:7" ht="15.75" x14ac:dyDescent="0.25">
      <c r="B14" s="37">
        <f t="shared" si="0"/>
        <v>2020</v>
      </c>
      <c r="C14" s="50">
        <v>28.14</v>
      </c>
      <c r="D14" s="50">
        <v>27.37</v>
      </c>
      <c r="E14" s="50">
        <v>27.37</v>
      </c>
      <c r="F14" s="50">
        <v>25.16</v>
      </c>
      <c r="G14" s="50">
        <v>24.96</v>
      </c>
    </row>
    <row r="15" spans="2:7" ht="15.75" x14ac:dyDescent="0.25">
      <c r="B15" s="37">
        <f t="shared" si="0"/>
        <v>2021</v>
      </c>
      <c r="C15" s="50">
        <v>29.29</v>
      </c>
      <c r="D15" s="50">
        <v>29.35</v>
      </c>
      <c r="E15" s="50">
        <v>29.47</v>
      </c>
      <c r="F15" s="50">
        <v>27.34</v>
      </c>
      <c r="G15" s="50">
        <v>26.73</v>
      </c>
    </row>
    <row r="16" spans="2:7" ht="15.75" x14ac:dyDescent="0.25">
      <c r="B16" s="37">
        <f t="shared" si="0"/>
        <v>2022</v>
      </c>
      <c r="C16" s="50">
        <v>31.19</v>
      </c>
      <c r="D16" s="50">
        <v>30.69</v>
      </c>
      <c r="E16" s="50">
        <v>30.83</v>
      </c>
      <c r="F16" s="50">
        <v>29.66</v>
      </c>
      <c r="G16" s="50">
        <v>28.36</v>
      </c>
    </row>
    <row r="17" spans="2:7" ht="15.75" x14ac:dyDescent="0.25">
      <c r="B17" s="37">
        <f t="shared" si="0"/>
        <v>2023</v>
      </c>
      <c r="C17" s="50">
        <v>33.26</v>
      </c>
      <c r="D17" s="50">
        <v>31.82</v>
      </c>
      <c r="E17" s="50">
        <v>32.03</v>
      </c>
      <c r="F17" s="50">
        <v>31.04</v>
      </c>
      <c r="G17" s="50">
        <v>30.45</v>
      </c>
    </row>
    <row r="18" spans="2:7" ht="15.75" x14ac:dyDescent="0.25">
      <c r="B18" s="37">
        <f t="shared" si="0"/>
        <v>2024</v>
      </c>
      <c r="C18" s="50">
        <v>33.56</v>
      </c>
      <c r="D18" s="50">
        <v>32.43</v>
      </c>
      <c r="E18" s="50">
        <v>32.869999999999997</v>
      </c>
      <c r="F18" s="50">
        <v>31.55</v>
      </c>
      <c r="G18" s="50">
        <v>31.94</v>
      </c>
    </row>
    <row r="19" spans="2:7" ht="15.75" x14ac:dyDescent="0.25">
      <c r="B19" s="37">
        <f t="shared" si="0"/>
        <v>2025</v>
      </c>
      <c r="C19" s="50">
        <v>34.56</v>
      </c>
      <c r="D19" s="50">
        <v>34.130000000000003</v>
      </c>
      <c r="E19" s="50">
        <v>35.590000000000003</v>
      </c>
      <c r="F19" s="50">
        <v>33.51</v>
      </c>
      <c r="G19" s="50">
        <v>33.549999999999997</v>
      </c>
    </row>
    <row r="20" spans="2:7" ht="15.75" x14ac:dyDescent="0.25">
      <c r="B20" s="37">
        <f t="shared" si="0"/>
        <v>2026</v>
      </c>
      <c r="C20" s="50">
        <v>36.979999999999997</v>
      </c>
      <c r="D20" s="50">
        <v>35.51</v>
      </c>
      <c r="E20" s="50">
        <v>37.39</v>
      </c>
      <c r="F20" s="50">
        <v>34.26</v>
      </c>
      <c r="G20" s="50">
        <v>34.89</v>
      </c>
    </row>
    <row r="21" spans="2:7" ht="15.75" x14ac:dyDescent="0.25">
      <c r="B21" s="37">
        <f t="shared" si="0"/>
        <v>2027</v>
      </c>
      <c r="C21" s="50">
        <v>38.76</v>
      </c>
      <c r="D21" s="50">
        <v>37.36</v>
      </c>
      <c r="E21" s="50">
        <v>39.229999999999997</v>
      </c>
      <c r="F21" s="50">
        <v>36.020000000000003</v>
      </c>
      <c r="G21" s="50">
        <v>36.770000000000003</v>
      </c>
    </row>
    <row r="22" spans="2:7" ht="15.75" x14ac:dyDescent="0.25">
      <c r="B22" s="37">
        <f t="shared" si="0"/>
        <v>2028</v>
      </c>
      <c r="C22" s="50">
        <v>43.93</v>
      </c>
      <c r="D22" s="50">
        <v>39.85</v>
      </c>
      <c r="E22" s="50">
        <v>42.28</v>
      </c>
      <c r="F22" s="50">
        <v>40.19</v>
      </c>
      <c r="G22" s="50">
        <v>40.42</v>
      </c>
    </row>
    <row r="23" spans="2:7" ht="15.75" x14ac:dyDescent="0.25">
      <c r="B23" s="37">
        <f t="shared" si="0"/>
        <v>2029</v>
      </c>
      <c r="C23" s="50">
        <v>46.1</v>
      </c>
      <c r="D23" s="50">
        <v>41.05</v>
      </c>
      <c r="E23" s="50">
        <v>44.18</v>
      </c>
      <c r="F23" s="50">
        <v>41.55</v>
      </c>
      <c r="G23" s="50">
        <v>41.42</v>
      </c>
    </row>
    <row r="24" spans="2:7" ht="15.75" x14ac:dyDescent="0.25">
      <c r="B24" s="37">
        <f t="shared" si="0"/>
        <v>2030</v>
      </c>
      <c r="C24" s="50">
        <v>37.25</v>
      </c>
      <c r="D24" s="50">
        <v>48.01</v>
      </c>
      <c r="E24" s="50">
        <v>52.17</v>
      </c>
      <c r="F24" s="50">
        <v>49.82</v>
      </c>
      <c r="G24" s="50">
        <v>49.34</v>
      </c>
    </row>
    <row r="25" spans="2:7" ht="15.75" x14ac:dyDescent="0.25">
      <c r="B25" s="37">
        <f t="shared" si="0"/>
        <v>2031</v>
      </c>
      <c r="C25" s="50">
        <v>39.54</v>
      </c>
      <c r="D25" s="50">
        <v>50.1</v>
      </c>
      <c r="E25" s="50">
        <v>54.1</v>
      </c>
      <c r="F25" s="50">
        <v>50.74</v>
      </c>
      <c r="G25" s="50">
        <v>51.52</v>
      </c>
    </row>
    <row r="26" spans="2:7" ht="15.75" x14ac:dyDescent="0.25">
      <c r="B26" s="37">
        <f t="shared" si="0"/>
        <v>2032</v>
      </c>
      <c r="C26" s="50">
        <v>41.56</v>
      </c>
      <c r="D26" s="50">
        <v>51.51</v>
      </c>
      <c r="E26" s="50">
        <v>55.9</v>
      </c>
      <c r="F26" s="50">
        <v>51.76</v>
      </c>
      <c r="G26" s="50">
        <v>53.68</v>
      </c>
    </row>
    <row r="27" spans="2:7" ht="15.75" x14ac:dyDescent="0.25">
      <c r="B27" s="37">
        <f t="shared" si="0"/>
        <v>2033</v>
      </c>
      <c r="C27" s="50">
        <v>41.86</v>
      </c>
      <c r="D27" s="50">
        <v>52.66</v>
      </c>
      <c r="E27" s="50">
        <v>57.79</v>
      </c>
      <c r="F27" s="50">
        <v>54.14</v>
      </c>
      <c r="G27" s="50">
        <v>55.2</v>
      </c>
    </row>
    <row r="28" spans="2:7" ht="15.75" x14ac:dyDescent="0.25">
      <c r="B28" s="37">
        <f t="shared" si="0"/>
        <v>2034</v>
      </c>
      <c r="C28" s="50">
        <v>42.56</v>
      </c>
      <c r="D28" s="50">
        <v>53.39</v>
      </c>
      <c r="E28" s="50">
        <v>44.11</v>
      </c>
      <c r="F28" s="50">
        <v>42.31</v>
      </c>
      <c r="G28" s="50">
        <v>41.8</v>
      </c>
    </row>
    <row r="29" spans="2:7" ht="15.75" x14ac:dyDescent="0.25">
      <c r="B29" s="37">
        <f t="shared" si="0"/>
        <v>2035</v>
      </c>
      <c r="C29" s="50">
        <v>45.17</v>
      </c>
      <c r="D29" s="50">
        <v>57.41</v>
      </c>
      <c r="E29" s="50">
        <v>47.32</v>
      </c>
      <c r="F29" s="50">
        <v>43.99</v>
      </c>
      <c r="G29" s="50">
        <v>43.87</v>
      </c>
    </row>
    <row r="30" spans="2:7" x14ac:dyDescent="0.2">
      <c r="C30" s="49"/>
      <c r="D30" s="49"/>
      <c r="E30" s="49"/>
      <c r="F30" s="49"/>
      <c r="G30" s="49"/>
    </row>
    <row r="31" spans="2:7" x14ac:dyDescent="0.2">
      <c r="B31" s="40" t="str">
        <f>"Nominal Levelized Payment at "&amp;TEXT($B$41,"0.000%")&amp;" Discount Rate (3)"</f>
        <v>Nominal Levelized Payment at 6.660% Discount Rate (3)</v>
      </c>
      <c r="C31" s="49"/>
      <c r="D31" s="49"/>
      <c r="E31" s="49"/>
      <c r="F31" s="49"/>
      <c r="G31" s="49"/>
    </row>
    <row r="32" spans="2:7" x14ac:dyDescent="0.2">
      <c r="B32" s="41" t="str">
        <f>B10&amp;" - "&amp;B29</f>
        <v>2016 - 2035</v>
      </c>
      <c r="C32" s="48">
        <f>ROUND(PMT($B$41,COUNT(C10:C29),-NPV($B$41,C10:C29)),2)</f>
        <v>32.979999999999997</v>
      </c>
      <c r="D32" s="48">
        <f t="shared" ref="D32:G32" si="1">ROUND(PMT($B$41,COUNT(D10:D29),-NPV($B$41,D10:D29)),2)</f>
        <v>34.07</v>
      </c>
      <c r="E32" s="48">
        <f t="shared" si="1"/>
        <v>34.68</v>
      </c>
      <c r="F32" s="48">
        <f t="shared" si="1"/>
        <v>32.700000000000003</v>
      </c>
      <c r="G32" s="48">
        <f t="shared" si="1"/>
        <v>32.549999999999997</v>
      </c>
    </row>
    <row r="33" spans="2:7" x14ac:dyDescent="0.2">
      <c r="B33" s="41"/>
      <c r="C33" s="39"/>
      <c r="D33" s="39"/>
      <c r="E33" s="39"/>
      <c r="F33" s="39"/>
      <c r="G33" s="39"/>
    </row>
    <row r="34" spans="2:7" x14ac:dyDescent="0.2">
      <c r="D34" s="47"/>
    </row>
    <row r="35" spans="2:7" x14ac:dyDescent="0.2">
      <c r="B35" s="41" t="str">
        <f>Total!B34</f>
        <v>(1)   Studies are sequential.  The order of the studies would effect the price impact.</v>
      </c>
    </row>
    <row r="36" spans="2:7" x14ac:dyDescent="0.2">
      <c r="B36" s="41" t="str">
        <f>Total!B35</f>
        <v>(2)   Official Forward Price Curve Dated March 2015</v>
      </c>
    </row>
    <row r="37" spans="2:7" x14ac:dyDescent="0.2">
      <c r="B37" s="41" t="str">
        <f>Total!B36</f>
        <v>(3)   Discount Rate - 2015 IRP Page 141</v>
      </c>
    </row>
    <row r="38" spans="2:7" hidden="1" x14ac:dyDescent="0.2">
      <c r="B38" s="32" t="s">
        <v>15</v>
      </c>
    </row>
    <row r="39" spans="2:7" hidden="1" x14ac:dyDescent="0.2"/>
    <row r="40" spans="2:7" hidden="1" x14ac:dyDescent="0.2">
      <c r="B40" s="43" t="s">
        <v>16</v>
      </c>
    </row>
    <row r="41" spans="2:7" hidden="1" x14ac:dyDescent="0.2">
      <c r="B41" s="46">
        <f>Discount_Rate</f>
        <v>6.6600000000000006E-2</v>
      </c>
    </row>
  </sheetData>
  <printOptions horizontalCentered="1"/>
  <pageMargins left="0.25" right="0.25" top="0.75" bottom="0.75" header="0.3" footer="0.2"/>
  <pageSetup orientation="portrait" r:id="rId1"/>
  <headerFooter alignWithMargins="0">
    <oddFooter>&amp;L&amp;8NPC Group ( &amp;A )&amp;C&amp;8Page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I40"/>
  <sheetViews>
    <sheetView zoomScale="70" zoomScaleNormal="70" workbookViewId="0">
      <pane xSplit="2" ySplit="9" topLeftCell="C10" activePane="bottomRight" state="frozen"/>
      <selection activeCell="M18" sqref="M18"/>
      <selection pane="topRight" activeCell="M18" sqref="M18"/>
      <selection pane="bottomLeft" activeCell="M18" sqref="M18"/>
      <selection pane="bottomRight" activeCell="F46" sqref="F46"/>
    </sheetView>
  </sheetViews>
  <sheetFormatPr defaultRowHeight="15" x14ac:dyDescent="0.2"/>
  <cols>
    <col min="1" max="1" width="1.85546875" style="32" customWidth="1"/>
    <col min="2" max="2" width="13.85546875" style="32" customWidth="1"/>
    <col min="3" max="4" width="19.85546875" style="32" customWidth="1"/>
    <col min="5" max="5" width="1.140625" style="32" customWidth="1"/>
    <col min="6" max="7" width="19.85546875" style="32" customWidth="1"/>
    <col min="8" max="8" width="1.5703125" style="32" customWidth="1"/>
    <col min="9" max="9" width="9.140625" style="32" hidden="1" customWidth="1"/>
    <col min="10" max="16384" width="9.140625" style="32"/>
  </cols>
  <sheetData>
    <row r="1" spans="2:9" ht="15.75" x14ac:dyDescent="0.25">
      <c r="B1" s="30" t="str">
        <f>Total!B1</f>
        <v>Appendix C</v>
      </c>
      <c r="C1" s="30"/>
      <c r="D1" s="30"/>
      <c r="E1" s="31"/>
      <c r="F1" s="30"/>
      <c r="G1" s="30"/>
      <c r="H1" s="31"/>
    </row>
    <row r="2" spans="2:9" ht="8.25" customHeight="1" x14ac:dyDescent="0.25">
      <c r="B2" s="30"/>
      <c r="C2" s="30"/>
      <c r="D2" s="30"/>
      <c r="E2" s="31"/>
      <c r="F2" s="30"/>
      <c r="G2" s="30"/>
      <c r="H2" s="31"/>
    </row>
    <row r="3" spans="2:9" ht="15.75" x14ac:dyDescent="0.25">
      <c r="B3" s="30" t="str">
        <f>Total!B3</f>
        <v>Utah Quarterly Compliance Filing</v>
      </c>
      <c r="C3" s="30"/>
      <c r="D3" s="30"/>
      <c r="E3" s="31"/>
      <c r="F3" s="30"/>
      <c r="G3" s="30"/>
      <c r="H3" s="31"/>
    </row>
    <row r="4" spans="2:9" ht="15.75" x14ac:dyDescent="0.25">
      <c r="B4" s="30" t="str">
        <f>"Step Study between "&amp;I8&amp;" and "&amp;I7&amp;" Compliance Filing"</f>
        <v>Step Study between 2015.Q1 and 2014.Q4 Compliance Filing</v>
      </c>
      <c r="C4" s="30"/>
      <c r="D4" s="30"/>
      <c r="E4" s="31"/>
      <c r="F4" s="30"/>
      <c r="G4" s="30"/>
      <c r="H4" s="31"/>
    </row>
    <row r="5" spans="2:9" ht="15.75" x14ac:dyDescent="0.25">
      <c r="B5" s="30" t="s">
        <v>10</v>
      </c>
      <c r="C5" s="30"/>
      <c r="D5" s="30"/>
      <c r="E5" s="31"/>
      <c r="F5" s="30"/>
      <c r="G5" s="30"/>
      <c r="H5" s="31"/>
    </row>
    <row r="6" spans="2:9" ht="15.75" x14ac:dyDescent="0.25">
      <c r="B6" s="30"/>
      <c r="C6" s="30"/>
      <c r="D6" s="30"/>
      <c r="F6" s="30"/>
      <c r="G6" s="30"/>
    </row>
    <row r="7" spans="2:9" ht="15.75" x14ac:dyDescent="0.25">
      <c r="B7" s="33"/>
      <c r="C7" s="34" t="s">
        <v>2</v>
      </c>
      <c r="D7" s="53"/>
      <c r="F7" s="34" t="s">
        <v>9</v>
      </c>
      <c r="G7" s="53"/>
      <c r="I7" s="32" t="s">
        <v>18</v>
      </c>
    </row>
    <row r="8" spans="2:9" ht="15.75" x14ac:dyDescent="0.25">
      <c r="B8" s="35" t="s">
        <v>0</v>
      </c>
      <c r="C8" s="36" t="str">
        <f>Energy!C7&amp;" (3)"</f>
        <v>2014.Q4 (3)</v>
      </c>
      <c r="D8" s="36" t="str">
        <f>$I$8&amp;" (4)"</f>
        <v>2015.Q1 (4)</v>
      </c>
      <c r="F8" s="36" t="str">
        <f>C8</f>
        <v>2014.Q4 (3)</v>
      </c>
      <c r="G8" s="36" t="str">
        <f>D8</f>
        <v>2015.Q1 (4)</v>
      </c>
      <c r="I8" s="36" t="s">
        <v>21</v>
      </c>
    </row>
    <row r="9" spans="2:9" ht="4.5" customHeight="1" x14ac:dyDescent="0.2"/>
    <row r="10" spans="2:9" ht="15.75" x14ac:dyDescent="0.25">
      <c r="B10" s="37">
        <f>Total!B10</f>
        <v>2016</v>
      </c>
      <c r="C10" s="38">
        <v>0</v>
      </c>
      <c r="D10" s="38">
        <v>0</v>
      </c>
      <c r="F10" s="38">
        <f t="shared" ref="F10:F29" si="0">C10*1000/(IF(MOD($B10,4)=0,8784,8760)*0.85)</f>
        <v>0</v>
      </c>
      <c r="G10" s="38">
        <f t="shared" ref="G10:G29" si="1">D10*1000/(IF(MOD($B10,4)=0,8784,8760)*0.85)</f>
        <v>0</v>
      </c>
    </row>
    <row r="11" spans="2:9" ht="15.75" x14ac:dyDescent="0.25">
      <c r="B11" s="37">
        <f t="shared" ref="B11:B29" si="2">B10+1</f>
        <v>2017</v>
      </c>
      <c r="C11" s="38">
        <v>0</v>
      </c>
      <c r="D11" s="38">
        <v>0</v>
      </c>
      <c r="F11" s="38">
        <f t="shared" si="0"/>
        <v>0</v>
      </c>
      <c r="G11" s="38">
        <f t="shared" si="1"/>
        <v>0</v>
      </c>
    </row>
    <row r="12" spans="2:9" ht="15.75" x14ac:dyDescent="0.25">
      <c r="B12" s="37">
        <f t="shared" si="2"/>
        <v>2018</v>
      </c>
      <c r="C12" s="38">
        <v>0</v>
      </c>
      <c r="D12" s="38">
        <v>0</v>
      </c>
      <c r="F12" s="38">
        <f t="shared" si="0"/>
        <v>0</v>
      </c>
      <c r="G12" s="38">
        <f t="shared" si="1"/>
        <v>0</v>
      </c>
    </row>
    <row r="13" spans="2:9" ht="15.75" x14ac:dyDescent="0.25">
      <c r="B13" s="37">
        <f t="shared" si="2"/>
        <v>2019</v>
      </c>
      <c r="C13" s="38">
        <v>0</v>
      </c>
      <c r="D13" s="38">
        <v>0</v>
      </c>
      <c r="F13" s="38">
        <f t="shared" si="0"/>
        <v>0</v>
      </c>
      <c r="G13" s="38">
        <f t="shared" si="1"/>
        <v>0</v>
      </c>
    </row>
    <row r="14" spans="2:9" ht="15.75" x14ac:dyDescent="0.25">
      <c r="B14" s="37">
        <f t="shared" si="2"/>
        <v>2020</v>
      </c>
      <c r="C14" s="38">
        <v>0</v>
      </c>
      <c r="D14" s="38">
        <v>0</v>
      </c>
      <c r="F14" s="38">
        <f t="shared" si="0"/>
        <v>0</v>
      </c>
      <c r="G14" s="38">
        <f t="shared" si="1"/>
        <v>0</v>
      </c>
    </row>
    <row r="15" spans="2:9" ht="15.75" x14ac:dyDescent="0.25">
      <c r="B15" s="37">
        <f t="shared" si="2"/>
        <v>2021</v>
      </c>
      <c r="C15" s="38">
        <v>0</v>
      </c>
      <c r="D15" s="38">
        <v>0</v>
      </c>
      <c r="F15" s="38">
        <f t="shared" si="0"/>
        <v>0</v>
      </c>
      <c r="G15" s="38">
        <f t="shared" si="1"/>
        <v>0</v>
      </c>
    </row>
    <row r="16" spans="2:9" ht="15.75" x14ac:dyDescent="0.25">
      <c r="B16" s="37">
        <f t="shared" si="2"/>
        <v>2022</v>
      </c>
      <c r="C16" s="38">
        <v>0</v>
      </c>
      <c r="D16" s="38">
        <v>0</v>
      </c>
      <c r="F16" s="38">
        <f t="shared" si="0"/>
        <v>0</v>
      </c>
      <c r="G16" s="38">
        <f t="shared" si="1"/>
        <v>0</v>
      </c>
    </row>
    <row r="17" spans="2:7" ht="15.75" x14ac:dyDescent="0.25">
      <c r="B17" s="37">
        <f t="shared" si="2"/>
        <v>2023</v>
      </c>
      <c r="C17" s="38">
        <v>0</v>
      </c>
      <c r="D17" s="38">
        <v>0</v>
      </c>
      <c r="F17" s="38">
        <f t="shared" si="0"/>
        <v>0</v>
      </c>
      <c r="G17" s="38">
        <f t="shared" si="1"/>
        <v>0</v>
      </c>
    </row>
    <row r="18" spans="2:7" ht="15.75" x14ac:dyDescent="0.25">
      <c r="B18" s="37">
        <f t="shared" si="2"/>
        <v>2024</v>
      </c>
      <c r="C18" s="38">
        <v>0</v>
      </c>
      <c r="D18" s="38">
        <v>0</v>
      </c>
      <c r="F18" s="38">
        <f t="shared" si="0"/>
        <v>0</v>
      </c>
      <c r="G18" s="38">
        <f t="shared" si="1"/>
        <v>0</v>
      </c>
    </row>
    <row r="19" spans="2:7" ht="15.75" x14ac:dyDescent="0.25">
      <c r="B19" s="37">
        <f t="shared" si="2"/>
        <v>2025</v>
      </c>
      <c r="C19" s="38">
        <v>0</v>
      </c>
      <c r="D19" s="38">
        <v>0</v>
      </c>
      <c r="F19" s="38">
        <f t="shared" si="0"/>
        <v>0</v>
      </c>
      <c r="G19" s="38">
        <f t="shared" si="1"/>
        <v>0</v>
      </c>
    </row>
    <row r="20" spans="2:7" ht="15.75" x14ac:dyDescent="0.25">
      <c r="B20" s="37">
        <f t="shared" si="2"/>
        <v>2026</v>
      </c>
      <c r="C20" s="38">
        <v>0</v>
      </c>
      <c r="D20" s="38">
        <v>0</v>
      </c>
      <c r="F20" s="38">
        <f t="shared" si="0"/>
        <v>0</v>
      </c>
      <c r="G20" s="38">
        <f t="shared" si="1"/>
        <v>0</v>
      </c>
    </row>
    <row r="21" spans="2:7" ht="15.75" x14ac:dyDescent="0.25">
      <c r="B21" s="37">
        <f t="shared" si="2"/>
        <v>2027</v>
      </c>
      <c r="C21" s="38">
        <v>0</v>
      </c>
      <c r="D21" s="38">
        <v>0</v>
      </c>
      <c r="F21" s="38">
        <f t="shared" si="0"/>
        <v>0</v>
      </c>
      <c r="G21" s="38">
        <f t="shared" si="1"/>
        <v>0</v>
      </c>
    </row>
    <row r="22" spans="2:7" ht="15.75" x14ac:dyDescent="0.25">
      <c r="B22" s="37">
        <f t="shared" si="2"/>
        <v>2028</v>
      </c>
      <c r="C22" s="38">
        <v>0</v>
      </c>
      <c r="D22" s="38">
        <v>0</v>
      </c>
      <c r="F22" s="38">
        <f t="shared" si="0"/>
        <v>0</v>
      </c>
      <c r="G22" s="38">
        <f t="shared" si="1"/>
        <v>0</v>
      </c>
    </row>
    <row r="23" spans="2:7" ht="15.75" x14ac:dyDescent="0.25">
      <c r="B23" s="37">
        <f t="shared" si="2"/>
        <v>2029</v>
      </c>
      <c r="C23" s="38">
        <v>0</v>
      </c>
      <c r="D23" s="38">
        <v>0</v>
      </c>
      <c r="F23" s="38">
        <f t="shared" si="0"/>
        <v>0</v>
      </c>
      <c r="G23" s="38">
        <f>D23*1000/(IF(MOD($B23,4)=0,8784,8760)*0.85)</f>
        <v>0</v>
      </c>
    </row>
    <row r="24" spans="2:7" ht="15.75" x14ac:dyDescent="0.25">
      <c r="B24" s="37">
        <f t="shared" si="2"/>
        <v>2030</v>
      </c>
      <c r="C24" s="38">
        <v>176.32</v>
      </c>
      <c r="D24" s="38">
        <v>0</v>
      </c>
      <c r="F24" s="38">
        <f t="shared" si="0"/>
        <v>23.679828095621811</v>
      </c>
      <c r="G24" s="38">
        <f t="shared" si="1"/>
        <v>0</v>
      </c>
    </row>
    <row r="25" spans="2:7" ht="15.75" x14ac:dyDescent="0.25">
      <c r="B25" s="37">
        <f t="shared" si="2"/>
        <v>2031</v>
      </c>
      <c r="C25" s="38">
        <v>179.87</v>
      </c>
      <c r="D25" s="38">
        <v>0</v>
      </c>
      <c r="F25" s="38">
        <f t="shared" si="0"/>
        <v>24.156594144507118</v>
      </c>
      <c r="G25" s="38">
        <f t="shared" si="1"/>
        <v>0</v>
      </c>
    </row>
    <row r="26" spans="2:7" ht="15.75" x14ac:dyDescent="0.25">
      <c r="B26" s="37">
        <f t="shared" si="2"/>
        <v>2032</v>
      </c>
      <c r="C26" s="38">
        <v>183.48</v>
      </c>
      <c r="D26" s="38">
        <v>0</v>
      </c>
      <c r="F26" s="38">
        <f t="shared" si="0"/>
        <v>24.57409193185471</v>
      </c>
      <c r="G26" s="38">
        <f t="shared" si="1"/>
        <v>0</v>
      </c>
    </row>
    <row r="27" spans="2:7" ht="15.75" x14ac:dyDescent="0.25">
      <c r="B27" s="37">
        <f t="shared" si="2"/>
        <v>2033</v>
      </c>
      <c r="C27" s="38">
        <v>187.16</v>
      </c>
      <c r="D27" s="38">
        <v>0</v>
      </c>
      <c r="F27" s="38">
        <f t="shared" si="0"/>
        <v>25.135643298415257</v>
      </c>
      <c r="G27" s="38">
        <f t="shared" si="1"/>
        <v>0</v>
      </c>
    </row>
    <row r="28" spans="2:7" ht="15.75" x14ac:dyDescent="0.25">
      <c r="B28" s="37">
        <f t="shared" si="2"/>
        <v>2034</v>
      </c>
      <c r="C28" s="38">
        <v>190.9</v>
      </c>
      <c r="D28" s="38">
        <v>153.9</v>
      </c>
      <c r="F28" s="38">
        <f t="shared" si="0"/>
        <v>25.637926403438087</v>
      </c>
      <c r="G28" s="38">
        <f t="shared" si="1"/>
        <v>20.668815471394037</v>
      </c>
    </row>
    <row r="29" spans="2:7" ht="15.75" x14ac:dyDescent="0.25">
      <c r="B29" s="37">
        <f t="shared" si="2"/>
        <v>2035</v>
      </c>
      <c r="C29" s="38">
        <v>194.71</v>
      </c>
      <c r="D29" s="38">
        <v>157.15</v>
      </c>
      <c r="F29" s="38">
        <f t="shared" si="0"/>
        <v>26.149610529143164</v>
      </c>
      <c r="G29" s="38">
        <f t="shared" si="1"/>
        <v>21.105291431641149</v>
      </c>
    </row>
    <row r="30" spans="2:7" ht="15.75" x14ac:dyDescent="0.25">
      <c r="B30" s="37"/>
      <c r="C30" s="39"/>
      <c r="F30" s="39"/>
    </row>
    <row r="31" spans="2:7" x14ac:dyDescent="0.2">
      <c r="B31" s="40" t="str">
        <f>"Nominal Levelized Payment at "&amp;TEXT($B$40,"0.000%")&amp;" Discount Rate (2)"</f>
        <v>Nominal Levelized Payment at 6.660% Discount Rate (2)</v>
      </c>
      <c r="D31" s="40"/>
    </row>
    <row r="32" spans="2:7" x14ac:dyDescent="0.2">
      <c r="B32" s="41" t="str">
        <f>$B$10&amp;" - "&amp;B29</f>
        <v>2016 - 2035</v>
      </c>
      <c r="C32" s="42">
        <f>PMT($B$40,COUNT(C10:C29),-NPV($B$40,C10:C29))</f>
        <v>33.16180754617821</v>
      </c>
      <c r="D32" s="42">
        <f>PMT($B$40,COUNT(D10:D29),-NPV($B$40,D10:D29))</f>
        <v>8.1331051710253526</v>
      </c>
      <c r="F32" s="42">
        <f>PMT($B$40,COUNT(F10:F29),-NPV($B$40,F10:F29))</f>
        <v>4.4515726236859257</v>
      </c>
      <c r="G32" s="42">
        <f>PMT($B$40,COUNT(G10:G29),-NPV($B$40,G10:G29))</f>
        <v>1.0922784274812449</v>
      </c>
    </row>
    <row r="34" spans="2:2" x14ac:dyDescent="0.2">
      <c r="B34" s="32" t="s">
        <v>3</v>
      </c>
    </row>
    <row r="35" spans="2:2" s="1" customFormat="1" x14ac:dyDescent="0.2">
      <c r="B35" s="32" t="str">
        <f>"(2)   "&amp;B39</f>
        <v>(2)   Discount Rate - 2013 IRP Page 164</v>
      </c>
    </row>
    <row r="36" spans="2:2" x14ac:dyDescent="0.2">
      <c r="B36" s="32" t="s">
        <v>28</v>
      </c>
    </row>
    <row r="37" spans="2:2" x14ac:dyDescent="0.2">
      <c r="B37" s="32" t="s">
        <v>29</v>
      </c>
    </row>
    <row r="39" spans="2:2" hidden="1" x14ac:dyDescent="0.2">
      <c r="B39" s="43" t="s">
        <v>16</v>
      </c>
    </row>
    <row r="40" spans="2:2" hidden="1" x14ac:dyDescent="0.2">
      <c r="B40" s="44">
        <f>Discount_Rate</f>
        <v>6.6600000000000006E-2</v>
      </c>
    </row>
  </sheetData>
  <printOptions horizontalCentered="1"/>
  <pageMargins left="0.25" right="0.25" top="0.75" bottom="0.75" header="0.3" footer="0.2"/>
  <pageSetup orientation="portrait" r:id="rId1"/>
  <headerFooter alignWithMargins="0">
    <oddFooter>&amp;L&amp;8NPC Group ( &amp;A )&amp;C&amp;8Page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laurieharris</cp:lastModifiedBy>
  <cp:lastPrinted>2015-05-06T22:19:17Z</cp:lastPrinted>
  <dcterms:created xsi:type="dcterms:W3CDTF">2006-07-10T20:43:15Z</dcterms:created>
  <dcterms:modified xsi:type="dcterms:W3CDTF">2015-06-01T22:26:21Z</dcterms:modified>
</cp:coreProperties>
</file>