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56\"/>
    </mc:Choice>
  </mc:AlternateContent>
  <bookViews>
    <workbookView xWindow="0" yWindow="0" windowWidth="21600" windowHeight="9735"/>
  </bookViews>
  <sheets>
    <sheet name="Incremental" sheetId="6" r:id="rId1"/>
    <sheet name="Total" sheetId="5" r:id="rId2"/>
    <sheet name="Energy" sheetId="12" r:id="rId3"/>
    <sheet name="Capacity" sheetId="10" r:id="rId4"/>
  </sheets>
  <definedNames>
    <definedName name="_Order1" hidden="1">255</definedName>
    <definedName name="_Order2" hidden="1">0</definedName>
    <definedName name="Discount_Rate">Total!$B$41</definedName>
    <definedName name="_xlnm.Print_Area" localSheetId="3">Capacity!$A$1:$L$38</definedName>
    <definedName name="_xlnm.Print_Area" localSheetId="2">Energy!$A$1:$L$38</definedName>
    <definedName name="_xlnm.Print_Area" localSheetId="0">Incremental!$A$1:$L$37</definedName>
    <definedName name="_xlnm.Print_Area" localSheetId="1">Total!$A$1:$L$37</definedName>
    <definedName name="Study_CF">#REF!</definedName>
    <definedName name="Study_MW">#REF!</definedName>
    <definedName name="Study_Name">#REF!</definedName>
  </definedNames>
  <calcPr calcId="152511" calcOnSave="0"/>
</workbook>
</file>

<file path=xl/calcChain.xml><?xml version="1.0" encoding="utf-8"?>
<calcChain xmlns="http://schemas.openxmlformats.org/spreadsheetml/2006/main">
  <c r="B35" i="10" l="1"/>
  <c r="E8" i="10"/>
  <c r="F8" i="10" l="1"/>
  <c r="K8" i="10" s="1"/>
  <c r="J8" i="6"/>
  <c r="J7" i="6"/>
  <c r="K8" i="5"/>
  <c r="K7" i="5"/>
  <c r="D8" i="10" l="1"/>
  <c r="C7" i="12" l="1"/>
  <c r="C7" i="5"/>
  <c r="B4" i="10" l="1"/>
  <c r="I8" i="6" l="1"/>
  <c r="H8" i="6"/>
  <c r="G8" i="6"/>
  <c r="I7" i="6"/>
  <c r="H7" i="6"/>
  <c r="G7" i="6"/>
  <c r="H8" i="5" l="1"/>
  <c r="H7" i="5"/>
  <c r="I8" i="5"/>
  <c r="I7" i="5"/>
  <c r="E8" i="6" l="1"/>
  <c r="E7" i="6"/>
  <c r="F8" i="6" l="1"/>
  <c r="D8" i="6"/>
  <c r="F7" i="6"/>
  <c r="D7" i="6"/>
  <c r="I8" i="10" l="1"/>
  <c r="J8" i="5" l="1"/>
  <c r="J7" i="5"/>
  <c r="C8" i="6" l="1"/>
  <c r="C7" i="6"/>
  <c r="G8" i="5" l="1"/>
  <c r="F8" i="5"/>
  <c r="G7" i="5"/>
  <c r="F7" i="5"/>
  <c r="B1" i="12" l="1"/>
  <c r="B3" i="12"/>
  <c r="C8" i="12"/>
  <c r="B10" i="12"/>
  <c r="B35" i="12"/>
  <c r="B41" i="12"/>
  <c r="B31" i="12" l="1"/>
  <c r="C8" i="10"/>
  <c r="B11" i="12"/>
  <c r="B12" i="12" l="1"/>
  <c r="B13" i="12" l="1"/>
  <c r="B14" i="12" l="1"/>
  <c r="B15" i="12" l="1"/>
  <c r="B16" i="12" l="1"/>
  <c r="B17" i="12" l="1"/>
  <c r="B18" i="12" l="1"/>
  <c r="B19" i="12" l="1"/>
  <c r="J8" i="10"/>
  <c r="B20" i="12" l="1"/>
  <c r="B36" i="5"/>
  <c r="B37" i="12" l="1"/>
  <c r="B21" i="12"/>
  <c r="B22" i="12" l="1"/>
  <c r="B40" i="10"/>
  <c r="B23" i="12" l="1"/>
  <c r="B1" i="10"/>
  <c r="B3" i="10"/>
  <c r="B10" i="10"/>
  <c r="B31" i="10"/>
  <c r="I10" i="10" l="1"/>
  <c r="F10" i="5" s="1"/>
  <c r="B24" i="12"/>
  <c r="B11" i="10"/>
  <c r="I11" i="10" l="1"/>
  <c r="F11" i="5" s="1"/>
  <c r="B25" i="12"/>
  <c r="B12" i="10"/>
  <c r="I12" i="10" l="1"/>
  <c r="F12" i="5" s="1"/>
  <c r="B26" i="12"/>
  <c r="B13" i="10"/>
  <c r="I13" i="10" l="1"/>
  <c r="F13" i="5" s="1"/>
  <c r="B27" i="12"/>
  <c r="B14" i="10"/>
  <c r="I14" i="10" l="1"/>
  <c r="F14" i="5" s="1"/>
  <c r="B28" i="12"/>
  <c r="B15" i="10"/>
  <c r="I15" i="10" l="1"/>
  <c r="F15" i="5" s="1"/>
  <c r="B29" i="12"/>
  <c r="B16" i="10"/>
  <c r="I16" i="10" l="1"/>
  <c r="F16" i="5" s="1"/>
  <c r="I32" i="12"/>
  <c r="H32" i="12"/>
  <c r="B32" i="12"/>
  <c r="B17" i="10"/>
  <c r="I17" i="10" l="1"/>
  <c r="F17" i="5" s="1"/>
  <c r="D32" i="12"/>
  <c r="C32" i="12"/>
  <c r="B18" i="10"/>
  <c r="I18" i="10" l="1"/>
  <c r="F18" i="5" s="1"/>
  <c r="B19" i="10"/>
  <c r="I19" i="10" l="1"/>
  <c r="F19" i="5" s="1"/>
  <c r="B20" i="10"/>
  <c r="I20" i="10" l="1"/>
  <c r="F20" i="5" s="1"/>
  <c r="B21" i="10"/>
  <c r="I21" i="10" l="1"/>
  <c r="F21" i="5" s="1"/>
  <c r="B22" i="10"/>
  <c r="I22" i="10" l="1"/>
  <c r="F22" i="5" s="1"/>
  <c r="B23" i="10"/>
  <c r="I23" i="10" l="1"/>
  <c r="F23" i="5" s="1"/>
  <c r="B24" i="10"/>
  <c r="I24" i="10" l="1"/>
  <c r="F24" i="5" s="1"/>
  <c r="H23" i="10"/>
  <c r="B25" i="10"/>
  <c r="I25" i="10" l="1"/>
  <c r="F25" i="5" s="1"/>
  <c r="C23" i="5"/>
  <c r="D23" i="5"/>
  <c r="E23" i="5"/>
  <c r="B26" i="10"/>
  <c r="D23" i="6" l="1"/>
  <c r="E23" i="6"/>
  <c r="I26" i="10"/>
  <c r="F26" i="5" s="1"/>
  <c r="B27" i="10"/>
  <c r="I27" i="10" l="1"/>
  <c r="F27" i="5" s="1"/>
  <c r="B28" i="10"/>
  <c r="I28" i="10" l="1"/>
  <c r="F28" i="5" s="1"/>
  <c r="B29" i="10"/>
  <c r="D32" i="10" l="1"/>
  <c r="B32" i="10"/>
  <c r="I29" i="10" l="1"/>
  <c r="F29" i="5" s="1"/>
  <c r="B31" i="5"/>
  <c r="I32" i="10" l="1"/>
  <c r="B36" i="6"/>
  <c r="B37" i="6"/>
  <c r="B34" i="6"/>
  <c r="E8" i="5" l="1"/>
  <c r="D8" i="5"/>
  <c r="E7" i="5"/>
  <c r="D7" i="5"/>
  <c r="B41" i="6" l="1"/>
  <c r="B31" i="6" l="1"/>
  <c r="B10" i="6" l="1"/>
  <c r="B11" i="5"/>
  <c r="B3" i="6"/>
  <c r="B1" i="6"/>
  <c r="B11" i="6" l="1"/>
  <c r="B12" i="5"/>
  <c r="B13" i="5" l="1"/>
  <c r="H8" i="10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2" i="6" s="1"/>
  <c r="B14" i="5" l="1"/>
  <c r="B4" i="12"/>
  <c r="B4" i="6"/>
  <c r="B4" i="5"/>
  <c r="B15" i="5" l="1"/>
  <c r="B16" i="5" l="1"/>
  <c r="B17" i="5" l="1"/>
  <c r="H10" i="10"/>
  <c r="C10" i="5" l="1"/>
  <c r="E10" i="5"/>
  <c r="D10" i="5"/>
  <c r="B18" i="5"/>
  <c r="H11" i="10"/>
  <c r="D10" i="6" l="1"/>
  <c r="E10" i="6"/>
  <c r="C11" i="5"/>
  <c r="D11" i="5"/>
  <c r="E11" i="5"/>
  <c r="C10" i="6"/>
  <c r="B19" i="5"/>
  <c r="H12" i="10"/>
  <c r="D11" i="6" l="1"/>
  <c r="E11" i="6"/>
  <c r="C12" i="5"/>
  <c r="D12" i="5"/>
  <c r="E12" i="5"/>
  <c r="B20" i="5"/>
  <c r="H13" i="10"/>
  <c r="D12" i="6" l="1"/>
  <c r="E12" i="6"/>
  <c r="C13" i="5"/>
  <c r="E13" i="5"/>
  <c r="D13" i="5"/>
  <c r="B21" i="5"/>
  <c r="H29" i="10"/>
  <c r="H19" i="10"/>
  <c r="H18" i="10"/>
  <c r="H25" i="10"/>
  <c r="H22" i="10"/>
  <c r="H15" i="10"/>
  <c r="H26" i="10"/>
  <c r="H27" i="10"/>
  <c r="H20" i="10"/>
  <c r="H17" i="10"/>
  <c r="H24" i="10"/>
  <c r="H21" i="10"/>
  <c r="H16" i="10"/>
  <c r="H28" i="10"/>
  <c r="D13" i="6" l="1"/>
  <c r="E13" i="6"/>
  <c r="C22" i="5"/>
  <c r="E22" i="5"/>
  <c r="D22" i="5"/>
  <c r="C29" i="5"/>
  <c r="E29" i="5"/>
  <c r="D29" i="5"/>
  <c r="C17" i="5"/>
  <c r="E17" i="5"/>
  <c r="D17" i="5"/>
  <c r="C15" i="5"/>
  <c r="D15" i="5"/>
  <c r="E15" i="5"/>
  <c r="C16" i="5"/>
  <c r="D16" i="5"/>
  <c r="E16" i="5"/>
  <c r="C20" i="5"/>
  <c r="D20" i="5"/>
  <c r="E20" i="5"/>
  <c r="C21" i="5"/>
  <c r="E21" i="5"/>
  <c r="D21" i="5"/>
  <c r="C27" i="5"/>
  <c r="D27" i="5"/>
  <c r="E27" i="5"/>
  <c r="C25" i="5"/>
  <c r="E25" i="5"/>
  <c r="D25" i="5"/>
  <c r="C28" i="5"/>
  <c r="D28" i="5"/>
  <c r="E28" i="5"/>
  <c r="C19" i="5"/>
  <c r="D19" i="5"/>
  <c r="E19" i="5"/>
  <c r="C24" i="5"/>
  <c r="D24" i="5"/>
  <c r="E24" i="5"/>
  <c r="C26" i="5"/>
  <c r="E26" i="5"/>
  <c r="D26" i="5"/>
  <c r="C18" i="5"/>
  <c r="E18" i="5"/>
  <c r="D18" i="5"/>
  <c r="B22" i="5"/>
  <c r="H14" i="10"/>
  <c r="C32" i="10"/>
  <c r="D25" i="6" l="1"/>
  <c r="E25" i="6"/>
  <c r="D27" i="6"/>
  <c r="E27" i="6"/>
  <c r="D21" i="6"/>
  <c r="E21" i="6"/>
  <c r="D15" i="6"/>
  <c r="E15" i="6"/>
  <c r="D17" i="6"/>
  <c r="E17" i="6"/>
  <c r="D26" i="6"/>
  <c r="E26" i="6"/>
  <c r="D28" i="6"/>
  <c r="E28" i="6"/>
  <c r="D20" i="6"/>
  <c r="E20" i="6"/>
  <c r="D22" i="6"/>
  <c r="E22" i="6"/>
  <c r="D18" i="6"/>
  <c r="E18" i="6"/>
  <c r="D19" i="6"/>
  <c r="E19" i="6"/>
  <c r="D29" i="6"/>
  <c r="E29" i="6"/>
  <c r="D24" i="6"/>
  <c r="E24" i="6"/>
  <c r="D16" i="6"/>
  <c r="E16" i="6"/>
  <c r="C14" i="5"/>
  <c r="C32" i="5" s="1"/>
  <c r="E14" i="5"/>
  <c r="D14" i="5"/>
  <c r="B23" i="5"/>
  <c r="H32" i="10"/>
  <c r="D14" i="6" l="1"/>
  <c r="E14" i="6"/>
  <c r="D32" i="5"/>
  <c r="B24" i="5"/>
  <c r="B25" i="5" l="1"/>
  <c r="C11" i="6"/>
  <c r="B26" i="5" l="1"/>
  <c r="C12" i="6"/>
  <c r="B27" i="5" l="1"/>
  <c r="B28" i="5" l="1"/>
  <c r="C13" i="6"/>
  <c r="B29" i="5" l="1"/>
  <c r="B32" i="5" l="1"/>
  <c r="C16" i="6"/>
  <c r="C23" i="6"/>
  <c r="C15" i="6"/>
  <c r="C24" i="6"/>
  <c r="C21" i="6"/>
  <c r="C20" i="6"/>
  <c r="C17" i="6"/>
  <c r="C19" i="6"/>
  <c r="C27" i="6"/>
  <c r="C26" i="6"/>
  <c r="C18" i="6"/>
  <c r="C25" i="6"/>
  <c r="C22" i="6"/>
  <c r="C29" i="6" l="1"/>
  <c r="C28" i="6"/>
  <c r="C14" i="6" l="1"/>
  <c r="C32" i="6"/>
  <c r="E32" i="12" l="1"/>
  <c r="E32" i="5" l="1"/>
  <c r="D32" i="6" s="1"/>
  <c r="G32" i="12" l="1"/>
  <c r="B35" i="5" l="1"/>
  <c r="B35" i="6" l="1"/>
  <c r="B36" i="12"/>
  <c r="F32" i="12" l="1"/>
  <c r="J11" i="10" l="1"/>
  <c r="J10" i="10"/>
  <c r="H10" i="5" l="1"/>
  <c r="I10" i="5"/>
  <c r="G10" i="5"/>
  <c r="F10" i="6" s="1"/>
  <c r="J10" i="5"/>
  <c r="H11" i="5"/>
  <c r="G11" i="5"/>
  <c r="F11" i="6" s="1"/>
  <c r="I11" i="5"/>
  <c r="J11" i="5"/>
  <c r="G11" i="6" l="1"/>
  <c r="G10" i="6"/>
  <c r="H10" i="6"/>
  <c r="J12" i="10"/>
  <c r="I11" i="6"/>
  <c r="H11" i="6"/>
  <c r="I10" i="6"/>
  <c r="G12" i="5" l="1"/>
  <c r="F12" i="6" s="1"/>
  <c r="I12" i="5"/>
  <c r="H12" i="5"/>
  <c r="J12" i="5"/>
  <c r="J13" i="10"/>
  <c r="G12" i="6" l="1"/>
  <c r="I12" i="6"/>
  <c r="H12" i="6"/>
  <c r="I13" i="5"/>
  <c r="H13" i="5"/>
  <c r="G13" i="5"/>
  <c r="F13" i="6" s="1"/>
  <c r="J13" i="5"/>
  <c r="J15" i="10"/>
  <c r="J14" i="10"/>
  <c r="G13" i="6" l="1"/>
  <c r="H13" i="6"/>
  <c r="H15" i="5"/>
  <c r="G15" i="5"/>
  <c r="F15" i="6" s="1"/>
  <c r="I15" i="5"/>
  <c r="J15" i="5"/>
  <c r="I13" i="6"/>
  <c r="I14" i="5"/>
  <c r="G14" i="5"/>
  <c r="F14" i="6" s="1"/>
  <c r="H14" i="5"/>
  <c r="J14" i="5"/>
  <c r="G15" i="6" l="1"/>
  <c r="G14" i="6"/>
  <c r="H15" i="6"/>
  <c r="J17" i="10"/>
  <c r="H14" i="6"/>
  <c r="I14" i="6"/>
  <c r="I15" i="6"/>
  <c r="J16" i="10"/>
  <c r="H17" i="5" l="1"/>
  <c r="G17" i="5"/>
  <c r="F17" i="6" s="1"/>
  <c r="I17" i="5"/>
  <c r="J17" i="5"/>
  <c r="I16" i="5"/>
  <c r="H16" i="5"/>
  <c r="G16" i="5"/>
  <c r="F16" i="6" s="1"/>
  <c r="J16" i="5"/>
  <c r="J18" i="10"/>
  <c r="G16" i="6" l="1"/>
  <c r="G17" i="6"/>
  <c r="H17" i="6"/>
  <c r="I18" i="5"/>
  <c r="H18" i="5"/>
  <c r="G18" i="5"/>
  <c r="F18" i="6" s="1"/>
  <c r="J18" i="5"/>
  <c r="I16" i="6"/>
  <c r="I17" i="6"/>
  <c r="H16" i="6"/>
  <c r="J19" i="10"/>
  <c r="G18" i="6" l="1"/>
  <c r="H18" i="6"/>
  <c r="J20" i="10"/>
  <c r="I19" i="5"/>
  <c r="H19" i="5"/>
  <c r="G19" i="5"/>
  <c r="F19" i="6" s="1"/>
  <c r="J19" i="5"/>
  <c r="I18" i="6"/>
  <c r="G19" i="6" l="1"/>
  <c r="I19" i="6"/>
  <c r="H20" i="5"/>
  <c r="G20" i="5"/>
  <c r="F20" i="6" s="1"/>
  <c r="I20" i="5"/>
  <c r="J21" i="10"/>
  <c r="H19" i="6"/>
  <c r="G20" i="6" l="1"/>
  <c r="H20" i="6"/>
  <c r="J22" i="10"/>
  <c r="H21" i="5"/>
  <c r="I21" i="5"/>
  <c r="G21" i="5"/>
  <c r="F21" i="6" s="1"/>
  <c r="G21" i="6" l="1"/>
  <c r="H21" i="6"/>
  <c r="J23" i="10"/>
  <c r="I22" i="5"/>
  <c r="G22" i="5"/>
  <c r="F22" i="6" s="1"/>
  <c r="H22" i="5"/>
  <c r="G22" i="6" l="1"/>
  <c r="H22" i="6"/>
  <c r="H23" i="5"/>
  <c r="I23" i="5"/>
  <c r="G23" i="5"/>
  <c r="F23" i="6" s="1"/>
  <c r="G23" i="6" l="1"/>
  <c r="H23" i="6"/>
  <c r="J27" i="10" l="1"/>
  <c r="J25" i="10"/>
  <c r="J29" i="10"/>
  <c r="J28" i="10"/>
  <c r="J26" i="10"/>
  <c r="I26" i="5" l="1"/>
  <c r="H26" i="5"/>
  <c r="G26" i="5"/>
  <c r="F26" i="6" s="1"/>
  <c r="I29" i="5"/>
  <c r="H29" i="5"/>
  <c r="G29" i="5"/>
  <c r="F29" i="6" s="1"/>
  <c r="J24" i="10"/>
  <c r="E32" i="10"/>
  <c r="G28" i="5"/>
  <c r="F28" i="6" s="1"/>
  <c r="I28" i="5"/>
  <c r="H28" i="5"/>
  <c r="I25" i="5"/>
  <c r="H25" i="5"/>
  <c r="G25" i="5"/>
  <c r="F25" i="6" s="1"/>
  <c r="I27" i="5"/>
  <c r="H27" i="5"/>
  <c r="G27" i="5"/>
  <c r="F27" i="6" s="1"/>
  <c r="G27" i="6" l="1"/>
  <c r="G28" i="6"/>
  <c r="G26" i="6"/>
  <c r="G25" i="6"/>
  <c r="G29" i="6"/>
  <c r="H29" i="6"/>
  <c r="H28" i="6"/>
  <c r="H26" i="6"/>
  <c r="H25" i="6"/>
  <c r="H27" i="6"/>
  <c r="H24" i="5"/>
  <c r="J32" i="10"/>
  <c r="I24" i="5"/>
  <c r="G24" i="5"/>
  <c r="F24" i="6" s="1"/>
  <c r="G24" i="6" l="1"/>
  <c r="G32" i="5"/>
  <c r="H24" i="6"/>
  <c r="I32" i="5"/>
  <c r="F32" i="5"/>
  <c r="E32" i="6" s="1"/>
  <c r="H32" i="5"/>
  <c r="G32" i="6" s="1"/>
  <c r="F32" i="6" l="1"/>
  <c r="H32" i="6"/>
  <c r="J21" i="5" l="1"/>
  <c r="J22" i="5"/>
  <c r="J23" i="5"/>
  <c r="J20" i="5" l="1"/>
  <c r="I23" i="6"/>
  <c r="I22" i="6"/>
  <c r="J29" i="5"/>
  <c r="J24" i="5"/>
  <c r="J26" i="5"/>
  <c r="J25" i="5"/>
  <c r="J27" i="5"/>
  <c r="J28" i="5"/>
  <c r="I21" i="6"/>
  <c r="I28" i="6" l="1"/>
  <c r="I24" i="6"/>
  <c r="I27" i="6"/>
  <c r="I29" i="6"/>
  <c r="I25" i="6"/>
  <c r="J32" i="12"/>
  <c r="I26" i="6"/>
  <c r="I20" i="6"/>
  <c r="J32" i="5"/>
  <c r="I32" i="6" l="1"/>
  <c r="K11" i="10" l="1"/>
  <c r="K12" i="10"/>
  <c r="K10" i="10" l="1"/>
  <c r="K13" i="10"/>
  <c r="K14" i="10" l="1"/>
  <c r="K15" i="10" l="1"/>
  <c r="K16" i="10" l="1"/>
  <c r="K17" i="10" l="1"/>
  <c r="K18" i="10" l="1"/>
  <c r="K19" i="10" l="1"/>
  <c r="K20" i="10" l="1"/>
  <c r="K21" i="10" l="1"/>
  <c r="K22" i="10" l="1"/>
  <c r="K23" i="10" l="1"/>
  <c r="K24" i="10" l="1"/>
  <c r="K25" i="10" l="1"/>
  <c r="K26" i="10" l="1"/>
  <c r="K27" i="10" l="1"/>
  <c r="K28" i="10" l="1"/>
  <c r="K29" i="10" l="1"/>
  <c r="F32" i="10"/>
  <c r="K32" i="10" l="1"/>
  <c r="K23" i="5" l="1"/>
  <c r="K20" i="5"/>
  <c r="K21" i="5"/>
  <c r="K22" i="5"/>
  <c r="K13" i="5"/>
  <c r="K11" i="5"/>
  <c r="K12" i="5"/>
  <c r="J12" i="6" l="1"/>
  <c r="K10" i="5"/>
  <c r="J11" i="6"/>
  <c r="K25" i="5"/>
  <c r="K24" i="5"/>
  <c r="K29" i="5"/>
  <c r="K28" i="5"/>
  <c r="K27" i="5"/>
  <c r="K26" i="5"/>
  <c r="J21" i="6"/>
  <c r="J23" i="6"/>
  <c r="K14" i="5"/>
  <c r="K17" i="5"/>
  <c r="K18" i="5"/>
  <c r="K19" i="5"/>
  <c r="K15" i="5"/>
  <c r="K16" i="5"/>
  <c r="J13" i="6"/>
  <c r="J22" i="6"/>
  <c r="J20" i="6"/>
  <c r="K20" i="6" l="1"/>
  <c r="K13" i="6"/>
  <c r="J19" i="6"/>
  <c r="K23" i="6"/>
  <c r="J26" i="6"/>
  <c r="J24" i="6"/>
  <c r="J10" i="6"/>
  <c r="K32" i="5"/>
  <c r="J18" i="6"/>
  <c r="J27" i="6"/>
  <c r="J25" i="6"/>
  <c r="K32" i="12"/>
  <c r="J16" i="6"/>
  <c r="J17" i="6"/>
  <c r="K21" i="6"/>
  <c r="J28" i="6"/>
  <c r="K22" i="6"/>
  <c r="J15" i="6"/>
  <c r="J14" i="6"/>
  <c r="J29" i="6"/>
  <c r="K11" i="6"/>
  <c r="K12" i="6"/>
  <c r="K16" i="6" l="1"/>
  <c r="K25" i="6"/>
  <c r="K18" i="6"/>
  <c r="K24" i="6"/>
  <c r="K14" i="6"/>
  <c r="K27" i="6"/>
  <c r="J32" i="6"/>
  <c r="K29" i="6"/>
  <c r="K15" i="6"/>
  <c r="K28" i="6"/>
  <c r="K17" i="6"/>
  <c r="K10" i="6"/>
  <c r="K19" i="6"/>
  <c r="K26" i="6"/>
  <c r="K32" i="6" l="1"/>
</calcChain>
</file>

<file path=xl/sharedStrings.xml><?xml version="1.0" encoding="utf-8"?>
<sst xmlns="http://schemas.openxmlformats.org/spreadsheetml/2006/main" count="45" uniqueCount="39">
  <si>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</si>
  <si>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</si>
  <si>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</si>
  <si>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</si>
  <si>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</si>
  <si>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(1)   Studies are sequential.  The order of the studies would effect the price impact.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</si>
  <si>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</si>
  <si>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</si>
  <si>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</si>
  <si>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</si>
  <si>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</si>
  <si>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</si>
  <si>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</si>
  <si>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</si>
  <si>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OFPC Date</t>
  </si>
  <si>
    <t>(x)  Extrapolated</t>
  </si>
  <si>
    <t>Discount Rate - 2013 IRP Page 164</t>
  </si>
  <si>
    <t>Update</t>
  </si>
  <si>
    <t>Generic</t>
  </si>
  <si>
    <t>Queue</t>
  </si>
  <si>
    <t>2015.Q1</t>
  </si>
  <si>
    <t>Discount Rate - 2015 IRP Page 141</t>
  </si>
  <si>
    <t>Impact</t>
  </si>
  <si>
    <t>Load</t>
  </si>
  <si>
    <t>Forecast</t>
  </si>
  <si>
    <t>Capacity</t>
  </si>
  <si>
    <t>Contribution</t>
  </si>
  <si>
    <t>2015.Q2</t>
  </si>
  <si>
    <t>Degradation</t>
  </si>
  <si>
    <t>Wyo 2028</t>
  </si>
  <si>
    <t>Trans Link</t>
  </si>
  <si>
    <t>Reserve</t>
  </si>
  <si>
    <t>Shortage</t>
  </si>
  <si>
    <t>1506</t>
  </si>
  <si>
    <t>OFPC</t>
  </si>
  <si>
    <t>Solar</t>
  </si>
  <si>
    <t>QF</t>
  </si>
  <si>
    <t>(3)  Capacity costs reflect  2034 - Utah - 635 MW - CCCT Dry "F" 2x1 - East Side Resource (5,050')</t>
  </si>
  <si>
    <t>(4)  Capacity costs reflect  2030 - Dave Johnston - 313 MW - CCCT Dry "F", 1x1 - East Side Resource (5,050')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</si>
</sst>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* #,##0.00_);[Red]_(&quot;$&quot;* \(#,##0.00\);_(&quot;$&quot;* &quot;-&quot;?_);_(@_)"/>
    <numFmt numFmtId="167" formatCode="_(* #,##0.00_);[Red]_(* \(#,##0.00\);_(* &quot;-&quot;_);_(@_)"/>
    <numFmt numFmtId="168" formatCode="_(&quot;$&quot;\ #,##0.00_);[Red]_(&quot;$&quot;\ \(#,##0.00\);_(\ &quot;-&quot;?_);_(@_)"/>
    <numFmt numFmtId="169" formatCode="0.000%"/>
    <numFmt numFmtId="170" formatCode="_(* #,##0.000_);[Red]_(* \(#,##0.000\);_(* &quot;-&quot;_);_(@_)"/>
    <numFmt numFmtId="171" formatCode="&quot;$&quot;###0;[Red]\(&quot;$&quot;###0\)"/>
    <numFmt numFmtId="172" formatCode="0.0"/>
    <numFmt numFmtId="173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8" fillId="0" borderId="0" applyFont="0" applyFill="0" applyBorder="0" applyProtection="0">
      <alignment horizontal="right"/>
    </xf>
    <xf numFmtId="172" fontId="9" fillId="0" borderId="0" applyNumberFormat="0" applyFill="0" applyBorder="0" applyAlignment="0" applyProtection="0"/>
    <xf numFmtId="0" fontId="2" fillId="0" borderId="6" applyNumberFormat="0" applyBorder="0" applyAlignment="0"/>
    <xf numFmtId="173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63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4" fillId="0" borderId="0" xfId="0" quotePrefix="1" applyFont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70" fontId="4" fillId="0" borderId="0" xfId="0" applyNumberFormat="1" applyFont="1"/>
    <xf numFmtId="169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8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5" fontId="4" fillId="0" borderId="0" xfId="4" applyFont="1" applyAlignment="1"/>
    <xf numFmtId="169" fontId="4" fillId="0" borderId="0" xfId="4" applyNumberFormat="1" applyFont="1" applyAlignment="1">
      <alignment horizontal="center"/>
    </xf>
    <xf numFmtId="169" fontId="4" fillId="0" borderId="0" xfId="3" applyNumberFormat="1" applyFont="1"/>
    <xf numFmtId="169" fontId="4" fillId="0" borderId="0" xfId="4" applyNumberFormat="1" applyFont="1"/>
    <xf numFmtId="166" fontId="4" fillId="0" borderId="0" xfId="4" applyNumberFormat="1" applyFont="1"/>
    <xf numFmtId="8" fontId="4" fillId="0" borderId="2" xfId="4" applyNumberFormat="1" applyFont="1" applyFill="1" applyBorder="1" applyAlignment="1">
      <alignment horizontal="center"/>
    </xf>
    <xf numFmtId="8" fontId="4" fillId="0" borderId="0" xfId="4" applyNumberFormat="1" applyFont="1"/>
    <xf numFmtId="8" fontId="4" fillId="0" borderId="0" xfId="4" applyNumberFormat="1" applyFont="1" applyFill="1" applyBorder="1" applyAlignment="1">
      <alignment horizontal="center"/>
    </xf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1" xfId="4" quotePrefix="1" applyFont="1" applyBorder="1" applyAlignment="1">
      <alignment horizontal="center"/>
    </xf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/>
    <xf numFmtId="168" fontId="4" fillId="0" borderId="0" xfId="0" applyNumberFormat="1" applyFont="1" applyFill="1" applyAlignment="1">
      <alignment horizontal="center"/>
    </xf>
    <xf numFmtId="168" fontId="4" fillId="0" borderId="2" xfId="0" applyNumberFormat="1" applyFont="1" applyFill="1" applyBorder="1" applyAlignment="1">
      <alignment horizontal="center"/>
    </xf>
    <xf numFmtId="165" fontId="3" fillId="0" borderId="2" xfId="4" applyFont="1" applyBorder="1" applyAlignment="1">
      <alignment horizontal="center" wrapText="1"/>
    </xf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L41"/>
  <sheetViews>
    <sheetView tabSelected="1" zoomScale="70" zoomScaleNormal="70" workbookViewId="0">
      <pane xSplit="2" ySplit="9" topLeftCell="C10" activePane="bottomRight" state="frozen"/>
      <selection activeCell="C1" sqref="C1:K1048576"/>
      <selection pane="topRight" activeCell="C1" sqref="C1:K1048576"/>
      <selection pane="bottomLeft" activeCell="C1" sqref="C1:K1048576"/>
      <selection pane="bottomRight" activeCell="C32" sqref="C32"/>
    </sheetView>
  </sheetViews>
  <sheetFormatPr defaultRowHeight="15" x14ac:dyDescent="0.2"/>
  <cols>
    <col min="1" max="1" width="1.85546875" style="1" customWidth="1"/>
    <col min="2" max="2" width="14.7109375" style="1" customWidth="1"/>
    <col min="3" max="11" width="16.42578125" style="1" customWidth="1"/>
    <col min="12" max="12" width="2.28515625" style="1" customWidth="1"/>
    <col min="13" max="16384" width="9.140625" style="1"/>
  </cols>
  <sheetData>
    <row r="1" spans="2:12" ht="15.75" x14ac:dyDescent="0.25">
      <c r="B1" s="6" t="str">
        <f>Total!B1</f>
        <v>Appendix C</v>
      </c>
      <c r="C1" s="6"/>
      <c r="D1" s="6"/>
      <c r="E1" s="6"/>
      <c r="F1" s="6"/>
      <c r="G1" s="6"/>
      <c r="H1" s="6"/>
      <c r="I1" s="6"/>
      <c r="J1" s="6"/>
      <c r="K1" s="6"/>
    </row>
    <row r="2" spans="2:12" ht="8.25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2:12" ht="15.75" x14ac:dyDescent="0.25">
      <c r="B3" s="6" t="str">
        <f>Total!B3</f>
        <v>Utah Quarterly Compliance Filing</v>
      </c>
      <c r="C3" s="6"/>
      <c r="D3" s="6"/>
      <c r="E3" s="6"/>
      <c r="F3" s="6"/>
      <c r="G3" s="6"/>
      <c r="H3" s="6"/>
      <c r="I3" s="6"/>
      <c r="J3" s="6"/>
      <c r="K3" s="6"/>
    </row>
    <row r="4" spans="2:12" ht="15.75" x14ac:dyDescent="0.25">
      <c r="B4" s="6" t="str">
        <f>Capacity!$B$4</f>
        <v>Step Study between 2015.Q2 and 2015.Q1 Compliance Filing</v>
      </c>
      <c r="C4" s="6"/>
      <c r="D4" s="6"/>
      <c r="E4" s="6"/>
      <c r="F4" s="6"/>
      <c r="G4" s="6"/>
      <c r="H4" s="6"/>
      <c r="I4" s="6"/>
      <c r="J4" s="6"/>
      <c r="K4" s="6"/>
    </row>
    <row r="5" spans="2:12" ht="15.75" x14ac:dyDescent="0.25">
      <c r="B5" s="6" t="s">
        <v>13</v>
      </c>
      <c r="C5" s="6"/>
      <c r="D5" s="6"/>
      <c r="E5" s="6"/>
      <c r="F5" s="6"/>
      <c r="G5" s="6"/>
      <c r="H5" s="6"/>
      <c r="I5" s="6"/>
      <c r="J5" s="6"/>
      <c r="K5" s="6"/>
    </row>
    <row r="6" spans="2:12" x14ac:dyDescent="0.2">
      <c r="C6" s="9"/>
      <c r="D6" s="9"/>
      <c r="E6" s="9"/>
      <c r="F6" s="9"/>
      <c r="G6" s="9"/>
      <c r="H6" s="9"/>
      <c r="I6" s="9"/>
      <c r="J6" s="9"/>
    </row>
    <row r="7" spans="2:12" s="4" customFormat="1" ht="15.75" x14ac:dyDescent="0.25">
      <c r="B7" s="14"/>
      <c r="C7" s="11" t="str">
        <f>Energy!D7</f>
        <v>Load</v>
      </c>
      <c r="D7" s="11" t="str">
        <f>Energy!E7</f>
        <v>Generic</v>
      </c>
      <c r="E7" s="11" t="str">
        <f>Energy!F7</f>
        <v>QF</v>
      </c>
      <c r="F7" s="11" t="str">
        <f>Energy!G7</f>
        <v>Capacity</v>
      </c>
      <c r="G7" s="11" t="str">
        <f>Energy!H7</f>
        <v>Solar</v>
      </c>
      <c r="H7" s="11" t="str">
        <f>Energy!I7</f>
        <v>Wyo 2028</v>
      </c>
      <c r="I7" s="11" t="str">
        <f>Energy!J7</f>
        <v>Reserve</v>
      </c>
      <c r="J7" s="11" t="str">
        <f>Energy!K7</f>
        <v>1506</v>
      </c>
      <c r="K7" s="11" t="s">
        <v>6</v>
      </c>
      <c r="L7" s="1"/>
    </row>
    <row r="8" spans="2:12" s="4" customFormat="1" ht="15.75" x14ac:dyDescent="0.25">
      <c r="B8" s="15" t="s">
        <v>0</v>
      </c>
      <c r="C8" s="12" t="str">
        <f>Energy!D8</f>
        <v>Forecast</v>
      </c>
      <c r="D8" s="12" t="str">
        <f>Energy!E8</f>
        <v>Update</v>
      </c>
      <c r="E8" s="12" t="str">
        <f>Energy!F8</f>
        <v>Queue</v>
      </c>
      <c r="F8" s="12" t="str">
        <f>Energy!G8</f>
        <v>Contribution</v>
      </c>
      <c r="G8" s="12" t="str">
        <f>Energy!H8</f>
        <v>Degradation</v>
      </c>
      <c r="H8" s="12" t="str">
        <f>Energy!I8</f>
        <v>Trans Link</v>
      </c>
      <c r="I8" s="12" t="str">
        <f>Energy!J8</f>
        <v>Shortage</v>
      </c>
      <c r="J8" s="12" t="str">
        <f>Energy!K8</f>
        <v>OFPC</v>
      </c>
      <c r="K8" s="12" t="s">
        <v>22</v>
      </c>
      <c r="L8" s="1"/>
    </row>
    <row r="9" spans="2:12" ht="4.5" customHeight="1" x14ac:dyDescent="0.2"/>
    <row r="10" spans="2:12" ht="15.75" x14ac:dyDescent="0.25">
      <c r="B10" s="3">
        <f>Total!B10</f>
        <v>2016</v>
      </c>
      <c r="C10" s="58">
        <f>ROUND(Total!D10-Total!C10,2)</f>
        <v>-0.15</v>
      </c>
      <c r="D10" s="58">
        <f>ROUND(Total!E10-Total!D10,2)</f>
        <v>0.04</v>
      </c>
      <c r="E10" s="58">
        <f>ROUND(Total!F10-Total!E10,2)</f>
        <v>-0.22</v>
      </c>
      <c r="F10" s="58">
        <f>ROUND(Total!G10-Total!F10,2)</f>
        <v>0.56000000000000005</v>
      </c>
      <c r="G10" s="58">
        <f>ROUND(Total!H10-Total!G10,2)</f>
        <v>7.0000000000000007E-2</v>
      </c>
      <c r="H10" s="58">
        <f>ROUND(Total!I10-Total!H10,2)</f>
        <v>0</v>
      </c>
      <c r="I10" s="58">
        <f>ROUND(Total!J10-Total!I10,2)</f>
        <v>-0.02</v>
      </c>
      <c r="J10" s="58">
        <f>ROUND(Total!K10-Total!J10,2)</f>
        <v>0.54</v>
      </c>
      <c r="K10" s="58">
        <f ca="1">SUM(OFFSET($C10,0,0,1,COLUMN(K10)-3))</f>
        <v>0.82000000000000006</v>
      </c>
      <c r="L10" s="59"/>
    </row>
    <row r="11" spans="2:12" ht="15.75" x14ac:dyDescent="0.25">
      <c r="B11" s="3">
        <f t="shared" ref="B11:B29" si="0">B10+1</f>
        <v>2017</v>
      </c>
      <c r="C11" s="58">
        <f>ROUND(Total!D11-Total!C11,2)</f>
        <v>-0.23</v>
      </c>
      <c r="D11" s="58">
        <f>ROUND(Total!E11-Total!D11,2)</f>
        <v>0.16</v>
      </c>
      <c r="E11" s="58">
        <f>ROUND(Total!F11-Total!E11,2)</f>
        <v>-0.19</v>
      </c>
      <c r="F11" s="58">
        <f>ROUND(Total!G11-Total!F11,2)</f>
        <v>0</v>
      </c>
      <c r="G11" s="58">
        <f>ROUND(Total!H11-Total!G11,2)</f>
        <v>-0.05</v>
      </c>
      <c r="H11" s="58">
        <f>ROUND(Total!I11-Total!H11,2)</f>
        <v>0</v>
      </c>
      <c r="I11" s="58">
        <f>ROUND(Total!J11-Total!I11,2)</f>
        <v>-0.02</v>
      </c>
      <c r="J11" s="58">
        <f>ROUND(Total!K11-Total!J11,2)</f>
        <v>0.33</v>
      </c>
      <c r="K11" s="58">
        <f t="shared" ref="K11:K29" ca="1" si="1">SUM(OFFSET($C11,0,0,1,COLUMN(K11)-3))</f>
        <v>0</v>
      </c>
      <c r="L11" s="59"/>
    </row>
    <row r="12" spans="2:12" ht="15.75" x14ac:dyDescent="0.25">
      <c r="B12" s="3">
        <f t="shared" si="0"/>
        <v>2018</v>
      </c>
      <c r="C12" s="58">
        <f>ROUND(Total!D12-Total!C12,2)</f>
        <v>-0.57999999999999996</v>
      </c>
      <c r="D12" s="58">
        <f>ROUND(Total!E12-Total!D12,2)</f>
        <v>0.04</v>
      </c>
      <c r="E12" s="58">
        <f>ROUND(Total!F12-Total!E12,2)</f>
        <v>-0.1</v>
      </c>
      <c r="F12" s="58">
        <f>ROUND(Total!G12-Total!F12,2)</f>
        <v>0</v>
      </c>
      <c r="G12" s="58">
        <f>ROUND(Total!H12-Total!G12,2)</f>
        <v>0.26</v>
      </c>
      <c r="H12" s="58">
        <f>ROUND(Total!I12-Total!H12,2)</f>
        <v>0</v>
      </c>
      <c r="I12" s="58">
        <f>ROUND(Total!J12-Total!I12,2)</f>
        <v>-0.05</v>
      </c>
      <c r="J12" s="58">
        <f>ROUND(Total!K12-Total!J12,2)</f>
        <v>-0.25</v>
      </c>
      <c r="K12" s="58">
        <f t="shared" ca="1" si="1"/>
        <v>-0.67999999999999994</v>
      </c>
      <c r="L12" s="59"/>
    </row>
    <row r="13" spans="2:12" ht="15.75" x14ac:dyDescent="0.25">
      <c r="B13" s="3">
        <f t="shared" si="0"/>
        <v>2019</v>
      </c>
      <c r="C13" s="58">
        <f>ROUND(Total!D13-Total!C13,2)</f>
        <v>-0.79</v>
      </c>
      <c r="D13" s="58">
        <f>ROUND(Total!E13-Total!D13,2)</f>
        <v>0.55000000000000004</v>
      </c>
      <c r="E13" s="58">
        <f>ROUND(Total!F13-Total!E13,2)</f>
        <v>-0.17</v>
      </c>
      <c r="F13" s="58">
        <f>ROUND(Total!G13-Total!F13,2)</f>
        <v>0</v>
      </c>
      <c r="G13" s="58">
        <f>ROUND(Total!H13-Total!G13,2)</f>
        <v>-0.23</v>
      </c>
      <c r="H13" s="58">
        <f>ROUND(Total!I13-Total!H13,2)</f>
        <v>0</v>
      </c>
      <c r="I13" s="58">
        <f>ROUND(Total!J13-Total!I13,2)</f>
        <v>-0.06</v>
      </c>
      <c r="J13" s="58">
        <f>ROUND(Total!K13-Total!J13,2)</f>
        <v>-0.02</v>
      </c>
      <c r="K13" s="58">
        <f t="shared" ca="1" si="1"/>
        <v>-0.72</v>
      </c>
      <c r="L13" s="59"/>
    </row>
    <row r="14" spans="2:12" ht="15.75" x14ac:dyDescent="0.25">
      <c r="B14" s="3">
        <f t="shared" si="0"/>
        <v>2020</v>
      </c>
      <c r="C14" s="58">
        <f>ROUND(Total!D14-Total!C14,2)</f>
        <v>-0.98</v>
      </c>
      <c r="D14" s="58">
        <f>ROUND(Total!E14-Total!D14,2)</f>
        <v>0.34</v>
      </c>
      <c r="E14" s="58">
        <f>ROUND(Total!F14-Total!E14,2)</f>
        <v>-0.08</v>
      </c>
      <c r="F14" s="58">
        <f>ROUND(Total!G14-Total!F14,2)</f>
        <v>0</v>
      </c>
      <c r="G14" s="58">
        <f>ROUND(Total!H14-Total!G14,2)</f>
        <v>0.12</v>
      </c>
      <c r="H14" s="58">
        <f>ROUND(Total!I14-Total!H14,2)</f>
        <v>0</v>
      </c>
      <c r="I14" s="58">
        <f>ROUND(Total!J14-Total!I14,2)</f>
        <v>-0.06</v>
      </c>
      <c r="J14" s="58">
        <f>ROUND(Total!K14-Total!J14,2)</f>
        <v>0.02</v>
      </c>
      <c r="K14" s="58">
        <f t="shared" ca="1" si="1"/>
        <v>-0.6399999999999999</v>
      </c>
      <c r="L14" s="59"/>
    </row>
    <row r="15" spans="2:12" ht="15.75" x14ac:dyDescent="0.25">
      <c r="B15" s="3">
        <f t="shared" si="0"/>
        <v>2021</v>
      </c>
      <c r="C15" s="58">
        <f>ROUND(Total!D15-Total!C15,2)</f>
        <v>-1.44</v>
      </c>
      <c r="D15" s="58">
        <f>ROUND(Total!E15-Total!D15,2)</f>
        <v>0.7</v>
      </c>
      <c r="E15" s="58">
        <f>ROUND(Total!F15-Total!E15,2)</f>
        <v>0.28999999999999998</v>
      </c>
      <c r="F15" s="58">
        <f>ROUND(Total!G15-Total!F15,2)</f>
        <v>0</v>
      </c>
      <c r="G15" s="58">
        <f>ROUND(Total!H15-Total!G15,2)</f>
        <v>-0.3</v>
      </c>
      <c r="H15" s="58">
        <f>ROUND(Total!I15-Total!H15,2)</f>
        <v>0</v>
      </c>
      <c r="I15" s="58">
        <f>ROUND(Total!J15-Total!I15,2)</f>
        <v>-0.02</v>
      </c>
      <c r="J15" s="58">
        <f>ROUND(Total!K15-Total!J15,2)</f>
        <v>-0.5</v>
      </c>
      <c r="K15" s="58">
        <f t="shared" ca="1" si="1"/>
        <v>-1.27</v>
      </c>
      <c r="L15" s="59"/>
    </row>
    <row r="16" spans="2:12" ht="15.75" x14ac:dyDescent="0.25">
      <c r="B16" s="3">
        <f t="shared" si="0"/>
        <v>2022</v>
      </c>
      <c r="C16" s="58">
        <f>ROUND(Total!D16-Total!C16,2)</f>
        <v>-1.35</v>
      </c>
      <c r="D16" s="58">
        <f>ROUND(Total!E16-Total!D16,2)</f>
        <v>0.87</v>
      </c>
      <c r="E16" s="58">
        <f>ROUND(Total!F16-Total!E16,2)</f>
        <v>0.12</v>
      </c>
      <c r="F16" s="58">
        <f>ROUND(Total!G16-Total!F16,2)</f>
        <v>0</v>
      </c>
      <c r="G16" s="58">
        <f>ROUND(Total!H16-Total!G16,2)</f>
        <v>-0.17</v>
      </c>
      <c r="H16" s="58">
        <f>ROUND(Total!I16-Total!H16,2)</f>
        <v>0</v>
      </c>
      <c r="I16" s="58">
        <f>ROUND(Total!J16-Total!I16,2)</f>
        <v>-0.04</v>
      </c>
      <c r="J16" s="58">
        <f>ROUND(Total!K16-Total!J16,2)</f>
        <v>-1.1299999999999999</v>
      </c>
      <c r="K16" s="58">
        <f t="shared" ca="1" si="1"/>
        <v>-1.7000000000000002</v>
      </c>
      <c r="L16" s="59"/>
    </row>
    <row r="17" spans="2:12" ht="15.75" x14ac:dyDescent="0.25">
      <c r="B17" s="3">
        <f t="shared" si="0"/>
        <v>2023</v>
      </c>
      <c r="C17" s="58">
        <f>ROUND(Total!D17-Total!C17,2)</f>
        <v>-1.3</v>
      </c>
      <c r="D17" s="58">
        <f>ROUND(Total!E17-Total!D17,2)</f>
        <v>0.66</v>
      </c>
      <c r="E17" s="58">
        <f>ROUND(Total!F17-Total!E17,2)</f>
        <v>0.06</v>
      </c>
      <c r="F17" s="58">
        <f>ROUND(Total!G17-Total!F17,2)</f>
        <v>0</v>
      </c>
      <c r="G17" s="58">
        <f>ROUND(Total!H17-Total!G17,2)</f>
        <v>0.08</v>
      </c>
      <c r="H17" s="58">
        <f>ROUND(Total!I17-Total!H17,2)</f>
        <v>0</v>
      </c>
      <c r="I17" s="58">
        <f>ROUND(Total!J17-Total!I17,2)</f>
        <v>0.01</v>
      </c>
      <c r="J17" s="58">
        <f>ROUND(Total!K17-Total!J17,2)</f>
        <v>-1.44</v>
      </c>
      <c r="K17" s="58">
        <f t="shared" ca="1" si="1"/>
        <v>-1.9300000000000002</v>
      </c>
      <c r="L17" s="59"/>
    </row>
    <row r="18" spans="2:12" ht="15.75" x14ac:dyDescent="0.25">
      <c r="B18" s="3">
        <f t="shared" si="0"/>
        <v>2024</v>
      </c>
      <c r="C18" s="58">
        <f>ROUND(Total!D18-Total!C18,2)</f>
        <v>-1.35</v>
      </c>
      <c r="D18" s="58">
        <f>ROUND(Total!E18-Total!D18,2)</f>
        <v>0.88</v>
      </c>
      <c r="E18" s="58">
        <f>ROUND(Total!F18-Total!E18,2)</f>
        <v>0.08</v>
      </c>
      <c r="F18" s="58">
        <f>ROUND(Total!G18-Total!F18,2)</f>
        <v>0</v>
      </c>
      <c r="G18" s="58">
        <f>ROUND(Total!H18-Total!G18,2)</f>
        <v>-0.34</v>
      </c>
      <c r="H18" s="58">
        <f>ROUND(Total!I18-Total!H18,2)</f>
        <v>0</v>
      </c>
      <c r="I18" s="58">
        <f>ROUND(Total!J18-Total!I18,2)</f>
        <v>-0.01</v>
      </c>
      <c r="J18" s="58">
        <f>ROUND(Total!K18-Total!J18,2)</f>
        <v>-1</v>
      </c>
      <c r="K18" s="58">
        <f t="shared" ca="1" si="1"/>
        <v>-1.7400000000000002</v>
      </c>
      <c r="L18" s="59"/>
    </row>
    <row r="19" spans="2:12" ht="15.75" x14ac:dyDescent="0.25">
      <c r="B19" s="3">
        <f t="shared" si="0"/>
        <v>2025</v>
      </c>
      <c r="C19" s="58">
        <f>ROUND(Total!D19-Total!C19,2)</f>
        <v>-2</v>
      </c>
      <c r="D19" s="58">
        <f>ROUND(Total!E19-Total!D19,2)</f>
        <v>1.1299999999999999</v>
      </c>
      <c r="E19" s="58">
        <f>ROUND(Total!F19-Total!E19,2)</f>
        <v>-0.21</v>
      </c>
      <c r="F19" s="58">
        <f>ROUND(Total!G19-Total!F19,2)</f>
        <v>0</v>
      </c>
      <c r="G19" s="58">
        <f>ROUND(Total!H19-Total!G19,2)</f>
        <v>0.04</v>
      </c>
      <c r="H19" s="58">
        <f>ROUND(Total!I19-Total!H19,2)</f>
        <v>0</v>
      </c>
      <c r="I19" s="58">
        <f>ROUND(Total!J19-Total!I19,2)</f>
        <v>-0.06</v>
      </c>
      <c r="J19" s="58">
        <f>ROUND(Total!K19-Total!J19,2)</f>
        <v>-2.08</v>
      </c>
      <c r="K19" s="58">
        <f t="shared" ca="1" si="1"/>
        <v>-3.18</v>
      </c>
      <c r="L19" s="59"/>
    </row>
    <row r="20" spans="2:12" ht="15.75" x14ac:dyDescent="0.25">
      <c r="B20" s="3">
        <f t="shared" si="0"/>
        <v>2026</v>
      </c>
      <c r="C20" s="58">
        <f>ROUND(Total!D20-Total!C20,2)</f>
        <v>-0.97</v>
      </c>
      <c r="D20" s="58">
        <f>ROUND(Total!E20-Total!D20,2)</f>
        <v>0.03</v>
      </c>
      <c r="E20" s="58">
        <f>ROUND(Total!F20-Total!E20,2)</f>
        <v>-0.39</v>
      </c>
      <c r="F20" s="58">
        <f>ROUND(Total!G20-Total!F20,2)</f>
        <v>0</v>
      </c>
      <c r="G20" s="58">
        <f>ROUND(Total!H20-Total!G20,2)</f>
        <v>-0.06</v>
      </c>
      <c r="H20" s="58">
        <f>ROUND(Total!I20-Total!H20,2)</f>
        <v>0</v>
      </c>
      <c r="I20" s="58">
        <f>ROUND(Total!J20-Total!I20,2)</f>
        <v>-0.04</v>
      </c>
      <c r="J20" s="58">
        <f>ROUND(Total!K20-Total!J20,2)</f>
        <v>-2.56</v>
      </c>
      <c r="K20" s="58">
        <f t="shared" ca="1" si="1"/>
        <v>-3.99</v>
      </c>
      <c r="L20" s="59"/>
    </row>
    <row r="21" spans="2:12" ht="15.75" x14ac:dyDescent="0.25">
      <c r="B21" s="3">
        <f t="shared" si="0"/>
        <v>2027</v>
      </c>
      <c r="C21" s="58">
        <f>ROUND(Total!D21-Total!C21,2)</f>
        <v>-2.0499999999999998</v>
      </c>
      <c r="D21" s="58">
        <f>ROUND(Total!E21-Total!D21,2)</f>
        <v>0.14000000000000001</v>
      </c>
      <c r="E21" s="58">
        <f>ROUND(Total!F21-Total!E21,2)</f>
        <v>-0.34</v>
      </c>
      <c r="F21" s="58">
        <f>ROUND(Total!G21-Total!F21,2)</f>
        <v>0</v>
      </c>
      <c r="G21" s="58">
        <f>ROUND(Total!H21-Total!G21,2)</f>
        <v>0.08</v>
      </c>
      <c r="H21" s="58">
        <f>ROUND(Total!I21-Total!H21,2)</f>
        <v>0</v>
      </c>
      <c r="I21" s="58">
        <f>ROUND(Total!J21-Total!I21,2)</f>
        <v>-0.01</v>
      </c>
      <c r="J21" s="58">
        <f>ROUND(Total!K21-Total!J21,2)</f>
        <v>-2.7</v>
      </c>
      <c r="K21" s="58">
        <f t="shared" ca="1" si="1"/>
        <v>-4.879999999999999</v>
      </c>
      <c r="L21" s="59"/>
    </row>
    <row r="22" spans="2:12" ht="15.75" x14ac:dyDescent="0.25">
      <c r="B22" s="3">
        <f t="shared" si="0"/>
        <v>2028</v>
      </c>
      <c r="C22" s="58">
        <f>ROUND(Total!D22-Total!C22,2)</f>
        <v>-2.83</v>
      </c>
      <c r="D22" s="58">
        <f>ROUND(Total!E22-Total!D22,2)</f>
        <v>0.26</v>
      </c>
      <c r="E22" s="58">
        <f>ROUND(Total!F22-Total!E22,2)</f>
        <v>-0.24</v>
      </c>
      <c r="F22" s="58">
        <f>ROUND(Total!G22-Total!F22,2)</f>
        <v>0.15</v>
      </c>
      <c r="G22" s="58">
        <f>ROUND(Total!H22-Total!G22,2)</f>
        <v>0.48</v>
      </c>
      <c r="H22" s="58">
        <f>ROUND(Total!I22-Total!H22,2)</f>
        <v>0.01</v>
      </c>
      <c r="I22" s="58">
        <f>ROUND(Total!J22-Total!I22,2)</f>
        <v>-0.04</v>
      </c>
      <c r="J22" s="58">
        <f>ROUND(Total!K22-Total!J22,2)</f>
        <v>-1.0900000000000001</v>
      </c>
      <c r="K22" s="58">
        <f t="shared" ca="1" si="1"/>
        <v>-3.3000000000000007</v>
      </c>
      <c r="L22" s="59"/>
    </row>
    <row r="23" spans="2:12" ht="15.75" x14ac:dyDescent="0.25">
      <c r="B23" s="3">
        <f t="shared" si="0"/>
        <v>2029</v>
      </c>
      <c r="C23" s="58">
        <f>ROUND(Total!D23-Total!C23,2)</f>
        <v>-2.75</v>
      </c>
      <c r="D23" s="58">
        <f>ROUND(Total!E23-Total!D23,2)</f>
        <v>-0.24</v>
      </c>
      <c r="E23" s="58">
        <f>ROUND(Total!F23-Total!E23,2)</f>
        <v>0.28000000000000003</v>
      </c>
      <c r="F23" s="58">
        <f>ROUND(Total!G23-Total!F23,2)</f>
        <v>0.1</v>
      </c>
      <c r="G23" s="58">
        <f>ROUND(Total!H23-Total!G23,2)</f>
        <v>-0.43</v>
      </c>
      <c r="H23" s="58">
        <f>ROUND(Total!I23-Total!H23,2)</f>
        <v>0.01</v>
      </c>
      <c r="I23" s="58">
        <f>ROUND(Total!J23-Total!I23,2)</f>
        <v>-0.02</v>
      </c>
      <c r="J23" s="58">
        <f>ROUND(Total!K23-Total!J23,2)</f>
        <v>-0.79</v>
      </c>
      <c r="K23" s="58">
        <f t="shared" ca="1" si="1"/>
        <v>-3.8400000000000003</v>
      </c>
      <c r="L23" s="59"/>
    </row>
    <row r="24" spans="2:12" ht="15.75" x14ac:dyDescent="0.25">
      <c r="B24" s="3">
        <f t="shared" si="0"/>
        <v>2030</v>
      </c>
      <c r="C24" s="58">
        <f>ROUND(Total!D24-Total!C24,2)</f>
        <v>-2.78</v>
      </c>
      <c r="D24" s="58">
        <f>ROUND(Total!E24-Total!D24,2)</f>
        <v>0.13</v>
      </c>
      <c r="E24" s="58">
        <f>ROUND(Total!F24-Total!E24,2)</f>
        <v>-2.6</v>
      </c>
      <c r="F24" s="58">
        <f>ROUND(Total!G24-Total!F24,2)</f>
        <v>11.47</v>
      </c>
      <c r="G24" s="58">
        <f>ROUND(Total!H24-Total!G24,2)</f>
        <v>0.67</v>
      </c>
      <c r="H24" s="58">
        <f>ROUND(Total!I24-Total!H24,2)</f>
        <v>0</v>
      </c>
      <c r="I24" s="58">
        <f>ROUND(Total!J24-Total!I24,2)</f>
        <v>-0.14000000000000001</v>
      </c>
      <c r="J24" s="58">
        <f>ROUND(Total!K24-Total!J24,2)</f>
        <v>-0.68</v>
      </c>
      <c r="K24" s="58">
        <f t="shared" ca="1" si="1"/>
        <v>6.0700000000000012</v>
      </c>
      <c r="L24" s="59"/>
    </row>
    <row r="25" spans="2:12" ht="15.75" x14ac:dyDescent="0.25">
      <c r="B25" s="3">
        <f t="shared" si="0"/>
        <v>2031</v>
      </c>
      <c r="C25" s="58">
        <f>ROUND(Total!D25-Total!C25,2)</f>
        <v>-3.23</v>
      </c>
      <c r="D25" s="58">
        <f>ROUND(Total!E25-Total!D25,2)</f>
        <v>0.21</v>
      </c>
      <c r="E25" s="58">
        <f>ROUND(Total!F25-Total!E25,2)</f>
        <v>-2.15</v>
      </c>
      <c r="F25" s="58">
        <f>ROUND(Total!G25-Total!F25,2)</f>
        <v>11.15</v>
      </c>
      <c r="G25" s="58">
        <f>ROUND(Total!H25-Total!G25,2)</f>
        <v>0.67</v>
      </c>
      <c r="H25" s="58">
        <f>ROUND(Total!I25-Total!H25,2)</f>
        <v>0</v>
      </c>
      <c r="I25" s="58">
        <f>ROUND(Total!J25-Total!I25,2)</f>
        <v>-0.17</v>
      </c>
      <c r="J25" s="58">
        <f>ROUND(Total!K25-Total!J25,2)</f>
        <v>-0.19</v>
      </c>
      <c r="K25" s="58">
        <f t="shared" ca="1" si="1"/>
        <v>6.29</v>
      </c>
      <c r="L25" s="59"/>
    </row>
    <row r="26" spans="2:12" ht="15.75" x14ac:dyDescent="0.25">
      <c r="B26" s="3">
        <f t="shared" si="0"/>
        <v>2032</v>
      </c>
      <c r="C26" s="58">
        <f>ROUND(Total!D26-Total!C26,2)</f>
        <v>-2.69</v>
      </c>
      <c r="D26" s="58">
        <f>ROUND(Total!E26-Total!D26,2)</f>
        <v>-0.12</v>
      </c>
      <c r="E26" s="58">
        <f>ROUND(Total!F26-Total!E26,2)</f>
        <v>-3.69</v>
      </c>
      <c r="F26" s="58">
        <f>ROUND(Total!G26-Total!F26,2)</f>
        <v>11.87</v>
      </c>
      <c r="G26" s="58">
        <f>ROUND(Total!H26-Total!G26,2)</f>
        <v>0.49</v>
      </c>
      <c r="H26" s="58">
        <f>ROUND(Total!I26-Total!H26,2)</f>
        <v>0</v>
      </c>
      <c r="I26" s="58">
        <f>ROUND(Total!J26-Total!I26,2)</f>
        <v>-0.09</v>
      </c>
      <c r="J26" s="58">
        <f>ROUND(Total!K26-Total!J26,2)</f>
        <v>-0.44</v>
      </c>
      <c r="K26" s="58">
        <f t="shared" ca="1" si="1"/>
        <v>5.3299999999999992</v>
      </c>
      <c r="L26" s="59"/>
    </row>
    <row r="27" spans="2:12" ht="15.75" x14ac:dyDescent="0.25">
      <c r="B27" s="3">
        <f t="shared" si="0"/>
        <v>2033</v>
      </c>
      <c r="C27" s="58">
        <f>ROUND(Total!D27-Total!C27,2)</f>
        <v>-3.1</v>
      </c>
      <c r="D27" s="58">
        <f>ROUND(Total!E27-Total!D27,2)</f>
        <v>-0.11</v>
      </c>
      <c r="E27" s="58">
        <f>ROUND(Total!F27-Total!E27,2)</f>
        <v>-0.56000000000000005</v>
      </c>
      <c r="F27" s="58">
        <f>ROUND(Total!G27-Total!F27,2)</f>
        <v>9.14</v>
      </c>
      <c r="G27" s="58">
        <f>ROUND(Total!H27-Total!G27,2)</f>
        <v>1.24</v>
      </c>
      <c r="H27" s="58">
        <f>ROUND(Total!I27-Total!H27,2)</f>
        <v>0</v>
      </c>
      <c r="I27" s="58">
        <f>ROUND(Total!J27-Total!I27,2)</f>
        <v>-0.01</v>
      </c>
      <c r="J27" s="58">
        <f>ROUND(Total!K27-Total!J27,2)</f>
        <v>-0.56000000000000005</v>
      </c>
      <c r="K27" s="58">
        <f t="shared" ca="1" si="1"/>
        <v>6.0400000000000009</v>
      </c>
      <c r="L27" s="59"/>
    </row>
    <row r="28" spans="2:12" ht="15.75" x14ac:dyDescent="0.25">
      <c r="B28" s="3">
        <f t="shared" si="0"/>
        <v>2034</v>
      </c>
      <c r="C28" s="58">
        <f>ROUND(Total!D28-Total!C28,2)</f>
        <v>-0.16</v>
      </c>
      <c r="D28" s="58">
        <f>ROUND(Total!E28-Total!D28,2)</f>
        <v>0.02</v>
      </c>
      <c r="E28" s="58">
        <f>ROUND(Total!F28-Total!E28,2)</f>
        <v>-10.130000000000001</v>
      </c>
      <c r="F28" s="58">
        <f>ROUND(Total!G28-Total!F28,2)</f>
        <v>9.7899999999999991</v>
      </c>
      <c r="G28" s="58">
        <f>ROUND(Total!H28-Total!G28,2)</f>
        <v>0.61</v>
      </c>
      <c r="H28" s="58">
        <f>ROUND(Total!I28-Total!H28,2)</f>
        <v>0</v>
      </c>
      <c r="I28" s="58">
        <f>ROUND(Total!J28-Total!I28,2)</f>
        <v>-0.01</v>
      </c>
      <c r="J28" s="58">
        <f>ROUND(Total!K28-Total!J28,2)</f>
        <v>0.01</v>
      </c>
      <c r="K28" s="58">
        <f t="shared" ca="1" si="1"/>
        <v>0.12999999999999778</v>
      </c>
      <c r="L28" s="59"/>
    </row>
    <row r="29" spans="2:12" ht="15.75" x14ac:dyDescent="0.25">
      <c r="B29" s="3">
        <f t="shared" si="0"/>
        <v>2035</v>
      </c>
      <c r="C29" s="58">
        <f>ROUND(Total!D29-Total!C29,2)</f>
        <v>-0.45</v>
      </c>
      <c r="D29" s="58">
        <f>ROUND(Total!E29-Total!D29,2)</f>
        <v>0.09</v>
      </c>
      <c r="E29" s="58">
        <f>ROUND(Total!F29-Total!E29,2)</f>
        <v>-11</v>
      </c>
      <c r="F29" s="58">
        <f>ROUND(Total!G29-Total!F29,2)</f>
        <v>10.54</v>
      </c>
      <c r="G29" s="58">
        <f>ROUND(Total!H29-Total!G29,2)</f>
        <v>0.16</v>
      </c>
      <c r="H29" s="58">
        <f>ROUND(Total!I29-Total!H29,2)</f>
        <v>0</v>
      </c>
      <c r="I29" s="58">
        <f>ROUND(Total!J29-Total!I29,2)</f>
        <v>-0.02</v>
      </c>
      <c r="J29" s="58">
        <f>ROUND(Total!K29-Total!J29,2)</f>
        <v>0.08</v>
      </c>
      <c r="K29" s="58">
        <f t="shared" ca="1" si="1"/>
        <v>-0.60000000000000031</v>
      </c>
      <c r="L29" s="59"/>
    </row>
    <row r="30" spans="2:12" x14ac:dyDescent="0.2"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2:12" x14ac:dyDescent="0.2">
      <c r="B31" s="13" t="str">
        <f>Total!B31</f>
        <v>Nominal Levelized Payment at 6.660% Discount Rate (3)</v>
      </c>
      <c r="C31" s="60"/>
      <c r="D31" s="60"/>
      <c r="E31" s="60"/>
      <c r="F31" s="60"/>
      <c r="G31" s="60"/>
      <c r="H31" s="60"/>
      <c r="I31" s="60"/>
      <c r="J31" s="60"/>
      <c r="K31" s="60"/>
      <c r="L31" s="59"/>
    </row>
    <row r="32" spans="2:12" x14ac:dyDescent="0.2">
      <c r="B32" s="8" t="str">
        <f>B10&amp;" - "&amp;B29</f>
        <v>2016 - 2035</v>
      </c>
      <c r="C32" s="61">
        <f>ROUND(Total!D32-Total!C32,2)</f>
        <v>-1.34</v>
      </c>
      <c r="D32" s="61">
        <f>ROUND(Total!E32-Total!D32,2)</f>
        <v>0.33</v>
      </c>
      <c r="E32" s="61">
        <f>ROUND(Total!F32-Total!E32,2)</f>
        <v>-0.91</v>
      </c>
      <c r="F32" s="61">
        <f>ROUND(Total!G32-Total!F32,2)</f>
        <v>1.98</v>
      </c>
      <c r="G32" s="61">
        <f>ROUND(Total!H32-Total!G32,2)</f>
        <v>0.09</v>
      </c>
      <c r="H32" s="61">
        <f>ROUND(Total!I32-Total!H32,2)</f>
        <v>0</v>
      </c>
      <c r="I32" s="61">
        <f>ROUND(Total!J32-Total!I32,2)</f>
        <v>-0.04</v>
      </c>
      <c r="J32" s="61">
        <f>ROUND(Total!K32-Total!J32,2)</f>
        <v>-0.63</v>
      </c>
      <c r="K32" s="61">
        <f t="shared" ref="K32" ca="1" si="2">SUM(OFFSET($C32,0,0,1,COLUMN(K32)-3))</f>
        <v>-0.52</v>
      </c>
      <c r="L32" s="59"/>
    </row>
    <row r="33" spans="2:11" x14ac:dyDescent="0.2">
      <c r="G33" s="16"/>
      <c r="H33" s="16"/>
      <c r="I33" s="16"/>
      <c r="J33" s="16"/>
      <c r="K33" s="16"/>
    </row>
    <row r="34" spans="2:11" x14ac:dyDescent="0.2">
      <c r="B34" s="1" t="str">
        <f>Total!B34</f>
        <v>(1)   Studies are sequential.  The order of the studies would effect the price impact.</v>
      </c>
    </row>
    <row r="35" spans="2:11" x14ac:dyDescent="0.2">
      <c r="B35" s="1" t="str">
        <f>Total!B35</f>
        <v>(2)   Official Forward Price Curve Dated June 2015</v>
      </c>
    </row>
    <row r="36" spans="2:11" x14ac:dyDescent="0.2">
      <c r="B36" s="1" t="str">
        <f>Total!B36</f>
        <v>(3)   Discount Rate - 2015 IRP Page 141</v>
      </c>
      <c r="C36" s="8"/>
    </row>
    <row r="37" spans="2:11" x14ac:dyDescent="0.2">
      <c r="B37" s="1" t="str">
        <f>Total!B37</f>
        <v xml:space="preserve">(4)   Capacity costs are allocated assuming an 85% capacity factor. </v>
      </c>
    </row>
    <row r="40" spans="2:11" hidden="1" x14ac:dyDescent="0.2">
      <c r="B40" s="20" t="s">
        <v>16</v>
      </c>
    </row>
    <row r="41" spans="2:11" hidden="1" x14ac:dyDescent="0.2">
      <c r="B41" s="43">
        <f>Discount_Rate</f>
        <v>6.6600000000000006E-2</v>
      </c>
    </row>
  </sheetData>
  <phoneticPr fontId="2" type="noConversion"/>
  <printOptions horizontalCentered="1"/>
  <pageMargins left="0.25" right="0.25" top="0.75" bottom="0.75" header="0.3" footer="0.2"/>
  <pageSetup scale="82"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T44"/>
  <sheetViews>
    <sheetView zoomScale="70" zoomScaleNormal="70" workbookViewId="0">
      <pane xSplit="2" ySplit="9" topLeftCell="C10" activePane="bottomRight" state="frozen"/>
      <selection activeCell="C1" sqref="C1:K1048576"/>
      <selection pane="topRight" activeCell="C1" sqref="C1:K1048576"/>
      <selection pane="bottomLeft" activeCell="C1" sqref="C1:K1048576"/>
      <selection pane="bottomRight" activeCell="C10" sqref="C10"/>
    </sheetView>
  </sheetViews>
  <sheetFormatPr defaultRowHeight="15" x14ac:dyDescent="0.2"/>
  <cols>
    <col min="1" max="1" width="1.85546875" style="1" customWidth="1"/>
    <col min="2" max="2" width="14.7109375" style="1" customWidth="1"/>
    <col min="3" max="11" width="16.42578125" style="1" customWidth="1"/>
    <col min="12" max="12" width="2.42578125" style="1" customWidth="1"/>
    <col min="13" max="18" width="9.140625" style="1"/>
    <col min="19" max="19" width="10.28515625" style="1" customWidth="1"/>
    <col min="20" max="16384" width="9.140625" style="1"/>
  </cols>
  <sheetData>
    <row r="1" spans="2:20" ht="15.75" x14ac:dyDescent="0.25">
      <c r="B1" s="6" t="s">
        <v>4</v>
      </c>
      <c r="C1" s="6"/>
      <c r="D1" s="6"/>
      <c r="E1" s="6"/>
      <c r="F1" s="6"/>
      <c r="G1" s="6"/>
      <c r="H1" s="6"/>
      <c r="I1" s="6"/>
      <c r="J1" s="6"/>
      <c r="K1" s="6"/>
    </row>
    <row r="2" spans="2:20" ht="8.25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2:20" ht="15.75" x14ac:dyDescent="0.2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</row>
    <row r="4" spans="2:20" ht="15.75" x14ac:dyDescent="0.25">
      <c r="B4" s="6" t="str">
        <f>Capacity!$B$4</f>
        <v>Step Study between 2015.Q2 and 2015.Q1 Compliance Filing</v>
      </c>
      <c r="C4" s="6"/>
      <c r="D4" s="6"/>
      <c r="E4" s="6"/>
      <c r="F4" s="6"/>
      <c r="G4" s="6"/>
      <c r="H4" s="6"/>
      <c r="I4" s="6"/>
      <c r="J4" s="6"/>
      <c r="K4" s="6"/>
    </row>
    <row r="5" spans="2:20" ht="15.75" x14ac:dyDescent="0.25">
      <c r="B5" s="6" t="s">
        <v>12</v>
      </c>
      <c r="C5" s="6"/>
      <c r="D5" s="6"/>
      <c r="E5" s="6"/>
      <c r="F5" s="6"/>
      <c r="G5" s="6"/>
      <c r="H5" s="6"/>
      <c r="I5" s="6"/>
      <c r="J5" s="6"/>
      <c r="K5" s="6"/>
    </row>
    <row r="6" spans="2:20" s="23" customFormat="1" ht="15.75" x14ac:dyDescent="0.25">
      <c r="B6" s="21"/>
      <c r="C6" s="21"/>
      <c r="D6" s="22"/>
      <c r="E6" s="21"/>
      <c r="F6" s="21"/>
      <c r="G6" s="21"/>
      <c r="H6" s="21"/>
      <c r="I6" s="21"/>
      <c r="J6" s="21"/>
      <c r="K6" s="21"/>
    </row>
    <row r="7" spans="2:20" ht="15.75" x14ac:dyDescent="0.25">
      <c r="B7" s="52"/>
      <c r="C7" s="53" t="str">
        <f>Capacity!N7</f>
        <v>2015.Q1</v>
      </c>
      <c r="D7" s="53" t="str">
        <f>Energy!D7</f>
        <v>Load</v>
      </c>
      <c r="E7" s="53" t="str">
        <f>Energy!E7</f>
        <v>Generic</v>
      </c>
      <c r="F7" s="53" t="str">
        <f>Energy!F7</f>
        <v>QF</v>
      </c>
      <c r="G7" s="53" t="str">
        <f>Energy!G7</f>
        <v>Capacity</v>
      </c>
      <c r="H7" s="53" t="str">
        <f>Energy!H7</f>
        <v>Solar</v>
      </c>
      <c r="I7" s="53" t="str">
        <f>Energy!I7</f>
        <v>Wyo 2028</v>
      </c>
      <c r="J7" s="53" t="str">
        <f>Energy!J7</f>
        <v>Reserve</v>
      </c>
      <c r="K7" s="53" t="str">
        <f>Energy!K7</f>
        <v>1506</v>
      </c>
    </row>
    <row r="8" spans="2:20" ht="15.75" x14ac:dyDescent="0.25">
      <c r="B8" s="7" t="s">
        <v>0</v>
      </c>
      <c r="C8" s="2" t="s">
        <v>8</v>
      </c>
      <c r="D8" s="2" t="str">
        <f>Energy!D8</f>
        <v>Forecast</v>
      </c>
      <c r="E8" s="2" t="str">
        <f>Energy!E8</f>
        <v>Update</v>
      </c>
      <c r="F8" s="2" t="str">
        <f>Energy!F8</f>
        <v>Queue</v>
      </c>
      <c r="G8" s="2" t="str">
        <f>Energy!G8</f>
        <v>Contribution</v>
      </c>
      <c r="H8" s="2" t="str">
        <f>Energy!H8</f>
        <v>Degradation</v>
      </c>
      <c r="I8" s="2" t="str">
        <f>Energy!I8</f>
        <v>Trans Link</v>
      </c>
      <c r="J8" s="2" t="str">
        <f>Energy!J8</f>
        <v>Shortage</v>
      </c>
      <c r="K8" s="2" t="str">
        <f>Energy!K8</f>
        <v>OFPC</v>
      </c>
    </row>
    <row r="9" spans="2:20" ht="4.5" customHeight="1" x14ac:dyDescent="0.2"/>
    <row r="10" spans="2:20" ht="15.75" x14ac:dyDescent="0.25">
      <c r="B10" s="3">
        <v>2016</v>
      </c>
      <c r="C10" s="17">
        <f>ROUND(Capacity!$H10+Energy!C10,2)</f>
        <v>23.69</v>
      </c>
      <c r="D10" s="17">
        <f>ROUND(Capacity!$H10+Energy!D10,2)</f>
        <v>23.54</v>
      </c>
      <c r="E10" s="17">
        <f>ROUND(Capacity!$H10+Energy!E10,2)</f>
        <v>23.58</v>
      </c>
      <c r="F10" s="17">
        <f>ROUND(Capacity!$I10+Energy!F10,2)</f>
        <v>23.36</v>
      </c>
      <c r="G10" s="17">
        <f>ROUND(Capacity!$J10+Energy!G10,2)</f>
        <v>23.92</v>
      </c>
      <c r="H10" s="17">
        <f>ROUND(Capacity!$J10+Energy!H10,2)</f>
        <v>23.99</v>
      </c>
      <c r="I10" s="17">
        <f>ROUND(Capacity!$J10+Energy!I10,2)</f>
        <v>23.99</v>
      </c>
      <c r="J10" s="17">
        <f>ROUND(Capacity!$J10+Energy!J10,2)</f>
        <v>23.97</v>
      </c>
      <c r="K10" s="17">
        <f>ROUND(Capacity!$K10+Energy!K10,2)</f>
        <v>24.51</v>
      </c>
      <c r="M10" s="54"/>
      <c r="N10" s="54"/>
      <c r="O10" s="54"/>
      <c r="P10" s="54"/>
      <c r="Q10" s="54"/>
      <c r="R10" s="54"/>
      <c r="S10" s="54"/>
    </row>
    <row r="11" spans="2:20" ht="15.75" x14ac:dyDescent="0.25">
      <c r="B11" s="3">
        <f t="shared" ref="B11:B29" si="0">B10+1</f>
        <v>2017</v>
      </c>
      <c r="C11" s="17">
        <f>ROUND(Capacity!$H11+Energy!C11,2)</f>
        <v>22.58</v>
      </c>
      <c r="D11" s="17">
        <f>ROUND(Capacity!$H11+Energy!D11,2)</f>
        <v>22.35</v>
      </c>
      <c r="E11" s="17">
        <f>ROUND(Capacity!$H11+Energy!E11,2)</f>
        <v>22.51</v>
      </c>
      <c r="F11" s="17">
        <f>ROUND(Capacity!$I11+Energy!F11,2)</f>
        <v>22.32</v>
      </c>
      <c r="G11" s="17">
        <f>ROUND(Capacity!$J11+Energy!G11,2)</f>
        <v>22.32</v>
      </c>
      <c r="H11" s="17">
        <f>ROUND(Capacity!$J11+Energy!H11,2)</f>
        <v>22.27</v>
      </c>
      <c r="I11" s="17">
        <f>ROUND(Capacity!$J11+Energy!I11,2)</f>
        <v>22.27</v>
      </c>
      <c r="J11" s="17">
        <f>ROUND(Capacity!$J11+Energy!J11,2)</f>
        <v>22.25</v>
      </c>
      <c r="K11" s="17">
        <f>ROUND(Capacity!$K11+Energy!K11,2)</f>
        <v>22.58</v>
      </c>
      <c r="M11" s="54"/>
      <c r="N11" s="54"/>
      <c r="O11" s="54"/>
      <c r="P11" s="54"/>
      <c r="Q11" s="54"/>
      <c r="R11" s="54"/>
      <c r="S11" s="54"/>
    </row>
    <row r="12" spans="2:20" ht="15.75" x14ac:dyDescent="0.25">
      <c r="B12" s="3">
        <f t="shared" si="0"/>
        <v>2018</v>
      </c>
      <c r="C12" s="17">
        <f>ROUND(Capacity!$H12+Energy!C12,2)</f>
        <v>24.12</v>
      </c>
      <c r="D12" s="17">
        <f>ROUND(Capacity!$H12+Energy!D12,2)</f>
        <v>23.54</v>
      </c>
      <c r="E12" s="17">
        <f>ROUND(Capacity!$H12+Energy!E12,2)</f>
        <v>23.58</v>
      </c>
      <c r="F12" s="17">
        <f>ROUND(Capacity!$I12+Energy!F12,2)</f>
        <v>23.48</v>
      </c>
      <c r="G12" s="17">
        <f>ROUND(Capacity!$J12+Energy!G12,2)</f>
        <v>23.48</v>
      </c>
      <c r="H12" s="17">
        <f>ROUND(Capacity!$J12+Energy!H12,2)</f>
        <v>23.74</v>
      </c>
      <c r="I12" s="17">
        <f>ROUND(Capacity!$J12+Energy!I12,2)</f>
        <v>23.74</v>
      </c>
      <c r="J12" s="17">
        <f>ROUND(Capacity!$J12+Energy!J12,2)</f>
        <v>23.69</v>
      </c>
      <c r="K12" s="17">
        <f>ROUND(Capacity!$K12+Energy!K12,2)</f>
        <v>23.44</v>
      </c>
      <c r="M12" s="54"/>
      <c r="N12" s="54"/>
      <c r="O12" s="54"/>
      <c r="P12" s="54"/>
      <c r="Q12" s="54"/>
      <c r="R12" s="54"/>
      <c r="S12" s="54"/>
    </row>
    <row r="13" spans="2:20" ht="15.75" x14ac:dyDescent="0.25">
      <c r="B13" s="3">
        <f t="shared" si="0"/>
        <v>2019</v>
      </c>
      <c r="C13" s="17">
        <f>ROUND(Capacity!$H13+Energy!C13,2)</f>
        <v>24.7</v>
      </c>
      <c r="D13" s="17">
        <f>ROUND(Capacity!$H13+Energy!D13,2)</f>
        <v>23.91</v>
      </c>
      <c r="E13" s="17">
        <f>ROUND(Capacity!$H13+Energy!E13,2)</f>
        <v>24.46</v>
      </c>
      <c r="F13" s="17">
        <f>ROUND(Capacity!$I13+Energy!F13,2)</f>
        <v>24.29</v>
      </c>
      <c r="G13" s="17">
        <f>ROUND(Capacity!$J13+Energy!G13,2)</f>
        <v>24.29</v>
      </c>
      <c r="H13" s="17">
        <f>ROUND(Capacity!$J13+Energy!H13,2)</f>
        <v>24.06</v>
      </c>
      <c r="I13" s="17">
        <f>ROUND(Capacity!$J13+Energy!I13,2)</f>
        <v>24.06</v>
      </c>
      <c r="J13" s="17">
        <f>ROUND(Capacity!$J13+Energy!J13,2)</f>
        <v>24</v>
      </c>
      <c r="K13" s="17">
        <f>ROUND(Capacity!$K13+Energy!K13,2)</f>
        <v>23.98</v>
      </c>
      <c r="M13" s="54"/>
      <c r="N13" s="54"/>
      <c r="O13" s="54"/>
      <c r="P13" s="54"/>
      <c r="Q13" s="54"/>
      <c r="R13" s="54"/>
      <c r="S13" s="54"/>
      <c r="T13" s="5"/>
    </row>
    <row r="14" spans="2:20" ht="15.75" x14ac:dyDescent="0.25">
      <c r="B14" s="3">
        <f t="shared" si="0"/>
        <v>2020</v>
      </c>
      <c r="C14" s="17">
        <f>ROUND(Capacity!$H14+Energy!C14,2)</f>
        <v>24.96</v>
      </c>
      <c r="D14" s="17">
        <f>ROUND(Capacity!$H14+Energy!D14,2)</f>
        <v>23.98</v>
      </c>
      <c r="E14" s="17">
        <f>ROUND(Capacity!$H14+Energy!E14,2)</f>
        <v>24.32</v>
      </c>
      <c r="F14" s="17">
        <f>ROUND(Capacity!$I14+Energy!F14,2)</f>
        <v>24.24</v>
      </c>
      <c r="G14" s="17">
        <f>ROUND(Capacity!$J14+Energy!G14,2)</f>
        <v>24.24</v>
      </c>
      <c r="H14" s="17">
        <f>ROUND(Capacity!$J14+Energy!H14,2)</f>
        <v>24.36</v>
      </c>
      <c r="I14" s="17">
        <f>ROUND(Capacity!$J14+Energy!I14,2)</f>
        <v>24.36</v>
      </c>
      <c r="J14" s="17">
        <f>ROUND(Capacity!$J14+Energy!J14,2)</f>
        <v>24.3</v>
      </c>
      <c r="K14" s="17">
        <f>ROUND(Capacity!$K14+Energy!K14,2)</f>
        <v>24.32</v>
      </c>
      <c r="M14" s="54"/>
      <c r="N14" s="54"/>
      <c r="O14" s="54"/>
      <c r="P14" s="54"/>
      <c r="Q14" s="54"/>
      <c r="R14" s="54"/>
      <c r="S14" s="54"/>
    </row>
    <row r="15" spans="2:20" ht="15.75" x14ac:dyDescent="0.25">
      <c r="B15" s="3">
        <f t="shared" si="0"/>
        <v>2021</v>
      </c>
      <c r="C15" s="17">
        <f>ROUND(Capacity!$H15+Energy!C15,2)</f>
        <v>26.73</v>
      </c>
      <c r="D15" s="17">
        <f>ROUND(Capacity!$H15+Energy!D15,2)</f>
        <v>25.29</v>
      </c>
      <c r="E15" s="17">
        <f>ROUND(Capacity!$H15+Energy!E15,2)</f>
        <v>25.99</v>
      </c>
      <c r="F15" s="17">
        <f>ROUND(Capacity!$I15+Energy!F15,2)</f>
        <v>26.28</v>
      </c>
      <c r="G15" s="17">
        <f>ROUND(Capacity!$J15+Energy!G15,2)</f>
        <v>26.28</v>
      </c>
      <c r="H15" s="17">
        <f>ROUND(Capacity!$J15+Energy!H15,2)</f>
        <v>25.98</v>
      </c>
      <c r="I15" s="17">
        <f>ROUND(Capacity!$J15+Energy!I15,2)</f>
        <v>25.98</v>
      </c>
      <c r="J15" s="17">
        <f>ROUND(Capacity!$J15+Energy!J15,2)</f>
        <v>25.96</v>
      </c>
      <c r="K15" s="17">
        <f>ROUND(Capacity!$K15+Energy!K15,2)</f>
        <v>25.46</v>
      </c>
      <c r="M15" s="54"/>
      <c r="N15" s="54"/>
      <c r="O15" s="54"/>
      <c r="P15" s="54"/>
      <c r="Q15" s="54"/>
      <c r="R15" s="54"/>
      <c r="S15" s="54"/>
    </row>
    <row r="16" spans="2:20" ht="15.75" x14ac:dyDescent="0.25">
      <c r="B16" s="3">
        <f t="shared" si="0"/>
        <v>2022</v>
      </c>
      <c r="C16" s="17">
        <f>ROUND(Capacity!$H16+Energy!C16,2)</f>
        <v>28.36</v>
      </c>
      <c r="D16" s="17">
        <f>ROUND(Capacity!$H16+Energy!D16,2)</f>
        <v>27.01</v>
      </c>
      <c r="E16" s="17">
        <f>ROUND(Capacity!$H16+Energy!E16,2)</f>
        <v>27.88</v>
      </c>
      <c r="F16" s="17">
        <f>ROUND(Capacity!$I16+Energy!F16,2)</f>
        <v>28</v>
      </c>
      <c r="G16" s="17">
        <f>ROUND(Capacity!$J16+Energy!G16,2)</f>
        <v>28</v>
      </c>
      <c r="H16" s="17">
        <f>ROUND(Capacity!$J16+Energy!H16,2)</f>
        <v>27.83</v>
      </c>
      <c r="I16" s="17">
        <f>ROUND(Capacity!$J16+Energy!I16,2)</f>
        <v>27.83</v>
      </c>
      <c r="J16" s="17">
        <f>ROUND(Capacity!$J16+Energy!J16,2)</f>
        <v>27.79</v>
      </c>
      <c r="K16" s="17">
        <f>ROUND(Capacity!$K16+Energy!K16,2)</f>
        <v>26.66</v>
      </c>
      <c r="M16" s="54"/>
      <c r="N16" s="54"/>
      <c r="O16" s="54"/>
      <c r="P16" s="54"/>
      <c r="Q16" s="54"/>
      <c r="R16" s="54"/>
      <c r="S16" s="54"/>
    </row>
    <row r="17" spans="2:19" ht="15.75" x14ac:dyDescent="0.25">
      <c r="B17" s="3">
        <f t="shared" si="0"/>
        <v>2023</v>
      </c>
      <c r="C17" s="17">
        <f>ROUND(Capacity!$H17+Energy!C17,2)</f>
        <v>30.45</v>
      </c>
      <c r="D17" s="17">
        <f>ROUND(Capacity!$H17+Energy!D17,2)</f>
        <v>29.15</v>
      </c>
      <c r="E17" s="17">
        <f>ROUND(Capacity!$H17+Energy!E17,2)</f>
        <v>29.81</v>
      </c>
      <c r="F17" s="17">
        <f>ROUND(Capacity!$I17+Energy!F17,2)</f>
        <v>29.87</v>
      </c>
      <c r="G17" s="17">
        <f>ROUND(Capacity!$J17+Energy!G17,2)</f>
        <v>29.87</v>
      </c>
      <c r="H17" s="17">
        <f>ROUND(Capacity!$J17+Energy!H17,2)</f>
        <v>29.95</v>
      </c>
      <c r="I17" s="17">
        <f>ROUND(Capacity!$J17+Energy!I17,2)</f>
        <v>29.95</v>
      </c>
      <c r="J17" s="17">
        <f>ROUND(Capacity!$J17+Energy!J17,2)</f>
        <v>29.96</v>
      </c>
      <c r="K17" s="17">
        <f>ROUND(Capacity!$K17+Energy!K17,2)</f>
        <v>28.52</v>
      </c>
      <c r="M17" s="54"/>
      <c r="N17" s="54"/>
      <c r="O17" s="54"/>
      <c r="P17" s="54"/>
      <c r="Q17" s="54"/>
      <c r="R17" s="54"/>
      <c r="S17" s="54"/>
    </row>
    <row r="18" spans="2:19" ht="15.75" x14ac:dyDescent="0.25">
      <c r="B18" s="3">
        <f t="shared" si="0"/>
        <v>2024</v>
      </c>
      <c r="C18" s="17">
        <f>ROUND(Capacity!$H18+Energy!C18,2)</f>
        <v>31.94</v>
      </c>
      <c r="D18" s="17">
        <f>ROUND(Capacity!$H18+Energy!D18,2)</f>
        <v>30.59</v>
      </c>
      <c r="E18" s="17">
        <f>ROUND(Capacity!$H18+Energy!E18,2)</f>
        <v>31.47</v>
      </c>
      <c r="F18" s="17">
        <f>ROUND(Capacity!$I18+Energy!F18,2)</f>
        <v>31.55</v>
      </c>
      <c r="G18" s="17">
        <f>ROUND(Capacity!$J18+Energy!G18,2)</f>
        <v>31.55</v>
      </c>
      <c r="H18" s="17">
        <f>ROUND(Capacity!$J18+Energy!H18,2)</f>
        <v>31.21</v>
      </c>
      <c r="I18" s="17">
        <f>ROUND(Capacity!$J18+Energy!I18,2)</f>
        <v>31.21</v>
      </c>
      <c r="J18" s="17">
        <f>ROUND(Capacity!$J18+Energy!J18,2)</f>
        <v>31.2</v>
      </c>
      <c r="K18" s="17">
        <f>ROUND(Capacity!$K18+Energy!K18,2)</f>
        <v>30.2</v>
      </c>
      <c r="M18" s="54"/>
      <c r="N18" s="54"/>
      <c r="O18" s="54"/>
      <c r="P18" s="54"/>
      <c r="Q18" s="54"/>
      <c r="R18" s="54"/>
      <c r="S18" s="54"/>
    </row>
    <row r="19" spans="2:19" ht="15.75" x14ac:dyDescent="0.25">
      <c r="B19" s="3">
        <f t="shared" si="0"/>
        <v>2025</v>
      </c>
      <c r="C19" s="17">
        <f>ROUND(Capacity!$H19+Energy!C19,2)</f>
        <v>33.549999999999997</v>
      </c>
      <c r="D19" s="17">
        <f>ROUND(Capacity!$H19+Energy!D19,2)</f>
        <v>31.55</v>
      </c>
      <c r="E19" s="17">
        <f>ROUND(Capacity!$H19+Energy!E19,2)</f>
        <v>32.68</v>
      </c>
      <c r="F19" s="17">
        <f>ROUND(Capacity!$I19+Energy!F19,2)</f>
        <v>32.47</v>
      </c>
      <c r="G19" s="17">
        <f>ROUND(Capacity!$J19+Energy!G19,2)</f>
        <v>32.47</v>
      </c>
      <c r="H19" s="17">
        <f>ROUND(Capacity!$J19+Energy!H19,2)</f>
        <v>32.51</v>
      </c>
      <c r="I19" s="17">
        <f>ROUND(Capacity!$J19+Energy!I19,2)</f>
        <v>32.51</v>
      </c>
      <c r="J19" s="17">
        <f>ROUND(Capacity!$J19+Energy!J19,2)</f>
        <v>32.450000000000003</v>
      </c>
      <c r="K19" s="17">
        <f>ROUND(Capacity!$K19+Energy!K19,2)</f>
        <v>30.37</v>
      </c>
      <c r="M19" s="54"/>
      <c r="N19" s="54"/>
      <c r="O19" s="54"/>
      <c r="P19" s="54"/>
      <c r="Q19" s="54"/>
      <c r="R19" s="54"/>
      <c r="S19" s="54"/>
    </row>
    <row r="20" spans="2:19" ht="15.75" x14ac:dyDescent="0.25">
      <c r="B20" s="3">
        <f t="shared" si="0"/>
        <v>2026</v>
      </c>
      <c r="C20" s="17">
        <f>ROUND(Capacity!$H20+Energy!C20,2)</f>
        <v>34.89</v>
      </c>
      <c r="D20" s="17">
        <f>ROUND(Capacity!$H20+Energy!D20,2)</f>
        <v>33.92</v>
      </c>
      <c r="E20" s="17">
        <f>ROUND(Capacity!$H20+Energy!E20,2)</f>
        <v>33.950000000000003</v>
      </c>
      <c r="F20" s="17">
        <f>ROUND(Capacity!$I20+Energy!F20,2)</f>
        <v>33.56</v>
      </c>
      <c r="G20" s="17">
        <f>ROUND(Capacity!$J20+Energy!G20,2)</f>
        <v>33.56</v>
      </c>
      <c r="H20" s="17">
        <f>ROUND(Capacity!$J20+Energy!H20,2)</f>
        <v>33.5</v>
      </c>
      <c r="I20" s="17">
        <f>ROUND(Capacity!$J20+Energy!I20,2)</f>
        <v>33.5</v>
      </c>
      <c r="J20" s="17">
        <f>ROUND(Capacity!$J20+Energy!J20,2)</f>
        <v>33.46</v>
      </c>
      <c r="K20" s="17">
        <f>ROUND(Capacity!$K20+Energy!K20,2)</f>
        <v>30.9</v>
      </c>
      <c r="M20" s="54"/>
      <c r="N20" s="54"/>
      <c r="O20" s="54"/>
      <c r="P20" s="54"/>
      <c r="Q20" s="54"/>
      <c r="R20" s="54"/>
      <c r="S20" s="54"/>
    </row>
    <row r="21" spans="2:19" ht="15.75" x14ac:dyDescent="0.25">
      <c r="B21" s="3">
        <f t="shared" si="0"/>
        <v>2027</v>
      </c>
      <c r="C21" s="17">
        <f>ROUND(Capacity!$H21+Energy!C21,2)</f>
        <v>36.770000000000003</v>
      </c>
      <c r="D21" s="17">
        <f>ROUND(Capacity!$H21+Energy!D21,2)</f>
        <v>34.72</v>
      </c>
      <c r="E21" s="17">
        <f>ROUND(Capacity!$H21+Energy!E21,2)</f>
        <v>34.86</v>
      </c>
      <c r="F21" s="17">
        <f>ROUND(Capacity!$I21+Energy!F21,2)</f>
        <v>34.520000000000003</v>
      </c>
      <c r="G21" s="17">
        <f>ROUND(Capacity!$J21+Energy!G21,2)</f>
        <v>34.520000000000003</v>
      </c>
      <c r="H21" s="17">
        <f>ROUND(Capacity!$J21+Energy!H21,2)</f>
        <v>34.6</v>
      </c>
      <c r="I21" s="17">
        <f>ROUND(Capacity!$J21+Energy!I21,2)</f>
        <v>34.6</v>
      </c>
      <c r="J21" s="17">
        <f>ROUND(Capacity!$J21+Energy!J21,2)</f>
        <v>34.590000000000003</v>
      </c>
      <c r="K21" s="17">
        <f>ROUND(Capacity!$K21+Energy!K21,2)</f>
        <v>31.89</v>
      </c>
      <c r="M21" s="54"/>
      <c r="N21" s="54"/>
      <c r="O21" s="54"/>
      <c r="P21" s="54"/>
      <c r="Q21" s="54"/>
      <c r="R21" s="54"/>
      <c r="S21" s="54"/>
    </row>
    <row r="22" spans="2:19" ht="15.75" x14ac:dyDescent="0.25">
      <c r="B22" s="3">
        <f t="shared" si="0"/>
        <v>2028</v>
      </c>
      <c r="C22" s="17">
        <f>ROUND(Capacity!$H22+Energy!C22,2)</f>
        <v>40.42</v>
      </c>
      <c r="D22" s="17">
        <f>ROUND(Capacity!$H22+Energy!D22,2)</f>
        <v>37.590000000000003</v>
      </c>
      <c r="E22" s="17">
        <f>ROUND(Capacity!$H22+Energy!E22,2)</f>
        <v>37.85</v>
      </c>
      <c r="F22" s="17">
        <f>ROUND(Capacity!$I22+Energy!F22,2)</f>
        <v>37.61</v>
      </c>
      <c r="G22" s="17">
        <f>ROUND(Capacity!$J22+Energy!G22,2)</f>
        <v>37.76</v>
      </c>
      <c r="H22" s="17">
        <f>ROUND(Capacity!$J22+Energy!H22,2)</f>
        <v>38.24</v>
      </c>
      <c r="I22" s="17">
        <f>ROUND(Capacity!$J22+Energy!I22,2)</f>
        <v>38.25</v>
      </c>
      <c r="J22" s="17">
        <f>ROUND(Capacity!$J22+Energy!J22,2)</f>
        <v>38.21</v>
      </c>
      <c r="K22" s="17">
        <f>ROUND(Capacity!$K22+Energy!K22,2)</f>
        <v>37.119999999999997</v>
      </c>
      <c r="M22" s="54"/>
      <c r="N22" s="54"/>
      <c r="O22" s="54"/>
      <c r="P22" s="54"/>
      <c r="Q22" s="54"/>
      <c r="R22" s="54"/>
      <c r="S22" s="54"/>
    </row>
    <row r="23" spans="2:19" ht="15.75" x14ac:dyDescent="0.25">
      <c r="B23" s="3">
        <f t="shared" si="0"/>
        <v>2029</v>
      </c>
      <c r="C23" s="17">
        <f>ROUND(Capacity!$H23+Energy!C23,2)</f>
        <v>41.42</v>
      </c>
      <c r="D23" s="17">
        <f>ROUND(Capacity!$H23+Energy!D23,2)</f>
        <v>38.67</v>
      </c>
      <c r="E23" s="17">
        <f>ROUND(Capacity!$H23+Energy!E23,2)</f>
        <v>38.43</v>
      </c>
      <c r="F23" s="17">
        <f>ROUND(Capacity!$I23+Energy!F23,2)</f>
        <v>38.71</v>
      </c>
      <c r="G23" s="17">
        <f>ROUND(Capacity!$J23+Energy!G23,2)</f>
        <v>38.81</v>
      </c>
      <c r="H23" s="17">
        <f>ROUND(Capacity!$J23+Energy!H23,2)</f>
        <v>38.380000000000003</v>
      </c>
      <c r="I23" s="17">
        <f>ROUND(Capacity!$J23+Energy!I23,2)</f>
        <v>38.39</v>
      </c>
      <c r="J23" s="17">
        <f>ROUND(Capacity!$J23+Energy!J23,2)</f>
        <v>38.369999999999997</v>
      </c>
      <c r="K23" s="17">
        <f>ROUND(Capacity!$K23+Energy!K23,2)</f>
        <v>37.58</v>
      </c>
      <c r="M23" s="54"/>
      <c r="N23" s="54"/>
      <c r="O23" s="54"/>
      <c r="P23" s="54"/>
      <c r="Q23" s="54"/>
      <c r="R23" s="54"/>
      <c r="S23" s="54"/>
    </row>
    <row r="24" spans="2:19" ht="15.75" x14ac:dyDescent="0.25">
      <c r="B24" s="3">
        <f t="shared" si="0"/>
        <v>2030</v>
      </c>
      <c r="C24" s="17">
        <f>ROUND(Capacity!$H24+Energy!C24,2)</f>
        <v>49.34</v>
      </c>
      <c r="D24" s="17">
        <f>ROUND(Capacity!$H24+Energy!D24,2)</f>
        <v>46.56</v>
      </c>
      <c r="E24" s="17">
        <f>ROUND(Capacity!$H24+Energy!E24,2)</f>
        <v>46.69</v>
      </c>
      <c r="F24" s="17">
        <f>ROUND(Capacity!$I24+Energy!F24,2)</f>
        <v>44.09</v>
      </c>
      <c r="G24" s="17">
        <f>ROUND(Capacity!$J24+Energy!G24,2)</f>
        <v>55.56</v>
      </c>
      <c r="H24" s="17">
        <f>ROUND(Capacity!$J24+Energy!H24,2)</f>
        <v>56.23</v>
      </c>
      <c r="I24" s="17">
        <f>ROUND(Capacity!$J24+Energy!I24,2)</f>
        <v>56.23</v>
      </c>
      <c r="J24" s="17">
        <f>ROUND(Capacity!$J24+Energy!J24,2)</f>
        <v>56.09</v>
      </c>
      <c r="K24" s="17">
        <f>ROUND(Capacity!$K24+Energy!K24,2)</f>
        <v>55.41</v>
      </c>
      <c r="M24" s="54"/>
      <c r="N24" s="54"/>
      <c r="O24" s="54"/>
      <c r="P24" s="54"/>
      <c r="Q24" s="54"/>
      <c r="R24" s="54"/>
      <c r="S24" s="54"/>
    </row>
    <row r="25" spans="2:19" ht="15.75" x14ac:dyDescent="0.25">
      <c r="B25" s="3">
        <f t="shared" si="0"/>
        <v>2031</v>
      </c>
      <c r="C25" s="17">
        <f>ROUND(Capacity!$H25+Energy!C25,2)</f>
        <v>51.52</v>
      </c>
      <c r="D25" s="17">
        <f>ROUND(Capacity!$H25+Energy!D25,2)</f>
        <v>48.29</v>
      </c>
      <c r="E25" s="17">
        <f>ROUND(Capacity!$H25+Energy!E25,2)</f>
        <v>48.5</v>
      </c>
      <c r="F25" s="17">
        <f>ROUND(Capacity!$I25+Energy!F25,2)</f>
        <v>46.35</v>
      </c>
      <c r="G25" s="17">
        <f>ROUND(Capacity!$J25+Energy!G25,2)</f>
        <v>57.5</v>
      </c>
      <c r="H25" s="17">
        <f>ROUND(Capacity!$J25+Energy!H25,2)</f>
        <v>58.17</v>
      </c>
      <c r="I25" s="17">
        <f>ROUND(Capacity!$J25+Energy!I25,2)</f>
        <v>58.17</v>
      </c>
      <c r="J25" s="17">
        <f>ROUND(Capacity!$J25+Energy!J25,2)</f>
        <v>58</v>
      </c>
      <c r="K25" s="17">
        <f>ROUND(Capacity!$K25+Energy!K25,2)</f>
        <v>57.81</v>
      </c>
      <c r="M25" s="54"/>
      <c r="N25" s="54"/>
      <c r="O25" s="54"/>
      <c r="P25" s="54"/>
      <c r="Q25" s="54"/>
      <c r="R25" s="54"/>
      <c r="S25" s="54"/>
    </row>
    <row r="26" spans="2:19" ht="15.75" x14ac:dyDescent="0.25">
      <c r="B26" s="3">
        <f t="shared" si="0"/>
        <v>2032</v>
      </c>
      <c r="C26" s="17">
        <f>ROUND(Capacity!$H26+Energy!C26,2)</f>
        <v>53.68</v>
      </c>
      <c r="D26" s="17">
        <f>ROUND(Capacity!$H26+Energy!D26,2)</f>
        <v>50.99</v>
      </c>
      <c r="E26" s="17">
        <f>ROUND(Capacity!$H26+Energy!E26,2)</f>
        <v>50.87</v>
      </c>
      <c r="F26" s="17">
        <f>ROUND(Capacity!$I26+Energy!F26,2)</f>
        <v>47.18</v>
      </c>
      <c r="G26" s="17">
        <f>ROUND(Capacity!$J26+Energy!G26,2)</f>
        <v>59.05</v>
      </c>
      <c r="H26" s="17">
        <f>ROUND(Capacity!$J26+Energy!H26,2)</f>
        <v>59.54</v>
      </c>
      <c r="I26" s="17">
        <f>ROUND(Capacity!$J26+Energy!I26,2)</f>
        <v>59.54</v>
      </c>
      <c r="J26" s="17">
        <f>ROUND(Capacity!$J26+Energy!J26,2)</f>
        <v>59.45</v>
      </c>
      <c r="K26" s="17">
        <f>ROUND(Capacity!$K26+Energy!K26,2)</f>
        <v>59.01</v>
      </c>
      <c r="M26" s="54"/>
      <c r="N26" s="54"/>
      <c r="O26" s="54"/>
      <c r="P26" s="54"/>
      <c r="Q26" s="54"/>
      <c r="R26" s="54"/>
      <c r="S26" s="54"/>
    </row>
    <row r="27" spans="2:19" ht="15.75" x14ac:dyDescent="0.25">
      <c r="B27" s="3">
        <f t="shared" si="0"/>
        <v>2033</v>
      </c>
      <c r="C27" s="17">
        <f>ROUND(Capacity!$H27+Energy!C27,2)</f>
        <v>55.2</v>
      </c>
      <c r="D27" s="17">
        <f>ROUND(Capacity!$H27+Energy!D27,2)</f>
        <v>52.1</v>
      </c>
      <c r="E27" s="17">
        <f>ROUND(Capacity!$H27+Energy!E27,2)</f>
        <v>51.99</v>
      </c>
      <c r="F27" s="17">
        <f>ROUND(Capacity!$I27+Energy!F27,2)</f>
        <v>51.43</v>
      </c>
      <c r="G27" s="17">
        <f>ROUND(Capacity!$J27+Energy!G27,2)</f>
        <v>60.57</v>
      </c>
      <c r="H27" s="17">
        <f>ROUND(Capacity!$J27+Energy!H27,2)</f>
        <v>61.81</v>
      </c>
      <c r="I27" s="17">
        <f>ROUND(Capacity!$J27+Energy!I27,2)</f>
        <v>61.81</v>
      </c>
      <c r="J27" s="17">
        <f>ROUND(Capacity!$J27+Energy!J27,2)</f>
        <v>61.8</v>
      </c>
      <c r="K27" s="17">
        <f>ROUND(Capacity!$K27+Energy!K27,2)</f>
        <v>61.24</v>
      </c>
      <c r="M27" s="54"/>
      <c r="N27" s="54"/>
      <c r="O27" s="54"/>
      <c r="P27" s="54"/>
      <c r="Q27" s="54"/>
      <c r="R27" s="54"/>
      <c r="S27" s="54"/>
    </row>
    <row r="28" spans="2:19" ht="15.75" x14ac:dyDescent="0.25">
      <c r="B28" s="3">
        <f t="shared" si="0"/>
        <v>2034</v>
      </c>
      <c r="C28" s="17">
        <f>ROUND(Capacity!$H28+Energy!C28,2)</f>
        <v>62.47</v>
      </c>
      <c r="D28" s="17">
        <f>ROUND(Capacity!$H28+Energy!D28,2)</f>
        <v>62.31</v>
      </c>
      <c r="E28" s="17">
        <f>ROUND(Capacity!$H28+Energy!E28,2)</f>
        <v>62.33</v>
      </c>
      <c r="F28" s="17">
        <f>ROUND(Capacity!$I28+Energy!F28,2)</f>
        <v>52.2</v>
      </c>
      <c r="G28" s="17">
        <f>ROUND(Capacity!$J28+Energy!G28,2)</f>
        <v>61.99</v>
      </c>
      <c r="H28" s="17">
        <f>ROUND(Capacity!$J28+Energy!H28,2)</f>
        <v>62.6</v>
      </c>
      <c r="I28" s="17">
        <f>ROUND(Capacity!$J28+Energy!I28,2)</f>
        <v>62.6</v>
      </c>
      <c r="J28" s="17">
        <f>ROUND(Capacity!$J28+Energy!J28,2)</f>
        <v>62.59</v>
      </c>
      <c r="K28" s="17">
        <f>ROUND(Capacity!$K28+Energy!K28,2)</f>
        <v>62.6</v>
      </c>
      <c r="M28" s="54"/>
      <c r="N28" s="54"/>
      <c r="O28" s="54"/>
      <c r="P28" s="54"/>
      <c r="Q28" s="54"/>
      <c r="R28" s="54"/>
      <c r="S28" s="54"/>
    </row>
    <row r="29" spans="2:19" ht="15.75" x14ac:dyDescent="0.25">
      <c r="B29" s="3">
        <f t="shared" si="0"/>
        <v>2035</v>
      </c>
      <c r="C29" s="17">
        <f>ROUND(Capacity!$H29+Energy!C29,2)</f>
        <v>64.98</v>
      </c>
      <c r="D29" s="17">
        <f>ROUND(Capacity!$H29+Energy!D29,2)</f>
        <v>64.53</v>
      </c>
      <c r="E29" s="17">
        <f>ROUND(Capacity!$H29+Energy!E29,2)</f>
        <v>64.62</v>
      </c>
      <c r="F29" s="17">
        <f>ROUND(Capacity!$I29+Energy!F29,2)</f>
        <v>53.62</v>
      </c>
      <c r="G29" s="17">
        <f>ROUND(Capacity!$J29+Energy!G29,2)</f>
        <v>64.16</v>
      </c>
      <c r="H29" s="17">
        <f>ROUND(Capacity!$J29+Energy!H29,2)</f>
        <v>64.319999999999993</v>
      </c>
      <c r="I29" s="17">
        <f>ROUND(Capacity!$J29+Energy!I29,2)</f>
        <v>64.319999999999993</v>
      </c>
      <c r="J29" s="17">
        <f>ROUND(Capacity!$J29+Energy!J29,2)</f>
        <v>64.3</v>
      </c>
      <c r="K29" s="17">
        <f>ROUND(Capacity!$K29+Energy!K29,2)</f>
        <v>64.38</v>
      </c>
      <c r="M29" s="54"/>
      <c r="N29" s="54"/>
      <c r="O29" s="54"/>
      <c r="P29" s="54"/>
      <c r="Q29" s="54"/>
      <c r="R29" s="54"/>
      <c r="S29" s="54"/>
    </row>
    <row r="30" spans="2:19" x14ac:dyDescent="0.2">
      <c r="C30" s="18"/>
      <c r="D30" s="18"/>
      <c r="E30" s="18"/>
      <c r="F30" s="18"/>
      <c r="G30" s="18"/>
      <c r="H30" s="18"/>
      <c r="I30" s="18"/>
      <c r="J30" s="18"/>
      <c r="K30" s="18"/>
      <c r="M30" s="54"/>
      <c r="N30" s="54"/>
    </row>
    <row r="31" spans="2:19" x14ac:dyDescent="0.2">
      <c r="B31" s="4" t="str">
        <f>"Nominal Levelized Payment at "&amp;TEXT(Discount_Rate,"0.000%")&amp;" Discount Rate (3)"</f>
        <v>Nominal Levelized Payment at 6.660% Discount Rate (3)</v>
      </c>
      <c r="C31" s="18"/>
      <c r="D31" s="18"/>
      <c r="E31" s="18"/>
      <c r="F31" s="18"/>
      <c r="G31" s="18"/>
      <c r="H31" s="18"/>
      <c r="I31" s="18"/>
      <c r="J31" s="18"/>
      <c r="K31" s="18"/>
      <c r="M31" s="54"/>
      <c r="N31" s="54"/>
    </row>
    <row r="32" spans="2:19" x14ac:dyDescent="0.2">
      <c r="B32" s="8" t="str">
        <f>B10&amp;" - "&amp;B29</f>
        <v>2016 - 2035</v>
      </c>
      <c r="C32" s="19">
        <f t="shared" ref="C32:G32" si="1">ROUND(PMT(Discount_Rate,COUNT(C10:C29),-NPV(Discount_Rate,C10:C29)),2)</f>
        <v>33.64</v>
      </c>
      <c r="D32" s="19">
        <f t="shared" si="1"/>
        <v>32.299999999999997</v>
      </c>
      <c r="E32" s="19">
        <f t="shared" si="1"/>
        <v>32.630000000000003</v>
      </c>
      <c r="F32" s="19">
        <f t="shared" si="1"/>
        <v>31.72</v>
      </c>
      <c r="G32" s="19">
        <f t="shared" si="1"/>
        <v>33.700000000000003</v>
      </c>
      <c r="H32" s="19">
        <f t="shared" ref="H32" si="2">ROUND(PMT(Discount_Rate,COUNT(H10:H29),-NPV(Discount_Rate,H10:H29)),2)</f>
        <v>33.79</v>
      </c>
      <c r="I32" s="19">
        <f t="shared" ref="I32:J32" si="3">ROUND(PMT(Discount_Rate,COUNT(I10:I29),-NPV(Discount_Rate,I10:I29)),2)</f>
        <v>33.79</v>
      </c>
      <c r="J32" s="19">
        <f t="shared" si="3"/>
        <v>33.75</v>
      </c>
      <c r="K32" s="19">
        <f t="shared" ref="K32" si="4">ROUND(PMT(Discount_Rate,COUNT(K10:K29),-NPV(Discount_Rate,K10:K29)),2)</f>
        <v>33.119999999999997</v>
      </c>
      <c r="M32" s="54"/>
      <c r="N32" s="54"/>
    </row>
    <row r="33" spans="2:14" x14ac:dyDescent="0.2">
      <c r="D33" s="10"/>
      <c r="E33" s="10"/>
      <c r="F33" s="10"/>
      <c r="G33" s="10"/>
      <c r="H33" s="10"/>
      <c r="I33" s="10"/>
      <c r="J33" s="10"/>
      <c r="K33" s="10"/>
      <c r="M33" s="54"/>
      <c r="N33" s="54"/>
    </row>
    <row r="34" spans="2:14" x14ac:dyDescent="0.2">
      <c r="B34" s="8" t="s">
        <v>5</v>
      </c>
      <c r="M34" s="54"/>
      <c r="N34" s="54"/>
    </row>
    <row r="35" spans="2:14" x14ac:dyDescent="0.2">
      <c r="B35" s="1" t="str">
        <f>"(2)   Official Forward Price Curve Dated "&amp;TEXT(B44,"MMMM YYYY")</f>
        <v>(2)   Official Forward Price Curve Dated June 2015</v>
      </c>
      <c r="M35" s="54"/>
      <c r="N35" s="54"/>
    </row>
    <row r="36" spans="2:14" x14ac:dyDescent="0.2">
      <c r="B36" s="1" t="str">
        <f>"(3)   "&amp;B40</f>
        <v>(3)   Discount Rate - 2015 IRP Page 141</v>
      </c>
    </row>
    <row r="37" spans="2:14" x14ac:dyDescent="0.2">
      <c r="B37" s="1" t="s">
        <v>11</v>
      </c>
    </row>
    <row r="38" spans="2:14" hidden="1" x14ac:dyDescent="0.2">
      <c r="B38" s="1" t="s">
        <v>15</v>
      </c>
    </row>
    <row r="39" spans="2:14" hidden="1" x14ac:dyDescent="0.2">
      <c r="B39" s="26"/>
    </row>
    <row r="40" spans="2:14" hidden="1" x14ac:dyDescent="0.2">
      <c r="B40" s="26" t="s">
        <v>21</v>
      </c>
      <c r="E40" s="24"/>
      <c r="F40" s="24"/>
      <c r="G40" s="24"/>
      <c r="H40" s="24"/>
      <c r="I40" s="24"/>
      <c r="J40" s="24"/>
      <c r="K40" s="24"/>
    </row>
    <row r="41" spans="2:14" hidden="1" x14ac:dyDescent="0.2">
      <c r="B41" s="25">
        <v>6.6600000000000006E-2</v>
      </c>
      <c r="E41" s="24"/>
      <c r="F41" s="24"/>
      <c r="G41" s="24"/>
      <c r="H41" s="24"/>
      <c r="I41" s="24"/>
      <c r="J41" s="24"/>
      <c r="K41" s="24"/>
    </row>
    <row r="42" spans="2:14" hidden="1" x14ac:dyDescent="0.2">
      <c r="D42" s="24"/>
      <c r="E42" s="24"/>
      <c r="F42" s="24"/>
      <c r="G42" s="24"/>
      <c r="H42" s="24"/>
      <c r="I42" s="24"/>
      <c r="J42" s="24"/>
      <c r="K42" s="24"/>
    </row>
    <row r="43" spans="2:14" hidden="1" x14ac:dyDescent="0.2">
      <c r="B43" s="1" t="s">
        <v>14</v>
      </c>
    </row>
    <row r="44" spans="2:14" hidden="1" x14ac:dyDescent="0.2">
      <c r="B44" s="27">
        <v>42185</v>
      </c>
    </row>
  </sheetData>
  <phoneticPr fontId="2" type="noConversion"/>
  <printOptions horizontalCentered="1"/>
  <pageMargins left="0.25" right="0.25" top="0.75" bottom="0.75" header="0.3" footer="0.2"/>
  <pageSetup scale="81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K41"/>
  <sheetViews>
    <sheetView zoomScale="70" zoomScaleNormal="70" workbookViewId="0">
      <pane xSplit="2" ySplit="8" topLeftCell="C9" activePane="bottomRight" state="frozen"/>
      <selection activeCell="C1" sqref="C1:K1048576"/>
      <selection pane="topRight" activeCell="C1" sqref="C1:K1048576"/>
      <selection pane="bottomLeft" activeCell="C1" sqref="C1:K1048576"/>
      <selection pane="bottomRight" activeCell="F45" sqref="F45"/>
    </sheetView>
  </sheetViews>
  <sheetFormatPr defaultRowHeight="15" x14ac:dyDescent="0.2"/>
  <cols>
    <col min="1" max="1" width="1.85546875" style="30" customWidth="1"/>
    <col min="2" max="2" width="14.7109375" style="30" customWidth="1"/>
    <col min="3" max="11" width="16.42578125" style="30" customWidth="1"/>
    <col min="12" max="12" width="2.28515625" style="30" customWidth="1"/>
    <col min="13" max="16384" width="9.140625" style="30"/>
  </cols>
  <sheetData>
    <row r="1" spans="2:11" ht="15.75" x14ac:dyDescent="0.25">
      <c r="B1" s="28" t="str">
        <f>Total!B1</f>
        <v>Appendix C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8.2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5.75" x14ac:dyDescent="0.25">
      <c r="B3" s="28" t="str">
        <f>Total!B3</f>
        <v>Utah Quarterly Compliance Filing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5.75" x14ac:dyDescent="0.25">
      <c r="B4" s="28" t="str">
        <f>Capacity!$B$4</f>
        <v>Step Study between 2015.Q2 and 2015.Q1 Compliance Filing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ht="15.75" x14ac:dyDescent="0.25">
      <c r="B5" s="28" t="s">
        <v>7</v>
      </c>
      <c r="C5" s="28"/>
      <c r="D5" s="28"/>
      <c r="E5" s="28"/>
      <c r="F5" s="28"/>
      <c r="G5" s="28"/>
      <c r="H5" s="28"/>
      <c r="I5" s="28"/>
      <c r="J5" s="28"/>
      <c r="K5" s="28"/>
    </row>
    <row r="6" spans="2:11" ht="15.75" x14ac:dyDescent="0.25">
      <c r="B6" s="28"/>
      <c r="C6" s="57"/>
      <c r="D6" s="57"/>
      <c r="E6" s="57"/>
      <c r="F6" s="57"/>
      <c r="G6" s="57"/>
      <c r="H6" s="28"/>
      <c r="I6" s="28"/>
      <c r="J6" s="28"/>
      <c r="K6" s="28"/>
    </row>
    <row r="7" spans="2:11" ht="15.75" x14ac:dyDescent="0.25">
      <c r="B7" s="31"/>
      <c r="C7" s="50" t="str">
        <f>Capacity!N7</f>
        <v>2015.Q1</v>
      </c>
      <c r="D7" s="50" t="s">
        <v>23</v>
      </c>
      <c r="E7" s="50" t="s">
        <v>18</v>
      </c>
      <c r="F7" s="50" t="s">
        <v>36</v>
      </c>
      <c r="G7" s="56" t="s">
        <v>25</v>
      </c>
      <c r="H7" s="56" t="s">
        <v>35</v>
      </c>
      <c r="I7" s="56" t="s">
        <v>29</v>
      </c>
      <c r="J7" s="56" t="s">
        <v>31</v>
      </c>
      <c r="K7" s="56" t="s">
        <v>33</v>
      </c>
    </row>
    <row r="8" spans="2:11" ht="15.75" x14ac:dyDescent="0.25">
      <c r="B8" s="33" t="s">
        <v>0</v>
      </c>
      <c r="C8" s="49" t="str">
        <f>Total!C8</f>
        <v>As Filed</v>
      </c>
      <c r="D8" s="49" t="s">
        <v>24</v>
      </c>
      <c r="E8" s="49" t="s">
        <v>17</v>
      </c>
      <c r="F8" s="49" t="s">
        <v>19</v>
      </c>
      <c r="G8" s="55" t="s">
        <v>26</v>
      </c>
      <c r="H8" s="55" t="s">
        <v>28</v>
      </c>
      <c r="I8" s="55" t="s">
        <v>30</v>
      </c>
      <c r="J8" s="55" t="s">
        <v>32</v>
      </c>
      <c r="K8" s="55" t="s">
        <v>34</v>
      </c>
    </row>
    <row r="9" spans="2:11" ht="4.5" customHeight="1" x14ac:dyDescent="0.2"/>
    <row r="10" spans="2:11" ht="15.75" x14ac:dyDescent="0.25">
      <c r="B10" s="35">
        <f>Total!B10</f>
        <v>2016</v>
      </c>
      <c r="C10" s="48">
        <v>23.69</v>
      </c>
      <c r="D10" s="48">
        <v>23.54</v>
      </c>
      <c r="E10" s="48">
        <v>23.58</v>
      </c>
      <c r="F10" s="48">
        <v>23.36</v>
      </c>
      <c r="G10" s="48">
        <v>23.92</v>
      </c>
      <c r="H10" s="48">
        <v>23.99</v>
      </c>
      <c r="I10" s="48">
        <v>23.99</v>
      </c>
      <c r="J10" s="48">
        <v>23.97</v>
      </c>
      <c r="K10" s="48">
        <v>24.51</v>
      </c>
    </row>
    <row r="11" spans="2:11" ht="15.75" x14ac:dyDescent="0.25">
      <c r="B11" s="35">
        <f t="shared" ref="B11:B29" si="0">B10+1</f>
        <v>2017</v>
      </c>
      <c r="C11" s="48">
        <v>22.58</v>
      </c>
      <c r="D11" s="48">
        <v>22.35</v>
      </c>
      <c r="E11" s="48">
        <v>22.51</v>
      </c>
      <c r="F11" s="48">
        <v>22.32</v>
      </c>
      <c r="G11" s="48">
        <v>22.32</v>
      </c>
      <c r="H11" s="48">
        <v>22.27</v>
      </c>
      <c r="I11" s="48">
        <v>22.27</v>
      </c>
      <c r="J11" s="48">
        <v>22.25</v>
      </c>
      <c r="K11" s="48">
        <v>22.58</v>
      </c>
    </row>
    <row r="12" spans="2:11" ht="15.75" x14ac:dyDescent="0.25">
      <c r="B12" s="35">
        <f t="shared" si="0"/>
        <v>2018</v>
      </c>
      <c r="C12" s="48">
        <v>24.12</v>
      </c>
      <c r="D12" s="48">
        <v>23.54</v>
      </c>
      <c r="E12" s="48">
        <v>23.58</v>
      </c>
      <c r="F12" s="48">
        <v>23.48</v>
      </c>
      <c r="G12" s="48">
        <v>23.48</v>
      </c>
      <c r="H12" s="48">
        <v>23.74</v>
      </c>
      <c r="I12" s="48">
        <v>23.74</v>
      </c>
      <c r="J12" s="48">
        <v>23.69</v>
      </c>
      <c r="K12" s="48">
        <v>23.44</v>
      </c>
    </row>
    <row r="13" spans="2:11" ht="15.75" x14ac:dyDescent="0.25">
      <c r="B13" s="35">
        <f t="shared" si="0"/>
        <v>2019</v>
      </c>
      <c r="C13" s="48">
        <v>24.7</v>
      </c>
      <c r="D13" s="48">
        <v>23.91</v>
      </c>
      <c r="E13" s="48">
        <v>24.46</v>
      </c>
      <c r="F13" s="48">
        <v>24.29</v>
      </c>
      <c r="G13" s="48">
        <v>24.29</v>
      </c>
      <c r="H13" s="48">
        <v>24.06</v>
      </c>
      <c r="I13" s="48">
        <v>24.06</v>
      </c>
      <c r="J13" s="48">
        <v>24</v>
      </c>
      <c r="K13" s="48">
        <v>23.98</v>
      </c>
    </row>
    <row r="14" spans="2:11" ht="15.75" x14ac:dyDescent="0.25">
      <c r="B14" s="35">
        <f t="shared" si="0"/>
        <v>2020</v>
      </c>
      <c r="C14" s="48">
        <v>24.96</v>
      </c>
      <c r="D14" s="48">
        <v>23.98</v>
      </c>
      <c r="E14" s="48">
        <v>24.32</v>
      </c>
      <c r="F14" s="48">
        <v>24.24</v>
      </c>
      <c r="G14" s="48">
        <v>24.24</v>
      </c>
      <c r="H14" s="48">
        <v>24.36</v>
      </c>
      <c r="I14" s="48">
        <v>24.36</v>
      </c>
      <c r="J14" s="48">
        <v>24.3</v>
      </c>
      <c r="K14" s="48">
        <v>24.32</v>
      </c>
    </row>
    <row r="15" spans="2:11" ht="15.75" x14ac:dyDescent="0.25">
      <c r="B15" s="35">
        <f t="shared" si="0"/>
        <v>2021</v>
      </c>
      <c r="C15" s="48">
        <v>26.73</v>
      </c>
      <c r="D15" s="48">
        <v>25.29</v>
      </c>
      <c r="E15" s="48">
        <v>25.99</v>
      </c>
      <c r="F15" s="48">
        <v>26.28</v>
      </c>
      <c r="G15" s="48">
        <v>26.28</v>
      </c>
      <c r="H15" s="48">
        <v>25.98</v>
      </c>
      <c r="I15" s="48">
        <v>25.98</v>
      </c>
      <c r="J15" s="48">
        <v>25.96</v>
      </c>
      <c r="K15" s="48">
        <v>25.46</v>
      </c>
    </row>
    <row r="16" spans="2:11" ht="15.75" x14ac:dyDescent="0.25">
      <c r="B16" s="35">
        <f t="shared" si="0"/>
        <v>2022</v>
      </c>
      <c r="C16" s="48">
        <v>28.36</v>
      </c>
      <c r="D16" s="48">
        <v>27.01</v>
      </c>
      <c r="E16" s="48">
        <v>27.88</v>
      </c>
      <c r="F16" s="48">
        <v>28</v>
      </c>
      <c r="G16" s="48">
        <v>28</v>
      </c>
      <c r="H16" s="48">
        <v>27.83</v>
      </c>
      <c r="I16" s="48">
        <v>27.83</v>
      </c>
      <c r="J16" s="48">
        <v>27.79</v>
      </c>
      <c r="K16" s="48">
        <v>26.66</v>
      </c>
    </row>
    <row r="17" spans="2:11" ht="15.75" x14ac:dyDescent="0.25">
      <c r="B17" s="35">
        <f t="shared" si="0"/>
        <v>2023</v>
      </c>
      <c r="C17" s="48">
        <v>30.45</v>
      </c>
      <c r="D17" s="48">
        <v>29.15</v>
      </c>
      <c r="E17" s="48">
        <v>29.81</v>
      </c>
      <c r="F17" s="48">
        <v>29.87</v>
      </c>
      <c r="G17" s="48">
        <v>29.87</v>
      </c>
      <c r="H17" s="48">
        <v>29.95</v>
      </c>
      <c r="I17" s="48">
        <v>29.95</v>
      </c>
      <c r="J17" s="48">
        <v>29.96</v>
      </c>
      <c r="K17" s="48">
        <v>28.52</v>
      </c>
    </row>
    <row r="18" spans="2:11" ht="15.75" x14ac:dyDescent="0.25">
      <c r="B18" s="35">
        <f t="shared" si="0"/>
        <v>2024</v>
      </c>
      <c r="C18" s="48">
        <v>31.94</v>
      </c>
      <c r="D18" s="48">
        <v>30.59</v>
      </c>
      <c r="E18" s="48">
        <v>31.47</v>
      </c>
      <c r="F18" s="48">
        <v>31.55</v>
      </c>
      <c r="G18" s="48">
        <v>31.55</v>
      </c>
      <c r="H18" s="48">
        <v>31.21</v>
      </c>
      <c r="I18" s="48">
        <v>31.21</v>
      </c>
      <c r="J18" s="48">
        <v>31.2</v>
      </c>
      <c r="K18" s="48">
        <v>30.2</v>
      </c>
    </row>
    <row r="19" spans="2:11" ht="15.75" x14ac:dyDescent="0.25">
      <c r="B19" s="35">
        <f t="shared" si="0"/>
        <v>2025</v>
      </c>
      <c r="C19" s="48">
        <v>33.549999999999997</v>
      </c>
      <c r="D19" s="48">
        <v>31.55</v>
      </c>
      <c r="E19" s="48">
        <v>32.68</v>
      </c>
      <c r="F19" s="48">
        <v>32.47</v>
      </c>
      <c r="G19" s="48">
        <v>32.47</v>
      </c>
      <c r="H19" s="48">
        <v>32.51</v>
      </c>
      <c r="I19" s="48">
        <v>32.51</v>
      </c>
      <c r="J19" s="48">
        <v>32.450000000000003</v>
      </c>
      <c r="K19" s="48">
        <v>30.37</v>
      </c>
    </row>
    <row r="20" spans="2:11" ht="15.75" x14ac:dyDescent="0.25">
      <c r="B20" s="35">
        <f t="shared" si="0"/>
        <v>2026</v>
      </c>
      <c r="C20" s="48">
        <v>34.89</v>
      </c>
      <c r="D20" s="48">
        <v>33.92</v>
      </c>
      <c r="E20" s="48">
        <v>33.950000000000003</v>
      </c>
      <c r="F20" s="48">
        <v>33.56</v>
      </c>
      <c r="G20" s="48">
        <v>33.56</v>
      </c>
      <c r="H20" s="48">
        <v>33.5</v>
      </c>
      <c r="I20" s="48">
        <v>33.5</v>
      </c>
      <c r="J20" s="48">
        <v>33.46</v>
      </c>
      <c r="K20" s="48">
        <v>30.9</v>
      </c>
    </row>
    <row r="21" spans="2:11" ht="15.75" x14ac:dyDescent="0.25">
      <c r="B21" s="35">
        <f t="shared" si="0"/>
        <v>2027</v>
      </c>
      <c r="C21" s="48">
        <v>36.770000000000003</v>
      </c>
      <c r="D21" s="48">
        <v>34.72</v>
      </c>
      <c r="E21" s="48">
        <v>34.86</v>
      </c>
      <c r="F21" s="48">
        <v>34.520000000000003</v>
      </c>
      <c r="G21" s="48">
        <v>34.520000000000003</v>
      </c>
      <c r="H21" s="48">
        <v>34.6</v>
      </c>
      <c r="I21" s="48">
        <v>34.6</v>
      </c>
      <c r="J21" s="48">
        <v>34.590000000000003</v>
      </c>
      <c r="K21" s="48">
        <v>31.89</v>
      </c>
    </row>
    <row r="22" spans="2:11" ht="15.75" x14ac:dyDescent="0.25">
      <c r="B22" s="35">
        <f t="shared" si="0"/>
        <v>2028</v>
      </c>
      <c r="C22" s="48">
        <v>40.42</v>
      </c>
      <c r="D22" s="48">
        <v>37.590000000000003</v>
      </c>
      <c r="E22" s="48">
        <v>37.85</v>
      </c>
      <c r="F22" s="48">
        <v>37.61</v>
      </c>
      <c r="G22" s="48">
        <v>37.76</v>
      </c>
      <c r="H22" s="48">
        <v>38.24</v>
      </c>
      <c r="I22" s="48">
        <v>38.25</v>
      </c>
      <c r="J22" s="48">
        <v>38.21</v>
      </c>
      <c r="K22" s="48">
        <v>37.119999999999997</v>
      </c>
    </row>
    <row r="23" spans="2:11" ht="15.75" x14ac:dyDescent="0.25">
      <c r="B23" s="35">
        <f t="shared" si="0"/>
        <v>2029</v>
      </c>
      <c r="C23" s="48">
        <v>41.42</v>
      </c>
      <c r="D23" s="48">
        <v>38.67</v>
      </c>
      <c r="E23" s="48">
        <v>38.43</v>
      </c>
      <c r="F23" s="48">
        <v>38.71</v>
      </c>
      <c r="G23" s="48">
        <v>38.81</v>
      </c>
      <c r="H23" s="48">
        <v>38.380000000000003</v>
      </c>
      <c r="I23" s="48">
        <v>38.39</v>
      </c>
      <c r="J23" s="48">
        <v>38.369999999999997</v>
      </c>
      <c r="K23" s="48">
        <v>37.58</v>
      </c>
    </row>
    <row r="24" spans="2:11" ht="15.75" x14ac:dyDescent="0.25">
      <c r="B24" s="35">
        <f t="shared" si="0"/>
        <v>2030</v>
      </c>
      <c r="C24" s="48">
        <v>49.34</v>
      </c>
      <c r="D24" s="48">
        <v>46.56</v>
      </c>
      <c r="E24" s="48">
        <v>46.69</v>
      </c>
      <c r="F24" s="48">
        <v>44.09</v>
      </c>
      <c r="G24" s="48">
        <v>35.630000000000003</v>
      </c>
      <c r="H24" s="48">
        <v>36.299999999999997</v>
      </c>
      <c r="I24" s="48">
        <v>36.299999999999997</v>
      </c>
      <c r="J24" s="48">
        <v>36.159999999999997</v>
      </c>
      <c r="K24" s="48">
        <v>35.15</v>
      </c>
    </row>
    <row r="25" spans="2:11" ht="15.75" x14ac:dyDescent="0.25">
      <c r="B25" s="35">
        <f t="shared" si="0"/>
        <v>2031</v>
      </c>
      <c r="C25" s="48">
        <v>51.52</v>
      </c>
      <c r="D25" s="48">
        <v>48.29</v>
      </c>
      <c r="E25" s="48">
        <v>48.5</v>
      </c>
      <c r="F25" s="48">
        <v>46.35</v>
      </c>
      <c r="G25" s="48">
        <v>37.15</v>
      </c>
      <c r="H25" s="48">
        <v>37.82</v>
      </c>
      <c r="I25" s="48">
        <v>37.82</v>
      </c>
      <c r="J25" s="48">
        <v>37.65</v>
      </c>
      <c r="K25" s="48">
        <v>37.08</v>
      </c>
    </row>
    <row r="26" spans="2:11" ht="15.75" x14ac:dyDescent="0.25">
      <c r="B26" s="35">
        <f t="shared" si="0"/>
        <v>2032</v>
      </c>
      <c r="C26" s="48">
        <v>53.68</v>
      </c>
      <c r="D26" s="48">
        <v>50.99</v>
      </c>
      <c r="E26" s="48">
        <v>50.87</v>
      </c>
      <c r="F26" s="48">
        <v>47.18</v>
      </c>
      <c r="G26" s="48">
        <v>38.340000000000003</v>
      </c>
      <c r="H26" s="48">
        <v>38.83</v>
      </c>
      <c r="I26" s="48">
        <v>38.83</v>
      </c>
      <c r="J26" s="48">
        <v>38.74</v>
      </c>
      <c r="K26" s="48">
        <v>37.86</v>
      </c>
    </row>
    <row r="27" spans="2:11" ht="15.75" x14ac:dyDescent="0.25">
      <c r="B27" s="35">
        <f t="shared" si="0"/>
        <v>2033</v>
      </c>
      <c r="C27" s="48">
        <v>55.2</v>
      </c>
      <c r="D27" s="48">
        <v>52.1</v>
      </c>
      <c r="E27" s="48">
        <v>51.99</v>
      </c>
      <c r="F27" s="48">
        <v>51.43</v>
      </c>
      <c r="G27" s="48">
        <v>39.36</v>
      </c>
      <c r="H27" s="48">
        <v>40.6</v>
      </c>
      <c r="I27" s="48">
        <v>40.6</v>
      </c>
      <c r="J27" s="48">
        <v>40.590000000000003</v>
      </c>
      <c r="K27" s="48">
        <v>39.549999999999997</v>
      </c>
    </row>
    <row r="28" spans="2:11" ht="15.75" x14ac:dyDescent="0.25">
      <c r="B28" s="35">
        <f t="shared" si="0"/>
        <v>2034</v>
      </c>
      <c r="C28" s="48">
        <v>41.8</v>
      </c>
      <c r="D28" s="48">
        <v>41.64</v>
      </c>
      <c r="E28" s="48">
        <v>41.66</v>
      </c>
      <c r="F28" s="48">
        <v>50.81</v>
      </c>
      <c r="G28" s="48">
        <v>40.340000000000003</v>
      </c>
      <c r="H28" s="48">
        <v>40.950000000000003</v>
      </c>
      <c r="I28" s="48">
        <v>40.950000000000003</v>
      </c>
      <c r="J28" s="48">
        <v>40.94</v>
      </c>
      <c r="K28" s="48">
        <v>40.409999999999997</v>
      </c>
    </row>
    <row r="29" spans="2:11" ht="15.75" x14ac:dyDescent="0.25">
      <c r="B29" s="35">
        <f t="shared" si="0"/>
        <v>2035</v>
      </c>
      <c r="C29" s="48">
        <v>43.87</v>
      </c>
      <c r="D29" s="48">
        <v>43.42</v>
      </c>
      <c r="E29" s="48">
        <v>43.51</v>
      </c>
      <c r="F29" s="48">
        <v>52.21</v>
      </c>
      <c r="G29" s="48">
        <v>42.05</v>
      </c>
      <c r="H29" s="48">
        <v>42.21</v>
      </c>
      <c r="I29" s="48">
        <v>42.21</v>
      </c>
      <c r="J29" s="48">
        <v>42.19</v>
      </c>
      <c r="K29" s="48">
        <v>41.68</v>
      </c>
    </row>
    <row r="30" spans="2:11" x14ac:dyDescent="0.2">
      <c r="C30" s="47"/>
      <c r="D30" s="47"/>
      <c r="E30" s="47"/>
      <c r="F30" s="47"/>
      <c r="G30" s="47"/>
      <c r="H30" s="47"/>
      <c r="I30" s="47"/>
      <c r="J30" s="47"/>
      <c r="K30" s="47"/>
    </row>
    <row r="31" spans="2:11" x14ac:dyDescent="0.2">
      <c r="B31" s="38" t="str">
        <f>"Nominal Levelized Payment at "&amp;TEXT($B$41,"0.00%")&amp;" Discount Rate (3)"</f>
        <v>Nominal Levelized Payment at 6.66% Discount Rate (3)</v>
      </c>
      <c r="C31" s="47"/>
      <c r="D31" s="47"/>
      <c r="E31" s="47"/>
      <c r="F31" s="47"/>
      <c r="G31" s="47"/>
      <c r="H31" s="47"/>
      <c r="I31" s="47"/>
      <c r="J31" s="47"/>
      <c r="K31" s="47"/>
    </row>
    <row r="32" spans="2:11" x14ac:dyDescent="0.2">
      <c r="B32" s="39" t="str">
        <f>B10&amp;" - "&amp;B29</f>
        <v>2016 - 2035</v>
      </c>
      <c r="C32" s="46">
        <f>ROUND(PMT($B$41,COUNT(C10:C29),-NPV($B$41,C10:C29)),2)</f>
        <v>32.549999999999997</v>
      </c>
      <c r="D32" s="46">
        <f t="shared" ref="D32:J32" si="1">ROUND(PMT($B$41,COUNT(D10:D29),-NPV($B$41,D10:D29)),2)</f>
        <v>31.21</v>
      </c>
      <c r="E32" s="46">
        <f t="shared" si="1"/>
        <v>31.53</v>
      </c>
      <c r="F32" s="46">
        <f t="shared" si="1"/>
        <v>31.64</v>
      </c>
      <c r="G32" s="46">
        <f t="shared" si="1"/>
        <v>29.95</v>
      </c>
      <c r="H32" s="46">
        <f t="shared" ref="H32:I32" si="2">ROUND(PMT($B$41,COUNT(H10:H29),-NPV($B$41,H10:H29)),2)</f>
        <v>30.04</v>
      </c>
      <c r="I32" s="46">
        <f t="shared" si="2"/>
        <v>30.04</v>
      </c>
      <c r="J32" s="46">
        <f t="shared" si="1"/>
        <v>30</v>
      </c>
      <c r="K32" s="46">
        <f t="shared" ref="K32" si="3">ROUND(PMT($B$41,COUNT(K10:K29),-NPV($B$41,K10:K29)),2)</f>
        <v>29.28</v>
      </c>
    </row>
    <row r="33" spans="2:11" x14ac:dyDescent="0.2">
      <c r="B33" s="39"/>
      <c r="C33" s="37"/>
      <c r="D33" s="37"/>
      <c r="E33" s="37"/>
      <c r="F33" s="37"/>
      <c r="G33" s="37"/>
      <c r="H33" s="37"/>
      <c r="I33" s="37"/>
      <c r="J33" s="37"/>
      <c r="K33" s="37"/>
    </row>
    <row r="34" spans="2:11" x14ac:dyDescent="0.2">
      <c r="D34" s="45"/>
    </row>
    <row r="35" spans="2:11" x14ac:dyDescent="0.2">
      <c r="B35" s="39" t="str">
        <f>Total!B34</f>
        <v>(1)   Studies are sequential.  The order of the studies would effect the price impact.</v>
      </c>
    </row>
    <row r="36" spans="2:11" x14ac:dyDescent="0.2">
      <c r="B36" s="39" t="str">
        <f>Total!B35</f>
        <v>(2)   Official Forward Price Curve Dated June 2015</v>
      </c>
    </row>
    <row r="37" spans="2:11" x14ac:dyDescent="0.2">
      <c r="B37" s="39" t="str">
        <f>Total!B36</f>
        <v>(3)   Discount Rate - 2015 IRP Page 141</v>
      </c>
    </row>
    <row r="38" spans="2:11" hidden="1" x14ac:dyDescent="0.2">
      <c r="B38" s="30" t="s">
        <v>15</v>
      </c>
    </row>
    <row r="40" spans="2:11" hidden="1" x14ac:dyDescent="0.2">
      <c r="B40" s="41" t="s">
        <v>16</v>
      </c>
    </row>
    <row r="41" spans="2:11" hidden="1" x14ac:dyDescent="0.2">
      <c r="B41" s="44">
        <f>Discount_Rate</f>
        <v>6.6600000000000006E-2</v>
      </c>
    </row>
  </sheetData>
  <printOptions horizontalCentered="1"/>
  <pageMargins left="0.25" right="0.25" top="0.75" bottom="0.75" header="0.3" footer="0.2"/>
  <pageSetup scale="82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N4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"/>
  <cols>
    <col min="1" max="1" width="1.85546875" style="30" customWidth="1"/>
    <col min="2" max="2" width="13.85546875" style="30" customWidth="1"/>
    <col min="3" max="6" width="17.85546875" style="30" customWidth="1"/>
    <col min="7" max="7" width="4.28515625" style="30" customWidth="1"/>
    <col min="8" max="11" width="17.85546875" style="30" customWidth="1"/>
    <col min="12" max="12" width="1.5703125" style="30" customWidth="1"/>
    <col min="13" max="13" width="9.140625" style="30"/>
    <col min="14" max="14" width="9.140625" style="30" hidden="1" customWidth="1"/>
    <col min="15" max="16384" width="9.140625" style="30"/>
  </cols>
  <sheetData>
    <row r="1" spans="2:14" ht="15.75" x14ac:dyDescent="0.25">
      <c r="B1" s="28" t="str">
        <f>Total!B1</f>
        <v>Appendix C</v>
      </c>
      <c r="C1" s="28"/>
      <c r="D1" s="28"/>
      <c r="E1" s="28"/>
      <c r="F1" s="28"/>
      <c r="G1" s="29"/>
      <c r="H1" s="28"/>
      <c r="I1" s="28"/>
      <c r="J1" s="28"/>
      <c r="K1" s="28"/>
      <c r="L1" s="29"/>
    </row>
    <row r="2" spans="2:14" ht="8.25" customHeight="1" x14ac:dyDescent="0.25">
      <c r="B2" s="28"/>
      <c r="C2" s="28"/>
      <c r="D2" s="28"/>
      <c r="E2" s="28"/>
      <c r="F2" s="28"/>
      <c r="G2" s="29"/>
      <c r="H2" s="28"/>
      <c r="I2" s="28"/>
      <c r="J2" s="28"/>
      <c r="K2" s="28"/>
      <c r="L2" s="29"/>
    </row>
    <row r="3" spans="2:14" ht="15.75" x14ac:dyDescent="0.25">
      <c r="B3" s="28" t="str">
        <f>Total!B3</f>
        <v>Utah Quarterly Compliance Filing</v>
      </c>
      <c r="C3" s="28"/>
      <c r="D3" s="28"/>
      <c r="E3" s="28"/>
      <c r="F3" s="28"/>
      <c r="G3" s="29"/>
      <c r="H3" s="28"/>
      <c r="I3" s="28"/>
      <c r="J3" s="28"/>
      <c r="K3" s="28"/>
      <c r="L3" s="29"/>
    </row>
    <row r="4" spans="2:14" ht="15.75" x14ac:dyDescent="0.25">
      <c r="B4" s="28" t="str">
        <f>"Step Study between "&amp;N8&amp;" and "&amp;N7&amp;" Compliance Filing"</f>
        <v>Step Study between 2015.Q2 and 2015.Q1 Compliance Filing</v>
      </c>
      <c r="C4" s="28"/>
      <c r="D4" s="28"/>
      <c r="E4" s="28"/>
      <c r="F4" s="28"/>
      <c r="G4" s="29"/>
      <c r="H4" s="28"/>
      <c r="I4" s="28"/>
      <c r="J4" s="28"/>
      <c r="K4" s="28"/>
      <c r="L4" s="29"/>
    </row>
    <row r="5" spans="2:14" ht="15.75" x14ac:dyDescent="0.25">
      <c r="B5" s="28" t="s">
        <v>10</v>
      </c>
      <c r="C5" s="28"/>
      <c r="D5" s="28"/>
      <c r="E5" s="28"/>
      <c r="F5" s="28"/>
      <c r="G5" s="29"/>
      <c r="H5" s="28"/>
      <c r="I5" s="28"/>
      <c r="J5" s="28"/>
      <c r="K5" s="28"/>
      <c r="L5" s="29"/>
    </row>
    <row r="6" spans="2:14" ht="15.75" x14ac:dyDescent="0.25">
      <c r="B6" s="28"/>
      <c r="C6" s="28"/>
      <c r="D6" s="28"/>
      <c r="E6" s="28"/>
      <c r="F6" s="28"/>
      <c r="H6" s="28"/>
      <c r="I6" s="28"/>
      <c r="J6" s="28"/>
      <c r="K6" s="28"/>
    </row>
    <row r="7" spans="2:14" ht="15.75" x14ac:dyDescent="0.25">
      <c r="B7" s="31"/>
      <c r="C7" s="32" t="s">
        <v>2</v>
      </c>
      <c r="D7" s="32"/>
      <c r="E7" s="51"/>
      <c r="F7" s="51"/>
      <c r="H7" s="32" t="s">
        <v>9</v>
      </c>
      <c r="I7" s="32"/>
      <c r="J7" s="51"/>
      <c r="K7" s="51"/>
      <c r="N7" s="34" t="s">
        <v>20</v>
      </c>
    </row>
    <row r="8" spans="2:14" ht="30.75" customHeight="1" x14ac:dyDescent="0.25">
      <c r="B8" s="33" t="s">
        <v>0</v>
      </c>
      <c r="C8" s="62" t="str">
        <f>Energy!C7&amp;" (3)"</f>
        <v>2015.Q1 (3)</v>
      </c>
      <c r="D8" s="62" t="str">
        <f>Energy!F7&amp;" "&amp;Energy!F8&amp;" (3)"</f>
        <v>QF Queue (3)</v>
      </c>
      <c r="E8" s="62" t="str">
        <f>Energy!G7&amp;" "&amp;Energy!G8&amp;" (4)"</f>
        <v>Capacity Contribution (4)</v>
      </c>
      <c r="F8" s="62" t="str">
        <f>Energy!K7&amp;" "&amp;Energy!K8&amp;" (4)"</f>
        <v>1506 OFPC (4)</v>
      </c>
      <c r="H8" s="34" t="str">
        <f>C8</f>
        <v>2015.Q1 (3)</v>
      </c>
      <c r="I8" s="62" t="str">
        <f>D8</f>
        <v>QF Queue (3)</v>
      </c>
      <c r="J8" s="62" t="str">
        <f>E8</f>
        <v>Capacity Contribution (4)</v>
      </c>
      <c r="K8" s="34" t="str">
        <f>F8</f>
        <v>1506 OFPC (4)</v>
      </c>
      <c r="N8" s="34" t="s">
        <v>27</v>
      </c>
    </row>
    <row r="9" spans="2:14" ht="4.5" customHeight="1" x14ac:dyDescent="0.2"/>
    <row r="10" spans="2:14" ht="15.75" x14ac:dyDescent="0.25">
      <c r="B10" s="35">
        <f>Total!B10</f>
        <v>2016</v>
      </c>
      <c r="C10" s="36">
        <v>0</v>
      </c>
      <c r="D10" s="36">
        <v>0</v>
      </c>
      <c r="E10" s="36">
        <v>0</v>
      </c>
      <c r="F10" s="36">
        <v>0</v>
      </c>
      <c r="H10" s="36">
        <f t="shared" ref="H10:H29" si="0">C10*1000/(IF(MOD($B10,4)=0,8784,8760)*0.85)</f>
        <v>0</v>
      </c>
      <c r="I10" s="36">
        <f t="shared" ref="I10:I29" si="1">D10*1000/(IF(MOD($B10,4)=0,8784,8760)*0.85)</f>
        <v>0</v>
      </c>
      <c r="J10" s="36">
        <f t="shared" ref="J10:K29" si="2">E10*1000/(IF(MOD($B10,4)=0,8784,8760)*0.85)</f>
        <v>0</v>
      </c>
      <c r="K10" s="36">
        <f t="shared" si="2"/>
        <v>0</v>
      </c>
    </row>
    <row r="11" spans="2:14" ht="15.75" x14ac:dyDescent="0.25">
      <c r="B11" s="35">
        <f t="shared" ref="B11:B29" si="3">B10+1</f>
        <v>2017</v>
      </c>
      <c r="C11" s="36">
        <v>0</v>
      </c>
      <c r="D11" s="36">
        <v>0</v>
      </c>
      <c r="E11" s="36">
        <v>0</v>
      </c>
      <c r="F11" s="36">
        <v>0</v>
      </c>
      <c r="H11" s="36">
        <f t="shared" si="0"/>
        <v>0</v>
      </c>
      <c r="I11" s="36">
        <f t="shared" si="1"/>
        <v>0</v>
      </c>
      <c r="J11" s="36">
        <f t="shared" si="2"/>
        <v>0</v>
      </c>
      <c r="K11" s="36">
        <f t="shared" si="2"/>
        <v>0</v>
      </c>
    </row>
    <row r="12" spans="2:14" ht="15.75" x14ac:dyDescent="0.25">
      <c r="B12" s="35">
        <f t="shared" si="3"/>
        <v>2018</v>
      </c>
      <c r="C12" s="36">
        <v>0</v>
      </c>
      <c r="D12" s="36">
        <v>0</v>
      </c>
      <c r="E12" s="36">
        <v>0</v>
      </c>
      <c r="F12" s="36">
        <v>0</v>
      </c>
      <c r="H12" s="36">
        <f t="shared" si="0"/>
        <v>0</v>
      </c>
      <c r="I12" s="36">
        <f t="shared" si="1"/>
        <v>0</v>
      </c>
      <c r="J12" s="36">
        <f t="shared" si="2"/>
        <v>0</v>
      </c>
      <c r="K12" s="36">
        <f t="shared" si="2"/>
        <v>0</v>
      </c>
    </row>
    <row r="13" spans="2:14" ht="15.75" x14ac:dyDescent="0.25">
      <c r="B13" s="35">
        <f t="shared" si="3"/>
        <v>2019</v>
      </c>
      <c r="C13" s="36">
        <v>0</v>
      </c>
      <c r="D13" s="36">
        <v>0</v>
      </c>
      <c r="E13" s="36">
        <v>0</v>
      </c>
      <c r="F13" s="36">
        <v>0</v>
      </c>
      <c r="H13" s="36">
        <f t="shared" si="0"/>
        <v>0</v>
      </c>
      <c r="I13" s="36">
        <f t="shared" si="1"/>
        <v>0</v>
      </c>
      <c r="J13" s="36">
        <f t="shared" si="2"/>
        <v>0</v>
      </c>
      <c r="K13" s="36">
        <f t="shared" si="2"/>
        <v>0</v>
      </c>
    </row>
    <row r="14" spans="2:14" ht="15.75" x14ac:dyDescent="0.25">
      <c r="B14" s="35">
        <f t="shared" si="3"/>
        <v>2020</v>
      </c>
      <c r="C14" s="36">
        <v>0</v>
      </c>
      <c r="D14" s="36">
        <v>0</v>
      </c>
      <c r="E14" s="36">
        <v>0</v>
      </c>
      <c r="F14" s="36">
        <v>0</v>
      </c>
      <c r="H14" s="36">
        <f t="shared" si="0"/>
        <v>0</v>
      </c>
      <c r="I14" s="36">
        <f t="shared" si="1"/>
        <v>0</v>
      </c>
      <c r="J14" s="36">
        <f t="shared" si="2"/>
        <v>0</v>
      </c>
      <c r="K14" s="36">
        <f t="shared" si="2"/>
        <v>0</v>
      </c>
    </row>
    <row r="15" spans="2:14" ht="15.75" x14ac:dyDescent="0.25">
      <c r="B15" s="35">
        <f t="shared" si="3"/>
        <v>2021</v>
      </c>
      <c r="C15" s="36">
        <v>0</v>
      </c>
      <c r="D15" s="36">
        <v>0</v>
      </c>
      <c r="E15" s="36">
        <v>0</v>
      </c>
      <c r="F15" s="36">
        <v>0</v>
      </c>
      <c r="H15" s="36">
        <f t="shared" si="0"/>
        <v>0</v>
      </c>
      <c r="I15" s="36">
        <f t="shared" si="1"/>
        <v>0</v>
      </c>
      <c r="J15" s="36">
        <f t="shared" si="2"/>
        <v>0</v>
      </c>
      <c r="K15" s="36">
        <f t="shared" si="2"/>
        <v>0</v>
      </c>
    </row>
    <row r="16" spans="2:14" ht="15.75" x14ac:dyDescent="0.25">
      <c r="B16" s="35">
        <f t="shared" si="3"/>
        <v>2022</v>
      </c>
      <c r="C16" s="36">
        <v>0</v>
      </c>
      <c r="D16" s="36">
        <v>0</v>
      </c>
      <c r="E16" s="36">
        <v>0</v>
      </c>
      <c r="F16" s="36">
        <v>0</v>
      </c>
      <c r="H16" s="36">
        <f t="shared" si="0"/>
        <v>0</v>
      </c>
      <c r="I16" s="36">
        <f t="shared" si="1"/>
        <v>0</v>
      </c>
      <c r="J16" s="36">
        <f t="shared" si="2"/>
        <v>0</v>
      </c>
      <c r="K16" s="36">
        <f t="shared" si="2"/>
        <v>0</v>
      </c>
    </row>
    <row r="17" spans="2:11" ht="15.75" x14ac:dyDescent="0.25">
      <c r="B17" s="35">
        <f t="shared" si="3"/>
        <v>2023</v>
      </c>
      <c r="C17" s="36">
        <v>0</v>
      </c>
      <c r="D17" s="36">
        <v>0</v>
      </c>
      <c r="E17" s="36">
        <v>0</v>
      </c>
      <c r="F17" s="36">
        <v>0</v>
      </c>
      <c r="H17" s="36">
        <f t="shared" si="0"/>
        <v>0</v>
      </c>
      <c r="I17" s="36">
        <f t="shared" si="1"/>
        <v>0</v>
      </c>
      <c r="J17" s="36">
        <f t="shared" si="2"/>
        <v>0</v>
      </c>
      <c r="K17" s="36">
        <f t="shared" si="2"/>
        <v>0</v>
      </c>
    </row>
    <row r="18" spans="2:11" ht="15.75" x14ac:dyDescent="0.25">
      <c r="B18" s="35">
        <f t="shared" si="3"/>
        <v>2024</v>
      </c>
      <c r="C18" s="36">
        <v>0</v>
      </c>
      <c r="D18" s="36">
        <v>0</v>
      </c>
      <c r="E18" s="36">
        <v>0</v>
      </c>
      <c r="F18" s="36">
        <v>0</v>
      </c>
      <c r="H18" s="36">
        <f t="shared" si="0"/>
        <v>0</v>
      </c>
      <c r="I18" s="36">
        <f t="shared" si="1"/>
        <v>0</v>
      </c>
      <c r="J18" s="36">
        <f t="shared" si="2"/>
        <v>0</v>
      </c>
      <c r="K18" s="36">
        <f t="shared" si="2"/>
        <v>0</v>
      </c>
    </row>
    <row r="19" spans="2:11" ht="15.75" x14ac:dyDescent="0.25">
      <c r="B19" s="35">
        <f t="shared" si="3"/>
        <v>2025</v>
      </c>
      <c r="C19" s="36">
        <v>0</v>
      </c>
      <c r="D19" s="36">
        <v>0</v>
      </c>
      <c r="E19" s="36">
        <v>0</v>
      </c>
      <c r="F19" s="36">
        <v>0</v>
      </c>
      <c r="H19" s="36">
        <f t="shared" si="0"/>
        <v>0</v>
      </c>
      <c r="I19" s="36">
        <f t="shared" si="1"/>
        <v>0</v>
      </c>
      <c r="J19" s="36">
        <f t="shared" si="2"/>
        <v>0</v>
      </c>
      <c r="K19" s="36">
        <f t="shared" si="2"/>
        <v>0</v>
      </c>
    </row>
    <row r="20" spans="2:11" ht="15.75" x14ac:dyDescent="0.25">
      <c r="B20" s="35">
        <f t="shared" si="3"/>
        <v>2026</v>
      </c>
      <c r="C20" s="36">
        <v>0</v>
      </c>
      <c r="D20" s="36">
        <v>0</v>
      </c>
      <c r="E20" s="36">
        <v>0</v>
      </c>
      <c r="F20" s="36">
        <v>0</v>
      </c>
      <c r="H20" s="36">
        <f t="shared" si="0"/>
        <v>0</v>
      </c>
      <c r="I20" s="36">
        <f t="shared" si="1"/>
        <v>0</v>
      </c>
      <c r="J20" s="36">
        <f t="shared" si="2"/>
        <v>0</v>
      </c>
      <c r="K20" s="36">
        <f t="shared" si="2"/>
        <v>0</v>
      </c>
    </row>
    <row r="21" spans="2:11" ht="15.75" x14ac:dyDescent="0.25">
      <c r="B21" s="35">
        <f t="shared" si="3"/>
        <v>2027</v>
      </c>
      <c r="C21" s="36">
        <v>0</v>
      </c>
      <c r="D21" s="36">
        <v>0</v>
      </c>
      <c r="E21" s="36">
        <v>0</v>
      </c>
      <c r="F21" s="36">
        <v>0</v>
      </c>
      <c r="H21" s="36">
        <f t="shared" si="0"/>
        <v>0</v>
      </c>
      <c r="I21" s="36">
        <f t="shared" si="1"/>
        <v>0</v>
      </c>
      <c r="J21" s="36">
        <f t="shared" si="2"/>
        <v>0</v>
      </c>
      <c r="K21" s="36">
        <f t="shared" si="2"/>
        <v>0</v>
      </c>
    </row>
    <row r="22" spans="2:11" ht="15.75" x14ac:dyDescent="0.25">
      <c r="B22" s="35">
        <f t="shared" si="3"/>
        <v>2028</v>
      </c>
      <c r="C22" s="36">
        <v>0</v>
      </c>
      <c r="D22" s="36">
        <v>0</v>
      </c>
      <c r="E22" s="36">
        <v>0</v>
      </c>
      <c r="F22" s="36">
        <v>0</v>
      </c>
      <c r="H22" s="36">
        <f t="shared" si="0"/>
        <v>0</v>
      </c>
      <c r="I22" s="36">
        <f t="shared" si="1"/>
        <v>0</v>
      </c>
      <c r="J22" s="36">
        <f t="shared" si="2"/>
        <v>0</v>
      </c>
      <c r="K22" s="36">
        <f t="shared" si="2"/>
        <v>0</v>
      </c>
    </row>
    <row r="23" spans="2:11" ht="15.75" x14ac:dyDescent="0.25">
      <c r="B23" s="35">
        <f t="shared" si="3"/>
        <v>2029</v>
      </c>
      <c r="C23" s="36">
        <v>0</v>
      </c>
      <c r="D23" s="36">
        <v>0</v>
      </c>
      <c r="E23" s="36">
        <v>0</v>
      </c>
      <c r="F23" s="36">
        <v>0</v>
      </c>
      <c r="H23" s="36">
        <f t="shared" si="0"/>
        <v>0</v>
      </c>
      <c r="I23" s="36">
        <f t="shared" si="1"/>
        <v>0</v>
      </c>
      <c r="J23" s="36">
        <f>E23*1000/(IF(MOD($B23,4)=0,8784,8760)*0.85)</f>
        <v>0</v>
      </c>
      <c r="K23" s="36">
        <f>F23*1000/(IF(MOD($B23,4)=0,8784,8760)*0.85)</f>
        <v>0</v>
      </c>
    </row>
    <row r="24" spans="2:11" ht="15.75" x14ac:dyDescent="0.25">
      <c r="B24" s="35">
        <f t="shared" si="3"/>
        <v>2030</v>
      </c>
      <c r="C24" s="36">
        <v>0</v>
      </c>
      <c r="D24" s="36">
        <v>0</v>
      </c>
      <c r="E24" s="36">
        <v>148.38</v>
      </c>
      <c r="F24" s="36">
        <v>150.83000000000001</v>
      </c>
      <c r="H24" s="36">
        <f t="shared" si="0"/>
        <v>0</v>
      </c>
      <c r="I24" s="36">
        <f t="shared" si="1"/>
        <v>0</v>
      </c>
      <c r="J24" s="36">
        <f t="shared" si="2"/>
        <v>19.92747784045125</v>
      </c>
      <c r="K24" s="36">
        <f t="shared" si="2"/>
        <v>20.256513564329843</v>
      </c>
    </row>
    <row r="25" spans="2:11" ht="15.75" x14ac:dyDescent="0.25">
      <c r="B25" s="35">
        <f t="shared" si="3"/>
        <v>2031</v>
      </c>
      <c r="C25" s="36">
        <v>0</v>
      </c>
      <c r="D25" s="36">
        <v>0</v>
      </c>
      <c r="E25" s="36">
        <v>151.49</v>
      </c>
      <c r="F25" s="36">
        <v>154.32</v>
      </c>
      <c r="H25" s="36">
        <f t="shared" si="0"/>
        <v>0</v>
      </c>
      <c r="I25" s="36">
        <f t="shared" si="1"/>
        <v>0</v>
      </c>
      <c r="J25" s="36">
        <f t="shared" si="2"/>
        <v>20.34515175933387</v>
      </c>
      <c r="K25" s="36">
        <f t="shared" si="2"/>
        <v>20.725221595487511</v>
      </c>
    </row>
    <row r="26" spans="2:11" ht="15.75" x14ac:dyDescent="0.25">
      <c r="B26" s="35">
        <f t="shared" si="3"/>
        <v>2032</v>
      </c>
      <c r="C26" s="36">
        <v>0</v>
      </c>
      <c r="D26" s="36">
        <v>0</v>
      </c>
      <c r="E26" s="36">
        <v>154.66</v>
      </c>
      <c r="F26" s="36">
        <v>157.88999999999999</v>
      </c>
      <c r="H26" s="36">
        <f t="shared" si="0"/>
        <v>0</v>
      </c>
      <c r="I26" s="36">
        <f t="shared" si="1"/>
        <v>0</v>
      </c>
      <c r="J26" s="36">
        <f t="shared" si="2"/>
        <v>20.714132647594557</v>
      </c>
      <c r="K26" s="36">
        <f t="shared" si="2"/>
        <v>21.146737383477983</v>
      </c>
    </row>
    <row r="27" spans="2:11" ht="15.75" x14ac:dyDescent="0.25">
      <c r="B27" s="35">
        <f t="shared" si="3"/>
        <v>2033</v>
      </c>
      <c r="C27" s="36">
        <v>0</v>
      </c>
      <c r="D27" s="36">
        <v>0</v>
      </c>
      <c r="E27" s="36">
        <v>157.9</v>
      </c>
      <c r="F27" s="36">
        <v>161.52000000000001</v>
      </c>
      <c r="H27" s="36">
        <f t="shared" si="0"/>
        <v>0</v>
      </c>
      <c r="I27" s="36">
        <f t="shared" si="1"/>
        <v>0</v>
      </c>
      <c r="J27" s="36">
        <f t="shared" si="2"/>
        <v>21.206016653236638</v>
      </c>
      <c r="K27" s="36">
        <f t="shared" si="2"/>
        <v>21.692183722804192</v>
      </c>
    </row>
    <row r="28" spans="2:11" ht="15.75" x14ac:dyDescent="0.25">
      <c r="B28" s="35">
        <f t="shared" si="3"/>
        <v>2034</v>
      </c>
      <c r="C28" s="36">
        <v>153.9</v>
      </c>
      <c r="D28" s="36">
        <v>10.31312733165</v>
      </c>
      <c r="E28" s="36">
        <v>161.18</v>
      </c>
      <c r="F28" s="36">
        <v>165.24</v>
      </c>
      <c r="H28" s="36">
        <f t="shared" si="0"/>
        <v>20.668815471394037</v>
      </c>
      <c r="I28" s="36">
        <f t="shared" si="1"/>
        <v>1.3850560477639</v>
      </c>
      <c r="J28" s="36">
        <f t="shared" si="2"/>
        <v>21.646521622347571</v>
      </c>
      <c r="K28" s="36">
        <f t="shared" si="2"/>
        <v>22.19178082191781</v>
      </c>
    </row>
    <row r="29" spans="2:11" ht="15.75" x14ac:dyDescent="0.25">
      <c r="B29" s="35">
        <f t="shared" si="3"/>
        <v>2035</v>
      </c>
      <c r="C29" s="36">
        <v>157.15</v>
      </c>
      <c r="D29" s="36">
        <v>10.530915920525</v>
      </c>
      <c r="E29" s="36">
        <v>164.6</v>
      </c>
      <c r="F29" s="36">
        <v>169.03</v>
      </c>
      <c r="H29" s="36">
        <f t="shared" si="0"/>
        <v>21.105291431641149</v>
      </c>
      <c r="I29" s="36">
        <f t="shared" si="1"/>
        <v>1.4143051195977705</v>
      </c>
      <c r="J29" s="36">
        <f t="shared" si="2"/>
        <v>22.105828632822991</v>
      </c>
      <c r="K29" s="36">
        <f t="shared" si="2"/>
        <v>22.700778941713672</v>
      </c>
    </row>
    <row r="30" spans="2:11" ht="15.75" x14ac:dyDescent="0.25">
      <c r="B30" s="35"/>
      <c r="C30" s="37"/>
      <c r="D30" s="37"/>
      <c r="H30" s="37"/>
      <c r="I30" s="37"/>
    </row>
    <row r="31" spans="2:11" x14ac:dyDescent="0.2">
      <c r="B31" s="38" t="str">
        <f>"Nominal Levelized Payment at "&amp;TEXT($B$40,"0.000%")&amp;" Discount Rate (2)"</f>
        <v>Nominal Levelized Payment at 6.660% Discount Rate (2)</v>
      </c>
      <c r="E31" s="38"/>
      <c r="F31" s="38"/>
    </row>
    <row r="32" spans="2:11" x14ac:dyDescent="0.2">
      <c r="B32" s="39" t="str">
        <f>$B$10&amp;" - "&amp;B29</f>
        <v>2016 - 2035</v>
      </c>
      <c r="C32" s="40">
        <f>PMT($B$40,COUNT(C10:C29),-NPV($B$40,C10:C29))</f>
        <v>8.1331051710253526</v>
      </c>
      <c r="D32" s="40">
        <f>PMT($B$40,COUNT(D10:D29),-NPV($B$40,D10:D29))</f>
        <v>0.54501461488294667</v>
      </c>
      <c r="E32" s="40">
        <f>PMT($B$40,COUNT(E10:E29),-NPV($B$40,E10:E29))</f>
        <v>27.96336788524404</v>
      </c>
      <c r="F32" s="40">
        <f>PMT($B$40,COUNT(F10:F29),-NPV($B$40,F10:F29))</f>
        <v>28.566897831677316</v>
      </c>
      <c r="H32" s="40">
        <f>PMT($B$40,COUNT(H10:H29),-NPV($B$40,H10:H29))</f>
        <v>1.0922784274812449</v>
      </c>
      <c r="I32" s="40">
        <f>PMT($B$40,COUNT(I10:I29),-NPV($B$40,I10:I29))</f>
        <v>7.3195623809152122E-2</v>
      </c>
      <c r="J32" s="40">
        <f>PMT($B$40,COUNT(J10:J29),-NPV($B$40,J10:J29))</f>
        <v>3.7537454596796249</v>
      </c>
      <c r="K32" s="40">
        <f>PMT($B$40,COUNT(K10:K29),-NPV($B$40,K10:K29))</f>
        <v>3.8347633058006414</v>
      </c>
    </row>
    <row r="34" spans="2:8" x14ac:dyDescent="0.2">
      <c r="B34" s="30" t="s">
        <v>3</v>
      </c>
    </row>
    <row r="35" spans="2:8" s="1" customFormat="1" x14ac:dyDescent="0.2">
      <c r="B35" s="30" t="str">
        <f>"(2)   "&amp;Total!B40</f>
        <v>(2)   Discount Rate - 2015 IRP Page 141</v>
      </c>
      <c r="C35" s="30"/>
      <c r="D35" s="30"/>
      <c r="E35" s="30"/>
      <c r="F35" s="30"/>
      <c r="G35" s="30"/>
      <c r="H35" s="30"/>
    </row>
    <row r="36" spans="2:8" x14ac:dyDescent="0.2">
      <c r="B36" s="30" t="s">
        <v>37</v>
      </c>
    </row>
    <row r="37" spans="2:8" x14ac:dyDescent="0.2">
      <c r="B37" s="30" t="s">
        <v>38</v>
      </c>
    </row>
    <row r="39" spans="2:8" hidden="1" x14ac:dyDescent="0.2">
      <c r="B39" s="41" t="s">
        <v>16</v>
      </c>
    </row>
    <row r="40" spans="2:8" hidden="1" x14ac:dyDescent="0.2">
      <c r="B40" s="42">
        <f>Discount_Rate</f>
        <v>6.6600000000000006E-2</v>
      </c>
    </row>
  </sheetData>
  <printOptions horizontalCentered="1"/>
  <pageMargins left="0.25" right="0.25" top="0.75" bottom="0.75" header="0.3" footer="0.2"/>
  <pageSetup scale="83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mpaschal</cp:lastModifiedBy>
  <cp:lastPrinted>2015-07-09T14:32:51Z</cp:lastPrinted>
  <dcterms:created xsi:type="dcterms:W3CDTF">2006-07-10T20:43:15Z</dcterms:created>
  <dcterms:modified xsi:type="dcterms:W3CDTF">2015-08-10T22:57:40Z</dcterms:modified>
</cp:coreProperties>
</file>