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-15" yWindow="-15" windowWidth="11535" windowHeight="10950"/>
  </bookViews>
  <sheets>
    <sheet name="Appendix B" sheetId="38" r:id="rId1"/>
    <sheet name="Table 1" sheetId="25" r:id="rId2"/>
    <sheet name="Table 2" sheetId="17" r:id="rId3"/>
    <sheet name="Table 3 423 (Wyo)" sheetId="29" state="hidden" r:id="rId4"/>
    <sheet name="Table 3 423 (UT)" sheetId="37" r:id="rId5"/>
    <sheet name="Table 3 313" sheetId="33" state="hidden" r:id="rId6"/>
    <sheet name="Table 3 635" sheetId="36" state="hidden" r:id="rId7"/>
    <sheet name="Table 4" sheetId="28" r:id="rId8"/>
    <sheet name="Table 5" sheetId="31" r:id="rId9"/>
  </sheets>
  <definedNames>
    <definedName name="_313_CCCT_Wyo" localSheetId="0">'Table 1'!$I$20</definedName>
    <definedName name="_313_CCCT_Wyo">'Table 1'!$I$20</definedName>
    <definedName name="_423_CCCT_Clvr1" localSheetId="0">'Table 1'!$I$18</definedName>
    <definedName name="_423_CCCT_Clvr1">'Table 1'!$I$18</definedName>
    <definedName name="_423_CCCT_Clvr2" localSheetId="0">'Table 1'!$I$19</definedName>
    <definedName name="_423_CCCT_Clvr2">'Table 1'!$I$19</definedName>
    <definedName name="_423_CCCT_WyoNE" localSheetId="0">'Table 1'!$I$17</definedName>
    <definedName name="_423_CCCT_WyoNE">'Table 1'!$I$17</definedName>
    <definedName name="_635_CCCT_UTN1" localSheetId="0">'Table 1'!$I$21</definedName>
    <definedName name="_635_CCCT_UTN1">'Table 1'!$I$21</definedName>
    <definedName name="_635_CCCT_UTN2" localSheetId="0">'Table 1'!$I$22</definedName>
    <definedName name="_635_CCCT_UTN2">'Table 1'!$I$22</definedName>
    <definedName name="_Order1" hidden="1">255</definedName>
    <definedName name="_Order2" hidden="1">0</definedName>
    <definedName name="_Percent_Last_CCCT" localSheetId="0">'Table 1'!$I$26</definedName>
    <definedName name="_Percent_Last_CCCT">'Table 1'!$I$26</definedName>
    <definedName name="Discount_Rate" localSheetId="0">'Table 1'!$I$35</definedName>
    <definedName name="Discount_Rate">'Table 1'!$I$35</definedName>
    <definedName name="_xlnm.Print_Area" localSheetId="0">'Appendix B'!$A$1:$F$41</definedName>
    <definedName name="_xlnm.Print_Area" localSheetId="1">'Table 1'!$A$1:$H$53</definedName>
    <definedName name="_xlnm.Print_Area" localSheetId="2">'Table 2'!$B$10:$Q$35</definedName>
    <definedName name="_xlnm.Print_Area" localSheetId="5">'Table 3 313'!$A$1:$K$89</definedName>
    <definedName name="_xlnm.Print_Area" localSheetId="4">'Table 3 423 (UT)'!$A$1:$K$89</definedName>
    <definedName name="_xlnm.Print_Area" localSheetId="3">'Table 3 423 (Wyo)'!$A$1:$K$89</definedName>
    <definedName name="_xlnm.Print_Area" localSheetId="6">'Table 3 635'!$A$1:$K$89</definedName>
    <definedName name="_xlnm.Print_Area" localSheetId="7">'Table 4'!$A$1:$D$41</definedName>
    <definedName name="_xlnm.Print_Area" localSheetId="8">'Table 5'!$A$3:$H$266</definedName>
    <definedName name="_xlnm.Print_Titles" localSheetId="2">'Table 2'!$1:$9</definedName>
    <definedName name="_xlnm.Print_Titles" localSheetId="5">'Table 3 313'!$1:$6</definedName>
    <definedName name="_xlnm.Print_Titles" localSheetId="4">'Table 3 423 (UT)'!$1:$6</definedName>
    <definedName name="_xlnm.Print_Titles" localSheetId="3">'Table 3 423 (Wyo)'!$1:$6</definedName>
    <definedName name="_xlnm.Print_Titles" localSheetId="6">'Table 3 635'!$1:$6</definedName>
    <definedName name="Study_Cap_Adj" localSheetId="0">'Table 1'!$I$8</definedName>
    <definedName name="Study_Cap_Adj">'Table 1'!$I$8</definedName>
    <definedName name="Study_CF" localSheetId="0">'Table 5'!$M$7</definedName>
    <definedName name="Study_CF">'Table 5'!$M$7</definedName>
    <definedName name="Study_MW" localSheetId="0">'Table 5'!$M$6</definedName>
    <definedName name="Study_MW">'Table 5'!$M$6</definedName>
    <definedName name="Study_Name" localSheetId="0">'Table 5'!$M$4</definedName>
    <definedName name="Study_Name">'Table 5'!$M$4</definedName>
  </definedNames>
  <calcPr calcId="152511" calcOnSave="0"/>
</workbook>
</file>

<file path=xl/calcChain.xml><?xml version="1.0" encoding="utf-8"?>
<calcChain xmlns="http://schemas.openxmlformats.org/spreadsheetml/2006/main">
  <c r="B29" i="38" l="1"/>
  <c r="G29" i="38"/>
  <c r="G30" i="38"/>
  <c r="I8" i="25"/>
  <c r="L16" i="31" l="1"/>
  <c r="L17" i="31" l="1"/>
  <c r="L18" i="31" l="1"/>
  <c r="L19" i="31" l="1"/>
  <c r="C74" i="36"/>
  <c r="C71" i="36"/>
  <c r="C74" i="33"/>
  <c r="C71" i="33"/>
  <c r="I302" i="28"/>
  <c r="I301" i="28"/>
  <c r="I300" i="28"/>
  <c r="I298" i="28"/>
  <c r="I297" i="28"/>
  <c r="I296" i="28"/>
  <c r="I294" i="28"/>
  <c r="I293" i="28"/>
  <c r="I292" i="28"/>
  <c r="I290" i="28"/>
  <c r="I289" i="28"/>
  <c r="I288" i="28"/>
  <c r="I286" i="28"/>
  <c r="I285" i="28"/>
  <c r="I284" i="28"/>
  <c r="I282" i="28"/>
  <c r="I281" i="28"/>
  <c r="I304" i="28"/>
  <c r="C84" i="37"/>
  <c r="D76" i="37"/>
  <c r="D74" i="37"/>
  <c r="C74" i="37"/>
  <c r="J63" i="37" s="1"/>
  <c r="D73" i="37"/>
  <c r="C73" i="37"/>
  <c r="I58" i="37" s="1"/>
  <c r="C71" i="37"/>
  <c r="H59" i="37"/>
  <c r="H58" i="37"/>
  <c r="F64" i="37"/>
  <c r="F58" i="37"/>
  <c r="E68" i="37"/>
  <c r="K64" i="37"/>
  <c r="J64" i="37"/>
  <c r="G64" i="37"/>
  <c r="C64" i="37"/>
  <c r="K63" i="37"/>
  <c r="G63" i="37"/>
  <c r="F63" i="37"/>
  <c r="C63" i="37"/>
  <c r="I59" i="37"/>
  <c r="D52" i="37"/>
  <c r="C52" i="37"/>
  <c r="C51" i="37"/>
  <c r="D50" i="37"/>
  <c r="C50" i="37"/>
  <c r="D49" i="37"/>
  <c r="C49" i="37"/>
  <c r="C48" i="37"/>
  <c r="D47" i="37"/>
  <c r="C47" i="37"/>
  <c r="B15" i="37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12" i="37"/>
  <c r="B5" i="37"/>
  <c r="D74" i="29"/>
  <c r="C74" i="29"/>
  <c r="C71" i="29"/>
  <c r="L20" i="31" l="1"/>
  <c r="H63" i="37"/>
  <c r="F59" i="37"/>
  <c r="F60" i="37" s="1"/>
  <c r="H60" i="37" s="1"/>
  <c r="C14" i="37" s="1"/>
  <c r="D14" i="37" s="1"/>
  <c r="D15" i="37" s="1"/>
  <c r="I283" i="28"/>
  <c r="I287" i="28"/>
  <c r="I291" i="28"/>
  <c r="I295" i="28"/>
  <c r="I299" i="28"/>
  <c r="I303" i="28"/>
  <c r="B30" i="37"/>
  <c r="F65" i="37"/>
  <c r="H64" i="37"/>
  <c r="C85" i="37"/>
  <c r="L21" i="31" l="1"/>
  <c r="H65" i="37"/>
  <c r="D78" i="37" s="1"/>
  <c r="G58" i="37"/>
  <c r="G59" i="37" s="1"/>
  <c r="G60" i="37" s="1"/>
  <c r="I60" i="37"/>
  <c r="E14" i="37" s="1"/>
  <c r="E15" i="37" s="1"/>
  <c r="E16" i="37" s="1"/>
  <c r="E17" i="37" s="1"/>
  <c r="D16" i="37"/>
  <c r="C86" i="37"/>
  <c r="B31" i="37"/>
  <c r="L22" i="31" l="1"/>
  <c r="I63" i="37"/>
  <c r="I64" i="37" s="1"/>
  <c r="K65" i="37" s="1"/>
  <c r="G65" i="37"/>
  <c r="D48" i="37" s="1"/>
  <c r="D17" i="37"/>
  <c r="C87" i="37"/>
  <c r="E18" i="37"/>
  <c r="B32" i="37"/>
  <c r="L23" i="31" l="1"/>
  <c r="D18" i="37"/>
  <c r="D51" i="37"/>
  <c r="I65" i="37"/>
  <c r="B33" i="37"/>
  <c r="J65" i="37"/>
  <c r="F14" i="37" s="1"/>
  <c r="F15" i="37" s="1"/>
  <c r="F16" i="37" s="1"/>
  <c r="F17" i="37" s="1"/>
  <c r="F18" i="37" s="1"/>
  <c r="E19" i="37"/>
  <c r="C88" i="37"/>
  <c r="L24" i="31" l="1"/>
  <c r="G18" i="37"/>
  <c r="H18" i="37" s="1"/>
  <c r="F19" i="37"/>
  <c r="D19" i="37"/>
  <c r="G14" i="37"/>
  <c r="H14" i="37" s="1"/>
  <c r="C89" i="37"/>
  <c r="E20" i="37"/>
  <c r="B34" i="37"/>
  <c r="L25" i="31" l="1"/>
  <c r="D20" i="37"/>
  <c r="F20" i="37"/>
  <c r="G19" i="37"/>
  <c r="H19" i="37" s="1"/>
  <c r="E21" i="37"/>
  <c r="C90" i="37"/>
  <c r="B35" i="37"/>
  <c r="G15" i="37"/>
  <c r="H15" i="37" s="1"/>
  <c r="L26" i="31" l="1"/>
  <c r="D21" i="37"/>
  <c r="F21" i="37"/>
  <c r="G20" i="37"/>
  <c r="H20" i="37" s="1"/>
  <c r="G16" i="37"/>
  <c r="H16" i="37" s="1"/>
  <c r="B36" i="37"/>
  <c r="C91" i="37"/>
  <c r="E22" i="37"/>
  <c r="L27" i="31" l="1"/>
  <c r="F22" i="37"/>
  <c r="G21" i="37"/>
  <c r="H21" i="37" s="1"/>
  <c r="D22" i="37"/>
  <c r="E23" i="37"/>
  <c r="F83" i="37"/>
  <c r="B37" i="37"/>
  <c r="G17" i="37"/>
  <c r="H17" i="37" s="1"/>
  <c r="L28" i="31" l="1"/>
  <c r="D23" i="37"/>
  <c r="F23" i="37"/>
  <c r="G22" i="37"/>
  <c r="H22" i="37" s="1"/>
  <c r="F84" i="37"/>
  <c r="E24" i="37"/>
  <c r="B38" i="37"/>
  <c r="L29" i="31" l="1"/>
  <c r="G23" i="37"/>
  <c r="H23" i="37" s="1"/>
  <c r="F24" i="37"/>
  <c r="D24" i="37"/>
  <c r="B39" i="37"/>
  <c r="E25" i="37"/>
  <c r="F85" i="37"/>
  <c r="L30" i="31" l="1"/>
  <c r="D25" i="37"/>
  <c r="D26" i="37" s="1"/>
  <c r="F25" i="37"/>
  <c r="B40" i="37"/>
  <c r="F86" i="37"/>
  <c r="L31" i="31" l="1"/>
  <c r="E26" i="37"/>
  <c r="F26" i="37"/>
  <c r="G25" i="37"/>
  <c r="H25" i="37" s="1"/>
  <c r="D27" i="37"/>
  <c r="F87" i="37"/>
  <c r="B41" i="37"/>
  <c r="L32" i="31" l="1"/>
  <c r="E27" i="37"/>
  <c r="F27" i="37"/>
  <c r="G26" i="37"/>
  <c r="H26" i="37" s="1"/>
  <c r="F88" i="37"/>
  <c r="D28" i="37"/>
  <c r="B42" i="37"/>
  <c r="L33" i="31" l="1"/>
  <c r="E28" i="37"/>
  <c r="F28" i="37"/>
  <c r="G27" i="37"/>
  <c r="H27" i="37" s="1"/>
  <c r="D29" i="37"/>
  <c r="F89" i="37"/>
  <c r="L34" i="31" l="1"/>
  <c r="E29" i="37"/>
  <c r="F29" i="37"/>
  <c r="G28" i="37"/>
  <c r="H28" i="37" s="1"/>
  <c r="G24" i="37"/>
  <c r="H24" i="37" s="1"/>
  <c r="F90" i="37"/>
  <c r="D30" i="37"/>
  <c r="L35" i="31" l="1"/>
  <c r="G29" i="37"/>
  <c r="H29" i="37" s="1"/>
  <c r="F30" i="37"/>
  <c r="E30" i="37"/>
  <c r="D31" i="37"/>
  <c r="F91" i="37"/>
  <c r="L36" i="31" l="1"/>
  <c r="E31" i="37"/>
  <c r="F31" i="37"/>
  <c r="G30" i="37"/>
  <c r="H30" i="37" s="1"/>
  <c r="I83" i="37"/>
  <c r="D32" i="37"/>
  <c r="F32" i="37" l="1"/>
  <c r="G31" i="37"/>
  <c r="H31" i="37" s="1"/>
  <c r="E32" i="37"/>
  <c r="D33" i="37"/>
  <c r="I84" i="37"/>
  <c r="E33" i="37" l="1"/>
  <c r="F33" i="37"/>
  <c r="G32" i="37"/>
  <c r="H32" i="37" s="1"/>
  <c r="I85" i="37"/>
  <c r="D34" i="37"/>
  <c r="F34" i="37" l="1"/>
  <c r="G33" i="37"/>
  <c r="H33" i="37" s="1"/>
  <c r="E34" i="37"/>
  <c r="D35" i="37"/>
  <c r="I86" i="37"/>
  <c r="E35" i="37" l="1"/>
  <c r="F35" i="37"/>
  <c r="G34" i="37"/>
  <c r="H34" i="37" s="1"/>
  <c r="I87" i="37"/>
  <c r="D36" i="37"/>
  <c r="F36" i="37" l="1"/>
  <c r="G35" i="37"/>
  <c r="H35" i="37" s="1"/>
  <c r="E36" i="37"/>
  <c r="D37" i="37"/>
  <c r="I88" i="37"/>
  <c r="E37" i="37" l="1"/>
  <c r="F37" i="37"/>
  <c r="G36" i="37"/>
  <c r="H36" i="37" s="1"/>
  <c r="I89" i="37"/>
  <c r="D38" i="37"/>
  <c r="F38" i="37" l="1"/>
  <c r="G37" i="37"/>
  <c r="H37" i="37" s="1"/>
  <c r="E38" i="37"/>
  <c r="D39" i="37"/>
  <c r="I90" i="37"/>
  <c r="E39" i="37" l="1"/>
  <c r="F39" i="37"/>
  <c r="G38" i="37"/>
  <c r="H38" i="37" s="1"/>
  <c r="I91" i="37"/>
  <c r="D40" i="37"/>
  <c r="F40" i="37" l="1"/>
  <c r="G39" i="37"/>
  <c r="H39" i="37" s="1"/>
  <c r="E40" i="37"/>
  <c r="G40" i="37" l="1"/>
  <c r="H40" i="37" s="1"/>
  <c r="E41" i="37"/>
  <c r="E42" i="37" s="1"/>
  <c r="D41" i="37" l="1"/>
  <c r="D42" i="37" l="1"/>
  <c r="F41" i="37" l="1"/>
  <c r="F42" i="37" l="1"/>
  <c r="G42" i="37" s="1"/>
  <c r="H42" i="37" s="1"/>
  <c r="G41" i="37"/>
  <c r="H41" i="37" s="1"/>
  <c r="B35" i="25" l="1"/>
  <c r="C82" i="37" l="1"/>
  <c r="H59" i="36" l="1"/>
  <c r="H58" i="36"/>
  <c r="F59" i="36"/>
  <c r="F58" i="36"/>
  <c r="I328" i="28" l="1"/>
  <c r="I327" i="28"/>
  <c r="I326" i="28"/>
  <c r="I324" i="28"/>
  <c r="I323" i="28"/>
  <c r="I322" i="28"/>
  <c r="I320" i="28"/>
  <c r="I319" i="28"/>
  <c r="I318" i="28"/>
  <c r="I316" i="28"/>
  <c r="I315" i="28"/>
  <c r="I314" i="28"/>
  <c r="I312" i="28"/>
  <c r="I311" i="28"/>
  <c r="I310" i="28"/>
  <c r="I308" i="28"/>
  <c r="I307" i="28"/>
  <c r="I306" i="28"/>
  <c r="I280" i="28"/>
  <c r="I279" i="28"/>
  <c r="I278" i="28"/>
  <c r="I276" i="28"/>
  <c r="I275" i="28"/>
  <c r="I274" i="28"/>
  <c r="I272" i="28"/>
  <c r="I271" i="28"/>
  <c r="I270" i="28"/>
  <c r="I268" i="28"/>
  <c r="I267" i="28"/>
  <c r="I266" i="28"/>
  <c r="I264" i="28"/>
  <c r="I263" i="28"/>
  <c r="I262" i="28"/>
  <c r="I260" i="28"/>
  <c r="I259" i="28"/>
  <c r="I258" i="28"/>
  <c r="I256" i="28"/>
  <c r="I255" i="28"/>
  <c r="I254" i="28"/>
  <c r="I251" i="28"/>
  <c r="I250" i="28"/>
  <c r="I249" i="28"/>
  <c r="I247" i="28"/>
  <c r="I246" i="28"/>
  <c r="I245" i="28"/>
  <c r="I243" i="28"/>
  <c r="I242" i="28"/>
  <c r="I241" i="28"/>
  <c r="I239" i="28"/>
  <c r="I238" i="28"/>
  <c r="I237" i="28"/>
  <c r="I235" i="28"/>
  <c r="I234" i="28"/>
  <c r="I233" i="28"/>
  <c r="I231" i="28"/>
  <c r="I230" i="28"/>
  <c r="I229" i="28"/>
  <c r="I227" i="28"/>
  <c r="I226" i="28"/>
  <c r="I225" i="28"/>
  <c r="I223" i="28"/>
  <c r="I222" i="28"/>
  <c r="I221" i="28"/>
  <c r="I219" i="28"/>
  <c r="I218" i="28"/>
  <c r="I217" i="28"/>
  <c r="I215" i="28"/>
  <c r="I214" i="28"/>
  <c r="I213" i="28"/>
  <c r="I211" i="28"/>
  <c r="I210" i="28"/>
  <c r="I209" i="28"/>
  <c r="I207" i="28"/>
  <c r="I206" i="28"/>
  <c r="I205" i="28"/>
  <c r="I203" i="28"/>
  <c r="I202" i="28"/>
  <c r="I201" i="28"/>
  <c r="I199" i="28"/>
  <c r="I197" i="28"/>
  <c r="I195" i="28"/>
  <c r="I193" i="28"/>
  <c r="I191" i="28"/>
  <c r="I190" i="28"/>
  <c r="I189" i="28"/>
  <c r="I187" i="28"/>
  <c r="I185" i="28"/>
  <c r="I183" i="28"/>
  <c r="I181" i="28"/>
  <c r="I179" i="28"/>
  <c r="I178" i="28"/>
  <c r="I177" i="28"/>
  <c r="I175" i="28"/>
  <c r="I174" i="28"/>
  <c r="I173" i="28"/>
  <c r="I171" i="28"/>
  <c r="I169" i="28"/>
  <c r="I167" i="28"/>
  <c r="I166" i="28"/>
  <c r="I165" i="28"/>
  <c r="I163" i="28"/>
  <c r="I161" i="28"/>
  <c r="I186" i="28" l="1"/>
  <c r="I162" i="28"/>
  <c r="I194" i="28"/>
  <c r="I170" i="28"/>
  <c r="I224" i="28"/>
  <c r="I253" i="28"/>
  <c r="I265" i="28"/>
  <c r="I273" i="28"/>
  <c r="I305" i="28"/>
  <c r="I325" i="28"/>
  <c r="I172" i="28"/>
  <c r="I196" i="28"/>
  <c r="I244" i="28"/>
  <c r="I182" i="28"/>
  <c r="I198" i="28"/>
  <c r="I200" i="28"/>
  <c r="I248" i="28"/>
  <c r="I208" i="28"/>
  <c r="I240" i="28"/>
  <c r="I257" i="28"/>
  <c r="I261" i="28"/>
  <c r="I269" i="28"/>
  <c r="I277" i="28"/>
  <c r="I309" i="28"/>
  <c r="I313" i="28"/>
  <c r="I317" i="28"/>
  <c r="I321" i="28"/>
  <c r="I164" i="28"/>
  <c r="I180" i="28"/>
  <c r="I188" i="28"/>
  <c r="I212" i="28"/>
  <c r="I228" i="28"/>
  <c r="I216" i="28"/>
  <c r="I232" i="28"/>
  <c r="I168" i="28"/>
  <c r="I176" i="28"/>
  <c r="I184" i="28"/>
  <c r="I192" i="28"/>
  <c r="I204" i="28"/>
  <c r="I220" i="28"/>
  <c r="I236" i="28"/>
  <c r="I252" i="28"/>
  <c r="B15" i="28" l="1"/>
  <c r="B16" i="28" l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C84" i="36" l="1"/>
  <c r="D76" i="36"/>
  <c r="D73" i="36"/>
  <c r="I59" i="36" s="1"/>
  <c r="C73" i="36"/>
  <c r="I58" i="36" s="1"/>
  <c r="E68" i="36"/>
  <c r="K64" i="36"/>
  <c r="J64" i="36"/>
  <c r="G64" i="36"/>
  <c r="F64" i="36"/>
  <c r="C64" i="36"/>
  <c r="K63" i="36"/>
  <c r="J63" i="36"/>
  <c r="G63" i="36"/>
  <c r="F63" i="36"/>
  <c r="C63" i="36"/>
  <c r="F60" i="36"/>
  <c r="H60" i="36" s="1"/>
  <c r="C14" i="36" s="1"/>
  <c r="D14" i="36" s="1"/>
  <c r="D15" i="36" s="1"/>
  <c r="D52" i="36"/>
  <c r="C52" i="36"/>
  <c r="C51" i="36"/>
  <c r="D50" i="36"/>
  <c r="C50" i="36"/>
  <c r="D49" i="36"/>
  <c r="C49" i="36"/>
  <c r="C48" i="36"/>
  <c r="D47" i="36"/>
  <c r="C47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12" i="36"/>
  <c r="B5" i="36"/>
  <c r="D16" i="36" l="1"/>
  <c r="C85" i="36"/>
  <c r="H64" i="36"/>
  <c r="F65" i="36"/>
  <c r="H63" i="36"/>
  <c r="G58" i="36"/>
  <c r="G59" i="36" s="1"/>
  <c r="I60" i="36"/>
  <c r="E14" i="36" s="1"/>
  <c r="E15" i="36" s="1"/>
  <c r="E16" i="36" s="1"/>
  <c r="B31" i="36"/>
  <c r="E17" i="36" l="1"/>
  <c r="D17" i="36"/>
  <c r="I41" i="37"/>
  <c r="J41" i="37" s="1"/>
  <c r="K41" i="37" s="1"/>
  <c r="I42" i="37"/>
  <c r="J42" i="37" s="1"/>
  <c r="K42" i="37" s="1"/>
  <c r="C86" i="36"/>
  <c r="C87" i="36" s="1"/>
  <c r="H65" i="36"/>
  <c r="I63" i="36" s="1"/>
  <c r="I64" i="36" s="1"/>
  <c r="K65" i="36" s="1"/>
  <c r="G60" i="36"/>
  <c r="C82" i="36"/>
  <c r="B32" i="36"/>
  <c r="E18" i="36" l="1"/>
  <c r="E19" i="36" s="1"/>
  <c r="D78" i="36"/>
  <c r="D18" i="36"/>
  <c r="G65" i="36"/>
  <c r="D48" i="36" s="1"/>
  <c r="J65" i="36"/>
  <c r="F14" i="36" s="1"/>
  <c r="F15" i="36" s="1"/>
  <c r="F16" i="36" s="1"/>
  <c r="F17" i="36" s="1"/>
  <c r="F18" i="36" s="1"/>
  <c r="I65" i="36"/>
  <c r="D51" i="36"/>
  <c r="C88" i="36"/>
  <c r="B33" i="36"/>
  <c r="E20" i="36" l="1"/>
  <c r="G18" i="36"/>
  <c r="H18" i="36" s="1"/>
  <c r="F19" i="36"/>
  <c r="D19" i="36"/>
  <c r="G14" i="36"/>
  <c r="H14" i="36" s="1"/>
  <c r="B34" i="36"/>
  <c r="C89" i="36"/>
  <c r="G15" i="36"/>
  <c r="H15" i="36" s="1"/>
  <c r="B3" i="31"/>
  <c r="E21" i="36" l="1"/>
  <c r="F20" i="36"/>
  <c r="G19" i="36"/>
  <c r="H19" i="36" s="1"/>
  <c r="D20" i="36"/>
  <c r="G16" i="36"/>
  <c r="H16" i="36" s="1"/>
  <c r="B35" i="36"/>
  <c r="C90" i="36"/>
  <c r="E22" i="36" l="1"/>
  <c r="F21" i="36"/>
  <c r="G20" i="36"/>
  <c r="H20" i="36" s="1"/>
  <c r="D21" i="36"/>
  <c r="C91" i="36"/>
  <c r="B36" i="36"/>
  <c r="G17" i="36"/>
  <c r="H17" i="36" s="1"/>
  <c r="E23" i="36" l="1"/>
  <c r="F22" i="36"/>
  <c r="G21" i="36"/>
  <c r="H21" i="36" s="1"/>
  <c r="D22" i="36"/>
  <c r="B37" i="36"/>
  <c r="F83" i="36"/>
  <c r="J63" i="33"/>
  <c r="C73" i="33"/>
  <c r="I58" i="33" s="1"/>
  <c r="F58" i="33"/>
  <c r="C84" i="33"/>
  <c r="C82" i="33"/>
  <c r="D76" i="33"/>
  <c r="D73" i="33"/>
  <c r="I59" i="33" s="1"/>
  <c r="E68" i="33"/>
  <c r="K64" i="33"/>
  <c r="J64" i="33"/>
  <c r="G64" i="33"/>
  <c r="F64" i="33"/>
  <c r="C64" i="33"/>
  <c r="K63" i="33"/>
  <c r="G63" i="33"/>
  <c r="F63" i="33"/>
  <c r="F65" i="33" s="1"/>
  <c r="C63" i="33"/>
  <c r="H59" i="33"/>
  <c r="F59" i="33"/>
  <c r="H58" i="33"/>
  <c r="D52" i="33"/>
  <c r="C52" i="33"/>
  <c r="C51" i="33"/>
  <c r="C50" i="33"/>
  <c r="D49" i="33"/>
  <c r="C49" i="33"/>
  <c r="C48" i="33"/>
  <c r="D47" i="33"/>
  <c r="C47" i="33"/>
  <c r="B15" i="33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12" i="33"/>
  <c r="B5" i="33"/>
  <c r="E24" i="36" l="1"/>
  <c r="F23" i="36"/>
  <c r="G22" i="36"/>
  <c r="H22" i="36" s="1"/>
  <c r="D23" i="36"/>
  <c r="F84" i="36"/>
  <c r="B38" i="36"/>
  <c r="C85" i="33"/>
  <c r="H64" i="33"/>
  <c r="F60" i="33"/>
  <c r="G58" i="33" s="1"/>
  <c r="G59" i="33" s="1"/>
  <c r="G60" i="33" s="1"/>
  <c r="B27" i="33"/>
  <c r="H63" i="33"/>
  <c r="E25" i="36" l="1"/>
  <c r="G23" i="36"/>
  <c r="H23" i="36" s="1"/>
  <c r="F24" i="36"/>
  <c r="F25" i="36" s="1"/>
  <c r="D24" i="36"/>
  <c r="H60" i="33"/>
  <c r="C14" i="33" s="1"/>
  <c r="D14" i="33" s="1"/>
  <c r="D15" i="33" s="1"/>
  <c r="I60" i="33"/>
  <c r="E14" i="33" s="1"/>
  <c r="E15" i="33" s="1"/>
  <c r="E16" i="33" s="1"/>
  <c r="E17" i="33" s="1"/>
  <c r="B39" i="36"/>
  <c r="F85" i="36"/>
  <c r="C86" i="33"/>
  <c r="H65" i="33"/>
  <c r="I63" i="33" s="1"/>
  <c r="B28" i="33"/>
  <c r="E26" i="36" l="1"/>
  <c r="E18" i="33"/>
  <c r="F26" i="36"/>
  <c r="G25" i="36"/>
  <c r="D25" i="36"/>
  <c r="D16" i="33"/>
  <c r="F86" i="36"/>
  <c r="B40" i="36"/>
  <c r="C87" i="33"/>
  <c r="I64" i="33"/>
  <c r="K65" i="33" s="1"/>
  <c r="B29" i="33"/>
  <c r="G65" i="33"/>
  <c r="D48" i="33" s="1"/>
  <c r="D78" i="33"/>
  <c r="E27" i="36" l="1"/>
  <c r="E19" i="33"/>
  <c r="F27" i="36"/>
  <c r="G26" i="36"/>
  <c r="D26" i="36"/>
  <c r="H25" i="36"/>
  <c r="D17" i="33"/>
  <c r="I65" i="33"/>
  <c r="J65" i="33"/>
  <c r="F14" i="33" s="1"/>
  <c r="F15" i="33" s="1"/>
  <c r="F16" i="33" s="1"/>
  <c r="F17" i="33" s="1"/>
  <c r="F18" i="33" s="1"/>
  <c r="B41" i="36"/>
  <c r="F87" i="36"/>
  <c r="C88" i="33"/>
  <c r="B30" i="33"/>
  <c r="D51" i="33"/>
  <c r="E28" i="36" l="1"/>
  <c r="E20" i="33"/>
  <c r="F28" i="36"/>
  <c r="F19" i="33"/>
  <c r="G18" i="33"/>
  <c r="G27" i="36"/>
  <c r="D27" i="36"/>
  <c r="D28" i="36" s="1"/>
  <c r="H26" i="36"/>
  <c r="D18" i="33"/>
  <c r="G14" i="33"/>
  <c r="H14" i="33" s="1"/>
  <c r="F88" i="36"/>
  <c r="B42" i="36"/>
  <c r="C89" i="33"/>
  <c r="G15" i="33"/>
  <c r="H15" i="33" s="1"/>
  <c r="B31" i="33"/>
  <c r="E29" i="36" l="1"/>
  <c r="G28" i="36"/>
  <c r="H28" i="36" s="1"/>
  <c r="E21" i="33"/>
  <c r="F29" i="36"/>
  <c r="D29" i="36"/>
  <c r="F20" i="33"/>
  <c r="G19" i="33"/>
  <c r="H27" i="36"/>
  <c r="D19" i="33"/>
  <c r="H18" i="33"/>
  <c r="F89" i="36"/>
  <c r="G24" i="36"/>
  <c r="H24" i="36" s="1"/>
  <c r="C90" i="33"/>
  <c r="G16" i="33"/>
  <c r="H16" i="33" s="1"/>
  <c r="B32" i="33"/>
  <c r="E30" i="36" l="1"/>
  <c r="G29" i="36"/>
  <c r="H29" i="36" s="1"/>
  <c r="E22" i="33"/>
  <c r="G20" i="33"/>
  <c r="F21" i="33"/>
  <c r="F30" i="36"/>
  <c r="D20" i="33"/>
  <c r="H19" i="33"/>
  <c r="F90" i="36"/>
  <c r="C91" i="33"/>
  <c r="G17" i="33"/>
  <c r="H17" i="33" s="1"/>
  <c r="B33" i="33"/>
  <c r="E31" i="36" l="1"/>
  <c r="E23" i="33"/>
  <c r="F31" i="36"/>
  <c r="G30" i="36"/>
  <c r="F22" i="33"/>
  <c r="G21" i="33"/>
  <c r="D30" i="36"/>
  <c r="D31" i="36" s="1"/>
  <c r="D21" i="33"/>
  <c r="H20" i="33"/>
  <c r="F91" i="36"/>
  <c r="F83" i="33"/>
  <c r="B34" i="33"/>
  <c r="G31" i="36" l="1"/>
  <c r="H31" i="36" s="1"/>
  <c r="E32" i="36"/>
  <c r="E24" i="33"/>
  <c r="F32" i="36"/>
  <c r="D32" i="36"/>
  <c r="G22" i="33"/>
  <c r="F23" i="33"/>
  <c r="H30" i="36"/>
  <c r="H21" i="33"/>
  <c r="D22" i="33"/>
  <c r="I83" i="36"/>
  <c r="F84" i="33"/>
  <c r="B35" i="33"/>
  <c r="G32" i="36" l="1"/>
  <c r="H32" i="36" s="1"/>
  <c r="E33" i="36"/>
  <c r="E25" i="33"/>
  <c r="F33" i="36"/>
  <c r="G23" i="33"/>
  <c r="F24" i="33"/>
  <c r="F25" i="33" s="1"/>
  <c r="D23" i="33"/>
  <c r="H22" i="33"/>
  <c r="I84" i="36"/>
  <c r="F85" i="33"/>
  <c r="B36" i="33"/>
  <c r="E34" i="36" l="1"/>
  <c r="E26" i="33"/>
  <c r="G25" i="33"/>
  <c r="F26" i="33"/>
  <c r="G33" i="36"/>
  <c r="F34" i="36"/>
  <c r="D33" i="36"/>
  <c r="D24" i="33"/>
  <c r="H23" i="33"/>
  <c r="I85" i="36"/>
  <c r="F86" i="33"/>
  <c r="B37" i="33"/>
  <c r="E35" i="36" l="1"/>
  <c r="E27" i="33"/>
  <c r="F35" i="36"/>
  <c r="G34" i="36"/>
  <c r="F27" i="33"/>
  <c r="G26" i="33"/>
  <c r="D34" i="36"/>
  <c r="H33" i="36"/>
  <c r="D25" i="33"/>
  <c r="I86" i="36"/>
  <c r="F87" i="33"/>
  <c r="B38" i="33"/>
  <c r="E36" i="36" l="1"/>
  <c r="E28" i="33"/>
  <c r="F28" i="33"/>
  <c r="G27" i="33"/>
  <c r="F36" i="36"/>
  <c r="G35" i="36"/>
  <c r="D35" i="36"/>
  <c r="H34" i="36"/>
  <c r="D26" i="33"/>
  <c r="H25" i="33"/>
  <c r="I87" i="36"/>
  <c r="F88" i="33"/>
  <c r="B39" i="33"/>
  <c r="E37" i="36" l="1"/>
  <c r="E29" i="33"/>
  <c r="F29" i="33"/>
  <c r="G28" i="33"/>
  <c r="G36" i="36"/>
  <c r="D36" i="36"/>
  <c r="H35" i="36"/>
  <c r="D27" i="33"/>
  <c r="D28" i="33" s="1"/>
  <c r="H26" i="33"/>
  <c r="I88" i="36"/>
  <c r="F89" i="33"/>
  <c r="B40" i="33"/>
  <c r="G24" i="33"/>
  <c r="H24" i="33" s="1"/>
  <c r="F37" i="36" l="1"/>
  <c r="G37" i="36" s="1"/>
  <c r="E38" i="36"/>
  <c r="E30" i="33"/>
  <c r="G29" i="33"/>
  <c r="D29" i="33"/>
  <c r="H28" i="33"/>
  <c r="D37" i="36"/>
  <c r="H36" i="36"/>
  <c r="H27" i="33"/>
  <c r="I89" i="36"/>
  <c r="F90" i="33"/>
  <c r="B41" i="33"/>
  <c r="F30" i="33" l="1"/>
  <c r="G30" i="33" s="1"/>
  <c r="F38" i="36"/>
  <c r="G38" i="36" s="1"/>
  <c r="E31" i="33"/>
  <c r="E39" i="36"/>
  <c r="H29" i="33"/>
  <c r="D38" i="36"/>
  <c r="H37" i="36"/>
  <c r="I90" i="36"/>
  <c r="F91" i="33"/>
  <c r="B42" i="33"/>
  <c r="F31" i="33" l="1"/>
  <c r="F39" i="36"/>
  <c r="G39" i="36" s="1"/>
  <c r="E32" i="33"/>
  <c r="E40" i="36"/>
  <c r="G31" i="33"/>
  <c r="D39" i="36"/>
  <c r="H38" i="36"/>
  <c r="D30" i="33"/>
  <c r="I91" i="36"/>
  <c r="I83" i="33"/>
  <c r="F40" i="36" l="1"/>
  <c r="G40" i="36" s="1"/>
  <c r="F32" i="33"/>
  <c r="G32" i="33" s="1"/>
  <c r="E33" i="33"/>
  <c r="D40" i="36"/>
  <c r="H39" i="36"/>
  <c r="D31" i="33"/>
  <c r="H30" i="33"/>
  <c r="I84" i="33"/>
  <c r="F33" i="33" l="1"/>
  <c r="G33" i="33" s="1"/>
  <c r="E34" i="33"/>
  <c r="H40" i="36"/>
  <c r="D32" i="33"/>
  <c r="H31" i="33"/>
  <c r="E41" i="36"/>
  <c r="I85" i="33"/>
  <c r="F34" i="33" l="1"/>
  <c r="G34" i="33" s="1"/>
  <c r="E35" i="33"/>
  <c r="H32" i="33"/>
  <c r="D33" i="33"/>
  <c r="E42" i="36"/>
  <c r="D41" i="36"/>
  <c r="I86" i="33"/>
  <c r="F35" i="33" l="1"/>
  <c r="G35" i="33" s="1"/>
  <c r="E36" i="33"/>
  <c r="D34" i="33"/>
  <c r="H33" i="33"/>
  <c r="D42" i="36"/>
  <c r="I87" i="33"/>
  <c r="F36" i="33" l="1"/>
  <c r="G36" i="33" s="1"/>
  <c r="E37" i="33"/>
  <c r="D35" i="33"/>
  <c r="H34" i="33"/>
  <c r="F41" i="36"/>
  <c r="I88" i="33"/>
  <c r="F37" i="33" l="1"/>
  <c r="G37" i="33" s="1"/>
  <c r="E38" i="33"/>
  <c r="D36" i="33"/>
  <c r="H35" i="33"/>
  <c r="F42" i="36"/>
  <c r="G42" i="36" s="1"/>
  <c r="H42" i="36" s="1"/>
  <c r="G41" i="36"/>
  <c r="H41" i="36" s="1"/>
  <c r="I89" i="33"/>
  <c r="F38" i="33" l="1"/>
  <c r="G38" i="33" s="1"/>
  <c r="E39" i="33"/>
  <c r="H36" i="33"/>
  <c r="D37" i="33"/>
  <c r="I90" i="33"/>
  <c r="F39" i="33" l="1"/>
  <c r="G39" i="33" s="1"/>
  <c r="E40" i="33"/>
  <c r="D38" i="33"/>
  <c r="H37" i="33"/>
  <c r="I91" i="33"/>
  <c r="F40" i="33" l="1"/>
  <c r="G40" i="33" s="1"/>
  <c r="D39" i="33"/>
  <c r="H38" i="33"/>
  <c r="E41" i="33"/>
  <c r="D40" i="33" l="1"/>
  <c r="H39" i="33"/>
  <c r="E42" i="33"/>
  <c r="H40" i="33" l="1"/>
  <c r="D41" i="33"/>
  <c r="D42" i="33" s="1"/>
  <c r="F41" i="33" l="1"/>
  <c r="F42" i="33" l="1"/>
  <c r="G42" i="33" s="1"/>
  <c r="H42" i="33" s="1"/>
  <c r="G41" i="33"/>
  <c r="H41" i="33" s="1"/>
  <c r="B40" i="25" l="1"/>
  <c r="B35" i="38" s="1"/>
  <c r="I148" i="28" l="1"/>
  <c r="I147" i="28"/>
  <c r="I146" i="28"/>
  <c r="I145" i="28"/>
  <c r="I144" i="28"/>
  <c r="I143" i="28"/>
  <c r="I141" i="28"/>
  <c r="I140" i="28"/>
  <c r="I139" i="28"/>
  <c r="I138" i="28"/>
  <c r="I137" i="28"/>
  <c r="I142" i="28"/>
  <c r="C64" i="29" l="1"/>
  <c r="C63" i="29"/>
  <c r="D76" i="29"/>
  <c r="D73" i="29"/>
  <c r="C73" i="29"/>
  <c r="E68" i="29"/>
  <c r="I160" i="28" l="1"/>
  <c r="I159" i="28"/>
  <c r="I158" i="28"/>
  <c r="I157" i="28"/>
  <c r="I156" i="28"/>
  <c r="I155" i="28"/>
  <c r="I154" i="28"/>
  <c r="I153" i="28"/>
  <c r="I152" i="28"/>
  <c r="I151" i="28"/>
  <c r="I150" i="28"/>
  <c r="I149" i="28"/>
  <c r="I136" i="28"/>
  <c r="I135" i="28"/>
  <c r="I134" i="28"/>
  <c r="I132" i="28"/>
  <c r="I131" i="28"/>
  <c r="I130" i="28"/>
  <c r="I129" i="28"/>
  <c r="I128" i="28"/>
  <c r="I127" i="28"/>
  <c r="I126" i="28"/>
  <c r="I125" i="28"/>
  <c r="I124" i="28"/>
  <c r="I122" i="28"/>
  <c r="I121" i="28"/>
  <c r="I120" i="28"/>
  <c r="I118" i="28"/>
  <c r="I117" i="28"/>
  <c r="I116" i="28"/>
  <c r="I115" i="28"/>
  <c r="I114" i="28"/>
  <c r="I113" i="28" l="1"/>
  <c r="I119" i="28"/>
  <c r="I123" i="28"/>
  <c r="I133" i="28"/>
  <c r="I59" i="29" l="1"/>
  <c r="I58" i="29"/>
  <c r="F63" i="29"/>
  <c r="K64" i="29"/>
  <c r="J64" i="29"/>
  <c r="G64" i="29"/>
  <c r="F64" i="29"/>
  <c r="K63" i="29"/>
  <c r="J63" i="29"/>
  <c r="G63" i="29"/>
  <c r="H59" i="29"/>
  <c r="F59" i="29"/>
  <c r="H58" i="29"/>
  <c r="D52" i="29"/>
  <c r="C52" i="29"/>
  <c r="C51" i="29"/>
  <c r="C50" i="29"/>
  <c r="D49" i="29"/>
  <c r="C49" i="29"/>
  <c r="C48" i="29"/>
  <c r="D47" i="29"/>
  <c r="C47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12" i="29"/>
  <c r="B5" i="29"/>
  <c r="B28" i="29" l="1"/>
  <c r="B29" i="29" s="1"/>
  <c r="B30" i="29" s="1"/>
  <c r="H64" i="29"/>
  <c r="F65" i="29"/>
  <c r="F58" i="29"/>
  <c r="F60" i="29" s="1"/>
  <c r="G58" i="29" s="1"/>
  <c r="H63" i="29"/>
  <c r="H65" i="29" l="1"/>
  <c r="D78" i="29" s="1"/>
  <c r="G59" i="29"/>
  <c r="G60" i="29" s="1"/>
  <c r="I60" i="29"/>
  <c r="E14" i="29" s="1"/>
  <c r="E15" i="29" s="1"/>
  <c r="B31" i="29"/>
  <c r="H60" i="29"/>
  <c r="C14" i="29" s="1"/>
  <c r="D14" i="29" s="1"/>
  <c r="D15" i="29" s="1"/>
  <c r="G65" i="29" l="1"/>
  <c r="D48" i="29" s="1"/>
  <c r="I63" i="29"/>
  <c r="I64" i="29" s="1"/>
  <c r="K65" i="29" s="1"/>
  <c r="D51" i="29" s="1"/>
  <c r="B32" i="29"/>
  <c r="I65" i="29" l="1"/>
  <c r="J65" i="29"/>
  <c r="F14" i="29" s="1"/>
  <c r="B33" i="29"/>
  <c r="G14" i="29" l="1"/>
  <c r="H14" i="29" s="1"/>
  <c r="F15" i="29"/>
  <c r="B34" i="29"/>
  <c r="B35" i="29" l="1"/>
  <c r="B36" i="29" l="1"/>
  <c r="B37" i="29" l="1"/>
  <c r="B38" i="29" l="1"/>
  <c r="B39" i="29" l="1"/>
  <c r="B40" i="29" l="1"/>
  <c r="B41" i="29" l="1"/>
  <c r="B42" i="29" l="1"/>
  <c r="B41" i="28" l="1"/>
  <c r="C82" i="29" l="1"/>
  <c r="C84" i="29"/>
  <c r="F16" i="29" l="1"/>
  <c r="E16" i="29"/>
  <c r="D16" i="29"/>
  <c r="C85" i="29"/>
  <c r="D17" i="29" l="1"/>
  <c r="E17" i="29"/>
  <c r="F17" i="29"/>
  <c r="C86" i="29"/>
  <c r="G15" i="29"/>
  <c r="H15" i="29" s="1"/>
  <c r="D18" i="29" l="1"/>
  <c r="F18" i="29"/>
  <c r="E18" i="29"/>
  <c r="C87" i="29"/>
  <c r="G16" i="29"/>
  <c r="H16" i="29" s="1"/>
  <c r="D19" i="29" l="1"/>
  <c r="E19" i="29"/>
  <c r="F19" i="29"/>
  <c r="G18" i="29"/>
  <c r="H18" i="29" s="1"/>
  <c r="C88" i="29"/>
  <c r="G17" i="29"/>
  <c r="H17" i="29" s="1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3" i="28"/>
  <c r="I41" i="28"/>
  <c r="I39" i="28"/>
  <c r="I37" i="28"/>
  <c r="I35" i="28"/>
  <c r="I33" i="28"/>
  <c r="I31" i="28"/>
  <c r="I29" i="28"/>
  <c r="I27" i="28"/>
  <c r="I25" i="28"/>
  <c r="I23" i="28"/>
  <c r="I21" i="28"/>
  <c r="I19" i="28"/>
  <c r="I17" i="28"/>
  <c r="D20" i="29" l="1"/>
  <c r="E20" i="29"/>
  <c r="G19" i="29"/>
  <c r="H19" i="29" s="1"/>
  <c r="F20" i="29"/>
  <c r="C89" i="29"/>
  <c r="C90" i="29" s="1"/>
  <c r="I18" i="28"/>
  <c r="I20" i="28"/>
  <c r="I22" i="28"/>
  <c r="I24" i="28"/>
  <c r="I26" i="28"/>
  <c r="I28" i="28"/>
  <c r="I30" i="28"/>
  <c r="I32" i="28"/>
  <c r="I34" i="28"/>
  <c r="I36" i="28"/>
  <c r="I38" i="28"/>
  <c r="I40" i="28"/>
  <c r="I42" i="28"/>
  <c r="I44" i="28"/>
  <c r="D21" i="29" l="1"/>
  <c r="D22" i="29" s="1"/>
  <c r="E21" i="29"/>
  <c r="E22" i="29" s="1"/>
  <c r="F21" i="29"/>
  <c r="G20" i="29"/>
  <c r="H20" i="29" s="1"/>
  <c r="C91" i="29"/>
  <c r="D23" i="29" l="1"/>
  <c r="E23" i="29"/>
  <c r="G21" i="29"/>
  <c r="H21" i="29" s="1"/>
  <c r="F22" i="29"/>
  <c r="F83" i="29"/>
  <c r="D24" i="29" l="1"/>
  <c r="E24" i="29"/>
  <c r="F23" i="29"/>
  <c r="G22" i="29"/>
  <c r="H22" i="29" s="1"/>
  <c r="F84" i="29"/>
  <c r="D25" i="29" l="1"/>
  <c r="G23" i="29"/>
  <c r="H23" i="29" s="1"/>
  <c r="F24" i="29"/>
  <c r="F25" i="29" s="1"/>
  <c r="E25" i="29"/>
  <c r="F85" i="29"/>
  <c r="D26" i="29" l="1"/>
  <c r="F26" i="29"/>
  <c r="G25" i="29"/>
  <c r="H25" i="29" s="1"/>
  <c r="E26" i="29"/>
  <c r="F86" i="29"/>
  <c r="D27" i="29" l="1"/>
  <c r="F27" i="29"/>
  <c r="G26" i="29"/>
  <c r="H26" i="29" s="1"/>
  <c r="E27" i="29"/>
  <c r="G24" i="29"/>
  <c r="H24" i="29" s="1"/>
  <c r="F87" i="29"/>
  <c r="D28" i="29" l="1"/>
  <c r="E28" i="29"/>
  <c r="F28" i="29"/>
  <c r="G27" i="29"/>
  <c r="H27" i="29" s="1"/>
  <c r="F88" i="29"/>
  <c r="D29" i="29" l="1"/>
  <c r="E29" i="29"/>
  <c r="G28" i="29"/>
  <c r="H28" i="29" s="1"/>
  <c r="F29" i="29"/>
  <c r="F89" i="29"/>
  <c r="D30" i="29" l="1"/>
  <c r="E30" i="29"/>
  <c r="G29" i="29"/>
  <c r="H29" i="29" s="1"/>
  <c r="F30" i="29"/>
  <c r="F90" i="29"/>
  <c r="J9" i="31"/>
  <c r="B8" i="31" s="1"/>
  <c r="D31" i="29" l="1"/>
  <c r="G30" i="29"/>
  <c r="H30" i="29" s="1"/>
  <c r="F91" i="29"/>
  <c r="E31" i="29" l="1"/>
  <c r="F31" i="29"/>
  <c r="D32" i="29"/>
  <c r="I83" i="29"/>
  <c r="J8" i="31"/>
  <c r="G31" i="29" l="1"/>
  <c r="H31" i="29" s="1"/>
  <c r="F32" i="29"/>
  <c r="E32" i="29"/>
  <c r="D33" i="29"/>
  <c r="I84" i="29"/>
  <c r="I133" i="31"/>
  <c r="I25" i="31"/>
  <c r="I14" i="31"/>
  <c r="K9" i="31"/>
  <c r="G32" i="29" l="1"/>
  <c r="H32" i="29" s="1"/>
  <c r="D34" i="29"/>
  <c r="E33" i="29"/>
  <c r="F33" i="29"/>
  <c r="I85" i="29"/>
  <c r="I134" i="31"/>
  <c r="I145" i="31"/>
  <c r="I26" i="31"/>
  <c r="I15" i="31"/>
  <c r="I37" i="31"/>
  <c r="F34" i="29" l="1"/>
  <c r="E34" i="29"/>
  <c r="G33" i="29"/>
  <c r="H33" i="29" s="1"/>
  <c r="D35" i="29"/>
  <c r="I86" i="29"/>
  <c r="I157" i="31"/>
  <c r="I49" i="31"/>
  <c r="I146" i="31"/>
  <c r="I38" i="31"/>
  <c r="I135" i="31"/>
  <c r="I27" i="31"/>
  <c r="I16" i="31"/>
  <c r="G34" i="29" l="1"/>
  <c r="H34" i="29" s="1"/>
  <c r="F35" i="29"/>
  <c r="E35" i="29"/>
  <c r="D36" i="29"/>
  <c r="I87" i="29"/>
  <c r="I147" i="31"/>
  <c r="I39" i="31"/>
  <c r="I169" i="31"/>
  <c r="I61" i="31"/>
  <c r="I136" i="31"/>
  <c r="I17" i="31"/>
  <c r="I28" i="31"/>
  <c r="I158" i="31"/>
  <c r="I50" i="31"/>
  <c r="G35" i="29" l="1"/>
  <c r="H35" i="29" s="1"/>
  <c r="E36" i="29"/>
  <c r="F36" i="29"/>
  <c r="D37" i="29"/>
  <c r="I88" i="29"/>
  <c r="I170" i="31"/>
  <c r="I62" i="31"/>
  <c r="I148" i="31"/>
  <c r="I40" i="31"/>
  <c r="I159" i="31"/>
  <c r="I51" i="31"/>
  <c r="I137" i="31"/>
  <c r="I29" i="31"/>
  <c r="I18" i="31"/>
  <c r="I181" i="31"/>
  <c r="I73" i="31"/>
  <c r="G36" i="29" l="1"/>
  <c r="H36" i="29" s="1"/>
  <c r="F37" i="29"/>
  <c r="E37" i="29"/>
  <c r="D38" i="29"/>
  <c r="I89" i="29"/>
  <c r="I138" i="31"/>
  <c r="I19" i="31"/>
  <c r="I30" i="31"/>
  <c r="I182" i="31"/>
  <c r="I74" i="31"/>
  <c r="I193" i="31"/>
  <c r="I85" i="31"/>
  <c r="I149" i="31"/>
  <c r="I41" i="31"/>
  <c r="I171" i="31"/>
  <c r="I63" i="31"/>
  <c r="I160" i="31"/>
  <c r="I52" i="31"/>
  <c r="G37" i="29" l="1"/>
  <c r="H37" i="29" s="1"/>
  <c r="F38" i="29"/>
  <c r="E38" i="29"/>
  <c r="D39" i="29"/>
  <c r="I90" i="29"/>
  <c r="I172" i="31"/>
  <c r="I64" i="31"/>
  <c r="I161" i="31"/>
  <c r="I53" i="31"/>
  <c r="I205" i="31"/>
  <c r="I97" i="31"/>
  <c r="I150" i="31"/>
  <c r="I42" i="31"/>
  <c r="I183" i="31"/>
  <c r="I75" i="31"/>
  <c r="I194" i="31"/>
  <c r="I86" i="31"/>
  <c r="I139" i="31"/>
  <c r="I31" i="31"/>
  <c r="I20" i="31"/>
  <c r="G38" i="29" l="1"/>
  <c r="H38" i="29" s="1"/>
  <c r="E39" i="29"/>
  <c r="F39" i="29"/>
  <c r="D40" i="29"/>
  <c r="I91" i="29"/>
  <c r="I151" i="31"/>
  <c r="I43" i="31"/>
  <c r="I195" i="31"/>
  <c r="I87" i="31"/>
  <c r="I162" i="31"/>
  <c r="I54" i="31"/>
  <c r="I217" i="31"/>
  <c r="I109" i="31"/>
  <c r="I184" i="31"/>
  <c r="I76" i="31"/>
  <c r="I140" i="31"/>
  <c r="I21" i="31"/>
  <c r="I32" i="31"/>
  <c r="I206" i="31"/>
  <c r="I98" i="31"/>
  <c r="I173" i="31"/>
  <c r="I65" i="31"/>
  <c r="G39" i="29" l="1"/>
  <c r="H39" i="29" s="1"/>
  <c r="F40" i="29"/>
  <c r="E40" i="29"/>
  <c r="I152" i="31"/>
  <c r="I44" i="31"/>
  <c r="I174" i="31"/>
  <c r="I66" i="31"/>
  <c r="I185" i="31"/>
  <c r="I77" i="31"/>
  <c r="I218" i="31"/>
  <c r="I110" i="31"/>
  <c r="I141" i="31"/>
  <c r="I33" i="31"/>
  <c r="I22" i="31"/>
  <c r="I196" i="31"/>
  <c r="I88" i="31"/>
  <c r="I229" i="31"/>
  <c r="I121" i="31"/>
  <c r="I207" i="31"/>
  <c r="I99" i="31"/>
  <c r="I163" i="31"/>
  <c r="I55" i="31"/>
  <c r="G40" i="29" l="1"/>
  <c r="H40" i="29" s="1"/>
  <c r="E41" i="29"/>
  <c r="I175" i="31"/>
  <c r="I67" i="31"/>
  <c r="I208" i="31"/>
  <c r="I100" i="31"/>
  <c r="I153" i="31"/>
  <c r="I45" i="31"/>
  <c r="I230" i="31"/>
  <c r="I122" i="31"/>
  <c r="I164" i="31"/>
  <c r="I56" i="31"/>
  <c r="I219" i="31"/>
  <c r="I111" i="31"/>
  <c r="I241" i="31"/>
  <c r="I142" i="31"/>
  <c r="I23" i="31"/>
  <c r="I34" i="31"/>
  <c r="I197" i="31"/>
  <c r="I89" i="31"/>
  <c r="I186" i="31"/>
  <c r="I78" i="31"/>
  <c r="I42" i="36" l="1"/>
  <c r="J42" i="36" s="1"/>
  <c r="K42" i="36" s="1"/>
  <c r="I41" i="36"/>
  <c r="J41" i="36" s="1"/>
  <c r="K41" i="36" s="1"/>
  <c r="I42" i="33"/>
  <c r="J42" i="33" s="1"/>
  <c r="K42" i="33" s="1"/>
  <c r="I41" i="33"/>
  <c r="J41" i="33" s="1"/>
  <c r="K41" i="33" s="1"/>
  <c r="D41" i="29"/>
  <c r="E42" i="29"/>
  <c r="I41" i="29"/>
  <c r="J41" i="29" s="1"/>
  <c r="I42" i="29"/>
  <c r="J42" i="29" s="1"/>
  <c r="F41" i="29"/>
  <c r="I198" i="31"/>
  <c r="I90" i="31"/>
  <c r="I143" i="31"/>
  <c r="I35" i="31"/>
  <c r="I24" i="31"/>
  <c r="I231" i="31"/>
  <c r="I123" i="31"/>
  <c r="I242" i="31"/>
  <c r="I187" i="31"/>
  <c r="I79" i="31"/>
  <c r="I209" i="31"/>
  <c r="I101" i="31"/>
  <c r="I154" i="31"/>
  <c r="I46" i="31"/>
  <c r="I176" i="31"/>
  <c r="I68" i="31"/>
  <c r="I165" i="31"/>
  <c r="I57" i="31"/>
  <c r="I220" i="31"/>
  <c r="I112" i="31"/>
  <c r="D42" i="29" l="1"/>
  <c r="F42" i="29"/>
  <c r="G42" i="29" s="1"/>
  <c r="G41" i="29"/>
  <c r="H41" i="29" s="1"/>
  <c r="K41" i="29" s="1"/>
  <c r="I177" i="31"/>
  <c r="I69" i="31"/>
  <c r="I188" i="31"/>
  <c r="I80" i="31"/>
  <c r="I221" i="31"/>
  <c r="I113" i="31"/>
  <c r="I199" i="31"/>
  <c r="I91" i="31"/>
  <c r="I243" i="31"/>
  <c r="I155" i="31"/>
  <c r="I47" i="31"/>
  <c r="I232" i="31"/>
  <c r="I124" i="31"/>
  <c r="I166" i="31"/>
  <c r="I58" i="31"/>
  <c r="I144" i="31"/>
  <c r="I36" i="31"/>
  <c r="I210" i="31"/>
  <c r="I102" i="31"/>
  <c r="H42" i="29" l="1"/>
  <c r="K42" i="29" s="1"/>
  <c r="I222" i="31"/>
  <c r="I114" i="31"/>
  <c r="I211" i="31"/>
  <c r="I103" i="31"/>
  <c r="I189" i="31"/>
  <c r="I81" i="31"/>
  <c r="I156" i="31"/>
  <c r="I48" i="31"/>
  <c r="I178" i="31"/>
  <c r="I70" i="31"/>
  <c r="I244" i="31"/>
  <c r="I167" i="31"/>
  <c r="I59" i="31"/>
  <c r="I233" i="31"/>
  <c r="I125" i="31"/>
  <c r="I200" i="31"/>
  <c r="I92" i="31"/>
  <c r="I212" i="31" l="1"/>
  <c r="I104" i="31"/>
  <c r="I190" i="31"/>
  <c r="I82" i="31"/>
  <c r="I201" i="31"/>
  <c r="I93" i="31"/>
  <c r="I245" i="31"/>
  <c r="I179" i="31"/>
  <c r="I71" i="31"/>
  <c r="I168" i="31"/>
  <c r="I60" i="31"/>
  <c r="I223" i="31"/>
  <c r="I115" i="31"/>
  <c r="I234" i="31"/>
  <c r="I126" i="31"/>
  <c r="I235" i="31" l="1"/>
  <c r="I127" i="31"/>
  <c r="I246" i="31"/>
  <c r="I191" i="31"/>
  <c r="I83" i="31"/>
  <c r="I213" i="31"/>
  <c r="I105" i="31"/>
  <c r="I202" i="31"/>
  <c r="I94" i="31"/>
  <c r="I180" i="31"/>
  <c r="I72" i="31"/>
  <c r="I224" i="31"/>
  <c r="I116" i="31"/>
  <c r="I225" i="31" l="1"/>
  <c r="I117" i="31"/>
  <c r="I203" i="31"/>
  <c r="I95" i="31"/>
  <c r="I236" i="31"/>
  <c r="I128" i="31"/>
  <c r="I192" i="31"/>
  <c r="I84" i="31"/>
  <c r="I214" i="31"/>
  <c r="I106" i="31"/>
  <c r="I247" i="31"/>
  <c r="I226" i="31" l="1"/>
  <c r="I118" i="31"/>
  <c r="I248" i="31"/>
  <c r="I215" i="31"/>
  <c r="I107" i="31"/>
  <c r="I204" i="31"/>
  <c r="I96" i="31"/>
  <c r="I237" i="31"/>
  <c r="I129" i="31"/>
  <c r="I249" i="31" l="1"/>
  <c r="I227" i="31"/>
  <c r="I119" i="31"/>
  <c r="I216" i="31"/>
  <c r="I108" i="31"/>
  <c r="I238" i="31"/>
  <c r="I130" i="31"/>
  <c r="I250" i="31" l="1"/>
  <c r="I239" i="31"/>
  <c r="I131" i="31"/>
  <c r="I228" i="31"/>
  <c r="I120" i="31"/>
  <c r="I251" i="31" l="1"/>
  <c r="I240" i="31"/>
  <c r="I132" i="31"/>
  <c r="I252" i="31" l="1"/>
  <c r="B3" i="17" l="1"/>
  <c r="D50" i="33" l="1"/>
  <c r="D50" i="29" l="1"/>
  <c r="J13" i="31" l="1"/>
  <c r="B14" i="31"/>
  <c r="B54" i="25" l="1"/>
  <c r="C10" i="25"/>
  <c r="B43" i="25"/>
  <c r="J14" i="31"/>
  <c r="B15" i="31"/>
  <c r="B16" i="31" l="1"/>
  <c r="J15" i="31"/>
  <c r="B13" i="25"/>
  <c r="B8" i="38" s="1"/>
  <c r="B13" i="17"/>
  <c r="B9" i="38" l="1"/>
  <c r="B14" i="17"/>
  <c r="C13" i="25"/>
  <c r="B14" i="25"/>
  <c r="J16" i="31"/>
  <c r="B17" i="31"/>
  <c r="B10" i="38" l="1"/>
  <c r="B15" i="17"/>
  <c r="J17" i="31"/>
  <c r="B18" i="31"/>
  <c r="C14" i="25"/>
  <c r="B15" i="25"/>
  <c r="B11" i="38" l="1"/>
  <c r="B16" i="25"/>
  <c r="C15" i="25"/>
  <c r="B16" i="17"/>
  <c r="B19" i="31"/>
  <c r="J18" i="31"/>
  <c r="B12" i="38" l="1"/>
  <c r="C16" i="25"/>
  <c r="B17" i="25"/>
  <c r="B17" i="17"/>
  <c r="B20" i="31"/>
  <c r="J19" i="31"/>
  <c r="B13" i="38" l="1"/>
  <c r="B18" i="17"/>
  <c r="C17" i="25"/>
  <c r="B18" i="25"/>
  <c r="B21" i="31"/>
  <c r="J20" i="31"/>
  <c r="B14" i="38" l="1"/>
  <c r="B19" i="17"/>
  <c r="J21" i="31"/>
  <c r="B22" i="31"/>
  <c r="C18" i="25"/>
  <c r="B19" i="25"/>
  <c r="B15" i="38" l="1"/>
  <c r="B23" i="31"/>
  <c r="J22" i="31"/>
  <c r="B20" i="17"/>
  <c r="B20" i="25"/>
  <c r="C19" i="25"/>
  <c r="B16" i="38" l="1"/>
  <c r="B21" i="17"/>
  <c r="J23" i="31"/>
  <c r="B24" i="31"/>
  <c r="C20" i="25"/>
  <c r="B21" i="25"/>
  <c r="B17" i="38" l="1"/>
  <c r="J24" i="31"/>
  <c r="B25" i="31"/>
  <c r="C21" i="25"/>
  <c r="B22" i="25"/>
  <c r="B22" i="17"/>
  <c r="B18" i="38" l="1"/>
  <c r="B23" i="17"/>
  <c r="C22" i="25"/>
  <c r="B23" i="25"/>
  <c r="B26" i="31"/>
  <c r="J25" i="31"/>
  <c r="B19" i="38" l="1"/>
  <c r="J26" i="31"/>
  <c r="B27" i="31"/>
  <c r="C23" i="25"/>
  <c r="B24" i="25"/>
  <c r="B24" i="17"/>
  <c r="B20" i="38" l="1"/>
  <c r="B25" i="25"/>
  <c r="B28" i="31"/>
  <c r="J27" i="31"/>
  <c r="B25" i="17"/>
  <c r="B21" i="38" l="1"/>
  <c r="B26" i="25"/>
  <c r="B26" i="17"/>
  <c r="B29" i="31"/>
  <c r="J28" i="31"/>
  <c r="B22" i="38" l="1"/>
  <c r="B27" i="17"/>
  <c r="B27" i="25"/>
  <c r="B30" i="31"/>
  <c r="J29" i="31"/>
  <c r="B23" i="38" l="1"/>
  <c r="B28" i="17"/>
  <c r="J30" i="31"/>
  <c r="B31" i="31"/>
  <c r="B28" i="25"/>
  <c r="B24" i="38" l="1"/>
  <c r="B29" i="25"/>
  <c r="B29" i="17"/>
  <c r="J31" i="31"/>
  <c r="B32" i="31"/>
  <c r="B25" i="38" l="1"/>
  <c r="B33" i="31"/>
  <c r="J32" i="31"/>
  <c r="B30" i="17"/>
  <c r="B30" i="25"/>
  <c r="B26" i="38" l="1"/>
  <c r="B31" i="25"/>
  <c r="B31" i="17"/>
  <c r="J33" i="31"/>
  <c r="B34" i="31"/>
  <c r="D30" i="38" l="1"/>
  <c r="B27" i="38"/>
  <c r="J34" i="31"/>
  <c r="B35" i="31"/>
  <c r="B32" i="25"/>
  <c r="B37" i="38" l="1"/>
  <c r="J35" i="31"/>
  <c r="B36" i="31"/>
  <c r="B33" i="25"/>
  <c r="B42" i="25"/>
  <c r="J36" i="31" l="1"/>
  <c r="B37" i="31"/>
  <c r="B38" i="31" l="1"/>
  <c r="J37" i="31"/>
  <c r="J38" i="31" l="1"/>
  <c r="B39" i="31"/>
  <c r="J39" i="31" l="1"/>
  <c r="B40" i="31"/>
  <c r="J40" i="31" l="1"/>
  <c r="B41" i="31"/>
  <c r="B42" i="31" l="1"/>
  <c r="J41" i="31"/>
  <c r="J42" i="31" l="1"/>
  <c r="B43" i="31"/>
  <c r="B44" i="31" l="1"/>
  <c r="J43" i="31"/>
  <c r="B45" i="31" l="1"/>
  <c r="J44" i="31"/>
  <c r="J45" i="31" l="1"/>
  <c r="B46" i="31"/>
  <c r="B47" i="31" l="1"/>
  <c r="J46" i="31"/>
  <c r="J47" i="31" l="1"/>
  <c r="B48" i="31"/>
  <c r="B49" i="31" l="1"/>
  <c r="J48" i="31"/>
  <c r="J49" i="31" l="1"/>
  <c r="B50" i="31"/>
  <c r="B51" i="31" l="1"/>
  <c r="J50" i="31"/>
  <c r="J51" i="31" l="1"/>
  <c r="B52" i="31"/>
  <c r="B53" i="31" l="1"/>
  <c r="J52" i="31"/>
  <c r="B54" i="31" l="1"/>
  <c r="J53" i="31"/>
  <c r="B55" i="31" l="1"/>
  <c r="J54" i="31"/>
  <c r="B56" i="31" l="1"/>
  <c r="J55" i="31"/>
  <c r="B57" i="31" l="1"/>
  <c r="J56" i="31"/>
  <c r="B58" i="31" l="1"/>
  <c r="J57" i="31"/>
  <c r="B59" i="31" l="1"/>
  <c r="J58" i="31"/>
  <c r="B60" i="31" l="1"/>
  <c r="J59" i="31"/>
  <c r="J60" i="31" l="1"/>
  <c r="B61" i="31"/>
  <c r="J61" i="31" l="1"/>
  <c r="B62" i="31"/>
  <c r="B63" i="31" l="1"/>
  <c r="J62" i="31"/>
  <c r="B64" i="31" l="1"/>
  <c r="J63" i="31"/>
  <c r="B65" i="31" l="1"/>
  <c r="J64" i="31"/>
  <c r="B66" i="31" l="1"/>
  <c r="J65" i="31"/>
  <c r="J66" i="31" l="1"/>
  <c r="B67" i="31"/>
  <c r="B68" i="31" l="1"/>
  <c r="J67" i="31"/>
  <c r="J68" i="31" l="1"/>
  <c r="B69" i="31"/>
  <c r="B70" i="31" l="1"/>
  <c r="J69" i="31"/>
  <c r="B71" i="31" l="1"/>
  <c r="J70" i="31"/>
  <c r="B72" i="31" l="1"/>
  <c r="J71" i="31"/>
  <c r="B73" i="31" l="1"/>
  <c r="J72" i="31"/>
  <c r="B74" i="31" l="1"/>
  <c r="J73" i="31"/>
  <c r="J74" i="31" l="1"/>
  <c r="B75" i="31"/>
  <c r="J75" i="31" l="1"/>
  <c r="B76" i="31"/>
  <c r="B77" i="31" l="1"/>
  <c r="J76" i="31"/>
  <c r="B78" i="31" l="1"/>
  <c r="J77" i="31"/>
  <c r="J78" i="31" l="1"/>
  <c r="B79" i="31"/>
  <c r="B80" i="31" l="1"/>
  <c r="J79" i="31"/>
  <c r="J80" i="31" l="1"/>
  <c r="B81" i="31"/>
  <c r="B82" i="31" l="1"/>
  <c r="J81" i="31"/>
  <c r="J82" i="31" l="1"/>
  <c r="B83" i="31"/>
  <c r="B84" i="31" l="1"/>
  <c r="J83" i="31"/>
  <c r="J84" i="31" l="1"/>
  <c r="B85" i="31"/>
  <c r="B86" i="31" l="1"/>
  <c r="J85" i="31"/>
  <c r="J86" i="31" l="1"/>
  <c r="B87" i="31"/>
  <c r="J87" i="31" l="1"/>
  <c r="B88" i="31"/>
  <c r="J88" i="31" l="1"/>
  <c r="B89" i="31"/>
  <c r="J89" i="31" l="1"/>
  <c r="B90" i="31"/>
  <c r="B91" i="31" l="1"/>
  <c r="J90" i="31"/>
  <c r="J91" i="31" l="1"/>
  <c r="B92" i="31"/>
  <c r="J92" i="31" l="1"/>
  <c r="B93" i="31"/>
  <c r="J93" i="31" l="1"/>
  <c r="B94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B103" i="31" l="1"/>
  <c r="J102" i="31"/>
  <c r="J103" i="31" l="1"/>
  <c r="B104" i="31"/>
  <c r="B105" i="31" l="1"/>
  <c r="J104" i="31"/>
  <c r="B106" i="31" l="1"/>
  <c r="J105" i="31"/>
  <c r="J106" i="31" l="1"/>
  <c r="B107" i="31"/>
  <c r="J107" i="31" l="1"/>
  <c r="B108" i="31"/>
  <c r="J108" i="31" l="1"/>
  <c r="B109" i="31"/>
  <c r="B110" i="31" l="1"/>
  <c r="J109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B118" i="31" l="1"/>
  <c r="J117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J126" i="31" l="1"/>
  <c r="B127" i="31"/>
  <c r="J127" i="31" l="1"/>
  <c r="B128" i="31"/>
  <c r="J128" i="31" l="1"/>
  <c r="B129" i="31"/>
  <c r="J129" i="31" l="1"/>
  <c r="B130" i="31"/>
  <c r="J130" i="31" l="1"/>
  <c r="B131" i="31"/>
  <c r="B132" i="31" l="1"/>
  <c r="J131" i="31"/>
  <c r="B133" i="31" l="1"/>
  <c r="J132" i="31"/>
  <c r="J133" i="31" l="1"/>
  <c r="B134" i="31"/>
  <c r="J134" i="31" l="1"/>
  <c r="B135" i="31"/>
  <c r="J135" i="31" l="1"/>
  <c r="B136" i="31"/>
  <c r="B137" i="31" l="1"/>
  <c r="J136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B148" i="31" l="1"/>
  <c r="J147" i="31"/>
  <c r="B149" i="31" l="1"/>
  <c r="J148" i="31"/>
  <c r="B150" i="31" l="1"/>
  <c r="J149" i="31"/>
  <c r="J150" i="31" l="1"/>
  <c r="B151" i="31"/>
  <c r="B152" i="31" l="1"/>
  <c r="J151" i="31"/>
  <c r="B153" i="31" l="1"/>
  <c r="J152" i="31"/>
  <c r="B154" i="31" l="1"/>
  <c r="J153" i="31"/>
  <c r="B155" i="31" l="1"/>
  <c r="J154" i="31"/>
  <c r="J155" i="31" l="1"/>
  <c r="B156" i="31"/>
  <c r="J156" i="31" l="1"/>
  <c r="B157" i="31"/>
  <c r="B158" i="31" l="1"/>
  <c r="J157" i="31"/>
  <c r="B159" i="31" l="1"/>
  <c r="J158" i="31"/>
  <c r="B160" i="31" l="1"/>
  <c r="J159" i="31"/>
  <c r="J160" i="31" l="1"/>
  <c r="B161" i="31"/>
  <c r="J161" i="31" l="1"/>
  <c r="B162" i="31"/>
  <c r="B163" i="31" l="1"/>
  <c r="J162" i="31"/>
  <c r="B164" i="31" l="1"/>
  <c r="J163" i="31"/>
  <c r="J164" i="31" l="1"/>
  <c r="B165" i="31"/>
  <c r="J165" i="31" l="1"/>
  <c r="B166" i="31"/>
  <c r="B167" i="31" l="1"/>
  <c r="J166" i="31"/>
  <c r="B168" i="31" l="1"/>
  <c r="J167" i="31"/>
  <c r="J168" i="31" l="1"/>
  <c r="B169" i="31"/>
  <c r="B170" i="31" l="1"/>
  <c r="J169" i="31"/>
  <c r="J170" i="31" l="1"/>
  <c r="B171" i="31"/>
  <c r="J171" i="31" l="1"/>
  <c r="B172" i="31"/>
  <c r="B173" i="31" l="1"/>
  <c r="J172" i="31"/>
  <c r="J173" i="31" l="1"/>
  <c r="B174" i="31"/>
  <c r="J174" i="31" l="1"/>
  <c r="B175" i="31"/>
  <c r="J175" i="31" l="1"/>
  <c r="B176" i="31"/>
  <c r="B177" i="31" l="1"/>
  <c r="J176" i="31"/>
  <c r="B178" i="31" l="1"/>
  <c r="J177" i="31"/>
  <c r="B179" i="31" l="1"/>
  <c r="J178" i="31"/>
  <c r="J179" i="31" l="1"/>
  <c r="B180" i="31"/>
  <c r="B181" i="31" l="1"/>
  <c r="J180" i="31"/>
  <c r="B182" i="31" l="1"/>
  <c r="J181" i="31"/>
  <c r="J182" i="31" l="1"/>
  <c r="B183" i="31"/>
  <c r="J183" i="31" l="1"/>
  <c r="B184" i="31"/>
  <c r="B185" i="31" l="1"/>
  <c r="J184" i="31"/>
  <c r="B186" i="31" l="1"/>
  <c r="J185" i="31"/>
  <c r="J186" i="31" l="1"/>
  <c r="B187" i="31"/>
  <c r="J187" i="31" l="1"/>
  <c r="B188" i="31"/>
  <c r="B189" i="31" l="1"/>
  <c r="J188" i="31"/>
  <c r="J189" i="31" l="1"/>
  <c r="B190" i="31"/>
  <c r="B191" i="31" l="1"/>
  <c r="J190" i="31"/>
  <c r="J191" i="31" l="1"/>
  <c r="B192" i="31"/>
  <c r="J192" i="31" l="1"/>
  <c r="B193" i="31"/>
  <c r="B194" i="31" l="1"/>
  <c r="J193" i="31"/>
  <c r="J194" i="31" l="1"/>
  <c r="B195" i="31"/>
  <c r="B196" i="31" l="1"/>
  <c r="J195" i="31"/>
  <c r="J196" i="31" l="1"/>
  <c r="B197" i="31"/>
  <c r="J197" i="31" l="1"/>
  <c r="B198" i="31"/>
  <c r="J198" i="31" l="1"/>
  <c r="B199" i="31"/>
  <c r="J199" i="31" l="1"/>
  <c r="B200" i="31"/>
  <c r="B201" i="31" l="1"/>
  <c r="J200" i="31"/>
  <c r="J201" i="31" l="1"/>
  <c r="B202" i="31"/>
  <c r="J202" i="31" l="1"/>
  <c r="B203" i="31"/>
  <c r="B204" i="31" l="1"/>
  <c r="J203" i="31"/>
  <c r="B205" i="31" l="1"/>
  <c r="J204" i="31"/>
  <c r="J205" i="31" l="1"/>
  <c r="B206" i="31"/>
  <c r="B207" i="31" l="1"/>
  <c r="J206" i="31"/>
  <c r="J207" i="31" l="1"/>
  <c r="B208" i="31"/>
  <c r="J208" i="31" l="1"/>
  <c r="B209" i="31"/>
  <c r="J209" i="31" l="1"/>
  <c r="B210" i="31"/>
  <c r="B211" i="31" l="1"/>
  <c r="J210" i="31"/>
  <c r="J211" i="31" l="1"/>
  <c r="B212" i="31"/>
  <c r="B213" i="31" l="1"/>
  <c r="J212" i="31"/>
  <c r="J213" i="31" l="1"/>
  <c r="B214" i="31"/>
  <c r="J214" i="31" l="1"/>
  <c r="B215" i="31"/>
  <c r="B216" i="31" l="1"/>
  <c r="J215" i="31"/>
  <c r="B217" i="31" l="1"/>
  <c r="J216" i="31"/>
  <c r="J217" i="31" l="1"/>
  <c r="B218" i="31"/>
  <c r="J218" i="31" l="1"/>
  <c r="B219" i="31"/>
  <c r="J219" i="31" l="1"/>
  <c r="B220" i="31"/>
  <c r="B221" i="31" l="1"/>
  <c r="J220" i="31"/>
  <c r="J221" i="31" l="1"/>
  <c r="B222" i="31"/>
  <c r="J222" i="31" l="1"/>
  <c r="B223" i="31"/>
  <c r="B224" i="31" l="1"/>
  <c r="J223" i="31"/>
  <c r="B225" i="31" l="1"/>
  <c r="J224" i="31"/>
  <c r="J225" i="31" l="1"/>
  <c r="B226" i="31"/>
  <c r="J226" i="31" l="1"/>
  <c r="B227" i="31"/>
  <c r="J227" i="31" l="1"/>
  <c r="B228" i="31"/>
  <c r="J228" i="31" l="1"/>
  <c r="B229" i="31"/>
  <c r="J229" i="31" l="1"/>
  <c r="B230" i="31"/>
  <c r="J230" i="31" l="1"/>
  <c r="B231" i="31"/>
  <c r="B232" i="31" l="1"/>
  <c r="J231" i="31"/>
  <c r="J232" i="31" l="1"/>
  <c r="B233" i="31"/>
  <c r="B234" i="31" l="1"/>
  <c r="J233" i="31"/>
  <c r="B235" i="31" l="1"/>
  <c r="J234" i="31"/>
  <c r="J235" i="31" l="1"/>
  <c r="B236" i="31"/>
  <c r="J236" i="31" l="1"/>
  <c r="B237" i="31"/>
  <c r="J237" i="31" l="1"/>
  <c r="B238" i="31"/>
  <c r="J238" i="31" l="1"/>
  <c r="B239" i="31"/>
  <c r="J239" i="31" l="1"/>
  <c r="B240" i="31"/>
  <c r="J240" i="31" l="1"/>
  <c r="B241" i="31"/>
  <c r="J241" i="31" l="1"/>
  <c r="B242" i="31"/>
  <c r="B243" i="31" l="1"/>
  <c r="J242" i="31"/>
  <c r="B244" i="31" l="1"/>
  <c r="J243" i="31"/>
  <c r="J244" i="31" l="1"/>
  <c r="B245" i="31"/>
  <c r="B246" i="31" l="1"/>
  <c r="J245" i="31"/>
  <c r="B247" i="31" l="1"/>
  <c r="J246" i="31"/>
  <c r="J247" i="31" l="1"/>
  <c r="B248" i="31"/>
  <c r="B249" i="31" l="1"/>
  <c r="J248" i="31"/>
  <c r="J249" i="31" l="1"/>
  <c r="B250" i="31"/>
  <c r="B251" i="31" l="1"/>
  <c r="J250" i="31"/>
  <c r="J251" i="31" l="1"/>
  <c r="B252" i="31"/>
  <c r="J252" i="31" l="1"/>
  <c r="B253" i="31"/>
  <c r="B254" i="31" l="1"/>
  <c r="J253" i="31"/>
  <c r="B266" i="31"/>
  <c r="J254" i="31" l="1"/>
  <c r="B255" i="31"/>
  <c r="J255" i="31" l="1"/>
  <c r="B256" i="31"/>
  <c r="J256" i="31" l="1"/>
  <c r="B257" i="31"/>
  <c r="J257" i="31" l="1"/>
  <c r="B258" i="31"/>
  <c r="J258" i="31" l="1"/>
  <c r="B259" i="31"/>
  <c r="J259" i="31" l="1"/>
  <c r="B260" i="31"/>
  <c r="B261" i="31" l="1"/>
  <c r="J260" i="31"/>
  <c r="B262" i="31" l="1"/>
  <c r="J261" i="31"/>
  <c r="B263" i="31" l="1"/>
  <c r="J262" i="31"/>
  <c r="B264" i="31" l="1"/>
  <c r="J264" i="31" s="1"/>
  <c r="J263" i="31"/>
  <c r="K13" i="31" l="1"/>
  <c r="K14" i="31" l="1"/>
  <c r="K15" i="31"/>
  <c r="K16" i="31" l="1"/>
  <c r="K17" i="31" l="1"/>
  <c r="K18" i="31" l="1"/>
  <c r="K19" i="31" l="1"/>
  <c r="K20" i="31" l="1"/>
  <c r="K21" i="31" l="1"/>
  <c r="K22" i="31" l="1"/>
  <c r="K23" i="31" l="1"/>
  <c r="K24" i="31" l="1"/>
  <c r="K5" i="31" s="1"/>
  <c r="B50" i="25" l="1"/>
  <c r="K6" i="31"/>
  <c r="B5" i="31" l="1"/>
  <c r="M24" i="31" l="1"/>
  <c r="M20" i="31"/>
  <c r="M21" i="31"/>
  <c r="M17" i="31"/>
  <c r="M23" i="31"/>
  <c r="M19" i="31"/>
  <c r="M18" i="31"/>
  <c r="M22" i="31"/>
  <c r="M16" i="31" l="1"/>
  <c r="F261" i="31" l="1"/>
  <c r="F260" i="31"/>
  <c r="F263" i="31"/>
  <c r="F254" i="31"/>
  <c r="F258" i="31"/>
  <c r="F257" i="31"/>
  <c r="F255" i="31"/>
  <c r="F264" i="31"/>
  <c r="F262" i="31"/>
  <c r="F253" i="31"/>
  <c r="F259" i="31"/>
  <c r="F256" i="31"/>
  <c r="D259" i="31" l="1"/>
  <c r="D260" i="31"/>
  <c r="D264" i="31"/>
  <c r="D254" i="31"/>
  <c r="D256" i="31"/>
  <c r="D262" i="31"/>
  <c r="D255" i="31"/>
  <c r="D258" i="31"/>
  <c r="D263" i="31"/>
  <c r="D261" i="31"/>
  <c r="D253" i="31"/>
  <c r="D257" i="31"/>
  <c r="N36" i="31" l="1"/>
  <c r="C261" i="31" l="1"/>
  <c r="E261" i="31" s="1"/>
  <c r="C258" i="31"/>
  <c r="E258" i="31" s="1"/>
  <c r="C264" i="31"/>
  <c r="E264" i="31" s="1"/>
  <c r="G253" i="31"/>
  <c r="C260" i="31"/>
  <c r="E260" i="31" s="1"/>
  <c r="C256" i="31"/>
  <c r="E256" i="31" s="1"/>
  <c r="C255" i="31"/>
  <c r="E255" i="31" s="1"/>
  <c r="C254" i="31"/>
  <c r="C262" i="31"/>
  <c r="E262" i="31" s="1"/>
  <c r="C257" i="31"/>
  <c r="E257" i="31" s="1"/>
  <c r="C259" i="31"/>
  <c r="E259" i="31" s="1"/>
  <c r="C263" i="31"/>
  <c r="E263" i="31" s="1"/>
  <c r="G260" i="31" l="1"/>
  <c r="G264" i="31"/>
  <c r="G261" i="31"/>
  <c r="G259" i="31"/>
  <c r="G262" i="31"/>
  <c r="G255" i="31"/>
  <c r="G256" i="31"/>
  <c r="G258" i="31"/>
  <c r="G263" i="31"/>
  <c r="G257" i="31"/>
  <c r="E254" i="31"/>
  <c r="G254" i="31" l="1"/>
  <c r="B49" i="25" l="1"/>
  <c r="B47" i="25"/>
  <c r="B46" i="25"/>
  <c r="D21" i="25"/>
  <c r="D25" i="25"/>
  <c r="Q16" i="17"/>
  <c r="C33" i="25"/>
  <c r="Q21" i="17"/>
  <c r="D32" i="25"/>
  <c r="D27" i="25"/>
  <c r="D28" i="25"/>
  <c r="D31" i="25"/>
  <c r="D14" i="25"/>
  <c r="Q18" i="17"/>
  <c r="C26" i="25"/>
  <c r="Q13" i="17"/>
  <c r="C27" i="25"/>
  <c r="D17" i="25"/>
  <c r="D20" i="25"/>
  <c r="Q19" i="17"/>
  <c r="Q17" i="17"/>
  <c r="Q14" i="17"/>
  <c r="D18" i="25"/>
  <c r="C32" i="25"/>
  <c r="D30" i="25"/>
  <c r="D33" i="25"/>
  <c r="D16" i="25"/>
  <c r="Q20" i="17"/>
  <c r="Q15" i="17"/>
  <c r="C29" i="25"/>
  <c r="D24" i="25"/>
  <c r="C24" i="25"/>
  <c r="D19" i="25"/>
  <c r="D23" i="25"/>
  <c r="C31" i="25"/>
  <c r="B44" i="25"/>
  <c r="C28" i="25"/>
  <c r="Q12" i="17"/>
  <c r="D26" i="25"/>
  <c r="D29" i="25"/>
  <c r="D22" i="25"/>
  <c r="C30" i="25"/>
  <c r="C25" i="25"/>
  <c r="D15" i="25"/>
  <c r="Q22" i="17"/>
  <c r="B48" i="25"/>
  <c r="I33" i="36"/>
  <c r="J33" i="36" s="1"/>
  <c r="K33" i="36" s="1"/>
  <c r="B45" i="25"/>
  <c r="K16" i="28"/>
  <c r="E20" i="25" l="1"/>
  <c r="E14" i="25"/>
  <c r="E22" i="25"/>
  <c r="E21" i="25"/>
  <c r="E13" i="25"/>
  <c r="E15" i="25"/>
  <c r="E19" i="25"/>
  <c r="E17" i="25"/>
  <c r="E16" i="25"/>
  <c r="E18" i="25"/>
  <c r="C36" i="25"/>
  <c r="C9" i="28"/>
  <c r="C29" i="28" l="1"/>
  <c r="I30" i="37" s="1"/>
  <c r="J30" i="37" s="1"/>
  <c r="C26" i="28"/>
  <c r="C15" i="28"/>
  <c r="C33" i="28"/>
  <c r="C28" i="28"/>
  <c r="C14" i="28"/>
  <c r="C35" i="28"/>
  <c r="C34" i="28"/>
  <c r="C20" i="28"/>
  <c r="C36" i="28"/>
  <c r="C25" i="28"/>
  <c r="C39" i="28"/>
  <c r="C38" i="28"/>
  <c r="C27" i="28"/>
  <c r="C31" i="28"/>
  <c r="C30" i="28"/>
  <c r="C17" i="28"/>
  <c r="C37" i="28"/>
  <c r="C16" i="28"/>
  <c r="C21" i="28"/>
  <c r="C24" i="28"/>
  <c r="C18" i="28"/>
  <c r="C19" i="28"/>
  <c r="C23" i="28"/>
  <c r="C22" i="28"/>
  <c r="C32" i="28"/>
  <c r="I30" i="29" l="1"/>
  <c r="J30" i="29" s="1"/>
  <c r="K30" i="29" s="1"/>
  <c r="I30" i="33"/>
  <c r="J30" i="33" s="1"/>
  <c r="K30" i="33" s="1"/>
  <c r="I28" i="29"/>
  <c r="J28" i="29" s="1"/>
  <c r="K28" i="29" s="1"/>
  <c r="I29" i="29"/>
  <c r="J29" i="29" s="1"/>
  <c r="K29" i="29" s="1"/>
  <c r="I33" i="37"/>
  <c r="J33" i="37" s="1"/>
  <c r="I33" i="29"/>
  <c r="J33" i="29" s="1"/>
  <c r="K33" i="29" s="1"/>
  <c r="I33" i="33"/>
  <c r="J33" i="33" s="1"/>
  <c r="K33" i="33" s="1"/>
  <c r="I38" i="36"/>
  <c r="J38" i="36" s="1"/>
  <c r="K38" i="36" s="1"/>
  <c r="I38" i="33"/>
  <c r="J38" i="33" s="1"/>
  <c r="K38" i="33" s="1"/>
  <c r="I38" i="29"/>
  <c r="J38" i="29" s="1"/>
  <c r="K38" i="29" s="1"/>
  <c r="I38" i="37"/>
  <c r="J38" i="37" s="1"/>
  <c r="I31" i="37"/>
  <c r="J31" i="37" s="1"/>
  <c r="I31" i="29"/>
  <c r="J31" i="29" s="1"/>
  <c r="K31" i="29" s="1"/>
  <c r="I31" i="33"/>
  <c r="J31" i="33" s="1"/>
  <c r="K31" i="33" s="1"/>
  <c r="I39" i="33"/>
  <c r="J39" i="33" s="1"/>
  <c r="K39" i="33" s="1"/>
  <c r="I39" i="36"/>
  <c r="J39" i="36" s="1"/>
  <c r="K39" i="36" s="1"/>
  <c r="I39" i="37"/>
  <c r="J39" i="37" s="1"/>
  <c r="K39" i="37" s="1"/>
  <c r="I39" i="29"/>
  <c r="J39" i="29" s="1"/>
  <c r="K39" i="29" s="1"/>
  <c r="I36" i="33"/>
  <c r="J36" i="33" s="1"/>
  <c r="K36" i="33" s="1"/>
  <c r="I36" i="37"/>
  <c r="J36" i="37" s="1"/>
  <c r="I36" i="36"/>
  <c r="J36" i="36" s="1"/>
  <c r="K36" i="36" s="1"/>
  <c r="I36" i="29"/>
  <c r="J36" i="29" s="1"/>
  <c r="K36" i="29" s="1"/>
  <c r="I32" i="29"/>
  <c r="J32" i="29" s="1"/>
  <c r="K32" i="29" s="1"/>
  <c r="I32" i="33"/>
  <c r="J32" i="33" s="1"/>
  <c r="K32" i="33" s="1"/>
  <c r="I32" i="37"/>
  <c r="J32" i="37" s="1"/>
  <c r="K30" i="37"/>
  <c r="Q23" i="17"/>
  <c r="I40" i="33"/>
  <c r="J40" i="33" s="1"/>
  <c r="K40" i="33" s="1"/>
  <c r="I40" i="36"/>
  <c r="J40" i="36" s="1"/>
  <c r="K40" i="36" s="1"/>
  <c r="I40" i="29"/>
  <c r="J40" i="29" s="1"/>
  <c r="K40" i="29" s="1"/>
  <c r="I40" i="37"/>
  <c r="J40" i="37" s="1"/>
  <c r="K40" i="37" s="1"/>
  <c r="I37" i="37"/>
  <c r="J37" i="37" s="1"/>
  <c r="I37" i="36"/>
  <c r="J37" i="36" s="1"/>
  <c r="K37" i="36" s="1"/>
  <c r="I37" i="29"/>
  <c r="J37" i="29" s="1"/>
  <c r="K37" i="29" s="1"/>
  <c r="I37" i="33"/>
  <c r="J37" i="33" s="1"/>
  <c r="K37" i="33" s="1"/>
  <c r="I35" i="36"/>
  <c r="J35" i="36" s="1"/>
  <c r="K35" i="36" s="1"/>
  <c r="I35" i="37"/>
  <c r="J35" i="37" s="1"/>
  <c r="I35" i="33"/>
  <c r="J35" i="33" s="1"/>
  <c r="K35" i="33" s="1"/>
  <c r="I35" i="29"/>
  <c r="J35" i="29" s="1"/>
  <c r="K35" i="29" s="1"/>
  <c r="I34" i="37"/>
  <c r="J34" i="37" s="1"/>
  <c r="I34" i="33"/>
  <c r="J34" i="33" s="1"/>
  <c r="K34" i="33" s="1"/>
  <c r="I34" i="29"/>
  <c r="J34" i="29" s="1"/>
  <c r="K34" i="29" s="1"/>
  <c r="I34" i="36"/>
  <c r="J34" i="36" s="1"/>
  <c r="K34" i="36" s="1"/>
  <c r="K34" i="37" l="1"/>
  <c r="Q27" i="17"/>
  <c r="K37" i="37"/>
  <c r="Q30" i="17"/>
  <c r="K36" i="37"/>
  <c r="Q29" i="17"/>
  <c r="K31" i="37"/>
  <c r="Q24" i="17"/>
  <c r="K35" i="37"/>
  <c r="Q28" i="17"/>
  <c r="K32" i="37"/>
  <c r="Q25" i="17"/>
  <c r="K38" i="37"/>
  <c r="Q31" i="17"/>
  <c r="K33" i="37"/>
  <c r="Q26" i="17"/>
  <c r="F9" i="31" l="1"/>
  <c r="M25" i="31" l="1"/>
  <c r="M34" i="31" l="1"/>
  <c r="M28" i="31"/>
  <c r="M30" i="31"/>
  <c r="M29" i="31"/>
  <c r="M26" i="31"/>
  <c r="M32" i="31" l="1"/>
  <c r="M31" i="31"/>
  <c r="C253" i="31"/>
  <c r="C9" i="31" s="1"/>
  <c r="M35" i="31"/>
  <c r="M33" i="31"/>
  <c r="M27" i="31"/>
  <c r="E25" i="25" l="1"/>
  <c r="E253" i="31"/>
  <c r="M36" i="31"/>
  <c r="E33" i="25"/>
  <c r="E30" i="25" l="1"/>
  <c r="E29" i="25"/>
  <c r="E31" i="25"/>
  <c r="E24" i="25"/>
  <c r="E28" i="25"/>
  <c r="G33" i="25"/>
  <c r="E32" i="25"/>
  <c r="E26" i="25"/>
  <c r="E27" i="25"/>
  <c r="E23" i="25"/>
  <c r="E37" i="25" l="1"/>
  <c r="D13" i="31" l="1"/>
  <c r="D14" i="31"/>
  <c r="E14" i="31" s="1"/>
  <c r="D15" i="31"/>
  <c r="E15" i="31" s="1"/>
  <c r="D16" i="31"/>
  <c r="E16" i="31" s="1"/>
  <c r="D17" i="31"/>
  <c r="E17" i="31" s="1"/>
  <c r="D18" i="31"/>
  <c r="E18" i="31" s="1"/>
  <c r="D19" i="31"/>
  <c r="E19" i="31" s="1"/>
  <c r="D20" i="31"/>
  <c r="E20" i="31" s="1"/>
  <c r="D21" i="31"/>
  <c r="E21" i="31" s="1"/>
  <c r="D22" i="31"/>
  <c r="E22" i="31" s="1"/>
  <c r="D23" i="31"/>
  <c r="E23" i="31" s="1"/>
  <c r="D24" i="31"/>
  <c r="E24" i="31" s="1"/>
  <c r="M7" i="31"/>
  <c r="D25" i="31"/>
  <c r="D26" i="31"/>
  <c r="E26" i="31" s="1"/>
  <c r="D27" i="31"/>
  <c r="E27" i="31" s="1"/>
  <c r="D28" i="31"/>
  <c r="E28" i="31" s="1"/>
  <c r="D29" i="31"/>
  <c r="E29" i="31" s="1"/>
  <c r="D30" i="31"/>
  <c r="E30" i="31" s="1"/>
  <c r="D31" i="31"/>
  <c r="E31" i="31" s="1"/>
  <c r="D32" i="31"/>
  <c r="E32" i="31" s="1"/>
  <c r="D33" i="31"/>
  <c r="E33" i="31" s="1"/>
  <c r="D34" i="31"/>
  <c r="E34" i="31" s="1"/>
  <c r="D35" i="31"/>
  <c r="E35" i="31" s="1"/>
  <c r="D36" i="31"/>
  <c r="E36" i="31" s="1"/>
  <c r="D37" i="31"/>
  <c r="D38" i="31"/>
  <c r="E38" i="31" s="1"/>
  <c r="D39" i="31"/>
  <c r="E39" i="31" s="1"/>
  <c r="D40" i="31"/>
  <c r="E40" i="31" s="1"/>
  <c r="D41" i="31"/>
  <c r="E41" i="31" s="1"/>
  <c r="D42" i="31"/>
  <c r="E42" i="31" s="1"/>
  <c r="D43" i="31"/>
  <c r="E43" i="31" s="1"/>
  <c r="D44" i="31"/>
  <c r="E44" i="31" s="1"/>
  <c r="D45" i="31"/>
  <c r="E45" i="31" s="1"/>
  <c r="D46" i="31"/>
  <c r="E46" i="31" s="1"/>
  <c r="D47" i="31"/>
  <c r="E47" i="31" s="1"/>
  <c r="D48" i="31"/>
  <c r="E48" i="31" s="1"/>
  <c r="D50" i="31"/>
  <c r="E50" i="31" s="1"/>
  <c r="D49" i="31"/>
  <c r="D51" i="31"/>
  <c r="E51" i="31" s="1"/>
  <c r="D52" i="31"/>
  <c r="E52" i="31" s="1"/>
  <c r="D53" i="31"/>
  <c r="E53" i="31" s="1"/>
  <c r="D54" i="31"/>
  <c r="E54" i="31" s="1"/>
  <c r="D55" i="31"/>
  <c r="E55" i="31" s="1"/>
  <c r="D56" i="31"/>
  <c r="E56" i="31" s="1"/>
  <c r="D57" i="31"/>
  <c r="E57" i="31" s="1"/>
  <c r="D58" i="31"/>
  <c r="E58" i="31" s="1"/>
  <c r="D59" i="31"/>
  <c r="E59" i="31" s="1"/>
  <c r="D60" i="31"/>
  <c r="E60" i="31" s="1"/>
  <c r="D61" i="31"/>
  <c r="D62" i="31"/>
  <c r="E62" i="31" s="1"/>
  <c r="D63" i="31"/>
  <c r="E63" i="31" s="1"/>
  <c r="D64" i="31"/>
  <c r="E64" i="31" s="1"/>
  <c r="D65" i="31"/>
  <c r="E65" i="31" s="1"/>
  <c r="D66" i="31"/>
  <c r="E66" i="31" s="1"/>
  <c r="D67" i="31"/>
  <c r="E67" i="31" s="1"/>
  <c r="D68" i="31"/>
  <c r="E68" i="31" s="1"/>
  <c r="D69" i="31"/>
  <c r="E69" i="31" s="1"/>
  <c r="D70" i="31"/>
  <c r="E70" i="31" s="1"/>
  <c r="D71" i="31"/>
  <c r="E71" i="31" s="1"/>
  <c r="D72" i="31"/>
  <c r="E72" i="31" s="1"/>
  <c r="D12" i="31"/>
  <c r="G12" i="31" s="1"/>
  <c r="D73" i="31"/>
  <c r="D74" i="31"/>
  <c r="E74" i="31" s="1"/>
  <c r="D75" i="31"/>
  <c r="E75" i="31" s="1"/>
  <c r="D76" i="31"/>
  <c r="E76" i="31" s="1"/>
  <c r="D77" i="31"/>
  <c r="E77" i="31" s="1"/>
  <c r="D78" i="31"/>
  <c r="E78" i="31" s="1"/>
  <c r="D79" i="31"/>
  <c r="E79" i="31" s="1"/>
  <c r="D80" i="31"/>
  <c r="E80" i="31" s="1"/>
  <c r="D81" i="31"/>
  <c r="E81" i="31" s="1"/>
  <c r="D82" i="31"/>
  <c r="E82" i="31" s="1"/>
  <c r="D83" i="31"/>
  <c r="E83" i="31" s="1"/>
  <c r="D84" i="31"/>
  <c r="E84" i="31" s="1"/>
  <c r="D85" i="31"/>
  <c r="D87" i="31"/>
  <c r="E87" i="31" s="1"/>
  <c r="D86" i="31"/>
  <c r="E86" i="31" s="1"/>
  <c r="D88" i="31"/>
  <c r="E88" i="31" s="1"/>
  <c r="D89" i="31"/>
  <c r="E89" i="31" s="1"/>
  <c r="D90" i="31"/>
  <c r="E90" i="31" s="1"/>
  <c r="D91" i="31"/>
  <c r="E91" i="31" s="1"/>
  <c r="D92" i="31"/>
  <c r="E92" i="31" s="1"/>
  <c r="D93" i="31"/>
  <c r="E93" i="31" s="1"/>
  <c r="D94" i="31"/>
  <c r="E94" i="31" s="1"/>
  <c r="D95" i="31"/>
  <c r="E95" i="31" s="1"/>
  <c r="D96" i="31"/>
  <c r="E96" i="31" s="1"/>
  <c r="D97" i="31"/>
  <c r="D98" i="31"/>
  <c r="E98" i="31" s="1"/>
  <c r="D99" i="31"/>
  <c r="E99" i="31" s="1"/>
  <c r="D100" i="31"/>
  <c r="E100" i="31" s="1"/>
  <c r="D101" i="31"/>
  <c r="E101" i="31" s="1"/>
  <c r="D102" i="31"/>
  <c r="E102" i="31" s="1"/>
  <c r="D103" i="31"/>
  <c r="E103" i="31" s="1"/>
  <c r="D104" i="31"/>
  <c r="E104" i="31" s="1"/>
  <c r="D105" i="31"/>
  <c r="E105" i="31" s="1"/>
  <c r="D106" i="31"/>
  <c r="E106" i="31" s="1"/>
  <c r="D107" i="31"/>
  <c r="E107" i="31" s="1"/>
  <c r="D109" i="31"/>
  <c r="D108" i="31"/>
  <c r="E108" i="31" s="1"/>
  <c r="D110" i="31"/>
  <c r="E110" i="31" s="1"/>
  <c r="D111" i="31"/>
  <c r="E111" i="31" s="1"/>
  <c r="D112" i="31"/>
  <c r="E112" i="31" s="1"/>
  <c r="D113" i="31"/>
  <c r="E113" i="31" s="1"/>
  <c r="D114" i="31"/>
  <c r="E114" i="31" s="1"/>
  <c r="D116" i="31"/>
  <c r="E116" i="31" s="1"/>
  <c r="D115" i="31"/>
  <c r="E115" i="31" s="1"/>
  <c r="D118" i="31"/>
  <c r="E118" i="31" s="1"/>
  <c r="D119" i="31"/>
  <c r="E119" i="31" s="1"/>
  <c r="D117" i="31"/>
  <c r="E117" i="31" s="1"/>
  <c r="D121" i="31"/>
  <c r="D120" i="31"/>
  <c r="E120" i="31" s="1"/>
  <c r="D122" i="31"/>
  <c r="E122" i="31" s="1"/>
  <c r="D123" i="31"/>
  <c r="E123" i="31" s="1"/>
  <c r="D124" i="31"/>
  <c r="E124" i="31" s="1"/>
  <c r="D125" i="31"/>
  <c r="E125" i="31" s="1"/>
  <c r="D126" i="31"/>
  <c r="E126" i="31" s="1"/>
  <c r="D127" i="31"/>
  <c r="E127" i="31" s="1"/>
  <c r="D128" i="31"/>
  <c r="E128" i="31" s="1"/>
  <c r="D129" i="31"/>
  <c r="E129" i="31" s="1"/>
  <c r="D130" i="31"/>
  <c r="E130" i="31" s="1"/>
  <c r="D131" i="31"/>
  <c r="E131" i="31" s="1"/>
  <c r="D132" i="31"/>
  <c r="E132" i="31" s="1"/>
  <c r="G15" i="25"/>
  <c r="C10" i="38" s="1"/>
  <c r="E10" i="38" s="1"/>
  <c r="G19" i="25"/>
  <c r="C14" i="38" s="1"/>
  <c r="E14" i="38" s="1"/>
  <c r="G22" i="25"/>
  <c r="C17" i="38" s="1"/>
  <c r="E17" i="38" s="1"/>
  <c r="G14" i="25"/>
  <c r="C9" i="38" s="1"/>
  <c r="E9" i="38" s="1"/>
  <c r="G17" i="25"/>
  <c r="C12" i="38" s="1"/>
  <c r="E12" i="38" s="1"/>
  <c r="G21" i="25"/>
  <c r="C16" i="38" s="1"/>
  <c r="E16" i="38" s="1"/>
  <c r="G13" i="25"/>
  <c r="G20" i="25"/>
  <c r="C15" i="38" s="1"/>
  <c r="E15" i="38" s="1"/>
  <c r="G16" i="25"/>
  <c r="C11" i="38" s="1"/>
  <c r="E11" i="38" s="1"/>
  <c r="G18" i="25"/>
  <c r="C13" i="38" s="1"/>
  <c r="E13" i="38" s="1"/>
  <c r="D139" i="31"/>
  <c r="E139" i="31" s="1"/>
  <c r="D164" i="31"/>
  <c r="E164" i="31" s="1"/>
  <c r="D146" i="31"/>
  <c r="E146" i="31" s="1"/>
  <c r="D196" i="31"/>
  <c r="E196" i="31" s="1"/>
  <c r="D213" i="31"/>
  <c r="E213" i="31" s="1"/>
  <c r="D212" i="31"/>
  <c r="E212" i="31" s="1"/>
  <c r="D245" i="31"/>
  <c r="E245" i="31" s="1"/>
  <c r="D223" i="31"/>
  <c r="E223" i="31" s="1"/>
  <c r="D205" i="31"/>
  <c r="D149" i="31"/>
  <c r="E149" i="31" s="1"/>
  <c r="D151" i="31"/>
  <c r="E151" i="31" s="1"/>
  <c r="D167" i="31"/>
  <c r="E167" i="31" s="1"/>
  <c r="D140" i="31"/>
  <c r="E140" i="31" s="1"/>
  <c r="D225" i="31"/>
  <c r="E225" i="31" s="1"/>
  <c r="D148" i="31"/>
  <c r="E148" i="31" s="1"/>
  <c r="D208" i="31"/>
  <c r="E208" i="31" s="1"/>
  <c r="D145" i="31"/>
  <c r="D178" i="31"/>
  <c r="E178" i="31" s="1"/>
  <c r="D179" i="31"/>
  <c r="E179" i="31" s="1"/>
  <c r="D249" i="31"/>
  <c r="E249" i="31" s="1"/>
  <c r="D136" i="31"/>
  <c r="E136" i="31" s="1"/>
  <c r="D157" i="31"/>
  <c r="D174" i="31"/>
  <c r="E174" i="31" s="1"/>
  <c r="D201" i="31"/>
  <c r="E201" i="31" s="1"/>
  <c r="D162" i="31"/>
  <c r="E162" i="31" s="1"/>
  <c r="D220" i="31"/>
  <c r="E220" i="31" s="1"/>
  <c r="D170" i="31"/>
  <c r="E170" i="31" s="1"/>
  <c r="D238" i="31"/>
  <c r="E238" i="31" s="1"/>
  <c r="D234" i="31"/>
  <c r="E234" i="31" s="1"/>
  <c r="D199" i="31"/>
  <c r="E199" i="31" s="1"/>
  <c r="D135" i="31"/>
  <c r="E135" i="31" s="1"/>
  <c r="D182" i="31"/>
  <c r="E182" i="31" s="1"/>
  <c r="D185" i="31"/>
  <c r="E185" i="31" s="1"/>
  <c r="D239" i="31"/>
  <c r="E239" i="31" s="1"/>
  <c r="D138" i="31"/>
  <c r="E138" i="31" s="1"/>
  <c r="D143" i="31"/>
  <c r="E143" i="31" s="1"/>
  <c r="D218" i="31"/>
  <c r="E218" i="31" s="1"/>
  <c r="D147" i="31"/>
  <c r="E147" i="31" s="1"/>
  <c r="D203" i="31"/>
  <c r="E203" i="31" s="1"/>
  <c r="D186" i="31"/>
  <c r="E186" i="31" s="1"/>
  <c r="D160" i="31"/>
  <c r="E160" i="31" s="1"/>
  <c r="D206" i="31"/>
  <c r="E206" i="31" s="1"/>
  <c r="D233" i="31"/>
  <c r="E233" i="31" s="1"/>
  <c r="D240" i="31"/>
  <c r="E240" i="31" s="1"/>
  <c r="D180" i="31"/>
  <c r="E180" i="31" s="1"/>
  <c r="D141" i="31"/>
  <c r="E141" i="31" s="1"/>
  <c r="D195" i="31"/>
  <c r="E195" i="31" s="1"/>
  <c r="D221" i="31"/>
  <c r="E221" i="31" s="1"/>
  <c r="D231" i="31"/>
  <c r="E231" i="31" s="1"/>
  <c r="D228" i="31"/>
  <c r="E228" i="31" s="1"/>
  <c r="D211" i="31"/>
  <c r="E211" i="31" s="1"/>
  <c r="D176" i="31"/>
  <c r="E176" i="31" s="1"/>
  <c r="D152" i="31"/>
  <c r="E152" i="31" s="1"/>
  <c r="D194" i="31"/>
  <c r="E194" i="31" s="1"/>
  <c r="D252" i="31"/>
  <c r="E252" i="31" s="1"/>
  <c r="D200" i="31"/>
  <c r="E200" i="31" s="1"/>
  <c r="D177" i="31"/>
  <c r="E177" i="31" s="1"/>
  <c r="D241" i="31"/>
  <c r="D210" i="31"/>
  <c r="E210" i="31" s="1"/>
  <c r="D156" i="31"/>
  <c r="E156" i="31" s="1"/>
  <c r="D133" i="31"/>
  <c r="D166" i="31"/>
  <c r="E166" i="31" s="1"/>
  <c r="D155" i="31"/>
  <c r="E155" i="31" s="1"/>
  <c r="D134" i="31"/>
  <c r="E134" i="31" s="1"/>
  <c r="D216" i="31"/>
  <c r="E216" i="31" s="1"/>
  <c r="D207" i="31"/>
  <c r="E207" i="31" s="1"/>
  <c r="D153" i="31"/>
  <c r="E153" i="31" s="1"/>
  <c r="D189" i="31"/>
  <c r="E189" i="31" s="1"/>
  <c r="D242" i="31"/>
  <c r="E242" i="31" s="1"/>
  <c r="D227" i="31"/>
  <c r="E227" i="31" s="1"/>
  <c r="D243" i="31"/>
  <c r="E243" i="31" s="1"/>
  <c r="D236" i="31"/>
  <c r="E236" i="31" s="1"/>
  <c r="D226" i="31"/>
  <c r="E226" i="31" s="1"/>
  <c r="D219" i="31"/>
  <c r="E219" i="31" s="1"/>
  <c r="D142" i="31"/>
  <c r="E142" i="31" s="1"/>
  <c r="D169" i="31"/>
  <c r="D158" i="31"/>
  <c r="E158" i="31" s="1"/>
  <c r="D224" i="31"/>
  <c r="E224" i="31" s="1"/>
  <c r="D184" i="31"/>
  <c r="E184" i="31" s="1"/>
  <c r="D202" i="31"/>
  <c r="E202" i="31" s="1"/>
  <c r="D165" i="31"/>
  <c r="E165" i="31" s="1"/>
  <c r="D222" i="31"/>
  <c r="E222" i="31" s="1"/>
  <c r="D230" i="31"/>
  <c r="E230" i="31" s="1"/>
  <c r="D215" i="31"/>
  <c r="E215" i="31" s="1"/>
  <c r="D137" i="31"/>
  <c r="E137" i="31" s="1"/>
  <c r="D187" i="31"/>
  <c r="E187" i="31" s="1"/>
  <c r="D244" i="31"/>
  <c r="E244" i="31" s="1"/>
  <c r="D172" i="31"/>
  <c r="E172" i="31" s="1"/>
  <c r="D154" i="31"/>
  <c r="E154" i="31" s="1"/>
  <c r="D217" i="31"/>
  <c r="D232" i="31"/>
  <c r="E232" i="31" s="1"/>
  <c r="D163" i="31"/>
  <c r="E163" i="31" s="1"/>
  <c r="D250" i="31"/>
  <c r="E250" i="31" s="1"/>
  <c r="D159" i="31"/>
  <c r="E159" i="31" s="1"/>
  <c r="D181" i="31"/>
  <c r="D246" i="31"/>
  <c r="E246" i="31" s="1"/>
  <c r="D191" i="31"/>
  <c r="E191" i="31" s="1"/>
  <c r="D183" i="31"/>
  <c r="E183" i="31" s="1"/>
  <c r="D171" i="31"/>
  <c r="E171" i="31" s="1"/>
  <c r="D237" i="31"/>
  <c r="E237" i="31" s="1"/>
  <c r="D214" i="31"/>
  <c r="E214" i="31" s="1"/>
  <c r="D198" i="31"/>
  <c r="E198" i="31" s="1"/>
  <c r="D161" i="31"/>
  <c r="E161" i="31" s="1"/>
  <c r="D248" i="31"/>
  <c r="E248" i="31" s="1"/>
  <c r="D229" i="31"/>
  <c r="D193" i="31"/>
  <c r="D235" i="31"/>
  <c r="E235" i="31" s="1"/>
  <c r="D197" i="31"/>
  <c r="E197" i="31" s="1"/>
  <c r="D168" i="31"/>
  <c r="E168" i="31" s="1"/>
  <c r="D150" i="31"/>
  <c r="E150" i="31" s="1"/>
  <c r="D251" i="31"/>
  <c r="E251" i="31" s="1"/>
  <c r="D204" i="31"/>
  <c r="E204" i="31" s="1"/>
  <c r="D144" i="31"/>
  <c r="E144" i="31" s="1"/>
  <c r="D247" i="31"/>
  <c r="E247" i="31" s="1"/>
  <c r="D175" i="31"/>
  <c r="E175" i="31" s="1"/>
  <c r="D190" i="31"/>
  <c r="E190" i="31" s="1"/>
  <c r="D188" i="31"/>
  <c r="E188" i="31" s="1"/>
  <c r="D192" i="31"/>
  <c r="E192" i="31" s="1"/>
  <c r="D173" i="31"/>
  <c r="E173" i="31" s="1"/>
  <c r="D209" i="31"/>
  <c r="E209" i="31" s="1"/>
  <c r="G26" i="25"/>
  <c r="C21" i="38" s="1"/>
  <c r="E21" i="38" s="1"/>
  <c r="G32" i="25"/>
  <c r="C27" i="38" s="1"/>
  <c r="E27" i="38" s="1"/>
  <c r="G30" i="25"/>
  <c r="C25" i="38" s="1"/>
  <c r="E25" i="38" s="1"/>
  <c r="G28" i="25"/>
  <c r="C23" i="38" s="1"/>
  <c r="E23" i="38" s="1"/>
  <c r="G29" i="25"/>
  <c r="C24" i="38" s="1"/>
  <c r="E24" i="38" s="1"/>
  <c r="G31" i="25"/>
  <c r="C26" i="38" s="1"/>
  <c r="E26" i="38" s="1"/>
  <c r="G24" i="25"/>
  <c r="C19" i="38" s="1"/>
  <c r="E19" i="38" s="1"/>
  <c r="G27" i="25"/>
  <c r="C22" i="38" s="1"/>
  <c r="E22" i="38" s="1"/>
  <c r="G25" i="25"/>
  <c r="C20" i="38" s="1"/>
  <c r="E20" i="38" s="1"/>
  <c r="G23" i="25"/>
  <c r="C18" i="38" s="1"/>
  <c r="E18" i="38" s="1"/>
  <c r="C8" i="38" l="1"/>
  <c r="E8" i="38" s="1"/>
  <c r="B36" i="38"/>
  <c r="G37" i="25"/>
  <c r="I39" i="25"/>
  <c r="G188" i="31"/>
  <c r="G144" i="31"/>
  <c r="G168" i="31"/>
  <c r="G214" i="31"/>
  <c r="G191" i="31"/>
  <c r="G250" i="31"/>
  <c r="G154" i="31"/>
  <c r="G137" i="31"/>
  <c r="G165" i="31"/>
  <c r="G158" i="31"/>
  <c r="G226" i="31"/>
  <c r="G242" i="31"/>
  <c r="G216" i="31"/>
  <c r="G177" i="31"/>
  <c r="G152" i="31"/>
  <c r="G231" i="31"/>
  <c r="G180" i="31"/>
  <c r="G160" i="31"/>
  <c r="G218" i="31"/>
  <c r="G185" i="31"/>
  <c r="G234" i="31"/>
  <c r="G162" i="31"/>
  <c r="G136" i="31"/>
  <c r="G140" i="31"/>
  <c r="G213" i="31"/>
  <c r="G139" i="31"/>
  <c r="G131" i="31"/>
  <c r="G127" i="31"/>
  <c r="G123" i="31"/>
  <c r="G117" i="31"/>
  <c r="G116" i="31"/>
  <c r="G111" i="31"/>
  <c r="G107" i="31"/>
  <c r="G103" i="31"/>
  <c r="G99" i="31"/>
  <c r="G95" i="31"/>
  <c r="G91" i="31"/>
  <c r="G86" i="31"/>
  <c r="G83" i="31"/>
  <c r="G79" i="31"/>
  <c r="G75" i="31"/>
  <c r="G72" i="31"/>
  <c r="G68" i="31"/>
  <c r="G64" i="31"/>
  <c r="G60" i="31"/>
  <c r="G56" i="31"/>
  <c r="G52" i="31"/>
  <c r="G48" i="31"/>
  <c r="G44" i="31"/>
  <c r="G40" i="31"/>
  <c r="G36" i="31"/>
  <c r="G32" i="31"/>
  <c r="G28" i="31"/>
  <c r="G21" i="31"/>
  <c r="G17" i="31"/>
  <c r="G209" i="31"/>
  <c r="G190" i="31"/>
  <c r="G204" i="31"/>
  <c r="G197" i="31"/>
  <c r="G248" i="31"/>
  <c r="G237" i="31"/>
  <c r="G246" i="31"/>
  <c r="G163" i="31"/>
  <c r="G172" i="31"/>
  <c r="G215" i="31"/>
  <c r="G202" i="31"/>
  <c r="G236" i="31"/>
  <c r="G189" i="31"/>
  <c r="G134" i="31"/>
  <c r="G156" i="31"/>
  <c r="G200" i="31"/>
  <c r="G176" i="31"/>
  <c r="G221" i="31"/>
  <c r="G240" i="31"/>
  <c r="G186" i="31"/>
  <c r="G143" i="31"/>
  <c r="G182" i="31"/>
  <c r="G238" i="31"/>
  <c r="G201" i="31"/>
  <c r="G249" i="31"/>
  <c r="G208" i="31"/>
  <c r="G167" i="31"/>
  <c r="G223" i="31"/>
  <c r="G196" i="31"/>
  <c r="G130" i="31"/>
  <c r="G126" i="31"/>
  <c r="G122" i="31"/>
  <c r="G119" i="31"/>
  <c r="G114" i="31"/>
  <c r="G110" i="31"/>
  <c r="G106" i="31"/>
  <c r="G102" i="31"/>
  <c r="G98" i="31"/>
  <c r="G94" i="31"/>
  <c r="G90" i="31"/>
  <c r="G87" i="31"/>
  <c r="G82" i="31"/>
  <c r="G78" i="31"/>
  <c r="G74" i="31"/>
  <c r="G71" i="31"/>
  <c r="G67" i="31"/>
  <c r="G63" i="31"/>
  <c r="G59" i="31"/>
  <c r="G55" i="31"/>
  <c r="G51" i="31"/>
  <c r="G47" i="31"/>
  <c r="G43" i="31"/>
  <c r="G39" i="31"/>
  <c r="G35" i="31"/>
  <c r="G31" i="31"/>
  <c r="G27" i="31"/>
  <c r="G24" i="31"/>
  <c r="G20" i="31"/>
  <c r="G16" i="31"/>
  <c r="G173" i="31"/>
  <c r="G175" i="31"/>
  <c r="G251" i="31"/>
  <c r="G235" i="31"/>
  <c r="G161" i="31"/>
  <c r="G171" i="31"/>
  <c r="G232" i="31"/>
  <c r="G244" i="31"/>
  <c r="G230" i="31"/>
  <c r="G184" i="31"/>
  <c r="G142" i="31"/>
  <c r="G243" i="31"/>
  <c r="G153" i="31"/>
  <c r="G155" i="31"/>
  <c r="G210" i="31"/>
  <c r="G252" i="31"/>
  <c r="G211" i="31"/>
  <c r="G195" i="31"/>
  <c r="G233" i="31"/>
  <c r="G203" i="31"/>
  <c r="G138" i="31"/>
  <c r="G135" i="31"/>
  <c r="G170" i="31"/>
  <c r="G174" i="31"/>
  <c r="G179" i="31"/>
  <c r="G148" i="31"/>
  <c r="G151" i="31"/>
  <c r="G245" i="31"/>
  <c r="G146" i="31"/>
  <c r="G129" i="31"/>
  <c r="G125" i="31"/>
  <c r="G120" i="31"/>
  <c r="G118" i="31"/>
  <c r="G113" i="31"/>
  <c r="G108" i="31"/>
  <c r="G105" i="31"/>
  <c r="G101" i="31"/>
  <c r="G93" i="31"/>
  <c r="G89" i="31"/>
  <c r="G81" i="31"/>
  <c r="G77" i="31"/>
  <c r="G70" i="31"/>
  <c r="G66" i="31"/>
  <c r="G62" i="31"/>
  <c r="G58" i="31"/>
  <c r="G54" i="31"/>
  <c r="G46" i="31"/>
  <c r="G42" i="31"/>
  <c r="G38" i="31"/>
  <c r="G34" i="31"/>
  <c r="G30" i="31"/>
  <c r="G26" i="31"/>
  <c r="G23" i="31"/>
  <c r="G19" i="31"/>
  <c r="G15" i="31"/>
  <c r="G192" i="31"/>
  <c r="G247" i="31"/>
  <c r="G150" i="31"/>
  <c r="G198" i="31"/>
  <c r="G183" i="31"/>
  <c r="G159" i="31"/>
  <c r="G187" i="31"/>
  <c r="G222" i="31"/>
  <c r="G224" i="31"/>
  <c r="G219" i="31"/>
  <c r="G227" i="31"/>
  <c r="G207" i="31"/>
  <c r="G166" i="31"/>
  <c r="G194" i="31"/>
  <c r="G228" i="31"/>
  <c r="G141" i="31"/>
  <c r="G206" i="31"/>
  <c r="G147" i="31"/>
  <c r="G239" i="31"/>
  <c r="G199" i="31"/>
  <c r="G220" i="31"/>
  <c r="G178" i="31"/>
  <c r="G225" i="31"/>
  <c r="G149" i="31"/>
  <c r="G212" i="31"/>
  <c r="G164" i="31"/>
  <c r="G132" i="31"/>
  <c r="G128" i="31"/>
  <c r="G124" i="31"/>
  <c r="G115" i="31"/>
  <c r="G112" i="31"/>
  <c r="G104" i="31"/>
  <c r="G100" i="31"/>
  <c r="G96" i="31"/>
  <c r="G92" i="31"/>
  <c r="G88" i="31"/>
  <c r="G84" i="31"/>
  <c r="G80" i="31"/>
  <c r="G76" i="31"/>
  <c r="G69" i="31"/>
  <c r="G65" i="31"/>
  <c r="G57" i="31"/>
  <c r="G53" i="31"/>
  <c r="G50" i="31"/>
  <c r="G45" i="31"/>
  <c r="G41" i="31"/>
  <c r="G33" i="31"/>
  <c r="G29" i="31"/>
  <c r="G22" i="31"/>
  <c r="G18" i="31"/>
  <c r="G14" i="31"/>
  <c r="G9" i="25"/>
  <c r="N30" i="31"/>
  <c r="E181" i="31"/>
  <c r="N23" i="31"/>
  <c r="E97" i="31"/>
  <c r="N22" i="31"/>
  <c r="E85" i="31"/>
  <c r="N21" i="31"/>
  <c r="E73" i="31"/>
  <c r="N19" i="31"/>
  <c r="E49" i="31"/>
  <c r="N31" i="31"/>
  <c r="E193" i="31"/>
  <c r="N33" i="31"/>
  <c r="E217" i="31"/>
  <c r="N35" i="31"/>
  <c r="E241" i="31"/>
  <c r="N28" i="31"/>
  <c r="E157" i="31"/>
  <c r="E121" i="31"/>
  <c r="N25" i="31"/>
  <c r="N24" i="31"/>
  <c r="E109" i="31"/>
  <c r="N20" i="31"/>
  <c r="E61" i="31"/>
  <c r="N18" i="31"/>
  <c r="E37" i="31"/>
  <c r="N17" i="31"/>
  <c r="E25" i="31"/>
  <c r="N34" i="31"/>
  <c r="E229" i="31"/>
  <c r="N26" i="31"/>
  <c r="E133" i="31"/>
  <c r="N27" i="31"/>
  <c r="E145" i="31"/>
  <c r="N32" i="31"/>
  <c r="E205" i="31"/>
  <c r="I51" i="25"/>
  <c r="B51" i="25"/>
  <c r="N16" i="31"/>
  <c r="E13" i="31"/>
  <c r="D9" i="31"/>
  <c r="G9" i="31" s="1"/>
  <c r="B38" i="38" s="1"/>
  <c r="N29" i="31"/>
  <c r="E169" i="31"/>
  <c r="B5" i="25"/>
  <c r="B4" i="38" l="1"/>
  <c r="C30" i="38"/>
  <c r="E30" i="38" s="1"/>
  <c r="C7" i="38"/>
  <c r="G145" i="31"/>
  <c r="G229" i="31"/>
  <c r="G37" i="31"/>
  <c r="G109" i="31"/>
  <c r="G157" i="31"/>
  <c r="G217" i="31"/>
  <c r="G49" i="31"/>
  <c r="G85" i="31"/>
  <c r="G181" i="31"/>
  <c r="G205" i="31"/>
  <c r="G133" i="31"/>
  <c r="G25" i="31"/>
  <c r="G61" i="31"/>
  <c r="G241" i="31"/>
  <c r="G193" i="31"/>
  <c r="G169" i="31"/>
  <c r="G121" i="31"/>
  <c r="G73" i="31"/>
  <c r="G97" i="31"/>
  <c r="I38" i="25"/>
  <c r="I52" i="25" s="1"/>
  <c r="B4" i="31"/>
  <c r="B5" i="28"/>
  <c r="B5" i="17"/>
  <c r="G13" i="31"/>
  <c r="E9" i="31"/>
</calcChain>
</file>

<file path=xl/comments1.xml><?xml version="1.0" encoding="utf-8"?>
<comments xmlns="http://schemas.openxmlformats.org/spreadsheetml/2006/main">
  <authors>
    <author>PacifiCorp</author>
  </authors>
  <commentList>
    <comment ref="G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sharedStrings.xml><?xml version="1.0" encoding="utf-8"?>
<sst xmlns="http://schemas.openxmlformats.org/spreadsheetml/2006/main" count="372" uniqueCount="146">
  <si>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</si>
  <si>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</si>
  <si>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</si>
  <si>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</si>
  <si>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</si>
  <si>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</si>
  <si>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</si>
  <si>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</si>
  <si>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</si>
  <si>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</si>
  <si>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</si>
  <si>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</si>
  <si>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</si>
  <si>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</si>
  <si>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</si>
  <si>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</si>
  <si>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</si>
  <si>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</si>
  <si>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</si>
  <si>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</si>
  <si>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</si>
  <si>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</si>
  <si>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</si>
  <si>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</si>
  <si>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</si>
  <si>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</si>
  <si>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</si>
  <si>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</si>
  <si>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</si>
  <si>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</si>
  <si>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Source: (a)(c)(d)</t>
  </si>
  <si>
    <t>Total Price @</t>
  </si>
  <si>
    <t>Capacity Factor</t>
  </si>
  <si>
    <t>Footnotes:</t>
  </si>
  <si>
    <t xml:space="preserve"> $/kW-yr</t>
  </si>
  <si>
    <t>Avoided Cost Prices</t>
  </si>
  <si>
    <t>Energy</t>
  </si>
  <si>
    <t>Only Price</t>
  </si>
  <si>
    <t>Table 1</t>
  </si>
  <si>
    <t>Annual</t>
  </si>
  <si>
    <t>(2)   'Energy Only' is the GRID calculated costs and includes some capacity costs.</t>
  </si>
  <si>
    <t>Fuel Cost</t>
  </si>
  <si>
    <t>$/MMBtu</t>
  </si>
  <si>
    <t>(g)</t>
  </si>
  <si>
    <t>(h)</t>
  </si>
  <si>
    <t>Energy Only</t>
  </si>
  <si>
    <t>IRP Resource</t>
  </si>
  <si>
    <t>No</t>
  </si>
  <si>
    <t>Cap Energy Prices (Yes / No)</t>
  </si>
  <si>
    <t>Energy Price escalated at</t>
  </si>
  <si>
    <t>(i)</t>
  </si>
  <si>
    <t>Sources, Inputs and Assumptions</t>
  </si>
  <si>
    <t>PacifiCorp</t>
  </si>
  <si>
    <t>Delivered</t>
  </si>
  <si>
    <t>CCCT</t>
  </si>
  <si>
    <t>Duct Firing</t>
  </si>
  <si>
    <t>Peak Type:</t>
  </si>
  <si>
    <t>Quote Date</t>
  </si>
  <si>
    <t>Burnertip Natural Gas Price Forecast</t>
  </si>
  <si>
    <t>$/MWh</t>
  </si>
  <si>
    <t>Avoided Energy Costs - Scheduled Hours ($/MWh)</t>
  </si>
  <si>
    <t>CCCT Statistics</t>
  </si>
  <si>
    <t>MW</t>
  </si>
  <si>
    <t>Percent</t>
  </si>
  <si>
    <t>Cap Cost</t>
  </si>
  <si>
    <t>Fixed</t>
  </si>
  <si>
    <t>Capacity Weighted</t>
  </si>
  <si>
    <t>CF</t>
  </si>
  <si>
    <t>aMW</t>
  </si>
  <si>
    <t>Variable</t>
  </si>
  <si>
    <t>Heat Rate</t>
  </si>
  <si>
    <t>Energy Weighted</t>
  </si>
  <si>
    <t>Rounded</t>
  </si>
  <si>
    <t>Appendix B</t>
  </si>
  <si>
    <t xml:space="preserve">  Heat Rate in btu/kWh</t>
  </si>
  <si>
    <t xml:space="preserve">  Payment Factor</t>
  </si>
  <si>
    <t xml:space="preserve">  Capacity Factor</t>
  </si>
  <si>
    <t xml:space="preserve">  Energy Weighted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</si>
  <si>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</si>
  <si>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</si>
  <si>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</si>
  <si>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</si>
  <si>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</si>
  <si>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</si>
  <si>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</si>
  <si>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</si>
  <si>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</si>
  <si>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</si>
  <si>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</si>
  <si>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</si>
  <si>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</si>
  <si>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</si>
  <si>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East</t>
  </si>
  <si>
    <t xml:space="preserve">Adjust Capacity payment for Partial Displacement </t>
  </si>
  <si>
    <t>Total Resource Energy Cost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</si>
  <si>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</si>
  <si>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</si>
  <si>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 xml:space="preserve">  Fixed Pipeline</t>
  </si>
  <si>
    <t>Study_Name: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</si>
  <si>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</si>
  <si>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</si>
  <si>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</si>
  <si>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</si>
  <si>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</si>
  <si>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>CCCT Dry "J" - Turbine</t>
  </si>
  <si>
    <t>CCCT Dry "J" - Duct Firing</t>
  </si>
  <si>
    <t>Percent of QF</t>
  </si>
  <si>
    <t>Energy Cost (1)</t>
  </si>
  <si>
    <t>(1)</t>
  </si>
  <si>
    <t xml:space="preserve">Consistent with Docket No. 03-035-14, QFs requesting a tolling option will have variable energy priced at the IRP Resource Energy Cost (heat rate </t>
  </si>
  <si>
    <t>times the cost of fuel).  Additionally, the energy price for unscheduled or non-firm deliveries is capped at the IRP Resource Energy Cost.</t>
  </si>
  <si>
    <t xml:space="preserve">See Table 3, Column (h). </t>
  </si>
  <si>
    <t>Table 4</t>
  </si>
  <si>
    <t>Table 3</t>
  </si>
  <si>
    <t xml:space="preserve">       The levelized monthly calculation is more accurate when the QF has seasonal</t>
  </si>
  <si>
    <t xml:space="preserve">        loads or when the QF project doesn't start in January. </t>
  </si>
  <si>
    <t>&lt;---- Calculated Monthly</t>
  </si>
  <si>
    <t>Discount Rate - 2015 IRP Page 141</t>
  </si>
  <si>
    <t>IRP15 - 423 MW CCCT - Wyo NE</t>
  </si>
  <si>
    <t>IRP15 - 423 MW CCCT - Clvr 1</t>
  </si>
  <si>
    <t>IRP15 - 423 MW CCCT - Clvr 2</t>
  </si>
  <si>
    <t>IRP15 - 313 MW CCCT - Wyo NE</t>
  </si>
  <si>
    <t>IRP15 - 635 MW CCCT - UT N 1</t>
  </si>
  <si>
    <t>IRP15 - 635 MW CCCT - UT N 2</t>
  </si>
  <si>
    <t>Plant Costs  - 2015 IRP - Table 6.1 &amp; 6.2 - Page 92</t>
  </si>
  <si>
    <t>Dave Johnston - 423 MW - CCCT Dry "J", Adv 1x1 - East Side Resource (5,050')</t>
  </si>
  <si>
    <t>CCCT Resource Costs - 2015 Integrated Resource Plan</t>
  </si>
  <si>
    <t>Utah - 423 MW - CCCT Dry "J", Adv 1x1 - East Side Resource (5,050')</t>
  </si>
  <si>
    <t>Dave Johnston - 313 MW - CCCT Dry "F", 1x1 - East Side Resource (5,050')</t>
  </si>
  <si>
    <t>Utah - 635 MW - CCCT Dry "F" 2x1 - East Side Resource (5,050')</t>
  </si>
  <si>
    <t>Percent of the last CCCT used for pricing</t>
  </si>
  <si>
    <t>Capacity Contribution</t>
  </si>
  <si>
    <t>Type</t>
  </si>
  <si>
    <t xml:space="preserve">Wind </t>
  </si>
  <si>
    <t>Tracking</t>
  </si>
  <si>
    <t xml:space="preserve">Gas </t>
  </si>
  <si>
    <t xml:space="preserve">Hydro </t>
  </si>
  <si>
    <t xml:space="preserve"> x   Extrapolated</t>
  </si>
  <si>
    <t>Filing</t>
  </si>
  <si>
    <t>Difference</t>
  </si>
  <si>
    <t>2015.Q2</t>
  </si>
  <si>
    <t>Avoided Cost at</t>
  </si>
  <si>
    <t>Avoided Cost Prices $/MWh</t>
  </si>
  <si>
    <t>Avoided Cost Resource</t>
  </si>
  <si>
    <t/>
  </si>
  <si>
    <t>Utah 2015.Q3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</si>
</sst>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* #,##0.000_);_(* \(#,##0.000\);_(* &quot;-&quot;_);_(@_)"/>
    <numFmt numFmtId="170" formatCode="_(&quot;$&quot;* #,##0_);_(&quot;$&quot;* \(#,##0\);_(&quot;$&quot;* &quot;-&quot;??_);_(@_)"/>
    <numFmt numFmtId="171" formatCode="mmm\ yyyy&quot;   &quot;"/>
    <numFmt numFmtId="172" formatCode="_(* #,##0_);[Red]_(* \(#,##0\);_(* &quot;-&quot;_);_(@_)"/>
    <numFmt numFmtId="173" formatCode="_(* #,##0.00_);[Red]_(* \(#,##0.00\);_(* &quot;-&quot;_);_(@_)"/>
    <numFmt numFmtId="174" formatCode="_(* #,##0.0_);[Red]_(* \(#,##0.0\);_(* &quot;-&quot;_);_(@_)"/>
    <numFmt numFmtId="175" formatCode="0.000%"/>
    <numFmt numFmtId="176" formatCode="&quot;$&quot;###0;[Red]\(&quot;$&quot;###0\)"/>
    <numFmt numFmtId="177" formatCode="0.0"/>
    <numFmt numFmtId="178" formatCode="&quot;$&quot;#,##0.00_)\(\5\)"/>
    <numFmt numFmtId="179" formatCode="#0\(\p\)"/>
    <numFmt numFmtId="180" formatCode="&quot;$&quot;#,##0.00_)\(\4\)"/>
    <numFmt numFmtId="181" formatCode="&quot;$&quot;#,##0.00_)&quot;x&quot;"/>
  </numFmts>
  <fonts count="32" x14ac:knownFonts="1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Times New Roman"/>
      <family val="1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CECFF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>
      <protection locked="0"/>
    </xf>
    <xf numFmtId="41" fontId="3" fillId="0" borderId="0"/>
    <xf numFmtId="172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41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7" fillId="0" borderId="0" applyFont="0" applyFill="0" applyBorder="0" applyProtection="0">
      <alignment horizontal="right"/>
    </xf>
    <xf numFmtId="177" fontId="18" fillId="0" borderId="0" applyNumberFormat="0" applyFill="0" applyBorder="0" applyAlignment="0" applyProtection="0"/>
    <xf numFmtId="0" fontId="16" fillId="0" borderId="23" applyNumberFormat="0" applyBorder="0" applyAlignment="0"/>
    <xf numFmtId="12" fontId="28" fillId="8" borderId="22">
      <alignment horizontal="left"/>
    </xf>
    <xf numFmtId="37" fontId="16" fillId="9" borderId="0" applyNumberFormat="0" applyBorder="0" applyAlignment="0" applyProtection="0"/>
    <xf numFmtId="37" fontId="16" fillId="0" borderId="0"/>
    <xf numFmtId="3" fontId="24" fillId="10" borderId="24" applyProtection="0"/>
    <xf numFmtId="172" fontId="1" fillId="0" borderId="0"/>
    <xf numFmtId="9" fontId="1" fillId="0" borderId="0" applyFont="0" applyFill="0" applyBorder="0" applyAlignment="0" applyProtection="0"/>
    <xf numFmtId="0" fontId="1" fillId="0" borderId="0"/>
  </cellStyleXfs>
  <cellXfs count="279">
    <xf numFmtId="172" fontId="0" fillId="0" borderId="0" xfId="0"/>
    <xf numFmtId="172" fontId="4" fillId="0" borderId="0" xfId="0" applyFont="1" applyFill="1" applyAlignment="1">
      <alignment horizontal="centerContinuous"/>
    </xf>
    <xf numFmtId="172" fontId="6" fillId="0" borderId="0" xfId="0" quotePrefix="1" applyFont="1" applyFill="1" applyBorder="1" applyAlignment="1">
      <alignment horizontal="center"/>
    </xf>
    <xf numFmtId="172" fontId="10" fillId="0" borderId="0" xfId="0" applyFont="1" applyFill="1"/>
    <xf numFmtId="172" fontId="10" fillId="0" borderId="1" xfId="0" applyFont="1" applyFill="1" applyBorder="1" applyAlignment="1">
      <alignment horizontal="center"/>
    </xf>
    <xf numFmtId="172" fontId="11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/>
    <xf numFmtId="8" fontId="3" fillId="0" borderId="2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8" fontId="3" fillId="0" borderId="1" xfId="0" applyNumberFormat="1" applyFont="1" applyFill="1" applyBorder="1" applyAlignment="1">
      <alignment horizontal="center"/>
    </xf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quotePrefix="1" applyFont="1" applyFill="1" applyBorder="1"/>
    <xf numFmtId="172" fontId="3" fillId="0" borderId="0" xfId="0" applyFont="1" applyFill="1" applyBorder="1" applyAlignment="1">
      <alignment horizontal="left"/>
    </xf>
    <xf numFmtId="172" fontId="10" fillId="0" borderId="3" xfId="0" applyFont="1" applyFill="1" applyBorder="1" applyAlignment="1">
      <alignment horizontal="centerContinuous"/>
    </xf>
    <xf numFmtId="172" fontId="10" fillId="0" borderId="4" xfId="0" applyFont="1" applyFill="1" applyBorder="1" applyAlignment="1">
      <alignment horizontal="centerContinuous"/>
    </xf>
    <xf numFmtId="172" fontId="10" fillId="0" borderId="5" xfId="0" applyFont="1" applyFill="1" applyBorder="1"/>
    <xf numFmtId="172" fontId="10" fillId="0" borderId="6" xfId="0" applyFont="1" applyFill="1" applyBorder="1" applyAlignment="1">
      <alignment horizontal="center"/>
    </xf>
    <xf numFmtId="172" fontId="10" fillId="0" borderId="0" xfId="0" quotePrefix="1" applyFont="1" applyFill="1" applyBorder="1" applyAlignment="1">
      <alignment horizontal="center"/>
    </xf>
    <xf numFmtId="172" fontId="10" fillId="0" borderId="7" xfId="0" applyFont="1" applyFill="1" applyBorder="1" applyAlignment="1">
      <alignment horizontal="centerContinuous"/>
    </xf>
    <xf numFmtId="172" fontId="10" fillId="0" borderId="5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Continuous"/>
    </xf>
    <xf numFmtId="172" fontId="10" fillId="0" borderId="9" xfId="0" applyFont="1" applyFill="1" applyBorder="1" applyAlignment="1">
      <alignment horizontal="centerContinuous"/>
    </xf>
    <xf numFmtId="172" fontId="10" fillId="0" borderId="8" xfId="0" applyFont="1" applyFill="1" applyBorder="1" applyAlignment="1">
      <alignment horizontal="center"/>
    </xf>
    <xf numFmtId="172" fontId="10" fillId="0" borderId="10" xfId="0" applyFont="1" applyFill="1" applyBorder="1" applyAlignment="1">
      <alignment horizontal="center"/>
    </xf>
    <xf numFmtId="172" fontId="10" fillId="0" borderId="5" xfId="0" quotePrefix="1" applyFont="1" applyFill="1" applyBorder="1" applyAlignment="1">
      <alignment horizontal="centerContinuous"/>
    </xf>
    <xf numFmtId="172" fontId="10" fillId="0" borderId="3" xfId="0" applyFont="1" applyFill="1" applyBorder="1" applyAlignment="1">
      <alignment horizontal="center"/>
    </xf>
    <xf numFmtId="172" fontId="10" fillId="0" borderId="11" xfId="0" applyFont="1" applyFill="1" applyBorder="1" applyAlignment="1">
      <alignment horizontal="center"/>
    </xf>
    <xf numFmtId="172" fontId="10" fillId="0" borderId="4" xfId="0" applyFont="1" applyFill="1" applyBorder="1" applyAlignment="1">
      <alignment horizontal="center"/>
    </xf>
    <xf numFmtId="172" fontId="10" fillId="0" borderId="2" xfId="0" applyFont="1" applyFill="1" applyBorder="1" applyAlignment="1">
      <alignment horizontal="centerContinuous"/>
    </xf>
    <xf numFmtId="172" fontId="3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center"/>
    </xf>
    <xf numFmtId="8" fontId="3" fillId="0" borderId="9" xfId="0" applyNumberFormat="1" applyFont="1" applyFill="1" applyBorder="1" applyAlignment="1">
      <alignment horizontal="center"/>
    </xf>
    <xf numFmtId="8" fontId="3" fillId="0" borderId="13" xfId="0" applyNumberFormat="1" applyFont="1" applyFill="1" applyBorder="1" applyAlignment="1">
      <alignment horizontal="center"/>
    </xf>
    <xf numFmtId="8" fontId="3" fillId="0" borderId="1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8" fontId="3" fillId="0" borderId="15" xfId="1" applyNumberFormat="1" applyFont="1" applyFill="1" applyBorder="1" applyAlignment="1">
      <alignment horizontal="center"/>
    </xf>
    <xf numFmtId="8" fontId="3" fillId="0" borderId="12" xfId="0" applyNumberFormat="1" applyFont="1" applyFill="1" applyBorder="1" applyAlignment="1">
      <alignment horizontal="center"/>
    </xf>
    <xf numFmtId="8" fontId="3" fillId="0" borderId="8" xfId="0" applyNumberFormat="1" applyFont="1" applyFill="1" applyBorder="1" applyAlignment="1">
      <alignment horizontal="center"/>
    </xf>
    <xf numFmtId="8" fontId="3" fillId="0" borderId="5" xfId="1" applyNumberFormat="1" applyFont="1" applyFill="1" applyBorder="1" applyAlignment="1">
      <alignment horizontal="center"/>
    </xf>
    <xf numFmtId="172" fontId="3" fillId="2" borderId="0" xfId="0" applyFont="1" applyFill="1"/>
    <xf numFmtId="8" fontId="3" fillId="0" borderId="5" xfId="0" applyNumberFormat="1" applyFont="1" applyFill="1" applyBorder="1"/>
    <xf numFmtId="1" fontId="3" fillId="0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8" fontId="3" fillId="0" borderId="15" xfId="0" applyNumberFormat="1" applyFont="1" applyFill="1" applyBorder="1"/>
    <xf numFmtId="8" fontId="3" fillId="0" borderId="6" xfId="0" applyNumberFormat="1" applyFont="1" applyFill="1" applyBorder="1"/>
    <xf numFmtId="10" fontId="0" fillId="0" borderId="0" xfId="0" applyNumberFormat="1"/>
    <xf numFmtId="172" fontId="0" fillId="0" borderId="0" xfId="0" applyAlignment="1">
      <alignment horizontal="center"/>
    </xf>
    <xf numFmtId="172" fontId="2" fillId="0" borderId="0" xfId="0" applyFont="1" applyFill="1" applyAlignment="1">
      <alignment horizontal="right"/>
    </xf>
    <xf numFmtId="172" fontId="2" fillId="0" borderId="5" xfId="0" applyFont="1" applyFill="1" applyBorder="1" applyAlignment="1">
      <alignment horizontal="center"/>
    </xf>
    <xf numFmtId="172" fontId="2" fillId="0" borderId="5" xfId="0" applyFont="1" applyFill="1" applyBorder="1" applyAlignment="1">
      <alignment horizontal="center" wrapText="1"/>
    </xf>
    <xf numFmtId="172" fontId="2" fillId="0" borderId="5" xfId="0" applyFont="1" applyFill="1" applyBorder="1" applyAlignment="1">
      <alignment horizontal="centerContinuous" wrapText="1"/>
    </xf>
    <xf numFmtId="172" fontId="11" fillId="0" borderId="6" xfId="0" applyFont="1" applyFill="1" applyBorder="1" applyAlignment="1">
      <alignment horizontal="centerContinuous"/>
    </xf>
    <xf numFmtId="172" fontId="14" fillId="0" borderId="6" xfId="0" quotePrefix="1" applyFont="1" applyFill="1" applyBorder="1" applyAlignment="1">
      <alignment horizontal="center" wrapText="1"/>
    </xf>
    <xf numFmtId="172" fontId="14" fillId="0" borderId="6" xfId="0" applyFont="1" applyFill="1" applyBorder="1" applyAlignment="1">
      <alignment horizontal="center" wrapText="1"/>
    </xf>
    <xf numFmtId="172" fontId="2" fillId="0" borderId="0" xfId="0" applyFont="1" applyFill="1" applyAlignment="1">
      <alignment horizontal="centerContinuous"/>
    </xf>
    <xf numFmtId="172" fontId="2" fillId="0" borderId="5" xfId="0" applyFont="1" applyFill="1" applyBorder="1"/>
    <xf numFmtId="172" fontId="2" fillId="0" borderId="15" xfId="0" applyFont="1" applyFill="1" applyBorder="1" applyAlignment="1">
      <alignment horizontal="center"/>
    </xf>
    <xf numFmtId="172" fontId="2" fillId="0" borderId="6" xfId="0" applyFont="1" applyFill="1" applyBorder="1"/>
    <xf numFmtId="172" fontId="2" fillId="0" borderId="6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72" fontId="2" fillId="0" borderId="11" xfId="0" applyFont="1" applyFill="1" applyBorder="1" applyAlignment="1">
      <alignment horizontal="centerContinuous"/>
    </xf>
    <xf numFmtId="172" fontId="5" fillId="0" borderId="7" xfId="0" applyFont="1" applyFill="1" applyBorder="1" applyAlignment="1">
      <alignment horizontal="centerContinuous"/>
    </xf>
    <xf numFmtId="172" fontId="16" fillId="3" borderId="0" xfId="0" applyFont="1" applyFill="1" applyAlignment="1">
      <alignment horizontal="centerContinuous"/>
    </xf>
    <xf numFmtId="172" fontId="18" fillId="3" borderId="0" xfId="0" applyFont="1" applyFill="1" applyBorder="1" applyAlignment="1">
      <alignment horizontal="centerContinuous"/>
    </xf>
    <xf numFmtId="171" fontId="16" fillId="3" borderId="0" xfId="1" applyNumberFormat="1" applyFont="1" applyFill="1" applyAlignment="1">
      <alignment horizontal="centerContinuous"/>
    </xf>
    <xf numFmtId="172" fontId="16" fillId="0" borderId="0" xfId="0" applyFont="1" applyFill="1" applyBorder="1"/>
    <xf numFmtId="172" fontId="18" fillId="0" borderId="0" xfId="0" applyFont="1" applyFill="1" applyBorder="1" applyAlignment="1">
      <alignment wrapText="1"/>
    </xf>
    <xf numFmtId="172" fontId="16" fillId="0" borderId="0" xfId="0" applyFont="1" applyFill="1" applyBorder="1" applyAlignment="1">
      <alignment horizontal="center"/>
    </xf>
    <xf numFmtId="168" fontId="16" fillId="0" borderId="0" xfId="0" applyNumberFormat="1" applyFont="1" applyFill="1" applyBorder="1"/>
    <xf numFmtId="8" fontId="3" fillId="0" borderId="10" xfId="0" applyNumberFormat="1" applyFont="1" applyFill="1" applyBorder="1" applyAlignment="1">
      <alignment horizontal="center"/>
    </xf>
    <xf numFmtId="8" fontId="3" fillId="0" borderId="6" xfId="1" applyNumberFormat="1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"/>
    </xf>
    <xf numFmtId="172" fontId="2" fillId="0" borderId="7" xfId="0" applyFont="1" applyFill="1" applyBorder="1" applyAlignment="1">
      <alignment horizontal="centerContinuous"/>
    </xf>
    <xf numFmtId="172" fontId="21" fillId="0" borderId="0" xfId="0" applyFont="1" applyFill="1"/>
    <xf numFmtId="167" fontId="21" fillId="0" borderId="0" xfId="8" applyNumberFormat="1" applyFont="1" applyFill="1"/>
    <xf numFmtId="43" fontId="21" fillId="0" borderId="0" xfId="2" applyNumberFormat="1" applyFont="1" applyFill="1"/>
    <xf numFmtId="164" fontId="2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41" fontId="21" fillId="0" borderId="0" xfId="0" applyNumberFormat="1" applyFont="1" applyFill="1"/>
    <xf numFmtId="8" fontId="21" fillId="0" borderId="0" xfId="2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172" fontId="2" fillId="0" borderId="0" xfId="0" applyFont="1" applyFill="1" applyBorder="1" applyAlignment="1">
      <alignment horizontal="center"/>
    </xf>
    <xf numFmtId="172" fontId="2" fillId="0" borderId="18" xfId="0" applyFont="1" applyFill="1" applyBorder="1" applyAlignment="1">
      <alignment horizontal="centerContinuous"/>
    </xf>
    <xf numFmtId="172" fontId="2" fillId="0" borderId="19" xfId="0" applyFont="1" applyFill="1" applyBorder="1" applyAlignment="1">
      <alignment horizontal="centerContinuous"/>
    </xf>
    <xf numFmtId="172" fontId="2" fillId="0" borderId="20" xfId="0" applyFont="1" applyFill="1" applyBorder="1" applyAlignment="1">
      <alignment horizontal="centerContinuous"/>
    </xf>
    <xf numFmtId="167" fontId="0" fillId="0" borderId="0" xfId="8" applyNumberFormat="1" applyFont="1" applyFill="1"/>
    <xf numFmtId="172" fontId="2" fillId="0" borderId="18" xfId="5" applyFont="1" applyFill="1" applyBorder="1" applyAlignment="1">
      <alignment horizontal="centerContinuous"/>
    </xf>
    <xf numFmtId="172" fontId="2" fillId="0" borderId="3" xfId="5" applyFont="1" applyFill="1" applyBorder="1" applyAlignment="1">
      <alignment horizontal="centerContinuous"/>
    </xf>
    <xf numFmtId="172" fontId="23" fillId="0" borderId="0" xfId="5" applyFont="1" applyFill="1" applyBorder="1"/>
    <xf numFmtId="2" fontId="3" fillId="0" borderId="2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8" fontId="3" fillId="0" borderId="0" xfId="0" quotePrefix="1" applyNumberFormat="1" applyFont="1" applyFill="1" applyBorder="1" applyAlignment="1">
      <alignment horizontal="center"/>
    </xf>
    <xf numFmtId="172" fontId="16" fillId="0" borderId="0" xfId="0" applyFont="1" applyFill="1" applyAlignment="1">
      <alignment horizontal="centerContinuous"/>
    </xf>
    <xf numFmtId="172" fontId="3" fillId="0" borderId="0" xfId="0" applyFont="1" applyFill="1" applyBorder="1" applyAlignment="1">
      <alignment horizontal="left" indent="1"/>
    </xf>
    <xf numFmtId="172" fontId="3" fillId="0" borderId="0" xfId="0" applyFont="1" applyFill="1" applyAlignment="1">
      <alignment horizontal="left" indent="1"/>
    </xf>
    <xf numFmtId="172" fontId="0" fillId="0" borderId="0" xfId="0" applyFill="1"/>
    <xf numFmtId="43" fontId="0" fillId="0" borderId="0" xfId="1" applyFont="1" applyFill="1"/>
    <xf numFmtId="173" fontId="3" fillId="0" borderId="0" xfId="0" applyNumberFormat="1" applyFont="1" applyFill="1"/>
    <xf numFmtId="172" fontId="0" fillId="0" borderId="0" xfId="0" quotePrefix="1" applyFont="1" applyFill="1"/>
    <xf numFmtId="167" fontId="3" fillId="0" borderId="0" xfId="8" applyNumberFormat="1" applyFont="1" applyFill="1" applyAlignment="1">
      <alignment horizontal="center"/>
    </xf>
    <xf numFmtId="41" fontId="3" fillId="0" borderId="0" xfId="11"/>
    <xf numFmtId="41" fontId="3" fillId="0" borderId="0" xfId="11" applyFont="1" applyFill="1"/>
    <xf numFmtId="0" fontId="0" fillId="0" borderId="0" xfId="11" applyNumberFormat="1" applyFont="1" applyFill="1" applyAlignment="1">
      <alignment horizontal="left"/>
    </xf>
    <xf numFmtId="172" fontId="1" fillId="0" borderId="0" xfId="10" applyNumberFormat="1" applyFont="1"/>
    <xf numFmtId="17" fontId="1" fillId="0" borderId="0" xfId="10" applyNumberFormat="1" applyFont="1"/>
    <xf numFmtId="174" fontId="1" fillId="6" borderId="0" xfId="10" applyNumberFormat="1" applyFont="1" applyFill="1"/>
    <xf numFmtId="170" fontId="1" fillId="0" borderId="0" xfId="2" applyNumberFormat="1" applyFont="1"/>
    <xf numFmtId="10" fontId="1" fillId="0" borderId="0" xfId="8" applyNumberFormat="1" applyFont="1"/>
    <xf numFmtId="172" fontId="1" fillId="0" borderId="5" xfId="10" applyNumberFormat="1" applyFont="1" applyBorder="1"/>
    <xf numFmtId="172" fontId="1" fillId="0" borderId="7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Continuous"/>
    </xf>
    <xf numFmtId="172" fontId="1" fillId="0" borderId="4" xfId="10" applyNumberFormat="1" applyFont="1" applyBorder="1" applyAlignment="1">
      <alignment horizontal="centerContinuous"/>
    </xf>
    <xf numFmtId="172" fontId="1" fillId="0" borderId="6" xfId="10" applyNumberFormat="1" applyFont="1" applyBorder="1"/>
    <xf numFmtId="172" fontId="1" fillId="0" borderId="4" xfId="10" applyNumberFormat="1" applyFont="1" applyBorder="1" applyAlignment="1">
      <alignment horizontal="center"/>
    </xf>
    <xf numFmtId="172" fontId="1" fillId="0" borderId="3" xfId="10" applyNumberFormat="1" applyFont="1" applyBorder="1" applyAlignment="1">
      <alignment horizontal="center"/>
    </xf>
    <xf numFmtId="172" fontId="1" fillId="0" borderId="6" xfId="10" applyNumberFormat="1" applyFont="1" applyBorder="1" applyAlignment="1">
      <alignment horizontal="center"/>
    </xf>
    <xf numFmtId="172" fontId="1" fillId="0" borderId="11" xfId="10" applyNumberFormat="1" applyFont="1" applyBorder="1" applyAlignment="1">
      <alignment horizontal="centerContinuous"/>
    </xf>
    <xf numFmtId="172" fontId="1" fillId="0" borderId="2" xfId="10" applyNumberFormat="1" applyFont="1" applyBorder="1"/>
    <xf numFmtId="41" fontId="1" fillId="0" borderId="9" xfId="10" applyNumberFormat="1" applyFont="1" applyBorder="1"/>
    <xf numFmtId="41" fontId="1" fillId="0" borderId="13" xfId="10" applyNumberFormat="1" applyFont="1" applyBorder="1"/>
    <xf numFmtId="168" fontId="1" fillId="0" borderId="9" xfId="10" applyNumberFormat="1" applyFont="1" applyBorder="1"/>
    <xf numFmtId="0" fontId="1" fillId="0" borderId="0" xfId="10" applyNumberFormat="1" applyFont="1"/>
    <xf numFmtId="17" fontId="1" fillId="0" borderId="5" xfId="10" applyNumberFormat="1" applyFont="1" applyBorder="1" applyAlignment="1">
      <alignment horizontal="center"/>
    </xf>
    <xf numFmtId="172" fontId="1" fillId="0" borderId="0" xfId="10" applyNumberFormat="1" applyFont="1" applyBorder="1"/>
    <xf numFmtId="168" fontId="1" fillId="0" borderId="13" xfId="10" applyNumberFormat="1" applyFont="1" applyBorder="1"/>
    <xf numFmtId="172" fontId="1" fillId="0" borderId="15" xfId="10" applyNumberFormat="1" applyFont="1" applyBorder="1"/>
    <xf numFmtId="17" fontId="1" fillId="0" borderId="15" xfId="10" applyNumberFormat="1" applyFont="1" applyBorder="1" applyAlignment="1">
      <alignment horizontal="center"/>
    </xf>
    <xf numFmtId="172" fontId="1" fillId="0" borderId="1" xfId="10" applyNumberFormat="1" applyFont="1" applyBorder="1"/>
    <xf numFmtId="41" fontId="1" fillId="0" borderId="14" xfId="10" applyNumberFormat="1" applyFont="1" applyBorder="1"/>
    <xf numFmtId="168" fontId="1" fillId="0" borderId="14" xfId="10" applyNumberFormat="1" applyFont="1" applyBorder="1"/>
    <xf numFmtId="17" fontId="1" fillId="0" borderId="6" xfId="10" applyNumberFormat="1" applyFont="1" applyBorder="1" applyAlignment="1">
      <alignment horizontal="center"/>
    </xf>
    <xf numFmtId="172" fontId="1" fillId="6" borderId="2" xfId="10" applyNumberFormat="1" applyFont="1" applyFill="1" applyBorder="1"/>
    <xf numFmtId="41" fontId="1" fillId="6" borderId="9" xfId="10" applyNumberFormat="1" applyFont="1" applyFill="1" applyBorder="1"/>
    <xf numFmtId="168" fontId="1" fillId="6" borderId="9" xfId="10" applyNumberFormat="1" applyFont="1" applyFill="1" applyBorder="1"/>
    <xf numFmtId="172" fontId="1" fillId="6" borderId="0" xfId="10" applyNumberFormat="1" applyFont="1" applyFill="1" applyBorder="1"/>
    <xf numFmtId="41" fontId="1" fillId="6" borderId="13" xfId="10" applyNumberFormat="1" applyFont="1" applyFill="1" applyBorder="1"/>
    <xf numFmtId="168" fontId="1" fillId="6" borderId="13" xfId="10" applyNumberFormat="1" applyFont="1" applyFill="1" applyBorder="1"/>
    <xf numFmtId="172" fontId="1" fillId="6" borderId="1" xfId="10" applyNumberFormat="1" applyFont="1" applyFill="1" applyBorder="1"/>
    <xf numFmtId="41" fontId="1" fillId="6" borderId="14" xfId="10" applyNumberFormat="1" applyFont="1" applyFill="1" applyBorder="1"/>
    <xf numFmtId="168" fontId="1" fillId="6" borderId="14" xfId="10" applyNumberFormat="1" applyFont="1" applyFill="1" applyBorder="1"/>
    <xf numFmtId="172" fontId="1" fillId="0" borderId="0" xfId="10" applyNumberFormat="1" applyFont="1" applyAlignment="1">
      <alignment horizontal="center"/>
    </xf>
    <xf numFmtId="172" fontId="17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2" fontId="0" fillId="0" borderId="0" xfId="0" applyFont="1" applyFill="1" applyAlignment="1">
      <alignment horizontal="centerContinuous"/>
    </xf>
    <xf numFmtId="172" fontId="0" fillId="0" borderId="0" xfId="0" applyFont="1" applyFill="1"/>
    <xf numFmtId="172" fontId="0" fillId="0" borderId="0" xfId="0" applyFont="1" applyFill="1" applyBorder="1" applyAlignment="1">
      <alignment horizontal="centerContinuous"/>
    </xf>
    <xf numFmtId="172" fontId="0" fillId="0" borderId="0" xfId="0" applyFont="1" applyFill="1" applyBorder="1"/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/>
    <xf numFmtId="41" fontId="0" fillId="0" borderId="0" xfId="4" applyFont="1" applyFill="1"/>
    <xf numFmtId="172" fontId="0" fillId="0" borderId="0" xfId="0" applyFont="1" applyFill="1" applyAlignment="1">
      <alignment horizontal="center"/>
    </xf>
    <xf numFmtId="172" fontId="0" fillId="0" borderId="21" xfId="0" applyFont="1" applyFill="1" applyBorder="1" applyAlignment="1">
      <alignment horizontal="centerContinuous"/>
    </xf>
    <xf numFmtId="41" fontId="0" fillId="0" borderId="0" xfId="0" applyNumberFormat="1" applyFont="1" applyFill="1"/>
    <xf numFmtId="6" fontId="0" fillId="0" borderId="0" xfId="2" applyNumberFormat="1" applyFont="1" applyFill="1"/>
    <xf numFmtId="8" fontId="0" fillId="0" borderId="0" xfId="2" applyNumberFormat="1" applyFont="1" applyFill="1"/>
    <xf numFmtId="172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72" fontId="0" fillId="0" borderId="11" xfId="0" applyFont="1" applyFill="1" applyBorder="1" applyAlignment="1">
      <alignment horizontal="centerContinuous"/>
    </xf>
    <xf numFmtId="172" fontId="0" fillId="0" borderId="4" xfId="0" applyFont="1" applyFill="1" applyBorder="1" applyAlignment="1">
      <alignment horizontal="centerContinuous"/>
    </xf>
    <xf numFmtId="170" fontId="0" fillId="0" borderId="0" xfId="2" applyNumberFormat="1" applyFont="1" applyFill="1"/>
    <xf numFmtId="9" fontId="0" fillId="0" borderId="0" xfId="0" applyNumberFormat="1" applyFont="1" applyFill="1"/>
    <xf numFmtId="1" fontId="0" fillId="0" borderId="0" xfId="6" applyNumberFormat="1" applyFont="1" applyFill="1" applyAlignment="1" applyProtection="1">
      <alignment horizontal="center"/>
      <protection locked="0"/>
    </xf>
    <xf numFmtId="172" fontId="3" fillId="0" borderId="0" xfId="10" applyNumberFormat="1" applyFont="1"/>
    <xf numFmtId="173" fontId="0" fillId="0" borderId="0" xfId="0" applyNumberFormat="1"/>
    <xf numFmtId="6" fontId="0" fillId="0" borderId="0" xfId="2" applyNumberFormat="1" applyFont="1" applyFill="1" applyAlignment="1">
      <alignment horizontal="center"/>
    </xf>
    <xf numFmtId="6" fontId="21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8" fontId="21" fillId="0" borderId="0" xfId="2" applyNumberFormat="1" applyFont="1" applyFill="1" applyAlignment="1">
      <alignment horizontal="center"/>
    </xf>
    <xf numFmtId="10" fontId="0" fillId="0" borderId="0" xfId="8" applyNumberFormat="1" applyFont="1" applyFill="1"/>
    <xf numFmtId="172" fontId="22" fillId="7" borderId="0" xfId="10" applyNumberFormat="1" applyFont="1" applyFill="1"/>
    <xf numFmtId="8" fontId="0" fillId="0" borderId="22" xfId="0" applyNumberFormat="1" applyFont="1" applyFill="1" applyBorder="1"/>
    <xf numFmtId="7" fontId="1" fillId="0" borderId="0" xfId="2" applyNumberFormat="1" applyFont="1"/>
    <xf numFmtId="17" fontId="1" fillId="6" borderId="5" xfId="10" applyNumberFormat="1" applyFont="1" applyFill="1" applyBorder="1" applyAlignment="1">
      <alignment horizontal="center"/>
    </xf>
    <xf numFmtId="17" fontId="1" fillId="6" borderId="15" xfId="10" applyNumberFormat="1" applyFont="1" applyFill="1" applyBorder="1" applyAlignment="1">
      <alignment horizontal="center"/>
    </xf>
    <xf numFmtId="17" fontId="1" fillId="6" borderId="6" xfId="10" applyNumberFormat="1" applyFont="1" applyFill="1" applyBorder="1" applyAlignment="1">
      <alignment horizontal="center"/>
    </xf>
    <xf numFmtId="172" fontId="1" fillId="0" borderId="5" xfId="10" applyNumberFormat="1" applyFont="1" applyBorder="1" applyAlignment="1">
      <alignment horizontal="center"/>
    </xf>
    <xf numFmtId="175" fontId="1" fillId="0" borderId="0" xfId="8" applyNumberFormat="1" applyFont="1"/>
    <xf numFmtId="175" fontId="0" fillId="0" borderId="0" xfId="0" applyNumberFormat="1" applyFont="1" applyFill="1" applyBorder="1"/>
    <xf numFmtId="8" fontId="0" fillId="0" borderId="0" xfId="5" applyNumberFormat="1" applyFont="1" applyFill="1" applyBorder="1"/>
    <xf numFmtId="41" fontId="0" fillId="0" borderId="0" xfId="5" applyNumberFormat="1" applyFont="1" applyFill="1" applyBorder="1"/>
    <xf numFmtId="172" fontId="0" fillId="0" borderId="0" xfId="5" applyFont="1" applyFill="1"/>
    <xf numFmtId="172" fontId="2" fillId="0" borderId="7" xfId="5" applyFont="1" applyFill="1" applyBorder="1" applyAlignment="1">
      <alignment horizontal="centerContinuous"/>
    </xf>
    <xf numFmtId="172" fontId="0" fillId="0" borderId="0" xfId="5" applyFont="1" applyFill="1" applyAlignment="1">
      <alignment horizontal="lef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2" fontId="6" fillId="0" borderId="0" xfId="0" applyFont="1" applyFill="1"/>
    <xf numFmtId="172" fontId="18" fillId="3" borderId="0" xfId="0" applyFont="1" applyFill="1" applyBorder="1" applyAlignment="1">
      <alignment horizontal="center"/>
    </xf>
    <xf numFmtId="14" fontId="24" fillId="4" borderId="7" xfId="0" applyNumberFormat="1" applyFont="1" applyFill="1" applyBorder="1" applyAlignment="1">
      <alignment horizontal="center"/>
    </xf>
    <xf numFmtId="172" fontId="18" fillId="3" borderId="0" xfId="0" applyFont="1" applyFill="1" applyAlignment="1">
      <alignment horizontal="centerContinuous"/>
    </xf>
    <xf numFmtId="172" fontId="6" fillId="0" borderId="0" xfId="0" applyFont="1" applyFill="1" applyBorder="1"/>
    <xf numFmtId="14" fontId="25" fillId="3" borderId="0" xfId="0" applyNumberFormat="1" applyFont="1" applyFill="1" applyBorder="1" applyAlignment="1">
      <alignment horizontal="centerContinuous" vertical="center"/>
    </xf>
    <xf numFmtId="172" fontId="6" fillId="0" borderId="0" xfId="0" applyFont="1" applyFill="1" applyBorder="1" applyAlignment="1">
      <alignment horizontal="center"/>
    </xf>
    <xf numFmtId="172" fontId="16" fillId="3" borderId="0" xfId="0" applyFont="1" applyFill="1" applyBorder="1" applyAlignment="1">
      <alignment horizontal="centerContinuous" wrapText="1"/>
    </xf>
    <xf numFmtId="172" fontId="6" fillId="0" borderId="0" xfId="0" applyFont="1" applyFill="1" applyAlignment="1">
      <alignment horizontal="center"/>
    </xf>
    <xf numFmtId="172" fontId="16" fillId="0" borderId="17" xfId="0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72" fontId="6" fillId="5" borderId="16" xfId="0" applyFont="1" applyFill="1" applyBorder="1"/>
    <xf numFmtId="0" fontId="2" fillId="0" borderId="0" xfId="0" applyNumberFormat="1" applyFont="1" applyFill="1" applyAlignment="1"/>
    <xf numFmtId="172" fontId="3" fillId="0" borderId="0" xfId="0" quotePrefix="1" applyFont="1" applyFill="1" applyAlignment="1">
      <alignment horizontal="left" vertical="top"/>
    </xf>
    <xf numFmtId="172" fontId="3" fillId="0" borderId="0" xfId="0" applyFont="1" applyFill="1" applyAlignment="1">
      <alignment wrapText="1"/>
    </xf>
    <xf numFmtId="172" fontId="17" fillId="0" borderId="0" xfId="10" applyNumberFormat="1" applyFont="1"/>
    <xf numFmtId="167" fontId="26" fillId="6" borderId="0" xfId="8" applyNumberFormat="1" applyFont="1" applyFill="1"/>
    <xf numFmtId="8" fontId="0" fillId="0" borderId="2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10" fontId="0" fillId="6" borderId="0" xfId="8" applyNumberFormat="1" applyFont="1" applyFill="1"/>
    <xf numFmtId="10" fontId="1" fillId="0" borderId="0" xfId="10" applyNumberFormat="1" applyFont="1"/>
    <xf numFmtId="174" fontId="0" fillId="0" borderId="0" xfId="0" applyNumberFormat="1" applyFont="1" applyFill="1"/>
    <xf numFmtId="174" fontId="21" fillId="0" borderId="0" xfId="0" applyNumberFormat="1" applyFont="1" applyFill="1"/>
    <xf numFmtId="0" fontId="3" fillId="0" borderId="8" xfId="0" applyNumberFormat="1" applyFont="1" applyFill="1" applyBorder="1" applyAlignment="1">
      <alignment horizontal="center"/>
    </xf>
    <xf numFmtId="8" fontId="3" fillId="0" borderId="1" xfId="0" quotePrefix="1" applyNumberFormat="1" applyFont="1" applyFill="1" applyBorder="1" applyAlignment="1">
      <alignment horizontal="center"/>
    </xf>
    <xf numFmtId="167" fontId="1" fillId="6" borderId="0" xfId="8" applyNumberFormat="1" applyFont="1" applyFill="1"/>
    <xf numFmtId="172" fontId="17" fillId="0" borderId="7" xfId="23" applyFont="1" applyFill="1" applyBorder="1" applyAlignment="1">
      <alignment horizontal="centerContinuous"/>
    </xf>
    <xf numFmtId="172" fontId="30" fillId="0" borderId="6" xfId="0" applyFont="1" applyBorder="1" applyAlignment="1">
      <alignment horizontal="center"/>
    </xf>
    <xf numFmtId="172" fontId="30" fillId="0" borderId="0" xfId="0" applyFont="1"/>
    <xf numFmtId="172" fontId="30" fillId="0" borderId="7" xfId="0" applyFont="1" applyBorder="1"/>
    <xf numFmtId="167" fontId="29" fillId="0" borderId="7" xfId="24" applyNumberFormat="1" applyFont="1" applyFill="1" applyBorder="1"/>
    <xf numFmtId="8" fontId="3" fillId="0" borderId="0" xfId="11" applyNumberFormat="1" applyFont="1" applyFill="1"/>
    <xf numFmtId="8" fontId="3" fillId="0" borderId="0" xfId="11" applyNumberFormat="1" applyFont="1" applyFill="1" applyBorder="1" applyAlignment="1">
      <alignment horizontal="center"/>
    </xf>
    <xf numFmtId="2" fontId="3" fillId="0" borderId="0" xfId="11" applyNumberFormat="1" applyFont="1" applyFill="1" applyAlignment="1">
      <alignment horizontal="center"/>
    </xf>
    <xf numFmtId="43" fontId="3" fillId="0" borderId="0" xfId="1" applyFont="1" applyFill="1"/>
    <xf numFmtId="39" fontId="3" fillId="0" borderId="0" xfId="11" applyNumberFormat="1" applyFont="1" applyFill="1" applyBorder="1" applyAlignment="1">
      <alignment horizontal="center"/>
    </xf>
    <xf numFmtId="39" fontId="3" fillId="0" borderId="0" xfId="25" quotePrefix="1" applyNumberFormat="1" applyFont="1" applyFill="1" applyBorder="1" applyAlignment="1">
      <alignment horizontal="center"/>
    </xf>
    <xf numFmtId="8" fontId="3" fillId="0" borderId="0" xfId="11" applyNumberFormat="1"/>
    <xf numFmtId="41" fontId="3" fillId="0" borderId="0" xfId="11" applyFont="1" applyFill="1" applyAlignment="1">
      <alignment horizontal="left" indent="1"/>
    </xf>
    <xf numFmtId="175" fontId="26" fillId="0" borderId="0" xfId="8" applyNumberFormat="1" applyFont="1" applyFill="1"/>
    <xf numFmtId="180" fontId="3" fillId="0" borderId="0" xfId="11" applyNumberFormat="1" applyFont="1" applyFill="1" applyBorder="1" applyAlignment="1">
      <alignment horizontal="center"/>
    </xf>
    <xf numFmtId="41" fontId="26" fillId="0" borderId="0" xfId="11" applyFont="1" applyFill="1"/>
    <xf numFmtId="41" fontId="3" fillId="0" borderId="0" xfId="11" applyFont="1" applyFill="1" applyAlignment="1">
      <alignment horizontal="center"/>
    </xf>
    <xf numFmtId="168" fontId="31" fillId="0" borderId="0" xfId="11" applyNumberFormat="1" applyFont="1" applyFill="1" applyBorder="1" applyAlignment="1">
      <alignment horizontal="centerContinuous"/>
    </xf>
    <xf numFmtId="2" fontId="3" fillId="0" borderId="0" xfId="11" applyNumberFormat="1" applyFont="1" applyFill="1" applyBorder="1" applyAlignment="1">
      <alignment horizontal="center"/>
    </xf>
    <xf numFmtId="8" fontId="3" fillId="0" borderId="14" xfId="11" applyNumberFormat="1" applyFont="1" applyFill="1" applyBorder="1" applyAlignment="1">
      <alignment horizontal="center"/>
    </xf>
    <xf numFmtId="8" fontId="3" fillId="0" borderId="1" xfId="11" applyNumberFormat="1" applyFont="1" applyFill="1" applyBorder="1" applyAlignment="1">
      <alignment horizontal="center"/>
    </xf>
    <xf numFmtId="0" fontId="3" fillId="0" borderId="10" xfId="11" applyNumberFormat="1" applyFont="1" applyFill="1" applyBorder="1" applyAlignment="1">
      <alignment horizontal="center"/>
    </xf>
    <xf numFmtId="8" fontId="3" fillId="0" borderId="13" xfId="11" applyNumberFormat="1" applyFont="1" applyFill="1" applyBorder="1" applyAlignment="1">
      <alignment horizontal="center"/>
    </xf>
    <xf numFmtId="0" fontId="3" fillId="0" borderId="12" xfId="11" applyNumberFormat="1" applyFont="1" applyFill="1" applyBorder="1" applyAlignment="1">
      <alignment horizontal="center"/>
    </xf>
    <xf numFmtId="8" fontId="3" fillId="0" borderId="9" xfId="11" applyNumberFormat="1" applyFont="1" applyFill="1" applyBorder="1" applyAlignment="1">
      <alignment horizontal="center"/>
    </xf>
    <xf numFmtId="8" fontId="3" fillId="0" borderId="2" xfId="11" applyNumberFormat="1" applyFont="1" applyFill="1" applyBorder="1" applyAlignment="1">
      <alignment horizontal="center"/>
    </xf>
    <xf numFmtId="0" fontId="3" fillId="0" borderId="8" xfId="11" applyNumberFormat="1" applyFont="1" applyFill="1" applyBorder="1" applyAlignment="1">
      <alignment horizontal="center"/>
    </xf>
    <xf numFmtId="41" fontId="3" fillId="0" borderId="0" xfId="11" applyFont="1" applyFill="1" applyAlignment="1"/>
    <xf numFmtId="41" fontId="3" fillId="0" borderId="0" xfId="11" applyFont="1" applyFill="1" applyBorder="1" applyAlignment="1">
      <alignment horizontal="center"/>
    </xf>
    <xf numFmtId="41" fontId="3" fillId="0" borderId="0" xfId="11" quotePrefix="1" applyFont="1" applyFill="1" applyAlignment="1">
      <alignment horizontal="centerContinuous"/>
    </xf>
    <xf numFmtId="0" fontId="3" fillId="0" borderId="0" xfId="7" applyFont="1" applyFill="1" applyBorder="1" applyAlignment="1">
      <alignment horizontal="center"/>
    </xf>
    <xf numFmtId="17" fontId="3" fillId="0" borderId="0" xfId="11" applyNumberFormat="1" applyFont="1" applyFill="1" applyBorder="1" applyAlignment="1"/>
    <xf numFmtId="9" fontId="3" fillId="0" borderId="0" xfId="8" applyFont="1" applyFill="1" applyAlignment="1">
      <alignment horizontal="center"/>
    </xf>
    <xf numFmtId="17" fontId="3" fillId="0" borderId="0" xfId="11" applyNumberFormat="1" applyFont="1" applyFill="1" applyAlignment="1">
      <alignment horizontal="center"/>
    </xf>
    <xf numFmtId="41" fontId="3" fillId="0" borderId="0" xfId="11" applyFont="1" applyFill="1" applyBorder="1"/>
    <xf numFmtId="41" fontId="4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3" fillId="0" borderId="0" xfId="11" applyFont="1" applyFill="1" applyAlignment="1">
      <alignment horizontal="centerContinuous"/>
    </xf>
    <xf numFmtId="41" fontId="11" fillId="0" borderId="0" xfId="11" applyFont="1" applyFill="1" applyAlignment="1">
      <alignment horizontal="centerContinuous"/>
    </xf>
    <xf numFmtId="181" fontId="3" fillId="0" borderId="1" xfId="11" applyNumberFormat="1" applyFont="1" applyFill="1" applyBorder="1" applyAlignment="1">
      <alignment horizontal="center"/>
    </xf>
  </cellXfs>
  <cellStyles count="26">
    <cellStyle name="Comma" xfId="1" builtinId="3"/>
    <cellStyle name="Comma 2" xfId="14"/>
    <cellStyle name="Currency" xfId="2" builtinId="4"/>
    <cellStyle name="Currency 2" xfId="15"/>
    <cellStyle name="Currency No Comma" xfId="16"/>
    <cellStyle name="Input" xfId="3" builtinId="20" customBuiltin="1"/>
    <cellStyle name="MCP" xfId="17"/>
    <cellStyle name="noninput" xfId="18"/>
    <cellStyle name="Normal" xfId="0" builtinId="0" customBuiltin="1"/>
    <cellStyle name="Normal 2" xfId="9"/>
    <cellStyle name="Normal 2 2" xfId="13"/>
    <cellStyle name="Normal 3" xfId="10"/>
    <cellStyle name="Normal 5" xfId="12"/>
    <cellStyle name="Normal_DRR AC Study - Utah Valley - 53 MW 90 CF (2.28.2005)" xfId="4"/>
    <cellStyle name="Normal_Exhibit GND-1 - 5.24.2005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xAC_Demand (Avoided Cost)" xfId="23"/>
    <cellStyle name="Password" xfId="19"/>
    <cellStyle name="Percent" xfId="8" builtinId="5"/>
    <cellStyle name="Percent 2" xfId="24"/>
    <cellStyle name="Unprot" xfId="20"/>
    <cellStyle name="Unprot$" xfId="21"/>
    <cellStyle name="Unprotect" xfId="22"/>
  </cellStyles>
  <dxfs count="2">
    <dxf>
      <font>
        <b/>
        <i/>
        <condense val="0"/>
        <extend val="0"/>
      </font>
      <fill>
        <patternFill>
          <bgColor indexed="42"/>
        </patternFill>
      </fill>
    </dxf>
    <dxf>
      <numFmt numFmtId="181" formatCode="&quot;$&quot;#,##0.00_)&quot;x&quot;"/>
    </dxf>
  </dxfs>
  <tableStyles count="0" defaultTableStyle="TableStyleMedium9" defaultPivotStyle="PivotStyleLight16"/>
  <colors>
    <mruColors>
      <color rgb="FFCCECFF"/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zoomScale="110" zoomScaleNormal="110" workbookViewId="0">
      <selection activeCell="H14" sqref="H14"/>
    </sheetView>
  </sheetViews>
  <sheetFormatPr defaultRowHeight="12.75" x14ac:dyDescent="0.2"/>
  <cols>
    <col min="1" max="1" width="2.83203125" style="120" customWidth="1"/>
    <col min="2" max="2" width="19.1640625" style="120" customWidth="1"/>
    <col min="3" max="5" width="21.6640625" style="120" customWidth="1"/>
    <col min="6" max="6" width="3.33203125" style="120" customWidth="1"/>
    <col min="7" max="7" width="9.33203125" style="120" hidden="1" customWidth="1"/>
    <col min="8" max="8" width="9.33203125" style="119" customWidth="1"/>
    <col min="9" max="9" width="10.5" style="119" bestFit="1" customWidth="1"/>
    <col min="10" max="16384" width="9.33203125" style="119"/>
  </cols>
  <sheetData>
    <row r="1" spans="2:7" ht="15.75" x14ac:dyDescent="0.25">
      <c r="B1" s="274" t="s">
        <v>73</v>
      </c>
      <c r="C1" s="277"/>
      <c r="D1" s="277"/>
      <c r="E1" s="276"/>
      <c r="F1" s="246"/>
      <c r="G1" s="273"/>
    </row>
    <row r="2" spans="2:7" ht="15.75" x14ac:dyDescent="0.25">
      <c r="B2" s="274"/>
      <c r="C2" s="277"/>
      <c r="D2" s="277"/>
      <c r="E2" s="276"/>
      <c r="F2" s="246"/>
      <c r="G2" s="273"/>
    </row>
    <row r="3" spans="2:7" ht="15.75" x14ac:dyDescent="0.25">
      <c r="B3" s="275" t="s">
        <v>142</v>
      </c>
      <c r="C3" s="275"/>
      <c r="D3" s="275"/>
      <c r="E3" s="274"/>
      <c r="F3" s="246"/>
      <c r="G3" s="273"/>
    </row>
    <row r="4" spans="2:7" ht="15.75" x14ac:dyDescent="0.25">
      <c r="B4" s="7" t="str">
        <f ca="1">'Table 1'!B5</f>
        <v>Utah 2015.Q3 - 100.0 MW and 85.0% CF</v>
      </c>
      <c r="C4" s="275"/>
      <c r="D4" s="275"/>
      <c r="E4" s="274"/>
      <c r="F4" s="246"/>
      <c r="G4" s="273"/>
    </row>
    <row r="5" spans="2:7" ht="25.5" customHeight="1" x14ac:dyDescent="0.2">
      <c r="C5" s="255"/>
      <c r="F5" s="246"/>
      <c r="G5" s="273"/>
    </row>
    <row r="6" spans="2:7" x14ac:dyDescent="0.2">
      <c r="B6" s="255" t="s">
        <v>0</v>
      </c>
      <c r="C6" s="272" t="s">
        <v>141</v>
      </c>
      <c r="D6" s="272" t="s">
        <v>140</v>
      </c>
      <c r="E6" s="271" t="s">
        <v>139</v>
      </c>
      <c r="F6" s="246"/>
      <c r="G6" s="270"/>
    </row>
    <row r="7" spans="2:7" x14ac:dyDescent="0.2">
      <c r="B7" s="255"/>
      <c r="C7" s="269" t="str">
        <f ca="1">TEXT('Table 1'!G9,"0.0%")&amp;" CF (2)"</f>
        <v>85.0% CF (2)</v>
      </c>
      <c r="D7" s="268" t="s">
        <v>138</v>
      </c>
      <c r="E7" s="267"/>
      <c r="F7" s="246"/>
      <c r="G7" s="266"/>
    </row>
    <row r="8" spans="2:7" x14ac:dyDescent="0.2">
      <c r="B8" s="265">
        <f>'Table 1'!B13</f>
        <v>2017</v>
      </c>
      <c r="C8" s="264">
        <f>'Table 1'!G13</f>
        <v>20.89</v>
      </c>
      <c r="D8" s="264">
        <v>22.58</v>
      </c>
      <c r="E8" s="263">
        <f t="shared" ref="E8:E27" si="0">C8-D8</f>
        <v>-1.6899999999999977</v>
      </c>
      <c r="F8" s="246"/>
      <c r="G8" s="256"/>
    </row>
    <row r="9" spans="2:7" x14ac:dyDescent="0.2">
      <c r="B9" s="262">
        <f t="shared" ref="B9:B27" si="1">B8+1</f>
        <v>2018</v>
      </c>
      <c r="C9" s="245">
        <f>'Table 1'!G14</f>
        <v>22.53</v>
      </c>
      <c r="D9" s="245">
        <v>23.44</v>
      </c>
      <c r="E9" s="261">
        <f t="shared" si="0"/>
        <v>-0.91000000000000014</v>
      </c>
      <c r="F9" s="246"/>
      <c r="G9" s="256"/>
    </row>
    <row r="10" spans="2:7" x14ac:dyDescent="0.2">
      <c r="B10" s="262">
        <f t="shared" si="1"/>
        <v>2019</v>
      </c>
      <c r="C10" s="245">
        <f>'Table 1'!G15</f>
        <v>23.21</v>
      </c>
      <c r="D10" s="245">
        <v>23.98</v>
      </c>
      <c r="E10" s="261">
        <f t="shared" si="0"/>
        <v>-0.76999999999999957</v>
      </c>
      <c r="F10" s="246"/>
      <c r="G10" s="256"/>
    </row>
    <row r="11" spans="2:7" x14ac:dyDescent="0.2">
      <c r="B11" s="262">
        <f t="shared" si="1"/>
        <v>2020</v>
      </c>
      <c r="C11" s="245">
        <f>'Table 1'!G16</f>
        <v>23.85</v>
      </c>
      <c r="D11" s="245">
        <v>24.32</v>
      </c>
      <c r="E11" s="261">
        <f t="shared" si="0"/>
        <v>-0.46999999999999886</v>
      </c>
      <c r="F11" s="246"/>
      <c r="G11" s="256"/>
    </row>
    <row r="12" spans="2:7" x14ac:dyDescent="0.2">
      <c r="B12" s="262">
        <f t="shared" si="1"/>
        <v>2021</v>
      </c>
      <c r="C12" s="245">
        <f>'Table 1'!G17</f>
        <v>25.01</v>
      </c>
      <c r="D12" s="245">
        <v>25.46</v>
      </c>
      <c r="E12" s="261">
        <f t="shared" si="0"/>
        <v>-0.44999999999999929</v>
      </c>
      <c r="F12" s="246"/>
      <c r="G12" s="256"/>
    </row>
    <row r="13" spans="2:7" x14ac:dyDescent="0.2">
      <c r="B13" s="262">
        <f t="shared" si="1"/>
        <v>2022</v>
      </c>
      <c r="C13" s="245">
        <f>'Table 1'!G18</f>
        <v>26.57</v>
      </c>
      <c r="D13" s="245">
        <v>26.66</v>
      </c>
      <c r="E13" s="261">
        <f t="shared" si="0"/>
        <v>-8.9999999999999858E-2</v>
      </c>
      <c r="F13" s="246"/>
      <c r="G13" s="256"/>
    </row>
    <row r="14" spans="2:7" x14ac:dyDescent="0.2">
      <c r="B14" s="262">
        <f t="shared" si="1"/>
        <v>2023</v>
      </c>
      <c r="C14" s="245">
        <f>'Table 1'!G19</f>
        <v>28.81</v>
      </c>
      <c r="D14" s="245">
        <v>28.52</v>
      </c>
      <c r="E14" s="261">
        <f t="shared" si="0"/>
        <v>0.28999999999999915</v>
      </c>
      <c r="F14" s="246"/>
      <c r="G14" s="256"/>
    </row>
    <row r="15" spans="2:7" x14ac:dyDescent="0.2">
      <c r="B15" s="262">
        <f t="shared" si="1"/>
        <v>2024</v>
      </c>
      <c r="C15" s="245">
        <f>'Table 1'!G20</f>
        <v>30.4</v>
      </c>
      <c r="D15" s="245">
        <v>30.2</v>
      </c>
      <c r="E15" s="261">
        <f t="shared" si="0"/>
        <v>0.19999999999999929</v>
      </c>
      <c r="F15" s="246"/>
      <c r="G15" s="256"/>
    </row>
    <row r="16" spans="2:7" x14ac:dyDescent="0.2">
      <c r="B16" s="262">
        <f t="shared" si="1"/>
        <v>2025</v>
      </c>
      <c r="C16" s="245">
        <f>'Table 1'!G21</f>
        <v>32.49</v>
      </c>
      <c r="D16" s="245">
        <v>30.37</v>
      </c>
      <c r="E16" s="261">
        <f t="shared" si="0"/>
        <v>2.120000000000001</v>
      </c>
      <c r="F16" s="246"/>
      <c r="G16" s="256"/>
    </row>
    <row r="17" spans="2:7" x14ac:dyDescent="0.2">
      <c r="B17" s="262">
        <f t="shared" si="1"/>
        <v>2026</v>
      </c>
      <c r="C17" s="245">
        <f>'Table 1'!G22</f>
        <v>33.51</v>
      </c>
      <c r="D17" s="245">
        <v>30.9</v>
      </c>
      <c r="E17" s="261">
        <f t="shared" si="0"/>
        <v>2.6099999999999994</v>
      </c>
      <c r="F17" s="246"/>
      <c r="G17" s="256"/>
    </row>
    <row r="18" spans="2:7" x14ac:dyDescent="0.2">
      <c r="B18" s="262">
        <f t="shared" si="1"/>
        <v>2027</v>
      </c>
      <c r="C18" s="245">
        <f>'Table 1'!G23</f>
        <v>35.729999999999997</v>
      </c>
      <c r="D18" s="245">
        <v>31.89</v>
      </c>
      <c r="E18" s="261">
        <f t="shared" si="0"/>
        <v>3.8399999999999963</v>
      </c>
      <c r="F18" s="246"/>
      <c r="G18" s="256"/>
    </row>
    <row r="19" spans="2:7" x14ac:dyDescent="0.2">
      <c r="B19" s="262">
        <f t="shared" si="1"/>
        <v>2028</v>
      </c>
      <c r="C19" s="245">
        <f>'Table 1'!G24</f>
        <v>41.55</v>
      </c>
      <c r="D19" s="245">
        <v>37.119999999999997</v>
      </c>
      <c r="E19" s="261">
        <f t="shared" si="0"/>
        <v>4.43</v>
      </c>
      <c r="F19" s="246"/>
      <c r="G19" s="256"/>
    </row>
    <row r="20" spans="2:7" x14ac:dyDescent="0.2">
      <c r="B20" s="262">
        <f t="shared" si="1"/>
        <v>2029</v>
      </c>
      <c r="C20" s="245">
        <f>'Table 1'!G25</f>
        <v>43.58</v>
      </c>
      <c r="D20" s="245">
        <v>37.58</v>
      </c>
      <c r="E20" s="261">
        <f t="shared" si="0"/>
        <v>6</v>
      </c>
      <c r="F20" s="246"/>
      <c r="G20" s="256"/>
    </row>
    <row r="21" spans="2:7" x14ac:dyDescent="0.2">
      <c r="B21" s="262">
        <f t="shared" si="1"/>
        <v>2030</v>
      </c>
      <c r="C21" s="245">
        <f>'Table 1'!G26</f>
        <v>54.62</v>
      </c>
      <c r="D21" s="245">
        <v>55.4</v>
      </c>
      <c r="E21" s="261">
        <f t="shared" si="0"/>
        <v>-0.78000000000000114</v>
      </c>
      <c r="F21" s="246"/>
      <c r="G21" s="256"/>
    </row>
    <row r="22" spans="2:7" x14ac:dyDescent="0.2">
      <c r="B22" s="262">
        <f t="shared" si="1"/>
        <v>2031</v>
      </c>
      <c r="C22" s="245">
        <f>'Table 1'!G27</f>
        <v>57.9</v>
      </c>
      <c r="D22" s="245">
        <v>57.81</v>
      </c>
      <c r="E22" s="261">
        <f t="shared" si="0"/>
        <v>8.9999999999996305E-2</v>
      </c>
      <c r="F22" s="246"/>
      <c r="G22" s="256"/>
    </row>
    <row r="23" spans="2:7" x14ac:dyDescent="0.2">
      <c r="B23" s="262">
        <f t="shared" si="1"/>
        <v>2032</v>
      </c>
      <c r="C23" s="245">
        <f>'Table 1'!G28</f>
        <v>58.83</v>
      </c>
      <c r="D23" s="245">
        <v>59</v>
      </c>
      <c r="E23" s="261">
        <f t="shared" si="0"/>
        <v>-0.17000000000000171</v>
      </c>
      <c r="F23" s="246"/>
      <c r="G23" s="256"/>
    </row>
    <row r="24" spans="2:7" x14ac:dyDescent="0.2">
      <c r="B24" s="262">
        <f t="shared" si="1"/>
        <v>2033</v>
      </c>
      <c r="C24" s="245">
        <f>'Table 1'!G29</f>
        <v>60.6</v>
      </c>
      <c r="D24" s="245">
        <v>61.24</v>
      </c>
      <c r="E24" s="261">
        <f t="shared" si="0"/>
        <v>-0.64000000000000057</v>
      </c>
      <c r="F24" s="246"/>
      <c r="G24" s="256"/>
    </row>
    <row r="25" spans="2:7" x14ac:dyDescent="0.2">
      <c r="B25" s="262">
        <f t="shared" si="1"/>
        <v>2034</v>
      </c>
      <c r="C25" s="245">
        <f>'Table 1'!G30</f>
        <v>63.16</v>
      </c>
      <c r="D25" s="245">
        <v>62.6</v>
      </c>
      <c r="E25" s="261">
        <f t="shared" si="0"/>
        <v>0.55999999999999517</v>
      </c>
      <c r="F25" s="246"/>
      <c r="G25" s="256"/>
    </row>
    <row r="26" spans="2:7" x14ac:dyDescent="0.2">
      <c r="B26" s="262">
        <f t="shared" si="1"/>
        <v>2035</v>
      </c>
      <c r="C26" s="245">
        <f>'Table 1'!G31</f>
        <v>64.37</v>
      </c>
      <c r="D26" s="245">
        <v>64.38</v>
      </c>
      <c r="E26" s="261">
        <f t="shared" si="0"/>
        <v>-9.9999999999909051E-3</v>
      </c>
      <c r="F26" s="257"/>
      <c r="G26" s="256"/>
    </row>
    <row r="27" spans="2:7" x14ac:dyDescent="0.2">
      <c r="B27" s="260">
        <f t="shared" si="1"/>
        <v>2036</v>
      </c>
      <c r="C27" s="259">
        <f>'Table 1'!G32</f>
        <v>66.290000000000006</v>
      </c>
      <c r="D27" s="278">
        <v>66.2</v>
      </c>
      <c r="E27" s="258">
        <f t="shared" si="0"/>
        <v>9.0000000000003411E-2</v>
      </c>
      <c r="F27" s="257"/>
      <c r="G27" s="256"/>
    </row>
    <row r="28" spans="2:7" x14ac:dyDescent="0.2">
      <c r="D28" s="255"/>
      <c r="F28" s="246"/>
    </row>
    <row r="29" spans="2:7" x14ac:dyDescent="0.2">
      <c r="B29" s="121" t="str">
        <f>"20-Year Levelized Prices (Nominal) @ "&amp;TEXT(Discount_Rate,"0.000%")&amp;" Discount Rate (1) (3)"</f>
        <v>20-Year Levelized Prices (Nominal) @ 6.660% Discount Rate (1) (3)</v>
      </c>
      <c r="D29" s="255"/>
      <c r="G29" s="254" t="str">
        <f>'Table 1'!I34</f>
        <v>Discount Rate - 2015 IRP Page 141</v>
      </c>
    </row>
    <row r="30" spans="2:7" x14ac:dyDescent="0.2">
      <c r="B30" s="251" t="s">
        <v>59</v>
      </c>
      <c r="C30" s="253">
        <f>ROUND('Table 1'!G37,2)</f>
        <v>35.229999999999997</v>
      </c>
      <c r="D30" s="245">
        <f>ROUND(PMT(Discount_Rate,COUNT(D8:D27),-NPV(Discount_Rate,D8:D27)),2)</f>
        <v>34.75</v>
      </c>
      <c r="E30" s="245">
        <f>C30-D30</f>
        <v>0.47999999999999687</v>
      </c>
      <c r="F30" s="246"/>
      <c r="G30" s="252">
        <f>'Table 1'!I35</f>
        <v>6.6600000000000006E-2</v>
      </c>
    </row>
    <row r="31" spans="2:7" ht="5.25" customHeight="1" x14ac:dyDescent="0.2">
      <c r="B31" s="251"/>
      <c r="C31" s="245"/>
      <c r="D31" s="245"/>
      <c r="E31" s="245"/>
      <c r="F31" s="246"/>
    </row>
    <row r="32" spans="2:7" x14ac:dyDescent="0.2">
      <c r="B32" s="251"/>
      <c r="C32" s="245"/>
      <c r="D32" s="245"/>
      <c r="E32" s="245"/>
      <c r="F32" s="246"/>
    </row>
    <row r="33" spans="2:6" ht="5.25" customHeight="1" x14ac:dyDescent="0.2">
      <c r="D33" s="250"/>
      <c r="F33" s="246"/>
    </row>
    <row r="34" spans="2:6" x14ac:dyDescent="0.2">
      <c r="B34" s="120" t="s">
        <v>33</v>
      </c>
      <c r="C34" s="249"/>
      <c r="D34" s="248"/>
      <c r="E34" s="248"/>
      <c r="F34" s="246"/>
    </row>
    <row r="35" spans="2:6" x14ac:dyDescent="0.2">
      <c r="B35" s="247" t="str">
        <f>'Table 1'!B40</f>
        <v>(1)   Discount Rate - 2015 IRP Page 141</v>
      </c>
      <c r="D35" s="246"/>
      <c r="E35" s="246"/>
      <c r="F35" s="246"/>
    </row>
    <row r="36" spans="2:6" x14ac:dyDescent="0.2">
      <c r="B36" s="247" t="str">
        <f ca="1">"(2)   Total Avoided Costs with Capacity included at an "&amp;TEXT(Study_CF,"0.0%")&amp;" capacity factor"</f>
        <v>(2)   Total Avoided Costs with Capacity included at an 85.0% capacity factor</v>
      </c>
      <c r="F36" s="246"/>
    </row>
    <row r="37" spans="2:6" x14ac:dyDescent="0.2">
      <c r="B37" s="120" t="str">
        <f>"(3)   20-Year NPC is "&amp;B8&amp;" - "&amp;B27</f>
        <v>(3)   20-Year NPC is 2017 - 2036</v>
      </c>
    </row>
    <row r="38" spans="2:6" x14ac:dyDescent="0.2">
      <c r="B38" s="18" t="str">
        <f>"(4)   Levelized Annually.  Avoided costs levelized monthly are  "&amp;TEXT('Table 5'!G9,"$0.00")&amp;"/MWH"</f>
        <v>(4)   Levelized Annually.  Avoided costs levelized monthly are  $35.22/MWH</v>
      </c>
    </row>
    <row r="39" spans="2:6" x14ac:dyDescent="0.2">
      <c r="B39" s="18" t="s">
        <v>114</v>
      </c>
    </row>
    <row r="40" spans="2:6" x14ac:dyDescent="0.2">
      <c r="B40" s="18" t="s">
        <v>115</v>
      </c>
    </row>
    <row r="41" spans="2:6" hidden="1" x14ac:dyDescent="0.2">
      <c r="B41" s="120" t="s">
        <v>137</v>
      </c>
    </row>
    <row r="42" spans="2:6" x14ac:dyDescent="0.2">
      <c r="C42" s="245"/>
      <c r="D42" s="245"/>
    </row>
    <row r="44" spans="2:6" x14ac:dyDescent="0.2">
      <c r="C44" s="244"/>
      <c r="D44" s="244"/>
      <c r="E44" s="244"/>
    </row>
  </sheetData>
  <conditionalFormatting sqref="D8:D22">
    <cfRule type="expression" dxfId="1" priority="1">
      <formula>ISNA(G8)</formula>
    </cfRule>
  </conditionalFormatting>
  <printOptions horizontalCentered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5"/>
  <sheetViews>
    <sheetView zoomScaleNormal="100" zoomScaleSheetLayoutView="100" workbookViewId="0">
      <pane xSplit="2" ySplit="12" topLeftCell="C13" activePane="bottomRight" state="frozen"/>
      <selection sqref="A1:XFD1"/>
      <selection pane="topRight" sqref="A1:XFD1"/>
      <selection pane="bottomLeft" sqref="A1:XFD1"/>
      <selection pane="bottomRight" activeCell="G37" sqref="G37"/>
    </sheetView>
  </sheetViews>
  <sheetFormatPr defaultRowHeight="12.75" x14ac:dyDescent="0.2"/>
  <cols>
    <col min="1" max="1" width="2.83203125" style="6" customWidth="1"/>
    <col min="2" max="2" width="10.83203125" style="6" customWidth="1"/>
    <col min="3" max="3" width="18.83203125" style="6" customWidth="1"/>
    <col min="4" max="4" width="3.1640625" style="6" customWidth="1"/>
    <col min="5" max="5" width="18.83203125" style="6" customWidth="1"/>
    <col min="6" max="6" width="3.5" style="6" bestFit="1" customWidth="1"/>
    <col min="7" max="7" width="27.83203125" style="6" customWidth="1"/>
    <col min="8" max="8" width="3.83203125" style="6" customWidth="1"/>
    <col min="9" max="9" width="9.33203125" style="6" hidden="1" customWidth="1"/>
    <col min="10" max="10" width="14.5" hidden="1" customWidth="1"/>
    <col min="11" max="11" width="16.6640625" hidden="1" customWidth="1"/>
    <col min="12" max="12" width="0" hidden="1" customWidth="1"/>
  </cols>
  <sheetData>
    <row r="1" spans="2:12" ht="15.75" x14ac:dyDescent="0.25">
      <c r="B1" s="1" t="s">
        <v>73</v>
      </c>
      <c r="C1" s="5"/>
      <c r="D1" s="5"/>
      <c r="E1" s="5"/>
      <c r="F1" s="5"/>
      <c r="G1" s="43"/>
      <c r="H1" s="97"/>
      <c r="I1" s="8"/>
    </row>
    <row r="2" spans="2:12" ht="15.75" x14ac:dyDescent="0.25">
      <c r="B2" s="1"/>
      <c r="C2" s="5"/>
      <c r="D2" s="5"/>
      <c r="E2" s="5"/>
      <c r="G2" s="43"/>
      <c r="H2" s="97"/>
      <c r="I2" s="8"/>
    </row>
    <row r="3" spans="2:12" ht="15.75" x14ac:dyDescent="0.25">
      <c r="B3" s="1" t="s">
        <v>38</v>
      </c>
      <c r="C3" s="5"/>
      <c r="D3" s="5"/>
      <c r="E3" s="5"/>
      <c r="F3" s="5"/>
      <c r="G3" s="43"/>
      <c r="H3" s="97"/>
      <c r="I3" s="8"/>
    </row>
    <row r="4" spans="2:12" ht="15.75" x14ac:dyDescent="0.25">
      <c r="B4" s="7" t="s">
        <v>35</v>
      </c>
      <c r="C4" s="7"/>
      <c r="D4" s="7"/>
      <c r="E4" s="7"/>
      <c r="F4" s="7"/>
      <c r="G4" s="1"/>
      <c r="H4" s="97"/>
      <c r="I4" s="8"/>
    </row>
    <row r="5" spans="2:12" ht="15.75" x14ac:dyDescent="0.25">
      <c r="B5" s="7" t="str">
        <f ca="1">'Table 5'!M4&amp; " - "&amp;TEXT(Study_MW,"#.0")&amp;" MW and "&amp;TEXT(Study_CF,"#.0%")&amp;" CF"</f>
        <v>Utah 2015.Q3 - 100.0 MW and 85.0% CF</v>
      </c>
      <c r="C5" s="7"/>
      <c r="D5" s="7"/>
      <c r="E5" s="7"/>
      <c r="F5" s="7"/>
      <c r="G5" s="1"/>
      <c r="H5" s="97"/>
      <c r="I5" s="8"/>
    </row>
    <row r="6" spans="2:12" ht="14.25" hidden="1" x14ac:dyDescent="0.2">
      <c r="B6" s="69"/>
      <c r="C6" s="7"/>
      <c r="D6" s="7"/>
      <c r="E6" s="7"/>
      <c r="F6" s="7"/>
      <c r="G6" s="43"/>
      <c r="H6" s="97"/>
      <c r="I6" s="8"/>
    </row>
    <row r="7" spans="2:12" x14ac:dyDescent="0.2">
      <c r="C7" s="10"/>
      <c r="D7" s="10"/>
      <c r="H7" s="97"/>
      <c r="I7" t="s">
        <v>93</v>
      </c>
    </row>
    <row r="8" spans="2:12" x14ac:dyDescent="0.2">
      <c r="E8" s="44"/>
      <c r="F8" s="100"/>
      <c r="G8" s="9" t="s">
        <v>31</v>
      </c>
      <c r="H8" s="97"/>
      <c r="I8" s="228">
        <f>L14</f>
        <v>1</v>
      </c>
      <c r="K8" s="239" t="s">
        <v>131</v>
      </c>
      <c r="L8" s="239"/>
    </row>
    <row r="9" spans="2:12" x14ac:dyDescent="0.2">
      <c r="C9" s="9" t="s">
        <v>6</v>
      </c>
      <c r="D9" s="9"/>
      <c r="E9" s="44" t="s">
        <v>36</v>
      </c>
      <c r="F9" s="100"/>
      <c r="G9" s="118">
        <f ca="1">Study_CF</f>
        <v>0.85</v>
      </c>
      <c r="H9" s="97"/>
      <c r="I9"/>
      <c r="K9" s="240" t="s">
        <v>132</v>
      </c>
      <c r="L9" s="240" t="s">
        <v>92</v>
      </c>
    </row>
    <row r="10" spans="2:12" x14ac:dyDescent="0.2">
      <c r="B10" s="9" t="s">
        <v>0</v>
      </c>
      <c r="C10" s="9" t="str">
        <f>"Price"&amp;IF(I8&lt;&gt;1," (6)","")</f>
        <v>Price</v>
      </c>
      <c r="D10" s="9"/>
      <c r="E10" s="44" t="s">
        <v>37</v>
      </c>
      <c r="F10" s="100"/>
      <c r="G10" s="44" t="s">
        <v>32</v>
      </c>
      <c r="H10" s="97"/>
      <c r="I10" s="190"/>
      <c r="K10" s="241"/>
      <c r="L10" s="241"/>
    </row>
    <row r="11" spans="2:12" ht="13.5" x14ac:dyDescent="0.2">
      <c r="B11" s="9"/>
      <c r="C11" s="9" t="s">
        <v>34</v>
      </c>
      <c r="D11" s="9"/>
      <c r="E11" s="161" t="s">
        <v>96</v>
      </c>
      <c r="F11" s="100"/>
      <c r="G11" s="44" t="s">
        <v>59</v>
      </c>
      <c r="H11" s="97"/>
      <c r="I11" s="190"/>
      <c r="K11" s="242" t="s">
        <v>133</v>
      </c>
      <c r="L11" s="243">
        <v>0.14499999999999999</v>
      </c>
    </row>
    <row r="12" spans="2:12" x14ac:dyDescent="0.2">
      <c r="B12" s="9"/>
      <c r="C12" s="15"/>
      <c r="D12" s="44"/>
      <c r="E12" s="44"/>
      <c r="F12" s="44"/>
      <c r="H12" s="97"/>
      <c r="I12" s="190"/>
      <c r="K12" s="242" t="s">
        <v>65</v>
      </c>
      <c r="L12" s="243">
        <v>0.34100000000000003</v>
      </c>
    </row>
    <row r="13" spans="2:12" x14ac:dyDescent="0.2">
      <c r="B13" s="236">
        <f>'Table 2'!B12</f>
        <v>2017</v>
      </c>
      <c r="C13" s="11">
        <f>(IF(B13&gt;=2030,VLOOKUP($B13,'Table 3 423 (Wyo)'!$B$11:$I$41,7,FALSE)*_423_CCCT_WyoNE,0)+IF(B13&gt;=2030,VLOOKUP($B13,'Table 3 423 (UT)'!$B$11:$I$41,7,FALSE)*(_423_CCCT_Clvr1+_423_CCCT_Clvr2)+VLOOKUP($B13,'Table 3 313'!$B$11:$I$41,7,FALSE)*_313_CCCT_Wyo,0)+IF(B13&gt;=2033,VLOOKUP($B13,'Table 3 635'!$B$11:$I$41,7,FALSE)*_635_CCCT_UTN1,0)+IF(B13&gt;=2034,VLOOKUP($B13,'Table 3 635'!$B$11:$I$41,7,FALSE)*_635_CCCT_UTN2*_Percent_Last_CCCT,0))*Study_Cap_Adj</f>
        <v>0</v>
      </c>
      <c r="D13" s="11"/>
      <c r="E13" s="11">
        <f>'Table 2'!C12</f>
        <v>20.886763201011561</v>
      </c>
      <c r="F13" s="108"/>
      <c r="G13" s="45">
        <f>ROUND((C13*Study_MW*1000/SUMIF('Table 5'!$J$13:$J$264,B13,'Table 5'!$F$13:$F$264)+E13),2)</f>
        <v>20.89</v>
      </c>
      <c r="H13" s="97"/>
      <c r="I13"/>
      <c r="K13" s="242" t="s">
        <v>134</v>
      </c>
      <c r="L13" s="243">
        <v>0.39100000000000001</v>
      </c>
    </row>
    <row r="14" spans="2:12" x14ac:dyDescent="0.2">
      <c r="B14" s="56">
        <f t="shared" ref="B14:B33" si="0">B13+1</f>
        <v>2018</v>
      </c>
      <c r="C14" s="12">
        <f>(IF(B14&gt;=2030,VLOOKUP($B14,'Table 3 423 (Wyo)'!$B$11:$I$41,7,FALSE)*_423_CCCT_WyoNE,0)+IF(B14&gt;=2030,VLOOKUP($B14,'Table 3 423 (UT)'!$B$11:$I$41,7,FALSE)*(_423_CCCT_Clvr1+_423_CCCT_Clvr2)+VLOOKUP($B14,'Table 3 313'!$B$11:$I$41,7,FALSE)*_313_CCCT_Wyo,0)+IF(B14&gt;=2033,VLOOKUP($B14,'Table 3 635'!$B$11:$I$41,7,FALSE)*_635_CCCT_UTN1,0)+IF(B14&gt;=2034,VLOOKUP($B14,'Table 3 635'!$B$11:$I$41,7,FALSE)*_635_CCCT_UTN2*_Percent_Last_CCCT,0))*Study_Cap_Adj</f>
        <v>0</v>
      </c>
      <c r="D14" s="110" t="str">
        <f t="shared" ref="D14:D33" si="1">IF(OR(AND(B14=2028,_423_CCCT_WyoNE&gt;0),AND(B14=2030,_423_CCCT_Clvr1&gt;0),AND(B14=2030,_423_CCCT_Clvr2&gt;0),AND(B14=2030,_313_CCCT_Wyo&gt;0)),"(4)","")</f>
        <v/>
      </c>
      <c r="E14" s="12">
        <f>'Table 2'!C13</f>
        <v>22.52939317992897</v>
      </c>
      <c r="F14" s="98"/>
      <c r="G14" s="46">
        <f>ROUND((C14*Study_MW*1000/SUMIF('Table 5'!$J$13:$J$264,B14,'Table 5'!$F$13:$F$264)+E14),2)</f>
        <v>22.53</v>
      </c>
      <c r="H14" s="97"/>
      <c r="I14"/>
      <c r="K14" s="242" t="s">
        <v>135</v>
      </c>
      <c r="L14" s="243">
        <v>1</v>
      </c>
    </row>
    <row r="15" spans="2:12" x14ac:dyDescent="0.2">
      <c r="B15" s="56">
        <f t="shared" si="0"/>
        <v>2019</v>
      </c>
      <c r="C15" s="12">
        <f>(IF(B15&gt;=2030,VLOOKUP($B15,'Table 3 423 (Wyo)'!$B$11:$I$41,7,FALSE)*_423_CCCT_WyoNE,0)+IF(B15&gt;=2030,VLOOKUP($B15,'Table 3 423 (UT)'!$B$11:$I$41,7,FALSE)*(_423_CCCT_Clvr1+_423_CCCT_Clvr2)+VLOOKUP($B15,'Table 3 313'!$B$11:$I$41,7,FALSE)*_313_CCCT_Wyo,0)+IF(B15&gt;=2033,VLOOKUP($B15,'Table 3 635'!$B$11:$I$41,7,FALSE)*_635_CCCT_UTN1,0)+IF(B15&gt;=2034,VLOOKUP($B15,'Table 3 635'!$B$11:$I$41,7,FALSE)*_635_CCCT_UTN2*_Percent_Last_CCCT,0))*Study_Cap_Adj</f>
        <v>0</v>
      </c>
      <c r="D15" s="110" t="str">
        <f t="shared" si="1"/>
        <v/>
      </c>
      <c r="E15" s="12">
        <f>'Table 2'!C14</f>
        <v>23.213860602661899</v>
      </c>
      <c r="F15" s="98"/>
      <c r="G15" s="46">
        <f>ROUND((C15*Study_MW*1000/SUMIF('Table 5'!$J$13:$J$264,B15,'Table 5'!$F$13:$F$264)+E15),2)</f>
        <v>23.21</v>
      </c>
      <c r="H15" s="97"/>
      <c r="I15"/>
      <c r="K15" s="242" t="s">
        <v>136</v>
      </c>
      <c r="L15" s="243">
        <v>1</v>
      </c>
    </row>
    <row r="16" spans="2:12" x14ac:dyDescent="0.2">
      <c r="B16" s="56">
        <f t="shared" si="0"/>
        <v>2020</v>
      </c>
      <c r="C16" s="12">
        <f>(IF(B16&gt;=2030,VLOOKUP($B16,'Table 3 423 (Wyo)'!$B$11:$I$41,7,FALSE)*_423_CCCT_WyoNE,0)+IF(B16&gt;=2030,VLOOKUP($B16,'Table 3 423 (UT)'!$B$11:$I$41,7,FALSE)*(_423_CCCT_Clvr1+_423_CCCT_Clvr2)+VLOOKUP($B16,'Table 3 313'!$B$11:$I$41,7,FALSE)*_313_CCCT_Wyo,0)+IF(B16&gt;=2033,VLOOKUP($B16,'Table 3 635'!$B$11:$I$41,7,FALSE)*_635_CCCT_UTN1,0)+IF(B16&gt;=2034,VLOOKUP($B16,'Table 3 635'!$B$11:$I$41,7,FALSE)*_635_CCCT_UTN2*_Percent_Last_CCCT,0))*Study_Cap_Adj</f>
        <v>0</v>
      </c>
      <c r="D16" s="110" t="str">
        <f t="shared" si="1"/>
        <v/>
      </c>
      <c r="E16" s="12">
        <f>'Table 2'!C15</f>
        <v>23.8536814366757</v>
      </c>
      <c r="F16" s="98"/>
      <c r="G16" s="46">
        <f>ROUND((C16*Study_MW*1000/SUMIF('Table 5'!$J$13:$J$264,B16,'Table 5'!$F$13:$F$264)+E16),2)</f>
        <v>23.85</v>
      </c>
      <c r="H16" s="97"/>
      <c r="I16" t="s">
        <v>106</v>
      </c>
    </row>
    <row r="17" spans="2:10" x14ac:dyDescent="0.2">
      <c r="B17" s="56">
        <f t="shared" si="0"/>
        <v>2021</v>
      </c>
      <c r="C17" s="12">
        <f>(IF(B17&gt;=2030,VLOOKUP($B17,'Table 3 423 (Wyo)'!$B$11:$I$41,7,FALSE)*_423_CCCT_WyoNE,0)+IF(B17&gt;=2030,VLOOKUP($B17,'Table 3 423 (UT)'!$B$11:$I$41,7,FALSE)*(_423_CCCT_Clvr1+_423_CCCT_Clvr2)+VLOOKUP($B17,'Table 3 313'!$B$11:$I$41,7,FALSE)*_313_CCCT_Wyo,0)+IF(B17&gt;=2033,VLOOKUP($B17,'Table 3 635'!$B$11:$I$41,7,FALSE)*_635_CCCT_UTN1,0)+IF(B17&gt;=2034,VLOOKUP($B17,'Table 3 635'!$B$11:$I$41,7,FALSE)*_635_CCCT_UTN2*_Percent_Last_CCCT,0))*Study_Cap_Adj</f>
        <v>0</v>
      </c>
      <c r="D17" s="110" t="str">
        <f t="shared" si="1"/>
        <v/>
      </c>
      <c r="E17" s="12">
        <f>'Table 2'!C16</f>
        <v>25.009569884994931</v>
      </c>
      <c r="F17" s="98"/>
      <c r="G17" s="46">
        <f>ROUND((C17*Study_MW*1000/SUMIF('Table 5'!$J$13:$J$264,B17,'Table 5'!$F$13:$F$264)+E17),2)</f>
        <v>25.01</v>
      </c>
      <c r="H17" s="97"/>
      <c r="I17" s="228">
        <v>0</v>
      </c>
      <c r="J17" t="s">
        <v>118</v>
      </c>
    </row>
    <row r="18" spans="2:10" x14ac:dyDescent="0.2">
      <c r="B18" s="56">
        <f t="shared" si="0"/>
        <v>2022</v>
      </c>
      <c r="C18" s="12">
        <f>(IF(B18&gt;=2030,VLOOKUP($B18,'Table 3 423 (Wyo)'!$B$11:$I$41,7,FALSE)*_423_CCCT_WyoNE,0)+IF(B18&gt;=2030,VLOOKUP($B18,'Table 3 423 (UT)'!$B$11:$I$41,7,FALSE)*(_423_CCCT_Clvr1+_423_CCCT_Clvr2)+VLOOKUP($B18,'Table 3 313'!$B$11:$I$41,7,FALSE)*_313_CCCT_Wyo,0)+IF(B18&gt;=2033,VLOOKUP($B18,'Table 3 635'!$B$11:$I$41,7,FALSE)*_635_CCCT_UTN1,0)+IF(B18&gt;=2034,VLOOKUP($B18,'Table 3 635'!$B$11:$I$41,7,FALSE)*_635_CCCT_UTN2*_Percent_Last_CCCT,0))*Study_Cap_Adj</f>
        <v>0</v>
      </c>
      <c r="D18" s="110" t="str">
        <f t="shared" si="1"/>
        <v/>
      </c>
      <c r="E18" s="12">
        <f>'Table 2'!C17</f>
        <v>26.565028698358873</v>
      </c>
      <c r="F18" s="98"/>
      <c r="G18" s="46">
        <f>ROUND((C18*Study_MW*1000/SUMIF('Table 5'!$J$13:$J$264,B18,'Table 5'!$F$13:$F$264)+E18),2)</f>
        <v>26.57</v>
      </c>
      <c r="H18" s="97"/>
      <c r="I18" s="228">
        <v>1</v>
      </c>
      <c r="J18" t="s">
        <v>119</v>
      </c>
    </row>
    <row r="19" spans="2:10" x14ac:dyDescent="0.2">
      <c r="B19" s="56">
        <f t="shared" si="0"/>
        <v>2023</v>
      </c>
      <c r="C19" s="12">
        <f>(IF(B19&gt;=2030,VLOOKUP($B19,'Table 3 423 (Wyo)'!$B$11:$I$41,7,FALSE)*_423_CCCT_WyoNE,0)+IF(B19&gt;=2030,VLOOKUP($B19,'Table 3 423 (UT)'!$B$11:$I$41,7,FALSE)*(_423_CCCT_Clvr1+_423_CCCT_Clvr2)+VLOOKUP($B19,'Table 3 313'!$B$11:$I$41,7,FALSE)*_313_CCCT_Wyo,0)+IF(B19&gt;=2033,VLOOKUP($B19,'Table 3 635'!$B$11:$I$41,7,FALSE)*_635_CCCT_UTN1,0)+IF(B19&gt;=2034,VLOOKUP($B19,'Table 3 635'!$B$11:$I$41,7,FALSE)*_635_CCCT_UTN2*_Percent_Last_CCCT,0))*Study_Cap_Adj</f>
        <v>0</v>
      </c>
      <c r="D19" s="110" t="str">
        <f t="shared" si="1"/>
        <v/>
      </c>
      <c r="E19" s="12">
        <f>'Table 2'!C18</f>
        <v>28.810402422082895</v>
      </c>
      <c r="F19" s="98"/>
      <c r="G19" s="46">
        <f>ROUND((C19*Study_MW*1000/SUMIF('Table 5'!$J$13:$J$264,B19,'Table 5'!$F$13:$F$264)+E19),2)</f>
        <v>28.81</v>
      </c>
      <c r="H19" s="97"/>
      <c r="I19" s="228">
        <v>0</v>
      </c>
      <c r="J19" t="s">
        <v>120</v>
      </c>
    </row>
    <row r="20" spans="2:10" x14ac:dyDescent="0.2">
      <c r="B20" s="56">
        <f t="shared" si="0"/>
        <v>2024</v>
      </c>
      <c r="C20" s="12">
        <f>(IF(B20&gt;=2030,VLOOKUP($B20,'Table 3 423 (Wyo)'!$B$11:$I$41,7,FALSE)*_423_CCCT_WyoNE,0)+IF(B20&gt;=2030,VLOOKUP($B20,'Table 3 423 (UT)'!$B$11:$I$41,7,FALSE)*(_423_CCCT_Clvr1+_423_CCCT_Clvr2)+VLOOKUP($B20,'Table 3 313'!$B$11:$I$41,7,FALSE)*_313_CCCT_Wyo,0)+IF(B20&gt;=2033,VLOOKUP($B20,'Table 3 635'!$B$11:$I$41,7,FALSE)*_635_CCCT_UTN1,0)+IF(B20&gt;=2034,VLOOKUP($B20,'Table 3 635'!$B$11:$I$41,7,FALSE)*_635_CCCT_UTN2*_Percent_Last_CCCT,0))*Study_Cap_Adj</f>
        <v>0</v>
      </c>
      <c r="D20" s="110" t="str">
        <f t="shared" si="1"/>
        <v/>
      </c>
      <c r="E20" s="12">
        <f>'Table 2'!C19</f>
        <v>30.401415390144088</v>
      </c>
      <c r="F20" s="98"/>
      <c r="G20" s="46">
        <f>ROUND((C20*Study_MW*1000/SUMIF('Table 5'!$J$13:$J$264,B20,'Table 5'!$F$13:$F$264)+E20),2)</f>
        <v>30.4</v>
      </c>
      <c r="H20" s="97"/>
      <c r="I20" s="228">
        <v>0</v>
      </c>
      <c r="J20" t="s">
        <v>121</v>
      </c>
    </row>
    <row r="21" spans="2:10" x14ac:dyDescent="0.2">
      <c r="B21" s="56">
        <f t="shared" si="0"/>
        <v>2025</v>
      </c>
      <c r="C21" s="12">
        <f>(IF(B21&gt;=2030,VLOOKUP($B21,'Table 3 423 (Wyo)'!$B$11:$I$41,7,FALSE)*_423_CCCT_WyoNE,0)+IF(B21&gt;=2030,VLOOKUP($B21,'Table 3 423 (UT)'!$B$11:$I$41,7,FALSE)*(_423_CCCT_Clvr1+_423_CCCT_Clvr2)+VLOOKUP($B21,'Table 3 313'!$B$11:$I$41,7,FALSE)*_313_CCCT_Wyo,0)+IF(B21&gt;=2033,VLOOKUP($B21,'Table 3 635'!$B$11:$I$41,7,FALSE)*_635_CCCT_UTN1,0)+IF(B21&gt;=2034,VLOOKUP($B21,'Table 3 635'!$B$11:$I$41,7,FALSE)*_635_CCCT_UTN2*_Percent_Last_CCCT,0))*Study_Cap_Adj</f>
        <v>0</v>
      </c>
      <c r="D21" s="110" t="str">
        <f t="shared" si="1"/>
        <v/>
      </c>
      <c r="E21" s="12">
        <f>'Table 2'!C20</f>
        <v>32.487136745369313</v>
      </c>
      <c r="F21" s="98"/>
      <c r="G21" s="46">
        <f>ROUND((C21*Study_MW*1000/SUMIF('Table 5'!$J$13:$J$264,B21,'Table 5'!$F$13:$F$264)+E21),2)</f>
        <v>32.49</v>
      </c>
      <c r="H21" s="97"/>
      <c r="I21" s="228">
        <v>0</v>
      </c>
      <c r="J21" t="s">
        <v>122</v>
      </c>
    </row>
    <row r="22" spans="2:10" x14ac:dyDescent="0.2">
      <c r="B22" s="56">
        <f t="shared" si="0"/>
        <v>2026</v>
      </c>
      <c r="C22" s="12">
        <f>(IF(B22&gt;=2030,VLOOKUP($B22,'Table 3 423 (Wyo)'!$B$11:$I$41,7,FALSE)*_423_CCCT_WyoNE,0)+IF(B22&gt;=2030,VLOOKUP($B22,'Table 3 423 (UT)'!$B$11:$I$41,7,FALSE)*(_423_CCCT_Clvr1+_423_CCCT_Clvr2)+VLOOKUP($B22,'Table 3 313'!$B$11:$I$41,7,FALSE)*_313_CCCT_Wyo,0)+IF(B22&gt;=2033,VLOOKUP($B22,'Table 3 635'!$B$11:$I$41,7,FALSE)*_635_CCCT_UTN1,0)+IF(B22&gt;=2034,VLOOKUP($B22,'Table 3 635'!$B$11:$I$41,7,FALSE)*_635_CCCT_UTN2*_Percent_Last_CCCT,0))*Study_Cap_Adj</f>
        <v>0</v>
      </c>
      <c r="D22" s="110" t="str">
        <f t="shared" si="1"/>
        <v/>
      </c>
      <c r="E22" s="12">
        <f>'Table 2'!C21</f>
        <v>33.509838151091564</v>
      </c>
      <c r="F22" s="98"/>
      <c r="G22" s="46">
        <f>ROUND((C22*Study_MW*1000/SUMIF('Table 5'!$J$13:$J$264,B22,'Table 5'!$F$13:$F$264)+E22),2)</f>
        <v>33.51</v>
      </c>
      <c r="H22" s="97"/>
      <c r="I22" s="228">
        <v>0</v>
      </c>
      <c r="J22" t="s">
        <v>123</v>
      </c>
    </row>
    <row r="23" spans="2:10" x14ac:dyDescent="0.2">
      <c r="B23" s="56">
        <f t="shared" si="0"/>
        <v>2027</v>
      </c>
      <c r="C23" s="12">
        <f>(IF(B23&gt;=2030,VLOOKUP($B23,'Table 3 423 (Wyo)'!$B$11:$I$41,7,FALSE)*_423_CCCT_WyoNE,0)+IF(B23&gt;=2030,VLOOKUP($B23,'Table 3 423 (UT)'!$B$11:$I$41,7,FALSE)*(_423_CCCT_Clvr1+_423_CCCT_Clvr2)+VLOOKUP($B23,'Table 3 313'!$B$11:$I$41,7,FALSE)*_313_CCCT_Wyo,0)+IF(B23&gt;=2033,VLOOKUP($B23,'Table 3 635'!$B$11:$I$41,7,FALSE)*_635_CCCT_UTN1,0)+IF(B23&gt;=2034,VLOOKUP($B23,'Table 3 635'!$B$11:$I$41,7,FALSE)*_635_CCCT_UTN2*_Percent_Last_CCCT,0))*Study_Cap_Adj</f>
        <v>0</v>
      </c>
      <c r="D23" s="110" t="str">
        <f t="shared" si="1"/>
        <v/>
      </c>
      <c r="E23" s="12">
        <f>'Table 2'!C22</f>
        <v>35.732859958609424</v>
      </c>
      <c r="F23" s="98"/>
      <c r="G23" s="46">
        <f>ROUND((C23*Study_MW*1000/SUMIF('Table 5'!$J$13:$J$264,B23,'Table 5'!$F$13:$F$264)+E23),2)</f>
        <v>35.729999999999997</v>
      </c>
      <c r="H23" s="97"/>
      <c r="I23" t="s">
        <v>144</v>
      </c>
    </row>
    <row r="24" spans="2:10" x14ac:dyDescent="0.2">
      <c r="B24" s="56">
        <f t="shared" si="0"/>
        <v>2028</v>
      </c>
      <c r="C24" s="12">
        <f>(IF(B24&gt;=2028,VLOOKUP($B24,'Table 3 423 (Wyo)'!$B$11:$I$41,7,FALSE)*_423_CCCT_WyoNE,0)+IF(B24&gt;=2030,VLOOKUP($B24,'Table 3 423 (UT)'!$B$11:$I$41,7,FALSE)*(_423_CCCT_Clvr1+_423_CCCT_Clvr2)+VLOOKUP($B24,'Table 3 313'!$B$11:$I$41,7,FALSE)*_313_CCCT_Wyo,0)+IF(B24&gt;=2033,VLOOKUP($B24,'Table 3 635'!$B$11:$I$41,7,FALSE)*_635_CCCT_UTN1,0)+IF(B24&gt;=2034,VLOOKUP($B24,'Table 3 635'!$B$11:$I$41,7,FALSE)*_635_CCCT_UTN2*_Percent_Last_CCCT,0))*Study_Cap_Adj</f>
        <v>0</v>
      </c>
      <c r="D24" s="110" t="str">
        <f t="shared" si="1"/>
        <v/>
      </c>
      <c r="E24" s="12">
        <f>'Table 2'!C23</f>
        <v>41.554947693755004</v>
      </c>
      <c r="F24" s="98"/>
      <c r="G24" s="46">
        <f>ROUND((C24*Study_MW*1000/SUMIF('Table 5'!$J$13:$J$264,B24,'Table 5'!$F$13:$F$264)+E24),2)</f>
        <v>41.55</v>
      </c>
      <c r="H24" s="97"/>
      <c r="I24"/>
    </row>
    <row r="25" spans="2:10" x14ac:dyDescent="0.2">
      <c r="B25" s="56">
        <f t="shared" si="0"/>
        <v>2029</v>
      </c>
      <c r="C25" s="12">
        <f>(IF(B25&gt;=2028,VLOOKUP($B25,'Table 3 423 (Wyo)'!$B$11:$I$41,7,FALSE)*_423_CCCT_WyoNE,0)+IF(B25&gt;=2030,VLOOKUP($B25,'Table 3 423 (UT)'!$B$11:$I$41,7,FALSE)*(_423_CCCT_Clvr1+_423_CCCT_Clvr2)+VLOOKUP($B25,'Table 3 313'!$B$11:$I$41,7,FALSE)*_313_CCCT_Wyo,0)+IF(B25&gt;=2033,VLOOKUP($B25,'Table 3 635'!$B$11:$I$41,7,FALSE)*_635_CCCT_UTN1,0)+IF(B25&gt;=2034,VLOOKUP($B25,'Table 3 635'!$B$11:$I$41,7,FALSE)*_635_CCCT_UTN2*_Percent_Last_CCCT,0))*Study_Cap_Adj</f>
        <v>0</v>
      </c>
      <c r="D25" s="110" t="str">
        <f t="shared" si="1"/>
        <v/>
      </c>
      <c r="E25" s="12">
        <f>'Table 2'!C24</f>
        <v>43.579495023787743</v>
      </c>
      <c r="F25" s="98"/>
      <c r="G25" s="46">
        <f>ROUND((C25*Study_MW*1000/SUMIF('Table 5'!$J$13:$J$264,B25,'Table 5'!$F$13:$F$264)+E25),2)</f>
        <v>43.58</v>
      </c>
      <c r="H25" s="97"/>
      <c r="I25" s="6" t="s">
        <v>130</v>
      </c>
    </row>
    <row r="26" spans="2:10" x14ac:dyDescent="0.2">
      <c r="B26" s="56">
        <f t="shared" si="0"/>
        <v>2030</v>
      </c>
      <c r="C26" s="12">
        <f>(IF(B26&gt;=2028,VLOOKUP($B26,'Table 3 423 (Wyo)'!$B$11:$I$41,7,FALSE)*_423_CCCT_WyoNE,0)+IF(B26&gt;=2030,VLOOKUP($B26,'Table 3 423 (UT)'!$B$11:$I$41,7,FALSE)*(_423_CCCT_Clvr1+_423_CCCT_Clvr2)+VLOOKUP($B26,'Table 3 313'!$B$11:$I$41,7,FALSE)*_313_CCCT_Wyo,0)+IF(B26&gt;=2033,VLOOKUP($B26,'Table 3 635'!$B$11:$I$41,7,FALSE)*_635_CCCT_UTN1,0)+IF(B26&gt;=2034,VLOOKUP($B26,'Table 3 635'!$B$11:$I$41,7,FALSE)*_635_CCCT_UTN2*_Percent_Last_CCCT,0))*Study_Cap_Adj</f>
        <v>152.49</v>
      </c>
      <c r="D26" s="110" t="str">
        <f t="shared" si="1"/>
        <v>(4)</v>
      </c>
      <c r="E26" s="12">
        <f>'Table 2'!C25</f>
        <v>34.136372733683537</v>
      </c>
      <c r="F26" s="98"/>
      <c r="G26" s="46">
        <f>ROUND((C26*Study_MW*1000/SUMIF('Table 5'!$J$13:$J$264,B26,'Table 5'!$F$13:$F$264)+E26),2)</f>
        <v>54.62</v>
      </c>
      <c r="H26" s="97"/>
      <c r="I26" s="228">
        <v>0</v>
      </c>
    </row>
    <row r="27" spans="2:10" x14ac:dyDescent="0.2">
      <c r="B27" s="56">
        <f t="shared" si="0"/>
        <v>2031</v>
      </c>
      <c r="C27" s="12">
        <f>(IF(B27&gt;=2028,VLOOKUP($B27,'Table 3 423 (Wyo)'!$B$11:$I$41,7,FALSE)*_423_CCCT_WyoNE,0)+IF(B27&gt;=2030,VLOOKUP($B27,'Table 3 423 (UT)'!$B$11:$I$41,7,FALSE)*(_423_CCCT_Clvr1+_423_CCCT_Clvr2)+VLOOKUP($B27,'Table 3 313'!$B$11:$I$41,7,FALSE)*_313_CCCT_Wyo,0)+IF(B27&gt;=2033,VLOOKUP($B27,'Table 3 635'!$B$11:$I$41,7,FALSE)*_635_CCCT_UTN1,0)+IF(B27&gt;=2034,VLOOKUP($B27,'Table 3 635'!$B$11:$I$41,7,FALSE)*_635_CCCT_UTN2*_Percent_Last_CCCT,0))*Study_Cap_Adj</f>
        <v>155.97</v>
      </c>
      <c r="D27" s="110" t="str">
        <f t="shared" si="1"/>
        <v/>
      </c>
      <c r="E27" s="12">
        <f>'Table 2'!C26</f>
        <v>36.957047514043253</v>
      </c>
      <c r="F27" s="98"/>
      <c r="G27" s="46">
        <f>ROUND((C27*Study_MW*1000/SUMIF('Table 5'!$J$13:$J$264,B27,'Table 5'!$F$13:$F$264)+E27),2)</f>
        <v>57.9</v>
      </c>
      <c r="H27" s="97"/>
      <c r="I27"/>
    </row>
    <row r="28" spans="2:10" x14ac:dyDescent="0.2">
      <c r="B28" s="56">
        <f t="shared" si="0"/>
        <v>2032</v>
      </c>
      <c r="C28" s="12">
        <f>(IF(B28&gt;=2028,VLOOKUP($B28,'Table 3 423 (Wyo)'!$B$11:$I$41,7,FALSE)*_423_CCCT_WyoNE,0)+IF(B28&gt;=2030,VLOOKUP($B28,'Table 3 423 (UT)'!$B$11:$I$41,7,FALSE)*(_423_CCCT_Clvr1+_423_CCCT_Clvr2)+VLOOKUP($B28,'Table 3 313'!$B$11:$I$41,7,FALSE)*_313_CCCT_Wyo,0)+IF(B28&gt;=2033,VLOOKUP($B28,'Table 3 635'!$B$11:$I$41,7,FALSE)*_635_CCCT_UTN1,0)+IF(B28&gt;=2034,VLOOKUP($B28,'Table 3 635'!$B$11:$I$41,7,FALSE)*_635_CCCT_UTN2*_Percent_Last_CCCT,0))*Study_Cap_Adj</f>
        <v>159.59</v>
      </c>
      <c r="D28" s="110" t="str">
        <f t="shared" si="1"/>
        <v/>
      </c>
      <c r="E28" s="12">
        <f>'Table 2'!C27</f>
        <v>37.45853147205402</v>
      </c>
      <c r="F28" s="98"/>
      <c r="G28" s="46">
        <f>ROUND((C28*Study_MW*1000/SUMIF('Table 5'!$J$13:$J$264,B28,'Table 5'!$F$13:$F$264)+E28),2)</f>
        <v>58.83</v>
      </c>
      <c r="H28" s="97"/>
      <c r="I28"/>
    </row>
    <row r="29" spans="2:10" x14ac:dyDescent="0.2">
      <c r="B29" s="56">
        <f t="shared" si="0"/>
        <v>2033</v>
      </c>
      <c r="C29" s="12">
        <f>(IF(B29&gt;=2028,VLOOKUP($B29,'Table 3 423 (Wyo)'!$B$11:$I$41,7,FALSE)*_423_CCCT_WyoNE,0)+IF(B29&gt;=2030,VLOOKUP($B29,'Table 3 423 (UT)'!$B$11:$I$41,7,FALSE)*(_423_CCCT_Clvr1+_423_CCCT_Clvr2)+VLOOKUP($B29,'Table 3 313'!$B$11:$I$41,7,FALSE)*_313_CCCT_Wyo,0)+IF(B29&gt;=2033,VLOOKUP($B29,'Table 3 635'!$B$11:$I$41,7,FALSE)*_635_CCCT_UTN1,0)+IF(B29&gt;=2034,VLOOKUP($B29,'Table 3 635'!$B$11:$I$41,7,FALSE)*_635_CCCT_UTN2*_Percent_Last_CCCT,0))*Study_Cap_Adj</f>
        <v>163.28</v>
      </c>
      <c r="D29" s="110" t="str">
        <f t="shared" si="1"/>
        <v/>
      </c>
      <c r="E29" s="12">
        <f>'Table 2'!C28</f>
        <v>38.669892134247625</v>
      </c>
      <c r="F29" s="98"/>
      <c r="G29" s="46">
        <f>ROUND((C29*Study_MW*1000/SUMIF('Table 5'!$J$13:$J$264,B29,'Table 5'!$F$13:$F$264)+E29),2)</f>
        <v>60.6</v>
      </c>
      <c r="H29" s="97"/>
      <c r="I29"/>
    </row>
    <row r="30" spans="2:10" x14ac:dyDescent="0.2">
      <c r="B30" s="56">
        <f t="shared" si="0"/>
        <v>2034</v>
      </c>
      <c r="C30" s="12">
        <f>(IF(B30&gt;=2028,VLOOKUP($B30,'Table 3 423 (Wyo)'!$B$11:$I$41,7,FALSE)*_423_CCCT_WyoNE,0)+IF(B30&gt;=2030,VLOOKUP($B30,'Table 3 423 (UT)'!$B$11:$I$41,7,FALSE)*(_423_CCCT_Clvr1+_423_CCCT_Clvr2)+VLOOKUP($B30,'Table 3 313'!$B$11:$I$41,7,FALSE)*_313_CCCT_Wyo,0)+IF(B30&gt;=2033,VLOOKUP($B30,'Table 3 635'!$B$11:$I$41,7,FALSE)*_635_CCCT_UTN1,0)+IF(B30&gt;=2034,VLOOKUP($B30,'Table 3 635'!$B$11:$I$41,7,FALSE)*_635_CCCT_UTN2*_Percent_Last_CCCT,0))*Study_Cap_Adj</f>
        <v>167.04</v>
      </c>
      <c r="D30" s="110" t="str">
        <f t="shared" si="1"/>
        <v/>
      </c>
      <c r="E30" s="12">
        <f>'Table 2'!C29</f>
        <v>40.724806367015759</v>
      </c>
      <c r="F30" s="98"/>
      <c r="G30" s="46">
        <f>ROUND((C30*Study_MW*1000/SUMIF('Table 5'!$J$13:$J$264,B30,'Table 5'!$F$13:$F$264)+E30),2)</f>
        <v>63.16</v>
      </c>
      <c r="H30" s="97"/>
      <c r="I30"/>
    </row>
    <row r="31" spans="2:10" x14ac:dyDescent="0.2">
      <c r="B31" s="56">
        <f t="shared" si="0"/>
        <v>2035</v>
      </c>
      <c r="C31" s="12">
        <f>(IF(B31&gt;=2028,VLOOKUP($B31,'Table 3 423 (Wyo)'!$B$11:$I$41,7,FALSE)*_423_CCCT_WyoNE,0)+IF(B31&gt;=2030,VLOOKUP($B31,'Table 3 423 (UT)'!$B$11:$I$41,7,FALSE)*(_423_CCCT_Clvr1+_423_CCCT_Clvr2)+VLOOKUP($B31,'Table 3 313'!$B$11:$I$41,7,FALSE)*_313_CCCT_Wyo,0)+IF(B31&gt;=2033,VLOOKUP($B31,'Table 3 635'!$B$11:$I$41,7,FALSE)*_635_CCCT_UTN1,0)+IF(B31&gt;=2034,VLOOKUP($B31,'Table 3 635'!$B$11:$I$41,7,FALSE)*_635_CCCT_UTN2*_Percent_Last_CCCT,0))*Study_Cap_Adj</f>
        <v>170.87</v>
      </c>
      <c r="D31" s="110" t="str">
        <f t="shared" si="1"/>
        <v/>
      </c>
      <c r="E31" s="12">
        <f>'Table 2'!C30</f>
        <v>41.421783977017874</v>
      </c>
      <c r="F31" s="98"/>
      <c r="G31" s="46">
        <f>ROUND((C31*Study_MW*1000/SUMIF('Table 5'!$J$13:$J$264,B31,'Table 5'!$F$13:$F$264)+E31),2)</f>
        <v>64.37</v>
      </c>
      <c r="H31" s="97"/>
      <c r="I31"/>
    </row>
    <row r="32" spans="2:10" x14ac:dyDescent="0.2">
      <c r="B32" s="57">
        <f t="shared" si="0"/>
        <v>2036</v>
      </c>
      <c r="C32" s="20">
        <f>(IF(B32&gt;=2028,VLOOKUP($B32,'Table 3 423 (Wyo)'!$B$11:$I$41,7,FALSE)*_423_CCCT_WyoNE,0)+IF(B32&gt;=2030,VLOOKUP($B32,'Table 3 423 (UT)'!$B$11:$I$41,7,FALSE)*(_423_CCCT_Clvr1+_423_CCCT_Clvr2)+VLOOKUP($B32,'Table 3 313'!$B$11:$I$41,7,FALSE)*_313_CCCT_Wyo,0)+IF(B32&gt;=2033,VLOOKUP($B32,'Table 3 635'!$B$11:$I$41,7,FALSE)*_635_CCCT_UTN1,0)+IF(B32&gt;=2034,VLOOKUP($B32,'Table 3 635'!$B$11:$I$41,7,FALSE)*_635_CCCT_UTN2*_Percent_Last_CCCT,0))*Study_Cap_Adj</f>
        <v>174.77</v>
      </c>
      <c r="D32" s="237" t="str">
        <f t="shared" si="1"/>
        <v/>
      </c>
      <c r="E32" s="20">
        <f>'Table 2'!C31</f>
        <v>42.886660025553546</v>
      </c>
      <c r="F32" s="109"/>
      <c r="G32" s="47">
        <f>ROUND((C32*Study_MW*1000/SUMIF('Table 5'!$J$13:$J$264,B32,'Table 5'!$F$13:$F$264)+E32),2)</f>
        <v>66.290000000000006</v>
      </c>
      <c r="H32" s="97"/>
      <c r="I32"/>
    </row>
    <row r="33" spans="2:9" hidden="1" x14ac:dyDescent="0.2">
      <c r="B33" s="231">
        <f t="shared" si="0"/>
        <v>2037</v>
      </c>
      <c r="C33" s="20">
        <f>(IF(B33&gt;=2028,VLOOKUP($B33,'Table 3 423 (Wyo)'!$B$11:$I$41,7,FALSE)*_423_CCCT_WyoNE,0)+IF(B33&gt;=2030,VLOOKUP($B33,'Table 3 423 (UT)'!$B$11:$I$41,7,FALSE)*(_423_CCCT_Clvr1+_423_CCCT_Clvr2)+VLOOKUP($B33,'Table 3 313'!$B$11:$I$41,7,FALSE)*_313_CCCT_Wyo,0)+IF(B33&gt;=2033,VLOOKUP($B33,'Table 3 635'!$B$11:$I$41,7,FALSE)*_635_CCCT_UTN1,0)+IF(B33&gt;=2034,VLOOKUP($B33,'Table 3 635'!$B$11:$I$41,7,FALSE)*_635_CCCT_UTN2*_Percent_Last_CCCT,0))*Study_Cap_Adj</f>
        <v>178.82</v>
      </c>
      <c r="D33" s="20" t="str">
        <f t="shared" si="1"/>
        <v/>
      </c>
      <c r="E33" s="20" t="str">
        <f>IFERROR(SUMIF('Table 5'!J253:J264,'Table 1'!B33,'Table 5'!C253:C264)/SUMIF('Table 5'!J253:J264,'Table 1'!B33,'Table 5'!F253:F264),"")</f>
        <v/>
      </c>
      <c r="F33" s="109"/>
      <c r="G33" s="47" t="str">
        <f>IFERROR(SUMIF('Table 5'!$J$253:$J$264,$B$33,'Table 5'!$E$253:$E$264)/SUMIF('Table 5'!L253:L264,'Table 1'!D33,'Table 5'!$F$253:$F$264),"")</f>
        <v/>
      </c>
      <c r="H33" s="97"/>
      <c r="I33"/>
    </row>
    <row r="34" spans="2:9" x14ac:dyDescent="0.2">
      <c r="D34" s="12"/>
      <c r="F34" s="98"/>
      <c r="H34" s="97"/>
      <c r="I34" s="114" t="s">
        <v>117</v>
      </c>
    </row>
    <row r="35" spans="2:9" x14ac:dyDescent="0.2">
      <c r="B35" s="121" t="str">
        <f>"20-Year Levelized Prices (Nominal) @ "&amp;TEXT(I35,"0.00%")&amp;" Discount Rate (1) (3) "</f>
        <v xml:space="preserve">20-Year Levelized Prices (Nominal) @ 6.66% Discount Rate (1) (3) </v>
      </c>
      <c r="E35" s="8"/>
      <c r="I35" s="232">
        <v>6.6600000000000006E-2</v>
      </c>
    </row>
    <row r="36" spans="2:9" x14ac:dyDescent="0.2">
      <c r="B36" s="112" t="s">
        <v>8</v>
      </c>
      <c r="C36" s="12">
        <f>-PMT(Discount_Rate,COUNT(C13:C32),NPV(Discount_Rate,C13:C32))</f>
        <v>35.224217886549155</v>
      </c>
      <c r="D36" s="12"/>
      <c r="H36" s="97"/>
    </row>
    <row r="37" spans="2:9" x14ac:dyDescent="0.2">
      <c r="B37" s="113" t="s">
        <v>59</v>
      </c>
      <c r="E37" s="12">
        <f>PMT(Discount_Rate,COUNT(E13:E32),-NPV(Discount_Rate,E13:E32))</f>
        <v>30.503813141719512</v>
      </c>
      <c r="G37" s="12">
        <f>PMT(Discount_Rate,COUNT($G$13:$G$32),-NPV(Discount_Rate,$G$13:$G$32))</f>
        <v>35.230664430582401</v>
      </c>
      <c r="H37" s="97"/>
      <c r="I37" t="s">
        <v>116</v>
      </c>
    </row>
    <row r="38" spans="2:9" x14ac:dyDescent="0.2">
      <c r="F38" s="99"/>
      <c r="H38" s="97"/>
      <c r="I38" s="230">
        <f>'Table 5'!$G$9</f>
        <v>35.219056128649008</v>
      </c>
    </row>
    <row r="39" spans="2:9" x14ac:dyDescent="0.2">
      <c r="B39" s="6" t="s">
        <v>33</v>
      </c>
      <c r="E39" s="99"/>
      <c r="G39" s="99"/>
      <c r="H39" s="97"/>
      <c r="I39" s="230">
        <f>PMT(Discount_Rate,COUNT($G$13:$G$32),-NPV(Discount_Rate,$G$13:$G$32))</f>
        <v>35.230664430582401</v>
      </c>
    </row>
    <row r="40" spans="2:9" x14ac:dyDescent="0.2">
      <c r="B40" s="115" t="str">
        <f>"(1)   "&amp;I34</f>
        <v>(1)   Discount Rate - 2015 IRP Page 141</v>
      </c>
      <c r="E40" s="97"/>
      <c r="F40" s="99"/>
      <c r="G40" s="97"/>
      <c r="H40" s="97"/>
    </row>
    <row r="41" spans="2:9" x14ac:dyDescent="0.2">
      <c r="B41" s="6" t="s">
        <v>40</v>
      </c>
      <c r="F41" s="99"/>
      <c r="H41" s="97"/>
    </row>
    <row r="42" spans="2:9" x14ac:dyDescent="0.2">
      <c r="B42" s="6" t="str">
        <f>"(3)   20 Year NPC is "&amp;TEXT(B13,"???0")&amp;" - "&amp;TEXT(B32,"???0")</f>
        <v>(3)   20 Year NPC is 2017 - 2036</v>
      </c>
    </row>
    <row r="43" spans="2:9" x14ac:dyDescent="0.2">
      <c r="B43" s="6" t="str">
        <f>IF(Study_Cap_Adj&gt;0,"(4)  The capacity payment is derived from:","")</f>
        <v>(4)  The capacity payment is derived from:</v>
      </c>
    </row>
    <row r="44" spans="2:9" hidden="1" x14ac:dyDescent="0.2">
      <c r="B44" s="6" t="str">
        <f>IF(AND(Study_Cap_Adj&gt;0,_423_CCCT_WyoNE&lt;&gt;0),"       2028 - "&amp;'Table 3 423 (Wyo)'!$B$12&amp;"   ("&amp;TEXT(_423_CCCT_WyoNE," 0.0%")&amp;")","")</f>
        <v/>
      </c>
    </row>
    <row r="45" spans="2:9" ht="12.75" customHeight="1" x14ac:dyDescent="0.2">
      <c r="B45" s="6" t="str">
        <f>IF(AND(Study_Cap_Adj&gt;0,_423_CCCT_Clvr1&lt;&gt;0),"       2030 - "&amp;'Table 3 423 (UT)'!$B$12&amp;"   ("&amp;TEXT(_423_CCCT_Clvr1," 0.0%")&amp;")","")</f>
        <v xml:space="preserve">       2030 - Utah - 423 MW - CCCT Dry "J", Adv 1x1 - East Side Resource (5,050')   ( 100.0%)</v>
      </c>
    </row>
    <row r="46" spans="2:9" ht="12.75" hidden="1" customHeight="1" x14ac:dyDescent="0.2">
      <c r="B46" s="6" t="str">
        <f>IF(AND(Study_Cap_Adj&gt;0,_423_CCCT_Clvr2&lt;&gt;0),"       2030 - "&amp;'Table 3 423 (UT)'!$B$12&amp;"   ("&amp;TEXT(_423_CCCT_Clvr2," 0.0%")&amp;")","")</f>
        <v/>
      </c>
    </row>
    <row r="47" spans="2:9" ht="12.75" hidden="1" customHeight="1" x14ac:dyDescent="0.2">
      <c r="B47" s="6" t="str">
        <f>IF(AND(Study_Cap_Adj&gt;0,_313_CCCT_Wyo&lt;&gt;0),"       2030 - "&amp;'Table 3 313'!$B$12&amp;"   ("&amp;TEXT(_313_CCCT_Wyo," 0.0%")&amp;")","")</f>
        <v/>
      </c>
    </row>
    <row r="48" spans="2:9" ht="12.75" hidden="1" customHeight="1" x14ac:dyDescent="0.2">
      <c r="B48" s="6" t="str">
        <f>IF(AND(Study_Cap_Adj&gt;0,_635_CCCT_UTN1&lt;&gt;0),"       2033 - "&amp;'Table 3 635'!$B$12&amp;"   ("&amp;TEXT(_635_CCCT_UTN1," 0.0%")&amp;")","")</f>
        <v/>
      </c>
    </row>
    <row r="49" spans="1:9" ht="12.75" hidden="1" customHeight="1" x14ac:dyDescent="0.2">
      <c r="B49" s="6" t="str">
        <f>IF(AND(Study_Cap_Adj&gt;0,_635_CCCT_UTN2&lt;&gt;0),"       2034 - "&amp;'Table 3 635'!$B$12&amp;"   ("&amp;TEXT(_635_CCCT_UTN2," 0.0%")&amp;")","")</f>
        <v/>
      </c>
    </row>
    <row r="50" spans="1:9" hidden="1" x14ac:dyDescent="0.2">
      <c r="B50" s="18" t="str">
        <f>"(5)   Avoided Costs calculated monthly starting "&amp;TEXT('Table 5'!$K$5,"MMMM YYYY")</f>
        <v>(5)   Avoided Costs calculated monthly starting January 2017</v>
      </c>
      <c r="C50" s="10"/>
      <c r="D50" s="10"/>
      <c r="E50" s="10"/>
      <c r="G50" s="10"/>
      <c r="I50" t="s">
        <v>116</v>
      </c>
    </row>
    <row r="51" spans="1:9" hidden="1" x14ac:dyDescent="0.2">
      <c r="B51" t="str">
        <f>"       Avoided Costs calculated annually are  "&amp;TEXT(PMT(Discount_Rate,COUNT($G$13:$G$32),-NPV(Discount_Rate,$G$13:$G$32)),"$0.00")&amp;"/MWH"</f>
        <v xml:space="preserve">       Avoided Costs calculated annually are  $35.23/MWH</v>
      </c>
      <c r="I51" t="str">
        <f>"       Avoided Costs calculated annually are  "&amp;TEXT(PMT(Discount_Rate,COUNT($G$13:$G$32),-NPV(Discount_Rate,$G$13:$G$32)),"$0.00")&amp;"/MWH"</f>
        <v xml:space="preserve">       Avoided Costs calculated annually are  $35.23/MWH</v>
      </c>
    </row>
    <row r="52" spans="1:9" s="119" customFormat="1" hidden="1" x14ac:dyDescent="0.2">
      <c r="A52" s="120"/>
      <c r="B52" s="18" t="s">
        <v>114</v>
      </c>
      <c r="C52" s="120"/>
      <c r="D52" s="120"/>
      <c r="E52" s="120"/>
      <c r="F52" s="120"/>
      <c r="G52" s="120"/>
      <c r="I52" s="18" t="str">
        <f>"       Avoided Costs calculated monthly are  "&amp;TEXT($I$38,"$0.00")&amp;"/MWH"</f>
        <v xml:space="preserve">       Avoided Costs calculated monthly are  $35.22/MWH</v>
      </c>
    </row>
    <row r="53" spans="1:9" s="119" customFormat="1" hidden="1" x14ac:dyDescent="0.2">
      <c r="A53" s="120"/>
      <c r="B53" s="18" t="s">
        <v>115</v>
      </c>
      <c r="C53" s="120"/>
      <c r="D53" s="120"/>
      <c r="E53" s="120"/>
      <c r="F53" s="120"/>
      <c r="G53" s="120"/>
    </row>
    <row r="54" spans="1:9" x14ac:dyDescent="0.2">
      <c r="B54" s="117" t="str">
        <f>IF(I8&lt;&gt;1,"(6)   Capacity Payment is adjusted by "&amp;TEXT(I8,"0.0%")&amp;" Capacity Contribution.","")</f>
        <v/>
      </c>
    </row>
    <row r="55" spans="1:9" x14ac:dyDescent="0.2">
      <c r="F55" s="10"/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B1:Q52"/>
  <sheetViews>
    <sheetView zoomScaleNormal="100" zoomScaleSheetLayoutView="85" workbookViewId="0">
      <pane xSplit="2" ySplit="6" topLeftCell="C7" activePane="bottomRight" state="frozen"/>
      <selection activeCell="C9" sqref="C9"/>
      <selection pane="topRight" activeCell="C9" sqref="C9"/>
      <selection pane="bottomLeft" activeCell="C9" sqref="C9"/>
      <selection pane="bottomRight" activeCell="C13" sqref="C13"/>
    </sheetView>
  </sheetViews>
  <sheetFormatPr defaultRowHeight="12.75" x14ac:dyDescent="0.2"/>
  <cols>
    <col min="1" max="1" width="2.83203125" style="6" customWidth="1"/>
    <col min="2" max="2" width="7" style="6" customWidth="1"/>
    <col min="3" max="12" width="10.1640625" style="6" customWidth="1"/>
    <col min="13" max="13" width="10.1640625" style="8" customWidth="1"/>
    <col min="14" max="15" width="10.1640625" style="6" customWidth="1"/>
    <col min="16" max="16" width="1.6640625" style="6" customWidth="1"/>
    <col min="17" max="17" width="15.5" style="6" hidden="1" customWidth="1"/>
    <col min="18" max="16384" width="9.33203125" style="6"/>
  </cols>
  <sheetData>
    <row r="1" spans="2:17" s="14" customFormat="1" ht="15.75" x14ac:dyDescent="0.25">
      <c r="B1" s="1" t="s">
        <v>73</v>
      </c>
      <c r="C1" s="1"/>
      <c r="D1" s="1"/>
      <c r="E1" s="1"/>
      <c r="F1" s="1"/>
      <c r="G1" s="16"/>
      <c r="H1" s="1"/>
      <c r="I1" s="1"/>
      <c r="J1" s="1"/>
      <c r="K1" s="1"/>
      <c r="L1" s="21"/>
      <c r="M1" s="22"/>
      <c r="N1" s="22"/>
      <c r="O1" s="22"/>
      <c r="P1" s="22"/>
      <c r="Q1" s="22"/>
    </row>
    <row r="2" spans="2:17" s="14" customFormat="1" ht="15.75" x14ac:dyDescent="0.25">
      <c r="B2" s="1"/>
      <c r="C2" s="1"/>
      <c r="D2" s="1"/>
      <c r="E2" s="1"/>
      <c r="F2" s="1"/>
      <c r="G2" s="16"/>
      <c r="H2" s="1"/>
      <c r="I2" s="1"/>
      <c r="J2" s="1"/>
      <c r="K2" s="1"/>
      <c r="L2" s="21"/>
      <c r="M2" s="22"/>
      <c r="N2" s="22"/>
      <c r="O2" s="22"/>
      <c r="P2" s="22"/>
      <c r="Q2" s="22"/>
    </row>
    <row r="3" spans="2:17" s="14" customFormat="1" ht="15.75" x14ac:dyDescent="0.25">
      <c r="B3" s="1" t="str">
        <f>"Table "&amp;RIGHT('Table 1'!B3,1)+1</f>
        <v>Table 2</v>
      </c>
      <c r="C3" s="1"/>
      <c r="D3" s="1"/>
      <c r="E3" s="1"/>
      <c r="F3" s="1"/>
      <c r="G3" s="16"/>
      <c r="H3" s="1"/>
      <c r="I3" s="1"/>
      <c r="J3" s="1"/>
      <c r="K3" s="1"/>
      <c r="L3" s="21"/>
      <c r="M3" s="22"/>
      <c r="N3" s="22"/>
      <c r="O3" s="22"/>
      <c r="P3" s="22"/>
      <c r="Q3" s="22"/>
    </row>
    <row r="4" spans="2:17" s="17" customFormat="1" ht="15" x14ac:dyDescent="0.25">
      <c r="B4" s="7" t="s">
        <v>60</v>
      </c>
      <c r="C4" s="7"/>
      <c r="D4" s="7"/>
      <c r="E4" s="7"/>
      <c r="F4" s="7"/>
      <c r="G4" s="7"/>
      <c r="H4" s="7"/>
      <c r="I4" s="7"/>
      <c r="J4" s="7"/>
      <c r="K4" s="7"/>
      <c r="L4" s="7"/>
      <c r="M4" s="23"/>
      <c r="N4" s="23"/>
      <c r="O4" s="23"/>
      <c r="P4" s="23"/>
      <c r="Q4" s="23"/>
    </row>
    <row r="5" spans="2:17" s="17" customFormat="1" ht="15" x14ac:dyDescent="0.25">
      <c r="B5" s="7" t="str">
        <f ca="1">'Table 1'!$B$5</f>
        <v>Utah 2015.Q3 - 100.0 MW and 85.0% CF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2:17" s="17" customFormat="1" ht="15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3"/>
      <c r="N6" s="23"/>
      <c r="O6" s="23"/>
      <c r="P6" s="23"/>
      <c r="Q6" s="23"/>
    </row>
    <row r="7" spans="2:17" s="3" customFormat="1" x14ac:dyDescent="0.2">
      <c r="D7" s="31"/>
      <c r="E7" s="31"/>
      <c r="F7" s="31"/>
      <c r="G7" s="13"/>
      <c r="H7" s="13"/>
      <c r="I7" s="13"/>
      <c r="J7" s="13"/>
      <c r="K7" s="13"/>
      <c r="L7" s="13"/>
      <c r="M7" s="24"/>
    </row>
    <row r="8" spans="2:17" s="3" customFormat="1" x14ac:dyDescent="0.2">
      <c r="B8" s="36" t="s">
        <v>0</v>
      </c>
      <c r="C8" s="36"/>
      <c r="D8" s="33" t="s">
        <v>28</v>
      </c>
      <c r="E8" s="38"/>
      <c r="F8" s="38"/>
      <c r="G8" s="33"/>
      <c r="H8" s="33"/>
      <c r="I8" s="28" t="s">
        <v>29</v>
      </c>
      <c r="J8" s="32"/>
      <c r="K8" s="32"/>
      <c r="L8" s="27"/>
      <c r="M8" s="34" t="s">
        <v>28</v>
      </c>
      <c r="N8" s="42"/>
      <c r="O8" s="35"/>
      <c r="Q8" s="29" t="s">
        <v>46</v>
      </c>
    </row>
    <row r="9" spans="2:17" s="3" customFormat="1" x14ac:dyDescent="0.2">
      <c r="B9" s="37"/>
      <c r="C9" s="37" t="s">
        <v>39</v>
      </c>
      <c r="D9" s="39" t="s">
        <v>16</v>
      </c>
      <c r="E9" s="40" t="s">
        <v>17</v>
      </c>
      <c r="F9" s="40" t="s">
        <v>18</v>
      </c>
      <c r="G9" s="40" t="s">
        <v>19</v>
      </c>
      <c r="H9" s="41" t="s">
        <v>20</v>
      </c>
      <c r="I9" s="4" t="s">
        <v>21</v>
      </c>
      <c r="J9" s="4" t="s">
        <v>22</v>
      </c>
      <c r="K9" s="4" t="s">
        <v>23</v>
      </c>
      <c r="L9" s="4" t="s">
        <v>24</v>
      </c>
      <c r="M9" s="39" t="s">
        <v>25</v>
      </c>
      <c r="N9" s="40" t="s">
        <v>26</v>
      </c>
      <c r="O9" s="41" t="s">
        <v>27</v>
      </c>
      <c r="Q9" s="30" t="s">
        <v>107</v>
      </c>
    </row>
    <row r="10" spans="2:17" ht="12.75" customHeight="1" x14ac:dyDescent="0.2">
      <c r="B10" s="9"/>
      <c r="C10" s="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</row>
    <row r="11" spans="2:17" ht="12.75" customHeight="1" x14ac:dyDescent="0.2">
      <c r="B11" s="19" t="s">
        <v>45</v>
      </c>
      <c r="C11" s="19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Q11" s="9"/>
    </row>
    <row r="12" spans="2:17" ht="12.75" customHeight="1" x14ac:dyDescent="0.2">
      <c r="B12" s="55">
        <v>2017</v>
      </c>
      <c r="C12" s="54">
        <v>20.886763201011561</v>
      </c>
      <c r="D12" s="11">
        <v>21.829182697543938</v>
      </c>
      <c r="E12" s="11">
        <v>20.99592629966407</v>
      </c>
      <c r="F12" s="11">
        <v>22.151665299851626</v>
      </c>
      <c r="G12" s="11">
        <v>17.809293487157454</v>
      </c>
      <c r="H12" s="45">
        <v>17.07507325012277</v>
      </c>
      <c r="I12" s="51">
        <v>16.592825528939859</v>
      </c>
      <c r="J12" s="11">
        <v>25.699113977258431</v>
      </c>
      <c r="K12" s="11">
        <v>23.109220904942219</v>
      </c>
      <c r="L12" s="45">
        <v>20.32808604844012</v>
      </c>
      <c r="M12" s="51">
        <v>18.995022105009948</v>
      </c>
      <c r="N12" s="11">
        <v>21.738214600391295</v>
      </c>
      <c r="O12" s="45">
        <v>24.099755379169295</v>
      </c>
      <c r="Q12" s="52">
        <f>IF(_423_CCCT_WyoNE,VLOOKUP($B12,'Table 3 423 (Wyo)'!$B$11:$K$41,9,FALSE),IF(+_423_CCCT_Clvr1+_423_CCCT_Clvr2,VLOOKUP($B12,'Table 3 423 (UT)'!$B$11:$K$41,9,FALSE),IF(_313_CCCT_Wyo,VLOOKUP($B12,'Table 3 313'!$B$11:$K$41,9,FALSE),IF(_635_CCCT_UTN1+_635_CCCT_UTN2,VLOOKUP($B12,'Table 3 635'!$B$11:$K$41,9,FALSE),"ERROR"))))</f>
        <v>0</v>
      </c>
    </row>
    <row r="13" spans="2:17" ht="12.75" customHeight="1" x14ac:dyDescent="0.2">
      <c r="B13" s="56">
        <f>B12+1</f>
        <v>2018</v>
      </c>
      <c r="C13" s="58">
        <v>22.52939317992897</v>
      </c>
      <c r="D13" s="12">
        <v>23.635897991277048</v>
      </c>
      <c r="E13" s="12">
        <v>23.229655217877603</v>
      </c>
      <c r="F13" s="12">
        <v>23.580161344249138</v>
      </c>
      <c r="G13" s="12">
        <v>20.047817875070898</v>
      </c>
      <c r="H13" s="46">
        <v>17.920960665989494</v>
      </c>
      <c r="I13" s="50">
        <v>18.195441329088915</v>
      </c>
      <c r="J13" s="12">
        <v>27.576088054477225</v>
      </c>
      <c r="K13" s="12">
        <v>24.583544405167576</v>
      </c>
      <c r="L13" s="46">
        <v>21.890503714200523</v>
      </c>
      <c r="M13" s="50">
        <v>20.277454464405466</v>
      </c>
      <c r="N13" s="12">
        <v>23.999368138113152</v>
      </c>
      <c r="O13" s="46">
        <v>25.290545747972491</v>
      </c>
      <c r="Q13" s="49">
        <f>IF(_423_CCCT_WyoNE,VLOOKUP($B13,'Table 3 423 (Wyo)'!$B$11:$K$41,9,FALSE),IF(+_423_CCCT_Clvr1+_423_CCCT_Clvr2,VLOOKUP($B13,'Table 3 423 (UT)'!$B$11:$K$41,9,FALSE),IF(_313_CCCT_Wyo,VLOOKUP($B13,'Table 3 313'!$B$11:$K$41,9,FALSE),IF(_635_CCCT_UTN1+_635_CCCT_UTN2,VLOOKUP($B13,'Table 3 635'!$B$11:$K$41,9,FALSE),"ERROR"))))</f>
        <v>0</v>
      </c>
    </row>
    <row r="14" spans="2:17" ht="12.75" customHeight="1" x14ac:dyDescent="0.2">
      <c r="B14" s="56">
        <f t="shared" ref="B14:B31" si="0">B13+1</f>
        <v>2019</v>
      </c>
      <c r="C14" s="58">
        <v>23.213860602661899</v>
      </c>
      <c r="D14" s="12">
        <v>27.030100747400507</v>
      </c>
      <c r="E14" s="12">
        <v>23.237312826875034</v>
      </c>
      <c r="F14" s="12">
        <v>23.935175318066868</v>
      </c>
      <c r="G14" s="12">
        <v>20.418669211149606</v>
      </c>
      <c r="H14" s="46">
        <v>18.75424184160876</v>
      </c>
      <c r="I14" s="50">
        <v>19.57926101077981</v>
      </c>
      <c r="J14" s="12">
        <v>27.983874909705108</v>
      </c>
      <c r="K14" s="12">
        <v>25.322236443182323</v>
      </c>
      <c r="L14" s="46">
        <v>22.141732190251837</v>
      </c>
      <c r="M14" s="50">
        <v>20.987338305953454</v>
      </c>
      <c r="N14" s="12">
        <v>24.682516691030241</v>
      </c>
      <c r="O14" s="46">
        <v>24.301515909013379</v>
      </c>
      <c r="Q14" s="49">
        <f>IF(_423_CCCT_WyoNE,VLOOKUP($B14,'Table 3 423 (Wyo)'!$B$11:$K$41,9,FALSE),IF(+_423_CCCT_Clvr1+_423_CCCT_Clvr2,VLOOKUP($B14,'Table 3 423 (UT)'!$B$11:$K$41,9,FALSE),IF(_313_CCCT_Wyo,VLOOKUP($B14,'Table 3 313'!$B$11:$K$41,9,FALSE),IF(_635_CCCT_UTN1+_635_CCCT_UTN2,VLOOKUP($B14,'Table 3 635'!$B$11:$K$41,9,FALSE),"ERROR"))))</f>
        <v>0</v>
      </c>
    </row>
    <row r="15" spans="2:17" ht="12.75" customHeight="1" x14ac:dyDescent="0.2">
      <c r="B15" s="56">
        <f t="shared" si="0"/>
        <v>2020</v>
      </c>
      <c r="C15" s="58">
        <v>23.8536814366757</v>
      </c>
      <c r="D15" s="12">
        <v>24.17964306460631</v>
      </c>
      <c r="E15" s="12">
        <v>24.343541364459934</v>
      </c>
      <c r="F15" s="12">
        <v>24.662911399857038</v>
      </c>
      <c r="G15" s="12">
        <v>20.865767876317641</v>
      </c>
      <c r="H15" s="46">
        <v>21.254378743385359</v>
      </c>
      <c r="I15" s="50">
        <v>19.801591970636661</v>
      </c>
      <c r="J15" s="12">
        <v>29.494039290954444</v>
      </c>
      <c r="K15" s="12">
        <v>27.384389789480242</v>
      </c>
      <c r="L15" s="46">
        <v>22.859953689853253</v>
      </c>
      <c r="M15" s="50">
        <v>22.63489924627206</v>
      </c>
      <c r="N15" s="12">
        <v>24.270237562570209</v>
      </c>
      <c r="O15" s="46">
        <v>24.278711796823387</v>
      </c>
      <c r="Q15" s="49">
        <f>IF(_423_CCCT_WyoNE,VLOOKUP($B15,'Table 3 423 (Wyo)'!$B$11:$K$41,9,FALSE),IF(+_423_CCCT_Clvr1+_423_CCCT_Clvr2,VLOOKUP($B15,'Table 3 423 (UT)'!$B$11:$K$41,9,FALSE),IF(_313_CCCT_Wyo,VLOOKUP($B15,'Table 3 313'!$B$11:$K$41,9,FALSE),IF(_635_CCCT_UTN1+_635_CCCT_UTN2,VLOOKUP($B15,'Table 3 635'!$B$11:$K$41,9,FALSE),"ERROR"))))</f>
        <v>0</v>
      </c>
    </row>
    <row r="16" spans="2:17" ht="12.75" customHeight="1" x14ac:dyDescent="0.2">
      <c r="B16" s="56">
        <f t="shared" si="0"/>
        <v>2021</v>
      </c>
      <c r="C16" s="58">
        <v>25.009569884994931</v>
      </c>
      <c r="D16" s="12">
        <v>25.702199921713628</v>
      </c>
      <c r="E16" s="12">
        <v>25.349519844500332</v>
      </c>
      <c r="F16" s="12">
        <v>24.3886593678899</v>
      </c>
      <c r="G16" s="12">
        <v>22.022016438588356</v>
      </c>
      <c r="H16" s="46">
        <v>21.873471378858316</v>
      </c>
      <c r="I16" s="50">
        <v>20.775926087222313</v>
      </c>
      <c r="J16" s="12">
        <v>28.580743637513709</v>
      </c>
      <c r="K16" s="12">
        <v>27.586856034433893</v>
      </c>
      <c r="L16" s="46">
        <v>24.225129339689619</v>
      </c>
      <c r="M16" s="50">
        <v>24.407709911260177</v>
      </c>
      <c r="N16" s="12">
        <v>28.568751596883427</v>
      </c>
      <c r="O16" s="46">
        <v>26.523319377546105</v>
      </c>
      <c r="Q16" s="49">
        <f>IF(_423_CCCT_WyoNE,VLOOKUP($B16,'Table 3 423 (Wyo)'!$B$11:$K$41,9,FALSE),IF(+_423_CCCT_Clvr1+_423_CCCT_Clvr2,VLOOKUP($B16,'Table 3 423 (UT)'!$B$11:$K$41,9,FALSE),IF(_313_CCCT_Wyo,VLOOKUP($B16,'Table 3 313'!$B$11:$K$41,9,FALSE),IF(_635_CCCT_UTN1+_635_CCCT_UTN2,VLOOKUP($B16,'Table 3 635'!$B$11:$K$41,9,FALSE),"ERROR"))))</f>
        <v>0</v>
      </c>
    </row>
    <row r="17" spans="2:17" ht="12.75" customHeight="1" x14ac:dyDescent="0.2">
      <c r="B17" s="56">
        <f t="shared" si="0"/>
        <v>2022</v>
      </c>
      <c r="C17" s="58">
        <v>26.565028698358873</v>
      </c>
      <c r="D17" s="12">
        <v>27.080697691104106</v>
      </c>
      <c r="E17" s="12">
        <v>27.007895349749269</v>
      </c>
      <c r="F17" s="12">
        <v>26.254885712335714</v>
      </c>
      <c r="G17" s="12">
        <v>23.097844280019597</v>
      </c>
      <c r="H17" s="46">
        <v>23.149782823511575</v>
      </c>
      <c r="I17" s="50">
        <v>22.260225937114726</v>
      </c>
      <c r="J17" s="12">
        <v>32.140120622428022</v>
      </c>
      <c r="K17" s="12">
        <v>30.400202349615785</v>
      </c>
      <c r="L17" s="46">
        <v>25.781059754538575</v>
      </c>
      <c r="M17" s="50">
        <v>27.102273498942097</v>
      </c>
      <c r="N17" s="12">
        <v>28.268312006274275</v>
      </c>
      <c r="O17" s="46">
        <v>26.058848455921524</v>
      </c>
      <c r="Q17" s="49">
        <f>IF(_423_CCCT_WyoNE,VLOOKUP($B17,'Table 3 423 (Wyo)'!$B$11:$K$41,9,FALSE),IF(+_423_CCCT_Clvr1+_423_CCCT_Clvr2,VLOOKUP($B17,'Table 3 423 (UT)'!$B$11:$K$41,9,FALSE),IF(_313_CCCT_Wyo,VLOOKUP($B17,'Table 3 313'!$B$11:$K$41,9,FALSE),IF(_635_CCCT_UTN1+_635_CCCT_UTN2,VLOOKUP($B17,'Table 3 635'!$B$11:$K$41,9,FALSE),"ERROR"))))</f>
        <v>0</v>
      </c>
    </row>
    <row r="18" spans="2:17" ht="12.75" customHeight="1" x14ac:dyDescent="0.2">
      <c r="B18" s="56">
        <f t="shared" si="0"/>
        <v>2023</v>
      </c>
      <c r="C18" s="58">
        <v>28.810402422082895</v>
      </c>
      <c r="D18" s="12">
        <v>31.083099795350595</v>
      </c>
      <c r="E18" s="12">
        <v>28.427968099156619</v>
      </c>
      <c r="F18" s="12">
        <v>28.111835990012501</v>
      </c>
      <c r="G18" s="12">
        <v>26.167816128215563</v>
      </c>
      <c r="H18" s="46">
        <v>24.312847580050061</v>
      </c>
      <c r="I18" s="50">
        <v>25.031155335592484</v>
      </c>
      <c r="J18" s="12">
        <v>34.193433597193795</v>
      </c>
      <c r="K18" s="12">
        <v>33.561037759485217</v>
      </c>
      <c r="L18" s="46">
        <v>28.847542484480083</v>
      </c>
      <c r="M18" s="50">
        <v>27.030705861454614</v>
      </c>
      <c r="N18" s="12">
        <v>30.002861085564287</v>
      </c>
      <c r="O18" s="46">
        <v>28.750024134784486</v>
      </c>
      <c r="Q18" s="49">
        <f>IF(_423_CCCT_WyoNE,VLOOKUP($B18,'Table 3 423 (Wyo)'!$B$11:$K$41,9,FALSE),IF(+_423_CCCT_Clvr1+_423_CCCT_Clvr2,VLOOKUP($B18,'Table 3 423 (UT)'!$B$11:$K$41,9,FALSE),IF(_313_CCCT_Wyo,VLOOKUP($B18,'Table 3 313'!$B$11:$K$41,9,FALSE),IF(_635_CCCT_UTN1+_635_CCCT_UTN2,VLOOKUP($B18,'Table 3 635'!$B$11:$K$41,9,FALSE),"ERROR"))))</f>
        <v>0</v>
      </c>
    </row>
    <row r="19" spans="2:17" ht="12.75" customHeight="1" x14ac:dyDescent="0.2">
      <c r="B19" s="56">
        <f t="shared" si="0"/>
        <v>2024</v>
      </c>
      <c r="C19" s="58">
        <v>30.401415390144088</v>
      </c>
      <c r="D19" s="12">
        <v>29.849094179589809</v>
      </c>
      <c r="E19" s="12">
        <v>28.27774833531457</v>
      </c>
      <c r="F19" s="12">
        <v>27.988545323604367</v>
      </c>
      <c r="G19" s="12">
        <v>27.50950795007541</v>
      </c>
      <c r="H19" s="46">
        <v>26.770983351116023</v>
      </c>
      <c r="I19" s="50">
        <v>28.135675807238794</v>
      </c>
      <c r="J19" s="12">
        <v>37.108693664845205</v>
      </c>
      <c r="K19" s="12">
        <v>35.253249318470765</v>
      </c>
      <c r="L19" s="46">
        <v>30.014340122753595</v>
      </c>
      <c r="M19" s="50">
        <v>29.696449663327474</v>
      </c>
      <c r="N19" s="12">
        <v>32.883786527285586</v>
      </c>
      <c r="O19" s="46">
        <v>31.093114139299409</v>
      </c>
      <c r="Q19" s="49">
        <f>IF(_423_CCCT_WyoNE,VLOOKUP($B19,'Table 3 423 (Wyo)'!$B$11:$K$41,9,FALSE),IF(+_423_CCCT_Clvr1+_423_CCCT_Clvr2,VLOOKUP($B19,'Table 3 423 (UT)'!$B$11:$K$41,9,FALSE),IF(_313_CCCT_Wyo,VLOOKUP($B19,'Table 3 313'!$B$11:$K$41,9,FALSE),IF(_635_CCCT_UTN1+_635_CCCT_UTN2,VLOOKUP($B19,'Table 3 635'!$B$11:$K$41,9,FALSE),"ERROR"))))</f>
        <v>0</v>
      </c>
    </row>
    <row r="20" spans="2:17" ht="12.75" customHeight="1" x14ac:dyDescent="0.2">
      <c r="B20" s="56">
        <f t="shared" si="0"/>
        <v>2025</v>
      </c>
      <c r="C20" s="58">
        <v>32.487136745369313</v>
      </c>
      <c r="D20" s="12">
        <v>32.293033213307872</v>
      </c>
      <c r="E20" s="12">
        <v>31.498667273814959</v>
      </c>
      <c r="F20" s="12">
        <v>30.276522435758743</v>
      </c>
      <c r="G20" s="12">
        <v>28.824640611351704</v>
      </c>
      <c r="H20" s="46">
        <v>28.016265999111077</v>
      </c>
      <c r="I20" s="50">
        <v>29.312165199925307</v>
      </c>
      <c r="J20" s="12">
        <v>39.261740650476945</v>
      </c>
      <c r="K20" s="12">
        <v>37.892682422950607</v>
      </c>
      <c r="L20" s="46">
        <v>31.574941119904221</v>
      </c>
      <c r="M20" s="50">
        <v>32.329317497769765</v>
      </c>
      <c r="N20" s="12">
        <v>34.156057508572253</v>
      </c>
      <c r="O20" s="46">
        <v>34.11779569031448</v>
      </c>
      <c r="Q20" s="49">
        <f>IF(_423_CCCT_WyoNE,VLOOKUP($B20,'Table 3 423 (Wyo)'!$B$11:$K$41,9,FALSE),IF(+_423_CCCT_Clvr1+_423_CCCT_Clvr2,VLOOKUP($B20,'Table 3 423 (UT)'!$B$11:$K$41,9,FALSE),IF(_313_CCCT_Wyo,VLOOKUP($B20,'Table 3 313'!$B$11:$K$41,9,FALSE),IF(_635_CCCT_UTN1+_635_CCCT_UTN2,VLOOKUP($B20,'Table 3 635'!$B$11:$K$41,9,FALSE),"ERROR"))))</f>
        <v>0</v>
      </c>
    </row>
    <row r="21" spans="2:17" ht="12.75" customHeight="1" x14ac:dyDescent="0.2">
      <c r="B21" s="56">
        <f t="shared" si="0"/>
        <v>2026</v>
      </c>
      <c r="C21" s="58">
        <v>33.509838151091564</v>
      </c>
      <c r="D21" s="12">
        <v>32.693172229571026</v>
      </c>
      <c r="E21" s="12">
        <v>33.903939536924497</v>
      </c>
      <c r="F21" s="12">
        <v>30.49173135505135</v>
      </c>
      <c r="G21" s="12">
        <v>29.567166586405797</v>
      </c>
      <c r="H21" s="46">
        <v>28.157433370684121</v>
      </c>
      <c r="I21" s="50">
        <v>29.360383032478538</v>
      </c>
      <c r="J21" s="12">
        <v>40.778069618825462</v>
      </c>
      <c r="K21" s="12">
        <v>39.222841807109866</v>
      </c>
      <c r="L21" s="46">
        <v>33.928742072178551</v>
      </c>
      <c r="M21" s="50">
        <v>32.679098798859108</v>
      </c>
      <c r="N21" s="12">
        <v>35.639390821025941</v>
      </c>
      <c r="O21" s="46">
        <v>35.555399360284824</v>
      </c>
      <c r="Q21" s="49">
        <f>IF(_423_CCCT_WyoNE,VLOOKUP($B21,'Table 3 423 (Wyo)'!$B$11:$K$41,9,FALSE),IF(+_423_CCCT_Clvr1+_423_CCCT_Clvr2,VLOOKUP($B21,'Table 3 423 (UT)'!$B$11:$K$41,9,FALSE),IF(_313_CCCT_Wyo,VLOOKUP($B21,'Table 3 313'!$B$11:$K$41,9,FALSE),IF(_635_CCCT_UTN1+_635_CCCT_UTN2,VLOOKUP($B21,'Table 3 635'!$B$11:$K$41,9,FALSE),"ERROR"))))</f>
        <v>0</v>
      </c>
    </row>
    <row r="22" spans="2:17" ht="12.75" customHeight="1" x14ac:dyDescent="0.2">
      <c r="B22" s="56">
        <f t="shared" si="0"/>
        <v>2027</v>
      </c>
      <c r="C22" s="58">
        <v>35.732859958609424</v>
      </c>
      <c r="D22" s="12">
        <v>34.953856735643065</v>
      </c>
      <c r="E22" s="12">
        <v>33.84068496591393</v>
      </c>
      <c r="F22" s="12">
        <v>32.4503830972656</v>
      </c>
      <c r="G22" s="12">
        <v>31.082509125579222</v>
      </c>
      <c r="H22" s="46">
        <v>29.080227945562143</v>
      </c>
      <c r="I22" s="50">
        <v>31.471140394264868</v>
      </c>
      <c r="J22" s="12">
        <v>43.915477192738365</v>
      </c>
      <c r="K22" s="12">
        <v>42.604142852242539</v>
      </c>
      <c r="L22" s="46">
        <v>34.888186687133185</v>
      </c>
      <c r="M22" s="50">
        <v>35.781367484214826</v>
      </c>
      <c r="N22" s="12">
        <v>38.505599952877738</v>
      </c>
      <c r="O22" s="46">
        <v>39.812338919793405</v>
      </c>
      <c r="Q22" s="49">
        <f>IF(_423_CCCT_WyoNE,VLOOKUP($B22,'Table 3 423 (Wyo)'!$B$11:$K$41,9,FALSE),IF(+_423_CCCT_Clvr1+_423_CCCT_Clvr2,VLOOKUP($B22,'Table 3 423 (UT)'!$B$11:$K$41,9,FALSE),IF(_313_CCCT_Wyo,VLOOKUP($B22,'Table 3 313'!$B$11:$K$41,9,FALSE),IF(_635_CCCT_UTN1+_635_CCCT_UTN2,VLOOKUP($B22,'Table 3 635'!$B$11:$K$41,9,FALSE),"ERROR"))))</f>
        <v>0</v>
      </c>
    </row>
    <row r="23" spans="2:17" ht="12.75" customHeight="1" x14ac:dyDescent="0.2">
      <c r="B23" s="56">
        <f t="shared" si="0"/>
        <v>2028</v>
      </c>
      <c r="C23" s="58">
        <v>41.554947693755004</v>
      </c>
      <c r="D23" s="12">
        <v>39.655718305701797</v>
      </c>
      <c r="E23" s="12">
        <v>40.006193223754302</v>
      </c>
      <c r="F23" s="12">
        <v>36.135335266552886</v>
      </c>
      <c r="G23" s="12">
        <v>34.464943346252632</v>
      </c>
      <c r="H23" s="46">
        <v>34.409332186732016</v>
      </c>
      <c r="I23" s="50">
        <v>37.306981578382107</v>
      </c>
      <c r="J23" s="12">
        <v>51.498147294621333</v>
      </c>
      <c r="K23" s="12">
        <v>50.826105092473888</v>
      </c>
      <c r="L23" s="46">
        <v>45.896012230870475</v>
      </c>
      <c r="M23" s="50">
        <v>43.004256387511099</v>
      </c>
      <c r="N23" s="12">
        <v>41.604508706086797</v>
      </c>
      <c r="O23" s="46">
        <v>43.52781116246593</v>
      </c>
      <c r="Q23" s="49">
        <f>IF(_423_CCCT_WyoNE,VLOOKUP($B23,'Table 3 423 (Wyo)'!$B$11:$K$41,9,FALSE),IF(+_423_CCCT_Clvr1+_423_CCCT_Clvr2,VLOOKUP($B23,'Table 3 423 (UT)'!$B$11:$K$41,9,FALSE),IF(_313_CCCT_Wyo,VLOOKUP($B23,'Table 3 313'!$B$11:$K$41,9,FALSE),IF(_635_CCCT_UTN1+_635_CCCT_UTN2,VLOOKUP($B23,'Table 3 635'!$B$11:$K$41,9,FALSE),"ERROR"))))</f>
        <v>0</v>
      </c>
    </row>
    <row r="24" spans="2:17" ht="12.75" customHeight="1" x14ac:dyDescent="0.2">
      <c r="B24" s="56">
        <f t="shared" si="0"/>
        <v>2029</v>
      </c>
      <c r="C24" s="58">
        <v>43.579495023787743</v>
      </c>
      <c r="D24" s="12">
        <v>41.176764585815754</v>
      </c>
      <c r="E24" s="12">
        <v>42.996698973058649</v>
      </c>
      <c r="F24" s="12">
        <v>39.681265799574916</v>
      </c>
      <c r="G24" s="12">
        <v>37.304409376196318</v>
      </c>
      <c r="H24" s="46">
        <v>36.505577772698828</v>
      </c>
      <c r="I24" s="50">
        <v>40.482980476926066</v>
      </c>
      <c r="J24" s="12">
        <v>53.640572325038917</v>
      </c>
      <c r="K24" s="12">
        <v>52.843189704160878</v>
      </c>
      <c r="L24" s="46">
        <v>47.201823165196608</v>
      </c>
      <c r="M24" s="50">
        <v>41.957407857902268</v>
      </c>
      <c r="N24" s="12">
        <v>44.108040551907003</v>
      </c>
      <c r="O24" s="46">
        <v>44.830399546109184</v>
      </c>
      <c r="Q24" s="49">
        <f>IF(_423_CCCT_WyoNE,VLOOKUP($B24,'Table 3 423 (Wyo)'!$B$11:$K$41,9,FALSE),IF(+_423_CCCT_Clvr1+_423_CCCT_Clvr2,VLOOKUP($B24,'Table 3 423 (UT)'!$B$11:$K$41,9,FALSE),IF(_313_CCCT_Wyo,VLOOKUP($B24,'Table 3 313'!$B$11:$K$41,9,FALSE),IF(_635_CCCT_UTN1+_635_CCCT_UTN2,VLOOKUP($B24,'Table 3 635'!$B$11:$K$41,9,FALSE),"ERROR"))))</f>
        <v>0</v>
      </c>
    </row>
    <row r="25" spans="2:17" ht="12.75" customHeight="1" x14ac:dyDescent="0.2">
      <c r="B25" s="56">
        <f t="shared" si="0"/>
        <v>2030</v>
      </c>
      <c r="C25" s="58">
        <v>34.136372733683537</v>
      </c>
      <c r="D25" s="12">
        <v>33.235553817085773</v>
      </c>
      <c r="E25" s="12">
        <v>33.224548714892308</v>
      </c>
      <c r="F25" s="12">
        <v>34.324067414902117</v>
      </c>
      <c r="G25" s="12">
        <v>33.457675515940672</v>
      </c>
      <c r="H25" s="46">
        <v>33.69997212935727</v>
      </c>
      <c r="I25" s="50">
        <v>33.484065202556891</v>
      </c>
      <c r="J25" s="12">
        <v>33.655147677725019</v>
      </c>
      <c r="K25" s="12">
        <v>34.40188052065713</v>
      </c>
      <c r="L25" s="46">
        <v>35.253460217284321</v>
      </c>
      <c r="M25" s="50">
        <v>35.035184062029614</v>
      </c>
      <c r="N25" s="12">
        <v>35.208626365301754</v>
      </c>
      <c r="O25" s="46">
        <v>34.595738402277156</v>
      </c>
      <c r="Q25" s="49">
        <f>IF(_423_CCCT_WyoNE,VLOOKUP($B25,'Table 3 423 (Wyo)'!$B$11:$K$41,9,FALSE),IF(+_423_CCCT_Clvr1+_423_CCCT_Clvr2,VLOOKUP($B25,'Table 3 423 (UT)'!$B$11:$K$41,9,FALSE),IF(_313_CCCT_Wyo,VLOOKUP($B25,'Table 3 313'!$B$11:$K$41,9,FALSE),IF(_635_CCCT_UTN1+_635_CCCT_UTN2,VLOOKUP($B25,'Table 3 635'!$B$11:$K$41,9,FALSE),"ERROR"))))</f>
        <v>35.590000000000003</v>
      </c>
    </row>
    <row r="26" spans="2:17" ht="12.75" customHeight="1" x14ac:dyDescent="0.2">
      <c r="B26" s="56">
        <f t="shared" si="0"/>
        <v>2031</v>
      </c>
      <c r="C26" s="58">
        <v>36.957047514043253</v>
      </c>
      <c r="D26" s="12">
        <v>35.949625709512468</v>
      </c>
      <c r="E26" s="12">
        <v>36.445636603418812</v>
      </c>
      <c r="F26" s="12">
        <v>37.1349546672106</v>
      </c>
      <c r="G26" s="12">
        <v>37.331858853447962</v>
      </c>
      <c r="H26" s="46">
        <v>36.332708811637893</v>
      </c>
      <c r="I26" s="50">
        <v>36.33086696406157</v>
      </c>
      <c r="J26" s="12">
        <v>36.766527200385148</v>
      </c>
      <c r="K26" s="12">
        <v>37.219707614759777</v>
      </c>
      <c r="L26" s="46">
        <v>38.252282257156047</v>
      </c>
      <c r="M26" s="50">
        <v>38.108207270956392</v>
      </c>
      <c r="N26" s="12">
        <v>37.254216458228676</v>
      </c>
      <c r="O26" s="46">
        <v>36.351745555968805</v>
      </c>
      <c r="Q26" s="49">
        <f>IF(_423_CCCT_WyoNE,VLOOKUP($B26,'Table 3 423 (Wyo)'!$B$11:$K$41,9,FALSE),IF(+_423_CCCT_Clvr1+_423_CCCT_Clvr2,VLOOKUP($B26,'Table 3 423 (UT)'!$B$11:$K$41,9,FALSE),IF(_313_CCCT_Wyo,VLOOKUP($B26,'Table 3 313'!$B$11:$K$41,9,FALSE),IF(_635_CCCT_UTN1+_635_CCCT_UTN2,VLOOKUP($B26,'Table 3 635'!$B$11:$K$41,9,FALSE),"ERROR"))))</f>
        <v>38.46</v>
      </c>
    </row>
    <row r="27" spans="2:17" ht="12.75" customHeight="1" x14ac:dyDescent="0.2">
      <c r="B27" s="56">
        <f t="shared" si="0"/>
        <v>2032</v>
      </c>
      <c r="C27" s="58">
        <v>37.45853147205402</v>
      </c>
      <c r="D27" s="12">
        <v>37.708496670391952</v>
      </c>
      <c r="E27" s="12">
        <v>37.398521640663056</v>
      </c>
      <c r="F27" s="12">
        <v>37.779265554117806</v>
      </c>
      <c r="G27" s="12">
        <v>38.480429373683492</v>
      </c>
      <c r="H27" s="46">
        <v>36.881614345331911</v>
      </c>
      <c r="I27" s="50">
        <v>36.805211114303447</v>
      </c>
      <c r="J27" s="12">
        <v>36.787041149144208</v>
      </c>
      <c r="K27" s="12">
        <v>37.758387557378512</v>
      </c>
      <c r="L27" s="46">
        <v>38.355167389713664</v>
      </c>
      <c r="M27" s="50">
        <v>37.890604948647827</v>
      </c>
      <c r="N27" s="12">
        <v>37.270311957142418</v>
      </c>
      <c r="O27" s="46">
        <v>36.418196102308556</v>
      </c>
      <c r="Q27" s="49">
        <f>IF(_423_CCCT_WyoNE,VLOOKUP($B27,'Table 3 423 (Wyo)'!$B$11:$K$41,9,FALSE),IF(+_423_CCCT_Clvr1+_423_CCCT_Clvr2,VLOOKUP($B27,'Table 3 423 (UT)'!$B$11:$K$41,9,FALSE),IF(_313_CCCT_Wyo,VLOOKUP($B27,'Table 3 313'!$B$11:$K$41,9,FALSE),IF(_635_CCCT_UTN1+_635_CCCT_UTN2,VLOOKUP($B27,'Table 3 635'!$B$11:$K$41,9,FALSE),"ERROR"))))</f>
        <v>39.049999999999997</v>
      </c>
    </row>
    <row r="28" spans="2:17" ht="12.75" customHeight="1" x14ac:dyDescent="0.2">
      <c r="B28" s="56">
        <f t="shared" si="0"/>
        <v>2033</v>
      </c>
      <c r="C28" s="58">
        <v>38.669892134247625</v>
      </c>
      <c r="D28" s="12">
        <v>38.26696917571217</v>
      </c>
      <c r="E28" s="12">
        <v>38.667233453822483</v>
      </c>
      <c r="F28" s="12">
        <v>38.829170715673619</v>
      </c>
      <c r="G28" s="12">
        <v>39.33959991384468</v>
      </c>
      <c r="H28" s="46">
        <v>37.410443007578436</v>
      </c>
      <c r="I28" s="50">
        <v>37.341409287328034</v>
      </c>
      <c r="J28" s="12">
        <v>37.692202997766081</v>
      </c>
      <c r="K28" s="12">
        <v>38.858941046858256</v>
      </c>
      <c r="L28" s="46">
        <v>39.882417619133406</v>
      </c>
      <c r="M28" s="50">
        <v>39.627257734491884</v>
      </c>
      <c r="N28" s="12">
        <v>39.334444120680196</v>
      </c>
      <c r="O28" s="46">
        <v>38.827659323977414</v>
      </c>
      <c r="Q28" s="49">
        <f>IF(_423_CCCT_WyoNE,VLOOKUP($B28,'Table 3 423 (Wyo)'!$B$11:$K$41,9,FALSE),IF(+_423_CCCT_Clvr1+_423_CCCT_Clvr2,VLOOKUP($B28,'Table 3 423 (UT)'!$B$11:$K$41,9,FALSE),IF(_313_CCCT_Wyo,VLOOKUP($B28,'Table 3 313'!$B$11:$K$41,9,FALSE),IF(_635_CCCT_UTN1+_635_CCCT_UTN2,VLOOKUP($B28,'Table 3 635'!$B$11:$K$41,9,FALSE),"ERROR"))))</f>
        <v>39.96</v>
      </c>
    </row>
    <row r="29" spans="2:17" ht="12.75" customHeight="1" x14ac:dyDescent="0.2">
      <c r="B29" s="56">
        <f t="shared" si="0"/>
        <v>2034</v>
      </c>
      <c r="C29" s="58">
        <v>40.724806367015759</v>
      </c>
      <c r="D29" s="12">
        <v>41.566262408211159</v>
      </c>
      <c r="E29" s="12">
        <v>41.54745191875741</v>
      </c>
      <c r="F29" s="12">
        <v>41.645456330948505</v>
      </c>
      <c r="G29" s="12">
        <v>41.509558465121422</v>
      </c>
      <c r="H29" s="46">
        <v>40.482805041071551</v>
      </c>
      <c r="I29" s="50">
        <v>39.545257539363469</v>
      </c>
      <c r="J29" s="12">
        <v>39.632734692592948</v>
      </c>
      <c r="K29" s="12">
        <v>40.659263424736025</v>
      </c>
      <c r="L29" s="46">
        <v>41.548972541089931</v>
      </c>
      <c r="M29" s="50">
        <v>40.895506078865822</v>
      </c>
      <c r="N29" s="12">
        <v>40.026339011570691</v>
      </c>
      <c r="O29" s="46">
        <v>39.708999233924743</v>
      </c>
      <c r="Q29" s="49">
        <f>IF(_423_CCCT_WyoNE,VLOOKUP($B29,'Table 3 423 (Wyo)'!$B$11:$K$41,9,FALSE),IF(+_423_CCCT_Clvr1+_423_CCCT_Clvr2,VLOOKUP($B29,'Table 3 423 (UT)'!$B$11:$K$41,9,FALSE),IF(_313_CCCT_Wyo,VLOOKUP($B29,'Table 3 313'!$B$11:$K$41,9,FALSE),IF(_635_CCCT_UTN1+_635_CCCT_UTN2,VLOOKUP($B29,'Table 3 635'!$B$11:$K$41,9,FALSE),"ERROR"))))</f>
        <v>41.53</v>
      </c>
    </row>
    <row r="30" spans="2:17" ht="12.75" customHeight="1" x14ac:dyDescent="0.2">
      <c r="B30" s="56">
        <f t="shared" si="0"/>
        <v>2035</v>
      </c>
      <c r="C30" s="58">
        <v>41.421783977017874</v>
      </c>
      <c r="D30" s="12">
        <v>40.856634250373254</v>
      </c>
      <c r="E30" s="12">
        <v>41.479763225368444</v>
      </c>
      <c r="F30" s="12">
        <v>41.741431851917845</v>
      </c>
      <c r="G30" s="12">
        <v>40.426942223084033</v>
      </c>
      <c r="H30" s="46">
        <v>41.046012448928046</v>
      </c>
      <c r="I30" s="50">
        <v>40.61516275664755</v>
      </c>
      <c r="J30" s="12">
        <v>41.091739992441106</v>
      </c>
      <c r="K30" s="12">
        <v>42.108414902224673</v>
      </c>
      <c r="L30" s="46">
        <v>42.79343603797841</v>
      </c>
      <c r="M30" s="50">
        <v>41.668324044886873</v>
      </c>
      <c r="N30" s="12">
        <v>41.647491959936282</v>
      </c>
      <c r="O30" s="46">
        <v>41.585080959919807</v>
      </c>
      <c r="Q30" s="49">
        <f>IF(_423_CCCT_WyoNE,VLOOKUP($B30,'Table 3 423 (Wyo)'!$B$11:$K$41,9,FALSE),IF(+_423_CCCT_Clvr1+_423_CCCT_Clvr2,VLOOKUP($B30,'Table 3 423 (UT)'!$B$11:$K$41,9,FALSE),IF(_313_CCCT_Wyo,VLOOKUP($B30,'Table 3 313'!$B$11:$K$41,9,FALSE),IF(_635_CCCT_UTN1+_635_CCCT_UTN2,VLOOKUP($B30,'Table 3 635'!$B$11:$K$41,9,FALSE),"ERROR"))))</f>
        <v>42.45</v>
      </c>
    </row>
    <row r="31" spans="2:17" ht="12.75" customHeight="1" x14ac:dyDescent="0.2">
      <c r="B31" s="57">
        <f t="shared" si="0"/>
        <v>2036</v>
      </c>
      <c r="C31" s="59">
        <v>42.886660025553546</v>
      </c>
      <c r="D31" s="20">
        <v>45.828313491319101</v>
      </c>
      <c r="E31" s="20">
        <v>42.545307762989871</v>
      </c>
      <c r="F31" s="20">
        <v>42.654037006823778</v>
      </c>
      <c r="G31" s="20">
        <v>41.831621075577402</v>
      </c>
      <c r="H31" s="47">
        <v>42.00045151203296</v>
      </c>
      <c r="I31" s="86">
        <v>41.413994678458067</v>
      </c>
      <c r="J31" s="20">
        <v>41.995618986741775</v>
      </c>
      <c r="K31" s="20">
        <v>43.471978747171271</v>
      </c>
      <c r="L31" s="47">
        <v>43.922801732226624</v>
      </c>
      <c r="M31" s="86">
        <v>42.926694908560002</v>
      </c>
      <c r="N31" s="20">
        <v>43.326435864883308</v>
      </c>
      <c r="O31" s="47">
        <v>42.666713208359752</v>
      </c>
      <c r="Q31" s="87">
        <f>IF(_423_CCCT_WyoNE,VLOOKUP($B31,'Table 3 423 (Wyo)'!$B$11:$K$41,9,FALSE),IF(+_423_CCCT_Clvr1+_423_CCCT_Clvr2,VLOOKUP($B31,'Table 3 423 (UT)'!$B$11:$K$41,9,FALSE),IF(_313_CCCT_Wyo,VLOOKUP($B31,'Table 3 313'!$B$11:$K$41,9,FALSE),IF(_635_CCCT_UTN1+_635_CCCT_UTN2,VLOOKUP($B31,'Table 3 635'!$B$11:$K$41,9,FALSE),"ERROR"))))</f>
        <v>43.95</v>
      </c>
    </row>
    <row r="32" spans="2:17" ht="12.75" customHeight="1" x14ac:dyDescent="0.2">
      <c r="D32" s="18"/>
      <c r="E32" s="18"/>
      <c r="F32" s="18"/>
      <c r="M32" s="26"/>
    </row>
    <row r="33" spans="2:17" x14ac:dyDescent="0.2">
      <c r="B33" s="225" t="s">
        <v>108</v>
      </c>
      <c r="C33" s="6" t="s">
        <v>111</v>
      </c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2:17" x14ac:dyDescent="0.2">
      <c r="C34" s="6" t="s">
        <v>109</v>
      </c>
    </row>
    <row r="35" spans="2:17" x14ac:dyDescent="0.2">
      <c r="C35" s="6" t="s">
        <v>110</v>
      </c>
    </row>
    <row r="36" spans="2:17" hidden="1" x14ac:dyDescent="0.2">
      <c r="D36" s="9" t="s">
        <v>48</v>
      </c>
    </row>
    <row r="37" spans="2:17" hidden="1" x14ac:dyDescent="0.2">
      <c r="C37" s="48"/>
      <c r="D37" s="53" t="s">
        <v>47</v>
      </c>
    </row>
    <row r="38" spans="2:17" hidden="1" x14ac:dyDescent="0.2"/>
    <row r="39" spans="2:17" hidden="1" x14ac:dyDescent="0.2"/>
    <row r="40" spans="2:17" hidden="1" x14ac:dyDescent="0.2"/>
    <row r="41" spans="2:17" hidden="1" x14ac:dyDescent="0.2"/>
    <row r="42" spans="2:17" hidden="1" x14ac:dyDescent="0.2"/>
    <row r="43" spans="2:17" hidden="1" x14ac:dyDescent="0.2">
      <c r="F43" s="61" t="s">
        <v>49</v>
      </c>
    </row>
    <row r="44" spans="2:17" hidden="1" x14ac:dyDescent="0.2">
      <c r="F44" s="60">
        <v>1.9E-2</v>
      </c>
    </row>
    <row r="46" spans="2:17" x14ac:dyDescent="0.2">
      <c r="C46" s="116"/>
    </row>
    <row r="47" spans="2:17" x14ac:dyDescent="0.2">
      <c r="C47" s="116"/>
    </row>
    <row r="48" spans="2:17" x14ac:dyDescent="0.2">
      <c r="C48" s="116"/>
    </row>
    <row r="49" spans="3:3" x14ac:dyDescent="0.2">
      <c r="C49" s="116"/>
    </row>
    <row r="50" spans="3:3" x14ac:dyDescent="0.2">
      <c r="C50" s="116"/>
    </row>
    <row r="51" spans="3:3" x14ac:dyDescent="0.2">
      <c r="C51" s="116"/>
    </row>
    <row r="52" spans="3:3" x14ac:dyDescent="0.2">
      <c r="C52" s="116"/>
    </row>
  </sheetData>
  <phoneticPr fontId="6" type="noConversion"/>
  <conditionalFormatting sqref="C17:O31">
    <cfRule type="cellIs" dxfId="0" priority="1" stopIfTrue="1" operator="equal">
      <formula>$Q17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O95"/>
  <sheetViews>
    <sheetView zoomScaleNormal="100" zoomScaleSheetLayoutView="85" workbookViewId="0">
      <pane xSplit="3" ySplit="10" topLeftCell="D29" activePane="bottomRight" state="frozen"/>
      <selection activeCell="C13" sqref="C12:C13"/>
      <selection pane="topRight" activeCell="C13" sqref="C12:C13"/>
      <selection pane="bottomLeft" activeCell="C13" sqref="C12:C13"/>
      <selection pane="bottomRight" activeCell="D10" sqref="D10"/>
    </sheetView>
  </sheetViews>
  <sheetFormatPr defaultColWidth="9.33203125" defaultRowHeight="12.75" x14ac:dyDescent="0.2"/>
  <cols>
    <col min="1" max="1" width="2.83203125" style="163" customWidth="1"/>
    <col min="2" max="2" width="10.83203125" style="163" customWidth="1"/>
    <col min="3" max="3" width="14.1640625" style="163" customWidth="1"/>
    <col min="4" max="4" width="12.33203125" style="163" customWidth="1"/>
    <col min="5" max="5" width="9.1640625" style="163" customWidth="1"/>
    <col min="6" max="6" width="10.5" style="163" customWidth="1"/>
    <col min="7" max="7" width="10.5" style="163" bestFit="1" customWidth="1"/>
    <col min="8" max="8" width="11.6640625" style="163" bestFit="1" customWidth="1"/>
    <col min="9" max="9" width="11.1640625" style="163" customWidth="1"/>
    <col min="10" max="10" width="12" style="163" bestFit="1" customWidth="1"/>
    <col min="11" max="11" width="12" style="163" customWidth="1"/>
    <col min="12" max="13" width="9.33203125" style="163"/>
    <col min="14" max="15" width="9.33203125" style="163" customWidth="1"/>
    <col min="16" max="16384" width="9.33203125" style="163"/>
  </cols>
  <sheetData>
    <row r="1" spans="2:14" ht="15.75" hidden="1" x14ac:dyDescent="0.25">
      <c r="B1" s="1" t="s">
        <v>73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4" ht="15.75" x14ac:dyDescent="0.25">
      <c r="B2" s="1"/>
      <c r="C2" s="162"/>
      <c r="D2" s="162"/>
      <c r="E2" s="162"/>
      <c r="F2" s="162"/>
      <c r="G2" s="162"/>
      <c r="H2" s="162"/>
      <c r="I2" s="162"/>
      <c r="J2" s="162"/>
      <c r="K2" s="162"/>
    </row>
    <row r="3" spans="2:14" ht="15.75" x14ac:dyDescent="0.25">
      <c r="B3" s="1" t="s">
        <v>113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4" ht="15.75" x14ac:dyDescent="0.25">
      <c r="B4" s="1" t="s">
        <v>126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4" ht="15.75" x14ac:dyDescent="0.25">
      <c r="B5" s="1" t="str">
        <f>C54</f>
        <v>Dave Johnston - 423 MW - CCCT Dry "J", Adv 1x1 - East Side Resource (5,050')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4" ht="15.75" x14ac:dyDescent="0.25">
      <c r="B6" s="1"/>
      <c r="C6" s="162"/>
      <c r="D6" s="162"/>
      <c r="E6" s="162"/>
      <c r="F6" s="162"/>
      <c r="G6" s="162"/>
      <c r="H6" s="162"/>
      <c r="I6" s="162"/>
      <c r="K6" s="62"/>
    </row>
    <row r="7" spans="2:14" x14ac:dyDescent="0.2">
      <c r="B7" s="164"/>
      <c r="C7" s="164"/>
      <c r="D7" s="164"/>
      <c r="E7" s="164"/>
      <c r="F7" s="164"/>
      <c r="G7" s="164"/>
      <c r="H7" s="164"/>
      <c r="I7" s="162"/>
      <c r="J7" s="165"/>
      <c r="K7" s="165"/>
      <c r="L7" s="165"/>
      <c r="M7" s="165"/>
      <c r="N7" s="165"/>
    </row>
    <row r="8" spans="2:14" ht="51.75" customHeight="1" x14ac:dyDescent="0.2">
      <c r="B8" s="63" t="s">
        <v>0</v>
      </c>
      <c r="C8" s="64" t="s">
        <v>10</v>
      </c>
      <c r="D8" s="64" t="s">
        <v>11</v>
      </c>
      <c r="E8" s="64" t="s">
        <v>12</v>
      </c>
      <c r="F8" s="64" t="s">
        <v>13</v>
      </c>
      <c r="G8" s="64" t="s">
        <v>14</v>
      </c>
      <c r="H8" s="64" t="s">
        <v>15</v>
      </c>
      <c r="I8" s="65" t="s">
        <v>41</v>
      </c>
      <c r="J8" s="65" t="s">
        <v>94</v>
      </c>
      <c r="K8" s="64" t="s">
        <v>95</v>
      </c>
      <c r="L8" s="165"/>
    </row>
    <row r="9" spans="2:14" ht="18.75" customHeight="1" x14ac:dyDescent="0.2">
      <c r="B9" s="66"/>
      <c r="C9" s="67" t="s">
        <v>8</v>
      </c>
      <c r="D9" s="68" t="s">
        <v>9</v>
      </c>
      <c r="E9" s="68" t="s">
        <v>9</v>
      </c>
      <c r="F9" s="67" t="s">
        <v>59</v>
      </c>
      <c r="G9" s="68" t="s">
        <v>9</v>
      </c>
      <c r="H9" s="68" t="s">
        <v>9</v>
      </c>
      <c r="I9" s="68" t="s">
        <v>42</v>
      </c>
      <c r="J9" s="67" t="s">
        <v>59</v>
      </c>
      <c r="K9" s="67" t="s">
        <v>59</v>
      </c>
      <c r="L9" s="165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7" t="str">
        <f>C54</f>
        <v>Dave Johnston - 423 MW - CCCT Dry "J", Adv 1x1 - East Side Resource (5,050')</v>
      </c>
      <c r="C12" s="165"/>
      <c r="E12" s="165"/>
      <c r="F12" s="165"/>
      <c r="G12" s="165"/>
      <c r="H12" s="165"/>
      <c r="I12" s="164"/>
      <c r="J12" s="164"/>
      <c r="K12" s="164"/>
      <c r="L12" s="165"/>
    </row>
    <row r="13" spans="2:14" ht="4.5" customHeight="1" x14ac:dyDescent="0.2">
      <c r="B13" s="166"/>
      <c r="C13" s="167"/>
      <c r="D13" s="168"/>
      <c r="E13" s="169"/>
      <c r="F13" s="169"/>
      <c r="G13" s="170"/>
      <c r="H13" s="170"/>
      <c r="I13" s="170"/>
      <c r="J13" s="170"/>
      <c r="K13" s="170"/>
    </row>
    <row r="14" spans="2:14" x14ac:dyDescent="0.2">
      <c r="B14" s="166">
        <v>2014</v>
      </c>
      <c r="C14" s="167">
        <f>$H$60</f>
        <v>914</v>
      </c>
      <c r="D14" s="168">
        <f>ROUND(C14*$C$76,2)</f>
        <v>70.209999999999994</v>
      </c>
      <c r="E14" s="169">
        <f>$I$60</f>
        <v>20.93</v>
      </c>
      <c r="F14" s="169">
        <f>$J$65</f>
        <v>2.62</v>
      </c>
      <c r="G14" s="170">
        <f t="shared" ref="G14:G42" si="0">ROUND(F14*(8.76*$G$65)+E14,2)</f>
        <v>37.29</v>
      </c>
      <c r="H14" s="170">
        <f t="shared" ref="H14:H42" si="1">ROUND(D14+G14,2)</f>
        <v>107.5</v>
      </c>
      <c r="I14" s="170"/>
      <c r="J14" s="170"/>
      <c r="K14" s="170"/>
    </row>
    <row r="15" spans="2:14" x14ac:dyDescent="0.2">
      <c r="B15" s="166">
        <f t="shared" ref="B15:B42" si="2">B14+1</f>
        <v>2015</v>
      </c>
      <c r="C15" s="171"/>
      <c r="D15" s="168">
        <f t="shared" ref="D15:F17" si="3">ROUND(D14*(1+$D83),2)</f>
        <v>70.56</v>
      </c>
      <c r="E15" s="168">
        <f t="shared" si="3"/>
        <v>21.03</v>
      </c>
      <c r="F15" s="168">
        <f t="shared" si="3"/>
        <v>2.63</v>
      </c>
      <c r="G15" s="172">
        <f t="shared" si="0"/>
        <v>37.46</v>
      </c>
      <c r="H15" s="172">
        <f t="shared" si="1"/>
        <v>108.02</v>
      </c>
      <c r="I15" s="170"/>
      <c r="J15" s="170"/>
      <c r="K15" s="170"/>
      <c r="M15" s="104"/>
    </row>
    <row r="16" spans="2:14" x14ac:dyDescent="0.2">
      <c r="B16" s="166">
        <f t="shared" si="2"/>
        <v>2016</v>
      </c>
      <c r="C16" s="171"/>
      <c r="D16" s="168">
        <f t="shared" si="3"/>
        <v>71.900000000000006</v>
      </c>
      <c r="E16" s="168">
        <f t="shared" si="3"/>
        <v>21.43</v>
      </c>
      <c r="F16" s="168">
        <f t="shared" si="3"/>
        <v>2.68</v>
      </c>
      <c r="G16" s="170">
        <f t="shared" si="0"/>
        <v>38.17</v>
      </c>
      <c r="H16" s="170">
        <f t="shared" si="1"/>
        <v>110.07</v>
      </c>
      <c r="I16" s="170"/>
      <c r="J16" s="170"/>
      <c r="K16" s="170"/>
      <c r="M16" s="104"/>
    </row>
    <row r="17" spans="2:13" x14ac:dyDescent="0.2">
      <c r="B17" s="166">
        <f t="shared" si="2"/>
        <v>2017</v>
      </c>
      <c r="C17" s="171"/>
      <c r="D17" s="168">
        <f t="shared" si="3"/>
        <v>73.48</v>
      </c>
      <c r="E17" s="168">
        <f t="shared" si="3"/>
        <v>21.9</v>
      </c>
      <c r="F17" s="168">
        <f t="shared" si="3"/>
        <v>2.74</v>
      </c>
      <c r="G17" s="170">
        <f t="shared" si="0"/>
        <v>39.01</v>
      </c>
      <c r="H17" s="170">
        <f t="shared" si="1"/>
        <v>112.49</v>
      </c>
      <c r="I17" s="170"/>
      <c r="J17" s="170"/>
      <c r="K17" s="170"/>
      <c r="M17" s="104"/>
    </row>
    <row r="18" spans="2:13" x14ac:dyDescent="0.2">
      <c r="B18" s="166">
        <f t="shared" si="2"/>
        <v>2018</v>
      </c>
      <c r="C18" s="171"/>
      <c r="D18" s="168">
        <f t="shared" ref="D18:F18" si="4">ROUND(D17*(1+$D86),2)</f>
        <v>75.17</v>
      </c>
      <c r="E18" s="168">
        <f t="shared" si="4"/>
        <v>22.4</v>
      </c>
      <c r="F18" s="168">
        <f t="shared" si="4"/>
        <v>2.8</v>
      </c>
      <c r="G18" s="170">
        <f t="shared" ref="G18:G23" si="5">ROUND(F18*(8.76*$G$65)+E18,2)</f>
        <v>39.89</v>
      </c>
      <c r="H18" s="170">
        <f t="shared" ref="H18:H23" si="6">ROUND(D18+G18,2)</f>
        <v>115.06</v>
      </c>
      <c r="I18" s="170"/>
      <c r="J18" s="170"/>
      <c r="K18" s="170"/>
      <c r="M18" s="104"/>
    </row>
    <row r="19" spans="2:13" x14ac:dyDescent="0.2">
      <c r="B19" s="166">
        <f t="shared" si="2"/>
        <v>2019</v>
      </c>
      <c r="C19" s="171"/>
      <c r="D19" s="168">
        <f t="shared" ref="D19:F19" si="7">ROUND(D18*(1+$D87),2)</f>
        <v>76.819999999999993</v>
      </c>
      <c r="E19" s="168">
        <f t="shared" si="7"/>
        <v>22.89</v>
      </c>
      <c r="F19" s="168">
        <f t="shared" si="7"/>
        <v>2.86</v>
      </c>
      <c r="G19" s="170">
        <f t="shared" si="5"/>
        <v>40.75</v>
      </c>
      <c r="H19" s="170">
        <f t="shared" si="6"/>
        <v>117.57</v>
      </c>
      <c r="I19" s="170"/>
      <c r="J19" s="170"/>
      <c r="K19" s="170"/>
      <c r="M19" s="104"/>
    </row>
    <row r="20" spans="2:13" x14ac:dyDescent="0.2">
      <c r="B20" s="166">
        <f t="shared" si="2"/>
        <v>2020</v>
      </c>
      <c r="C20" s="171"/>
      <c r="D20" s="168">
        <f t="shared" ref="D20:F20" si="8">ROUND(D19*(1+$D88),2)</f>
        <v>78.28</v>
      </c>
      <c r="E20" s="168">
        <f t="shared" si="8"/>
        <v>23.32</v>
      </c>
      <c r="F20" s="168">
        <f t="shared" si="8"/>
        <v>2.91</v>
      </c>
      <c r="G20" s="170">
        <f t="shared" si="5"/>
        <v>41.5</v>
      </c>
      <c r="H20" s="170">
        <f t="shared" si="6"/>
        <v>119.78</v>
      </c>
      <c r="I20" s="170"/>
      <c r="J20" s="170"/>
      <c r="K20" s="170"/>
      <c r="M20" s="104"/>
    </row>
    <row r="21" spans="2:13" x14ac:dyDescent="0.2">
      <c r="B21" s="166">
        <f t="shared" si="2"/>
        <v>2021</v>
      </c>
      <c r="C21" s="171"/>
      <c r="D21" s="168">
        <f t="shared" ref="D21:F21" si="9">ROUND(D20*(1+$D89),2)</f>
        <v>79.92</v>
      </c>
      <c r="E21" s="168">
        <f t="shared" si="9"/>
        <v>23.81</v>
      </c>
      <c r="F21" s="168">
        <f t="shared" si="9"/>
        <v>2.97</v>
      </c>
      <c r="G21" s="170">
        <f t="shared" si="5"/>
        <v>42.36</v>
      </c>
      <c r="H21" s="170">
        <f t="shared" si="6"/>
        <v>122.28</v>
      </c>
      <c r="I21" s="170"/>
      <c r="J21" s="170"/>
      <c r="K21" s="170"/>
      <c r="M21" s="104"/>
    </row>
    <row r="22" spans="2:13" x14ac:dyDescent="0.2">
      <c r="B22" s="166">
        <f t="shared" si="2"/>
        <v>2022</v>
      </c>
      <c r="C22" s="171"/>
      <c r="D22" s="168">
        <f t="shared" ref="D22:F22" si="10">ROUND(D21*(1+$D90),2)</f>
        <v>81.760000000000005</v>
      </c>
      <c r="E22" s="168">
        <f t="shared" si="10"/>
        <v>24.36</v>
      </c>
      <c r="F22" s="168">
        <f t="shared" si="10"/>
        <v>3.04</v>
      </c>
      <c r="G22" s="170">
        <f t="shared" si="5"/>
        <v>43.35</v>
      </c>
      <c r="H22" s="170">
        <f t="shared" si="6"/>
        <v>125.11</v>
      </c>
      <c r="I22" s="170"/>
      <c r="J22" s="170"/>
      <c r="K22" s="170"/>
      <c r="M22" s="104"/>
    </row>
    <row r="23" spans="2:13" x14ac:dyDescent="0.2">
      <c r="B23" s="166">
        <f t="shared" si="2"/>
        <v>2023</v>
      </c>
      <c r="C23" s="171"/>
      <c r="D23" s="168">
        <f t="shared" ref="D23:F23" si="11">ROUND(D22*(1+$D91),2)</f>
        <v>83.72</v>
      </c>
      <c r="E23" s="168">
        <f t="shared" si="11"/>
        <v>24.94</v>
      </c>
      <c r="F23" s="168">
        <f t="shared" si="11"/>
        <v>3.11</v>
      </c>
      <c r="G23" s="170">
        <f t="shared" si="5"/>
        <v>44.36</v>
      </c>
      <c r="H23" s="170">
        <f t="shared" si="6"/>
        <v>128.08000000000001</v>
      </c>
      <c r="I23" s="170"/>
      <c r="J23" s="170"/>
      <c r="K23" s="170"/>
      <c r="M23" s="104"/>
    </row>
    <row r="24" spans="2:13" x14ac:dyDescent="0.2">
      <c r="B24" s="166">
        <f t="shared" si="2"/>
        <v>2024</v>
      </c>
      <c r="C24" s="171"/>
      <c r="D24" s="172">
        <f>ROUND(D23*(1+$G83),2)</f>
        <v>85.65</v>
      </c>
      <c r="E24" s="172">
        <f>ROUND(E23*(1+$G83),2)</f>
        <v>25.51</v>
      </c>
      <c r="F24" s="172">
        <f>ROUND(F23*(1+$G83),2)</f>
        <v>3.18</v>
      </c>
      <c r="G24" s="170">
        <f t="shared" si="0"/>
        <v>45.37</v>
      </c>
      <c r="H24" s="170">
        <f t="shared" si="1"/>
        <v>131.02000000000001</v>
      </c>
      <c r="I24" s="170"/>
      <c r="J24" s="170"/>
      <c r="K24" s="170"/>
      <c r="M24" s="104"/>
    </row>
    <row r="25" spans="2:13" x14ac:dyDescent="0.2">
      <c r="B25" s="166">
        <f t="shared" si="2"/>
        <v>2025</v>
      </c>
      <c r="C25" s="171"/>
      <c r="D25" s="172">
        <f t="shared" ref="D25:F25" si="12">ROUND(D24*(1+$G84),2)</f>
        <v>87.53</v>
      </c>
      <c r="E25" s="172">
        <f t="shared" si="12"/>
        <v>26.07</v>
      </c>
      <c r="F25" s="172">
        <f t="shared" si="12"/>
        <v>3.25</v>
      </c>
      <c r="G25" s="170">
        <f t="shared" ref="G25:G30" si="13">ROUND(F25*(8.76*$G$65)+E25,2)</f>
        <v>46.37</v>
      </c>
      <c r="H25" s="170">
        <f t="shared" ref="H25:H30" si="14">ROUND(D25+G25,2)</f>
        <v>133.9</v>
      </c>
      <c r="I25" s="170"/>
      <c r="J25" s="170"/>
      <c r="K25" s="170"/>
      <c r="M25" s="104"/>
    </row>
    <row r="26" spans="2:13" x14ac:dyDescent="0.2">
      <c r="B26" s="166">
        <f t="shared" si="2"/>
        <v>2026</v>
      </c>
      <c r="C26" s="171"/>
      <c r="D26" s="172">
        <f t="shared" ref="D26:F26" si="15">ROUND(D25*(1+$G85),2)</f>
        <v>89.46</v>
      </c>
      <c r="E26" s="172">
        <f t="shared" si="15"/>
        <v>26.64</v>
      </c>
      <c r="F26" s="172">
        <f t="shared" si="15"/>
        <v>3.32</v>
      </c>
      <c r="G26" s="170">
        <f t="shared" si="13"/>
        <v>47.38</v>
      </c>
      <c r="H26" s="170">
        <f t="shared" si="14"/>
        <v>136.84</v>
      </c>
      <c r="I26" s="170"/>
      <c r="J26" s="170"/>
      <c r="K26" s="170"/>
      <c r="M26" s="104"/>
    </row>
    <row r="27" spans="2:13" ht="13.5" thickBot="1" x14ac:dyDescent="0.25">
      <c r="B27" s="166">
        <f t="shared" si="2"/>
        <v>2027</v>
      </c>
      <c r="C27" s="171"/>
      <c r="D27" s="229">
        <f t="shared" ref="D27:F28" si="16">ROUND(D26*(1+$G86),2)</f>
        <v>91.43</v>
      </c>
      <c r="E27" s="229">
        <f t="shared" si="16"/>
        <v>27.23</v>
      </c>
      <c r="F27" s="229">
        <f t="shared" si="16"/>
        <v>3.39</v>
      </c>
      <c r="G27" s="197">
        <f t="shared" si="13"/>
        <v>48.4</v>
      </c>
      <c r="H27" s="197">
        <f t="shared" si="14"/>
        <v>139.83000000000001</v>
      </c>
      <c r="I27" s="197"/>
      <c r="J27" s="197"/>
      <c r="K27" s="197"/>
      <c r="M27" s="104"/>
    </row>
    <row r="28" spans="2:13" s="207" customFormat="1" x14ac:dyDescent="0.2">
      <c r="B28" s="210">
        <f t="shared" si="2"/>
        <v>2028</v>
      </c>
      <c r="C28" s="211"/>
      <c r="D28" s="205">
        <f t="shared" si="16"/>
        <v>93.44</v>
      </c>
      <c r="E28" s="205">
        <f t="shared" si="16"/>
        <v>27.83</v>
      </c>
      <c r="F28" s="205">
        <f t="shared" si="16"/>
        <v>3.46</v>
      </c>
      <c r="G28" s="205">
        <f t="shared" ref="G28" si="17">ROUND(F28*(8.76*$G$65)+E28,2)</f>
        <v>49.44</v>
      </c>
      <c r="H28" s="205">
        <f t="shared" ref="H28" si="18">ROUND(D28+G28,2)</f>
        <v>142.88</v>
      </c>
      <c r="I28" s="170">
        <f>VLOOKUP(B28,'Table 4'!$B$13:$C$40,2,FALSE)</f>
        <v>5</v>
      </c>
      <c r="J28" s="170">
        <f t="shared" ref="J28" si="19">ROUND($K$65*I28/1000,2)</f>
        <v>32.65</v>
      </c>
      <c r="K28" s="170">
        <f t="shared" ref="K28" si="20">ROUND(H28*1000/8760/$G$65+J28,2)</f>
        <v>55.53</v>
      </c>
      <c r="M28" s="115"/>
    </row>
    <row r="29" spans="2:13" s="207" customFormat="1" x14ac:dyDescent="0.2">
      <c r="B29" s="210">
        <f t="shared" si="2"/>
        <v>2029</v>
      </c>
      <c r="C29" s="211"/>
      <c r="D29" s="205">
        <f t="shared" ref="D29" si="21">ROUND(D28*(1+$G88),2)</f>
        <v>95.5</v>
      </c>
      <c r="E29" s="205">
        <f t="shared" ref="E29" si="22">ROUND(E28*(1+$G88),2)</f>
        <v>28.44</v>
      </c>
      <c r="F29" s="205">
        <f t="shared" ref="F29" si="23">ROUND(F28*(1+$G88),2)</f>
        <v>3.54</v>
      </c>
      <c r="G29" s="205">
        <f t="shared" ref="G29" si="24">ROUND(F29*(8.76*$G$65)+E29,2)</f>
        <v>50.55</v>
      </c>
      <c r="H29" s="205">
        <f t="shared" ref="H29" si="25">ROUND(D29+G29,2)</f>
        <v>146.05000000000001</v>
      </c>
      <c r="I29" s="170">
        <f>VLOOKUP(B29,'Table 4'!$B$13:$C$40,2,FALSE)</f>
        <v>5.2</v>
      </c>
      <c r="J29" s="170">
        <f t="shared" ref="J29" si="26">ROUND($K$65*I29/1000,2)</f>
        <v>33.96</v>
      </c>
      <c r="K29" s="170">
        <f t="shared" ref="K29" si="27">ROUND(H29*1000/8760/$G$65+J29,2)</f>
        <v>57.34</v>
      </c>
      <c r="M29" s="115"/>
    </row>
    <row r="30" spans="2:13" s="207" customFormat="1" x14ac:dyDescent="0.2">
      <c r="B30" s="210">
        <f t="shared" si="2"/>
        <v>2030</v>
      </c>
      <c r="C30" s="211"/>
      <c r="D30" s="205">
        <f t="shared" ref="D30:F30" si="28">ROUND(D29*(1+$G89),2)</f>
        <v>97.6</v>
      </c>
      <c r="E30" s="205">
        <f t="shared" si="28"/>
        <v>29.07</v>
      </c>
      <c r="F30" s="205">
        <f t="shared" si="28"/>
        <v>3.62</v>
      </c>
      <c r="G30" s="205">
        <f t="shared" si="13"/>
        <v>51.68</v>
      </c>
      <c r="H30" s="205">
        <f t="shared" si="14"/>
        <v>149.28</v>
      </c>
      <c r="I30" s="170">
        <f>VLOOKUP(B30,'Table 4'!$B$13:$C$40,2,FALSE)</f>
        <v>5.45</v>
      </c>
      <c r="J30" s="170">
        <f t="shared" ref="J30:J42" si="29">ROUND($K$65*I30/1000,2)</f>
        <v>35.590000000000003</v>
      </c>
      <c r="K30" s="170">
        <f t="shared" ref="K30:K42" si="30">ROUND(H30*1000/8760/$G$65+J30,2)</f>
        <v>59.49</v>
      </c>
      <c r="M30" s="115"/>
    </row>
    <row r="31" spans="2:13" s="207" customFormat="1" x14ac:dyDescent="0.2">
      <c r="B31" s="210">
        <f t="shared" si="2"/>
        <v>2031</v>
      </c>
      <c r="C31" s="211"/>
      <c r="D31" s="205">
        <f t="shared" ref="D31:D32" si="31">ROUND(D30*(1+$G90),2)</f>
        <v>99.84</v>
      </c>
      <c r="E31" s="205">
        <f t="shared" ref="E31:E32" si="32">ROUND(E30*(1+$G90),2)</f>
        <v>29.74</v>
      </c>
      <c r="F31" s="205">
        <f t="shared" ref="F31:F32" si="33">ROUND(F30*(1+$G90),2)</f>
        <v>3.7</v>
      </c>
      <c r="G31" s="205">
        <f t="shared" ref="G31:G33" si="34">ROUND(F31*(8.76*$G$65)+E31,2)</f>
        <v>52.85</v>
      </c>
      <c r="H31" s="205">
        <f t="shared" ref="H31:H33" si="35">ROUND(D31+G31,2)</f>
        <v>152.69</v>
      </c>
      <c r="I31" s="170">
        <f>VLOOKUP(B31,'Table 4'!$B$13:$C$40,2,FALSE)</f>
        <v>5.89</v>
      </c>
      <c r="J31" s="170">
        <f t="shared" si="29"/>
        <v>38.46</v>
      </c>
      <c r="K31" s="170">
        <f t="shared" si="30"/>
        <v>62.91</v>
      </c>
      <c r="M31" s="115"/>
    </row>
    <row r="32" spans="2:13" s="207" customFormat="1" x14ac:dyDescent="0.2">
      <c r="B32" s="210">
        <f t="shared" si="2"/>
        <v>2032</v>
      </c>
      <c r="C32" s="211"/>
      <c r="D32" s="205">
        <f t="shared" si="31"/>
        <v>102.14</v>
      </c>
      <c r="E32" s="205">
        <f t="shared" si="32"/>
        <v>30.42</v>
      </c>
      <c r="F32" s="205">
        <f t="shared" si="33"/>
        <v>3.79</v>
      </c>
      <c r="G32" s="205">
        <f t="shared" si="34"/>
        <v>54.09</v>
      </c>
      <c r="H32" s="205">
        <f t="shared" si="35"/>
        <v>156.22999999999999</v>
      </c>
      <c r="I32" s="170">
        <f>VLOOKUP(B32,'Table 4'!$B$13:$C$40,2,FALSE)</f>
        <v>5.98</v>
      </c>
      <c r="J32" s="170">
        <f t="shared" si="29"/>
        <v>39.049999999999997</v>
      </c>
      <c r="K32" s="170">
        <f t="shared" si="30"/>
        <v>64.06</v>
      </c>
      <c r="M32" s="115"/>
    </row>
    <row r="33" spans="2:15" x14ac:dyDescent="0.2">
      <c r="B33" s="166">
        <f t="shared" si="2"/>
        <v>2033</v>
      </c>
      <c r="C33" s="171"/>
      <c r="D33" s="170">
        <f>ROUND(D32*(1+$J83),2)</f>
        <v>104.49</v>
      </c>
      <c r="E33" s="168">
        <f>ROUND(E32*(1+$J83),2)</f>
        <v>31.12</v>
      </c>
      <c r="F33" s="168">
        <f>ROUND(F32*(1+$J83),2)</f>
        <v>3.88</v>
      </c>
      <c r="G33" s="170">
        <f t="shared" si="34"/>
        <v>55.35</v>
      </c>
      <c r="H33" s="170">
        <f t="shared" si="35"/>
        <v>159.84</v>
      </c>
      <c r="I33" s="170">
        <f>VLOOKUP(B33,'Table 4'!$B$13:$C$40,2,FALSE)</f>
        <v>6.12</v>
      </c>
      <c r="J33" s="170">
        <f t="shared" si="29"/>
        <v>39.96</v>
      </c>
      <c r="K33" s="170">
        <f t="shared" si="30"/>
        <v>65.55</v>
      </c>
      <c r="M33" s="115"/>
    </row>
    <row r="34" spans="2:15" x14ac:dyDescent="0.2">
      <c r="B34" s="166">
        <f t="shared" si="2"/>
        <v>2034</v>
      </c>
      <c r="C34" s="171"/>
      <c r="D34" s="170">
        <f t="shared" ref="D34:F34" si="36">ROUND(D33*(1+$J84),2)</f>
        <v>106.89</v>
      </c>
      <c r="E34" s="168">
        <f t="shared" si="36"/>
        <v>31.84</v>
      </c>
      <c r="F34" s="168">
        <f t="shared" si="36"/>
        <v>3.97</v>
      </c>
      <c r="G34" s="170">
        <f t="shared" ref="G34:G40" si="37">ROUND(F34*(8.76*$G$65)+E34,2)</f>
        <v>56.64</v>
      </c>
      <c r="H34" s="170">
        <f t="shared" ref="H34:H40" si="38">ROUND(D34+G34,2)</f>
        <v>163.53</v>
      </c>
      <c r="I34" s="170">
        <f>VLOOKUP(B34,'Table 4'!$B$13:$C$40,2,FALSE)</f>
        <v>6.36</v>
      </c>
      <c r="J34" s="170">
        <f t="shared" si="29"/>
        <v>41.53</v>
      </c>
      <c r="K34" s="170">
        <f t="shared" si="30"/>
        <v>67.709999999999994</v>
      </c>
      <c r="M34" s="115"/>
    </row>
    <row r="35" spans="2:15" x14ac:dyDescent="0.2">
      <c r="B35" s="166">
        <f t="shared" si="2"/>
        <v>2035</v>
      </c>
      <c r="C35" s="171"/>
      <c r="D35" s="170">
        <f t="shared" ref="D35:F35" si="39">ROUND(D34*(1+$J85),2)</f>
        <v>109.35</v>
      </c>
      <c r="E35" s="168">
        <f t="shared" si="39"/>
        <v>32.57</v>
      </c>
      <c r="F35" s="168">
        <f t="shared" si="39"/>
        <v>4.0599999999999996</v>
      </c>
      <c r="G35" s="170">
        <f t="shared" si="37"/>
        <v>57.93</v>
      </c>
      <c r="H35" s="170">
        <f t="shared" si="38"/>
        <v>167.28</v>
      </c>
      <c r="I35" s="170">
        <f>VLOOKUP(B35,'Table 4'!$B$13:$C$40,2,FALSE)</f>
        <v>6.5</v>
      </c>
      <c r="J35" s="170">
        <f t="shared" si="29"/>
        <v>42.45</v>
      </c>
      <c r="K35" s="170">
        <f t="shared" si="30"/>
        <v>69.23</v>
      </c>
      <c r="M35" s="115"/>
    </row>
    <row r="36" spans="2:15" x14ac:dyDescent="0.2">
      <c r="B36" s="166">
        <f t="shared" si="2"/>
        <v>2036</v>
      </c>
      <c r="C36" s="171"/>
      <c r="D36" s="170">
        <f t="shared" ref="D36:F36" si="40">ROUND(D35*(1+$J86),2)</f>
        <v>111.87</v>
      </c>
      <c r="E36" s="168">
        <f t="shared" si="40"/>
        <v>33.32</v>
      </c>
      <c r="F36" s="168">
        <f t="shared" si="40"/>
        <v>4.1500000000000004</v>
      </c>
      <c r="G36" s="170">
        <f t="shared" si="37"/>
        <v>59.24</v>
      </c>
      <c r="H36" s="170">
        <f t="shared" si="38"/>
        <v>171.11</v>
      </c>
      <c r="I36" s="170">
        <f>VLOOKUP(B36,'Table 4'!$B$13:$C$40,2,FALSE)</f>
        <v>6.73</v>
      </c>
      <c r="J36" s="170">
        <f t="shared" si="29"/>
        <v>43.95</v>
      </c>
      <c r="K36" s="170">
        <f t="shared" si="30"/>
        <v>71.349999999999994</v>
      </c>
      <c r="M36" s="115"/>
    </row>
    <row r="37" spans="2:15" x14ac:dyDescent="0.2">
      <c r="B37" s="166">
        <f t="shared" si="2"/>
        <v>2037</v>
      </c>
      <c r="C37" s="171"/>
      <c r="D37" s="170">
        <f t="shared" ref="D37:F37" si="41">ROUND(D36*(1+$J87),2)</f>
        <v>114.44</v>
      </c>
      <c r="E37" s="168">
        <f t="shared" si="41"/>
        <v>34.090000000000003</v>
      </c>
      <c r="F37" s="168">
        <f t="shared" si="41"/>
        <v>4.25</v>
      </c>
      <c r="G37" s="170">
        <f t="shared" si="37"/>
        <v>60.63</v>
      </c>
      <c r="H37" s="170">
        <f t="shared" si="38"/>
        <v>175.07</v>
      </c>
      <c r="I37" s="170">
        <f>VLOOKUP(B37,'Table 4'!$B$13:$C$40,2,FALSE)</f>
        <v>7.01</v>
      </c>
      <c r="J37" s="170">
        <f t="shared" si="29"/>
        <v>45.78</v>
      </c>
      <c r="K37" s="170">
        <f t="shared" si="30"/>
        <v>73.81</v>
      </c>
      <c r="M37" s="115"/>
    </row>
    <row r="38" spans="2:15" x14ac:dyDescent="0.2">
      <c r="B38" s="166">
        <f t="shared" si="2"/>
        <v>2038</v>
      </c>
      <c r="C38" s="171"/>
      <c r="D38" s="170">
        <f t="shared" ref="D38:F38" si="42">ROUND(D37*(1+$J88),2)</f>
        <v>117.07</v>
      </c>
      <c r="E38" s="168">
        <f t="shared" si="42"/>
        <v>34.869999999999997</v>
      </c>
      <c r="F38" s="168">
        <f t="shared" si="42"/>
        <v>4.3499999999999996</v>
      </c>
      <c r="G38" s="170">
        <f t="shared" si="37"/>
        <v>62.04</v>
      </c>
      <c r="H38" s="170">
        <f t="shared" si="38"/>
        <v>179.11</v>
      </c>
      <c r="I38" s="170">
        <f>VLOOKUP(B38,'Table 4'!$B$13:$C$40,2,FALSE)</f>
        <v>7.23</v>
      </c>
      <c r="J38" s="170">
        <f t="shared" si="29"/>
        <v>47.21</v>
      </c>
      <c r="K38" s="170">
        <f t="shared" si="30"/>
        <v>75.89</v>
      </c>
      <c r="M38" s="115"/>
    </row>
    <row r="39" spans="2:15" x14ac:dyDescent="0.2">
      <c r="B39" s="166">
        <f t="shared" si="2"/>
        <v>2039</v>
      </c>
      <c r="C39" s="171"/>
      <c r="D39" s="170">
        <f t="shared" ref="D39:F39" si="43">ROUND(D38*(1+$J89),2)</f>
        <v>119.88</v>
      </c>
      <c r="E39" s="168">
        <f t="shared" si="43"/>
        <v>35.71</v>
      </c>
      <c r="F39" s="168">
        <f t="shared" si="43"/>
        <v>4.45</v>
      </c>
      <c r="G39" s="170">
        <f t="shared" si="37"/>
        <v>63.5</v>
      </c>
      <c r="H39" s="170">
        <f t="shared" si="38"/>
        <v>183.38</v>
      </c>
      <c r="I39" s="170">
        <f>VLOOKUP(B39,'Table 4'!$B$13:$C$40,2,FALSE)</f>
        <v>7.42</v>
      </c>
      <c r="J39" s="170">
        <f t="shared" si="29"/>
        <v>48.45</v>
      </c>
      <c r="K39" s="170">
        <f t="shared" si="30"/>
        <v>77.81</v>
      </c>
      <c r="M39" s="115"/>
    </row>
    <row r="40" spans="2:15" x14ac:dyDescent="0.2">
      <c r="B40" s="166">
        <f t="shared" si="2"/>
        <v>2040</v>
      </c>
      <c r="C40" s="171"/>
      <c r="D40" s="170">
        <f t="shared" ref="D40:F40" si="44">ROUND(D39*(1+$J90),2)</f>
        <v>122.76</v>
      </c>
      <c r="E40" s="168">
        <f t="shared" si="44"/>
        <v>36.57</v>
      </c>
      <c r="F40" s="168">
        <f t="shared" si="44"/>
        <v>4.5599999999999996</v>
      </c>
      <c r="G40" s="170">
        <f t="shared" si="37"/>
        <v>65.05</v>
      </c>
      <c r="H40" s="170">
        <f t="shared" si="38"/>
        <v>187.81</v>
      </c>
      <c r="I40" s="170">
        <f>VLOOKUP(B40,'Table 4'!$B$13:$C$40,2,FALSE)</f>
        <v>7.71</v>
      </c>
      <c r="J40" s="170">
        <f t="shared" si="29"/>
        <v>50.35</v>
      </c>
      <c r="K40" s="170">
        <f t="shared" si="30"/>
        <v>80.42</v>
      </c>
      <c r="M40" s="115"/>
    </row>
    <row r="41" spans="2:15" hidden="1" x14ac:dyDescent="0.2">
      <c r="B41" s="166">
        <f t="shared" si="2"/>
        <v>2041</v>
      </c>
      <c r="C41" s="171"/>
      <c r="D41" s="170">
        <f t="shared" ref="D41:F42" si="45">ROUND(D40*(1+$J92),2)</f>
        <v>122.76</v>
      </c>
      <c r="E41" s="168">
        <f t="shared" si="45"/>
        <v>36.57</v>
      </c>
      <c r="F41" s="168">
        <f t="shared" si="45"/>
        <v>4.5599999999999996</v>
      </c>
      <c r="G41" s="170">
        <f t="shared" si="0"/>
        <v>65.05</v>
      </c>
      <c r="H41" s="170">
        <f t="shared" si="1"/>
        <v>187.81</v>
      </c>
      <c r="I41" s="170" t="e">
        <f>VLOOKUP(B41,'Table 4'!$B$13:$C$40,2,FALSE)</f>
        <v>#N/A</v>
      </c>
      <c r="J41" s="170" t="e">
        <f t="shared" si="29"/>
        <v>#N/A</v>
      </c>
      <c r="K41" s="170" t="e">
        <f t="shared" si="30"/>
        <v>#N/A</v>
      </c>
    </row>
    <row r="42" spans="2:15" hidden="1" x14ac:dyDescent="0.2">
      <c r="B42" s="166">
        <f t="shared" si="2"/>
        <v>2042</v>
      </c>
      <c r="C42" s="171"/>
      <c r="D42" s="170">
        <f t="shared" si="45"/>
        <v>122.76</v>
      </c>
      <c r="E42" s="168">
        <f t="shared" si="45"/>
        <v>36.57</v>
      </c>
      <c r="F42" s="168">
        <f t="shared" si="45"/>
        <v>4.5599999999999996</v>
      </c>
      <c r="G42" s="170">
        <f t="shared" si="0"/>
        <v>65.05</v>
      </c>
      <c r="H42" s="170">
        <f t="shared" si="1"/>
        <v>187.81</v>
      </c>
      <c r="I42" s="170" t="e">
        <f>VLOOKUP(B42,'Table 4'!$B$13:$C$40,2,FALSE)</f>
        <v>#N/A</v>
      </c>
      <c r="J42" s="170" t="e">
        <f t="shared" si="29"/>
        <v>#N/A</v>
      </c>
      <c r="K42" s="170" t="e">
        <f t="shared" si="30"/>
        <v>#N/A</v>
      </c>
    </row>
    <row r="43" spans="2:15" x14ac:dyDescent="0.2">
      <c r="M43" s="166"/>
      <c r="O43" s="173"/>
    </row>
    <row r="44" spans="2:15" ht="14.25" x14ac:dyDescent="0.2">
      <c r="B44" s="7" t="s">
        <v>51</v>
      </c>
      <c r="C44" s="69"/>
      <c r="D44" s="69"/>
      <c r="E44" s="69"/>
      <c r="F44" s="69"/>
      <c r="G44" s="69"/>
      <c r="H44" s="69"/>
      <c r="I44" s="69"/>
      <c r="J44" s="69"/>
      <c r="K44" s="69"/>
      <c r="M44" s="166"/>
      <c r="N44" s="173"/>
      <c r="O44" s="173"/>
    </row>
    <row r="46" spans="2:15" x14ac:dyDescent="0.2">
      <c r="B46" s="163" t="s">
        <v>30</v>
      </c>
      <c r="D46" s="174" t="s">
        <v>124</v>
      </c>
    </row>
    <row r="47" spans="2:15" x14ac:dyDescent="0.2">
      <c r="C47" s="175" t="str">
        <f>D10</f>
        <v>(b)</v>
      </c>
      <c r="D47" s="170" t="str">
        <f>"= "&amp;C10&amp;" x "&amp;C76</f>
        <v>= (a) x 0.07682</v>
      </c>
    </row>
    <row r="48" spans="2:15" x14ac:dyDescent="0.2">
      <c r="C48" s="175" t="str">
        <f>G10</f>
        <v>(e)</v>
      </c>
      <c r="D48" s="170" t="str">
        <f>"= "&amp;$F$10&amp;" x  (8.76 x "&amp;TEXT(G65,"0.0%")&amp;") + "&amp;$E$10</f>
        <v>= (d) x  (8.76 x 71.3%) + (c)</v>
      </c>
    </row>
    <row r="49" spans="3:11" x14ac:dyDescent="0.2">
      <c r="C49" s="175" t="str">
        <f>H10</f>
        <v>(f)</v>
      </c>
      <c r="D49" s="170" t="str">
        <f>"= "&amp;D10&amp;" + "&amp;G10</f>
        <v>= (b) + (e)</v>
      </c>
    </row>
    <row r="50" spans="3:11" x14ac:dyDescent="0.2">
      <c r="C50" s="175" t="str">
        <f>I10</f>
        <v>(g)</v>
      </c>
      <c r="D50" s="206" t="str">
        <f>'Table 4'!B3&amp;" - "&amp;'Table 4'!B4</f>
        <v>Table 4 - Burnertip Natural Gas Price Forecast</v>
      </c>
    </row>
    <row r="51" spans="3:11" x14ac:dyDescent="0.2">
      <c r="C51" s="175" t="str">
        <f>J10</f>
        <v>(h)</v>
      </c>
      <c r="D51" s="170" t="str">
        <f>"= "&amp;TEXT(K65,"?,0")&amp;" MMBtu/MWH x "&amp;I9</f>
        <v>= 6,530 MMBtu/MWH x $/MMBtu</v>
      </c>
    </row>
    <row r="52" spans="3:11" x14ac:dyDescent="0.2">
      <c r="C52" s="175" t="str">
        <f>K10</f>
        <v>(i)</v>
      </c>
      <c r="D52" s="170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5" t="s">
        <v>125</v>
      </c>
      <c r="D54" s="102"/>
      <c r="E54" s="102"/>
      <c r="F54" s="102"/>
      <c r="G54" s="102"/>
      <c r="H54" s="102"/>
      <c r="I54" s="102"/>
      <c r="J54" s="103"/>
      <c r="K54" s="176"/>
    </row>
    <row r="55" spans="3:11" ht="5.25" customHeight="1" x14ac:dyDescent="0.2"/>
    <row r="56" spans="3:11" ht="5.25" customHeight="1" x14ac:dyDescent="0.2"/>
    <row r="57" spans="3:11" x14ac:dyDescent="0.2">
      <c r="C57" s="89" t="s">
        <v>61</v>
      </c>
      <c r="D57" s="77"/>
      <c r="E57" s="89"/>
      <c r="F57" s="88" t="s">
        <v>62</v>
      </c>
      <c r="G57" s="88" t="s">
        <v>63</v>
      </c>
      <c r="H57" s="88" t="s">
        <v>64</v>
      </c>
      <c r="I57" s="88" t="s">
        <v>65</v>
      </c>
    </row>
    <row r="58" spans="3:11" x14ac:dyDescent="0.2">
      <c r="C58" s="207" t="s">
        <v>104</v>
      </c>
      <c r="F58" s="177">
        <f>C69</f>
        <v>380</v>
      </c>
      <c r="G58" s="104">
        <f>F58/F60</f>
        <v>0.89834515366430256</v>
      </c>
      <c r="H58" s="191">
        <f>C70</f>
        <v>967</v>
      </c>
      <c r="I58" s="193">
        <f>C73</f>
        <v>21.42</v>
      </c>
    </row>
    <row r="59" spans="3:11" x14ac:dyDescent="0.2">
      <c r="C59" s="207" t="s">
        <v>105</v>
      </c>
      <c r="F59" s="95">
        <f>D69</f>
        <v>43</v>
      </c>
      <c r="G59" s="91">
        <f>1-G58</f>
        <v>0.10165484633569744</v>
      </c>
      <c r="H59" s="192">
        <f>D70</f>
        <v>449</v>
      </c>
      <c r="I59" s="194">
        <f>D73</f>
        <v>16.579999999999998</v>
      </c>
    </row>
    <row r="60" spans="3:11" x14ac:dyDescent="0.2">
      <c r="C60" s="207" t="s">
        <v>66</v>
      </c>
      <c r="F60" s="177">
        <f>F58+F59</f>
        <v>423</v>
      </c>
      <c r="G60" s="104">
        <f>G58+G59</f>
        <v>1</v>
      </c>
      <c r="H60" s="191">
        <f>ROUND(((F58*H58)+(F59*H59))/F60,0)</f>
        <v>914</v>
      </c>
      <c r="I60" s="193">
        <f>ROUND(((F58*I58)+(F59*I59))/F60,2)</f>
        <v>20.93</v>
      </c>
    </row>
    <row r="61" spans="3:11" x14ac:dyDescent="0.2">
      <c r="C61" s="207"/>
      <c r="F61" s="177"/>
      <c r="G61" s="104"/>
      <c r="H61" s="178"/>
      <c r="I61" s="179"/>
    </row>
    <row r="62" spans="3:11" x14ac:dyDescent="0.2">
      <c r="C62" s="208" t="s">
        <v>61</v>
      </c>
      <c r="D62" s="77"/>
      <c r="E62" s="89"/>
      <c r="F62" s="88" t="s">
        <v>62</v>
      </c>
      <c r="G62" s="88" t="s">
        <v>67</v>
      </c>
      <c r="H62" s="88" t="s">
        <v>68</v>
      </c>
      <c r="I62" s="88" t="s">
        <v>63</v>
      </c>
      <c r="J62" s="88" t="s">
        <v>69</v>
      </c>
      <c r="K62" s="88" t="s">
        <v>70</v>
      </c>
    </row>
    <row r="63" spans="3:11" x14ac:dyDescent="0.2">
      <c r="C63" s="209" t="str">
        <f>C58</f>
        <v>CCCT Dry "J" - Turbine</v>
      </c>
      <c r="D63" s="180"/>
      <c r="E63" s="180"/>
      <c r="F63" s="163">
        <f>C69</f>
        <v>380</v>
      </c>
      <c r="G63" s="104">
        <f>C77</f>
        <v>0.78</v>
      </c>
      <c r="H63" s="234">
        <f>G63*F63</f>
        <v>296.40000000000003</v>
      </c>
      <c r="I63" s="104">
        <f>H63/H65</f>
        <v>0.98288897731794655</v>
      </c>
      <c r="J63" s="179">
        <f>C74</f>
        <v>2.6599999999999997</v>
      </c>
      <c r="K63" s="181">
        <f>C75</f>
        <v>6495</v>
      </c>
    </row>
    <row r="64" spans="3:11" x14ac:dyDescent="0.2">
      <c r="C64" s="209" t="str">
        <f>C59</f>
        <v>CCCT Dry "J" - Duct Firing</v>
      </c>
      <c r="D64" s="180"/>
      <c r="E64" s="180"/>
      <c r="F64" s="90">
        <f>D69</f>
        <v>43</v>
      </c>
      <c r="G64" s="91">
        <f>D77</f>
        <v>0.12</v>
      </c>
      <c r="H64" s="235">
        <f>G64*F64</f>
        <v>5.16</v>
      </c>
      <c r="I64" s="91">
        <f>1-I63</f>
        <v>1.7111022682053445E-2</v>
      </c>
      <c r="J64" s="92">
        <f>D74</f>
        <v>0.1</v>
      </c>
      <c r="K64" s="93">
        <f>D75</f>
        <v>8611</v>
      </c>
    </row>
    <row r="65" spans="3:11" x14ac:dyDescent="0.2">
      <c r="C65" s="207" t="s">
        <v>71</v>
      </c>
      <c r="F65" s="163">
        <f>F63+F64</f>
        <v>423</v>
      </c>
      <c r="G65" s="182">
        <f>ROUND(H65/F65,3)</f>
        <v>0.71299999999999997</v>
      </c>
      <c r="H65" s="234">
        <f>SUM(H63:H64)</f>
        <v>301.56000000000006</v>
      </c>
      <c r="I65" s="104">
        <f>I63+I64</f>
        <v>1</v>
      </c>
      <c r="J65" s="179">
        <f>ROUND(($I63*J63)+($I64*J64),2)</f>
        <v>2.62</v>
      </c>
      <c r="K65" s="183">
        <f>ROUND(($I63*K63)+($I64*K64),-1)</f>
        <v>6530</v>
      </c>
    </row>
    <row r="66" spans="3:11" x14ac:dyDescent="0.2">
      <c r="G66" s="182"/>
      <c r="I66" s="104"/>
      <c r="J66" s="179"/>
      <c r="K66" s="94" t="s">
        <v>72</v>
      </c>
    </row>
    <row r="68" spans="3:11" x14ac:dyDescent="0.2">
      <c r="C68" s="88" t="s">
        <v>54</v>
      </c>
      <c r="D68" s="88" t="s">
        <v>55</v>
      </c>
      <c r="E68" s="106" t="str">
        <f>D46</f>
        <v>Plant Costs  - 2015 IRP - Table 6.1 &amp; 6.2 - Page 92</v>
      </c>
      <c r="F68" s="184"/>
      <c r="G68" s="184"/>
      <c r="H68" s="184"/>
      <c r="I68" s="184"/>
      <c r="J68" s="184"/>
      <c r="K68" s="185"/>
    </row>
    <row r="69" spans="3:11" x14ac:dyDescent="0.2">
      <c r="C69" s="163">
        <v>380</v>
      </c>
      <c r="D69" s="163">
        <v>43</v>
      </c>
      <c r="E69" s="163" t="s">
        <v>99</v>
      </c>
      <c r="H69" s="186"/>
    </row>
    <row r="70" spans="3:11" x14ac:dyDescent="0.2">
      <c r="C70" s="178">
        <v>967</v>
      </c>
      <c r="D70" s="178">
        <v>449</v>
      </c>
      <c r="E70" s="163" t="s">
        <v>100</v>
      </c>
    </row>
    <row r="71" spans="3:11" x14ac:dyDescent="0.2">
      <c r="C71" s="179">
        <f>8.58+0.33</f>
        <v>8.91</v>
      </c>
      <c r="D71" s="179">
        <v>0</v>
      </c>
      <c r="E71" s="163" t="s">
        <v>101</v>
      </c>
    </row>
    <row r="72" spans="3:11" x14ac:dyDescent="0.2">
      <c r="C72" s="96">
        <v>12.51</v>
      </c>
      <c r="D72" s="96">
        <v>16.579999999999998</v>
      </c>
      <c r="E72" s="163" t="s">
        <v>97</v>
      </c>
    </row>
    <row r="73" spans="3:11" x14ac:dyDescent="0.2">
      <c r="C73" s="179">
        <f>C71+C72</f>
        <v>21.42</v>
      </c>
      <c r="D73" s="179">
        <f>D71+D72</f>
        <v>16.579999999999998</v>
      </c>
      <c r="E73" s="163" t="s">
        <v>102</v>
      </c>
    </row>
    <row r="74" spans="3:11" x14ac:dyDescent="0.2">
      <c r="C74" s="179">
        <f>2.34+0.32</f>
        <v>2.6599999999999997</v>
      </c>
      <c r="D74" s="179">
        <f>0.1</f>
        <v>0.1</v>
      </c>
      <c r="E74" s="163" t="s">
        <v>103</v>
      </c>
    </row>
    <row r="75" spans="3:11" x14ac:dyDescent="0.2">
      <c r="C75" s="183">
        <v>6495</v>
      </c>
      <c r="D75" s="183">
        <v>8611</v>
      </c>
      <c r="E75" s="163" t="s">
        <v>74</v>
      </c>
    </row>
    <row r="76" spans="3:11" x14ac:dyDescent="0.2">
      <c r="C76" s="204">
        <v>7.6819999999999999E-2</v>
      </c>
      <c r="D76" s="204">
        <f>C76</f>
        <v>7.6819999999999999E-2</v>
      </c>
      <c r="E76" s="163" t="s">
        <v>75</v>
      </c>
    </row>
    <row r="77" spans="3:11" x14ac:dyDescent="0.2">
      <c r="C77" s="187">
        <v>0.78</v>
      </c>
      <c r="D77" s="187">
        <v>0.12</v>
      </c>
      <c r="E77" s="163" t="s">
        <v>76</v>
      </c>
    </row>
    <row r="78" spans="3:11" x14ac:dyDescent="0.2">
      <c r="D78" s="104">
        <f>ROUND(H65/F65,3)</f>
        <v>0.71299999999999997</v>
      </c>
      <c r="E78" s="163" t="s">
        <v>77</v>
      </c>
    </row>
    <row r="79" spans="3:11" x14ac:dyDescent="0.2">
      <c r="D79" s="182"/>
      <c r="E79" s="115"/>
    </row>
    <row r="80" spans="3:11" x14ac:dyDescent="0.2">
      <c r="C80" s="187"/>
      <c r="D80" s="187"/>
    </row>
    <row r="82" spans="3:15" ht="13.5" thickBot="1" x14ac:dyDescent="0.25">
      <c r="C82" s="101" t="str">
        <f>"Company Official Inflation Forecast Dated "&amp;TEXT('Table 4'!G5,"mmmm dd, yyyy")</f>
        <v>Company Official Inflation Forecast Dated September 30, 2015</v>
      </c>
      <c r="D82" s="102"/>
      <c r="E82" s="102"/>
      <c r="F82" s="102"/>
      <c r="G82" s="102"/>
      <c r="H82" s="102"/>
      <c r="I82" s="102"/>
      <c r="J82" s="103"/>
      <c r="K82" s="176"/>
    </row>
    <row r="83" spans="3:15" x14ac:dyDescent="0.2">
      <c r="C83" s="188">
        <v>2015</v>
      </c>
      <c r="D83" s="104">
        <v>5.0000000000000001E-3</v>
      </c>
      <c r="F83" s="188">
        <f>C91+1</f>
        <v>2024</v>
      </c>
      <c r="G83" s="104">
        <v>2.3E-2</v>
      </c>
      <c r="I83" s="188">
        <f>F91+1</f>
        <v>2033</v>
      </c>
      <c r="J83" s="104">
        <v>2.3E-2</v>
      </c>
    </row>
    <row r="84" spans="3:15" x14ac:dyDescent="0.2">
      <c r="C84" s="188">
        <f t="shared" ref="C84:C91" si="46">C83+1</f>
        <v>2016</v>
      </c>
      <c r="D84" s="104">
        <v>1.9E-2</v>
      </c>
      <c r="F84" s="188">
        <f t="shared" ref="F84:F91" si="47">F83+1</f>
        <v>2025</v>
      </c>
      <c r="G84" s="104">
        <v>2.1999999999999999E-2</v>
      </c>
      <c r="I84" s="188">
        <f t="shared" ref="I84:I91" si="48">I83+1</f>
        <v>2034</v>
      </c>
      <c r="J84" s="104">
        <v>2.3E-2</v>
      </c>
    </row>
    <row r="85" spans="3:15" x14ac:dyDescent="0.2">
      <c r="C85" s="188">
        <f t="shared" si="46"/>
        <v>2017</v>
      </c>
      <c r="D85" s="104">
        <v>2.1999999999999999E-2</v>
      </c>
      <c r="F85" s="188">
        <f t="shared" si="47"/>
        <v>2026</v>
      </c>
      <c r="G85" s="104">
        <v>2.1999999999999999E-2</v>
      </c>
      <c r="I85" s="188">
        <f t="shared" si="48"/>
        <v>2035</v>
      </c>
      <c r="J85" s="104">
        <v>2.3E-2</v>
      </c>
    </row>
    <row r="86" spans="3:15" x14ac:dyDescent="0.2">
      <c r="C86" s="188">
        <f t="shared" si="46"/>
        <v>2018</v>
      </c>
      <c r="D86" s="104">
        <v>2.3E-2</v>
      </c>
      <c r="F86" s="188">
        <f t="shared" si="47"/>
        <v>2027</v>
      </c>
      <c r="G86" s="104">
        <v>2.1999999999999999E-2</v>
      </c>
      <c r="I86" s="188">
        <f t="shared" si="48"/>
        <v>2036</v>
      </c>
      <c r="J86" s="104">
        <v>2.3E-2</v>
      </c>
    </row>
    <row r="87" spans="3:15" x14ac:dyDescent="0.2">
      <c r="C87" s="188">
        <f t="shared" si="46"/>
        <v>2019</v>
      </c>
      <c r="D87" s="104">
        <v>2.1999999999999999E-2</v>
      </c>
      <c r="F87" s="188">
        <f t="shared" si="47"/>
        <v>2028</v>
      </c>
      <c r="G87" s="104">
        <v>2.1999999999999999E-2</v>
      </c>
      <c r="I87" s="188">
        <f t="shared" si="48"/>
        <v>2037</v>
      </c>
      <c r="J87" s="104">
        <v>2.3E-2</v>
      </c>
    </row>
    <row r="88" spans="3:15" x14ac:dyDescent="0.2">
      <c r="C88" s="188">
        <f t="shared" si="46"/>
        <v>2020</v>
      </c>
      <c r="D88" s="104">
        <v>1.9E-2</v>
      </c>
      <c r="F88" s="188">
        <f t="shared" si="47"/>
        <v>2029</v>
      </c>
      <c r="G88" s="104">
        <v>2.1999999999999999E-2</v>
      </c>
      <c r="I88" s="188">
        <f t="shared" si="48"/>
        <v>2038</v>
      </c>
      <c r="J88" s="104">
        <v>2.3E-2</v>
      </c>
    </row>
    <row r="89" spans="3:15" s="165" customFormat="1" x14ac:dyDescent="0.2">
      <c r="C89" s="188">
        <f t="shared" si="46"/>
        <v>2021</v>
      </c>
      <c r="D89" s="104">
        <v>2.1000000000000001E-2</v>
      </c>
      <c r="F89" s="188">
        <f t="shared" si="47"/>
        <v>2030</v>
      </c>
      <c r="G89" s="104">
        <v>2.1999999999999999E-2</v>
      </c>
      <c r="I89" s="188">
        <f t="shared" si="48"/>
        <v>2039</v>
      </c>
      <c r="J89" s="104">
        <v>2.4E-2</v>
      </c>
      <c r="N89" s="163"/>
      <c r="O89" s="163"/>
    </row>
    <row r="90" spans="3:15" s="165" customFormat="1" x14ac:dyDescent="0.2">
      <c r="C90" s="188">
        <f t="shared" si="46"/>
        <v>2022</v>
      </c>
      <c r="D90" s="104">
        <v>2.3E-2</v>
      </c>
      <c r="F90" s="188">
        <f t="shared" si="47"/>
        <v>2031</v>
      </c>
      <c r="G90" s="104">
        <v>2.3E-2</v>
      </c>
      <c r="I90" s="188">
        <f t="shared" si="48"/>
        <v>2040</v>
      </c>
      <c r="J90" s="104">
        <v>2.4E-2</v>
      </c>
      <c r="N90" s="163"/>
      <c r="O90" s="163"/>
    </row>
    <row r="91" spans="3:15" s="165" customFormat="1" x14ac:dyDescent="0.2">
      <c r="C91" s="188">
        <f t="shared" si="46"/>
        <v>2023</v>
      </c>
      <c r="D91" s="104">
        <v>2.4E-2</v>
      </c>
      <c r="F91" s="188">
        <f t="shared" si="47"/>
        <v>2032</v>
      </c>
      <c r="G91" s="104">
        <v>2.3E-2</v>
      </c>
      <c r="I91" s="188">
        <f t="shared" si="48"/>
        <v>2041</v>
      </c>
      <c r="J91" s="104">
        <v>2.4E-2</v>
      </c>
      <c r="N91" s="163"/>
      <c r="O91" s="163"/>
    </row>
    <row r="92" spans="3:15" s="165" customFormat="1" x14ac:dyDescent="0.2">
      <c r="N92" s="163"/>
      <c r="O92" s="163"/>
    </row>
    <row r="93" spans="3:15" s="165" customFormat="1" x14ac:dyDescent="0.2">
      <c r="N93" s="163"/>
      <c r="O93" s="163"/>
    </row>
    <row r="94" spans="3:15" x14ac:dyDescent="0.2">
      <c r="D94" s="195"/>
    </row>
    <row r="95" spans="3:15" x14ac:dyDescent="0.2">
      <c r="D95" s="195"/>
    </row>
  </sheetData>
  <phoneticPr fontId="6" type="noConversion"/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O95"/>
  <sheetViews>
    <sheetView topLeftCell="A3" zoomScaleNormal="100" zoomScaleSheetLayoutView="85" workbookViewId="0">
      <pane xSplit="3" ySplit="8" topLeftCell="D11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33203125" defaultRowHeight="12.75" x14ac:dyDescent="0.2"/>
  <cols>
    <col min="1" max="1" width="2.83203125" style="163" customWidth="1"/>
    <col min="2" max="2" width="10.83203125" style="163" customWidth="1"/>
    <col min="3" max="3" width="14.1640625" style="163" customWidth="1"/>
    <col min="4" max="4" width="12.33203125" style="163" customWidth="1"/>
    <col min="5" max="5" width="9.1640625" style="163" customWidth="1"/>
    <col min="6" max="6" width="10.5" style="163" customWidth="1"/>
    <col min="7" max="7" width="10.5" style="163" bestFit="1" customWidth="1"/>
    <col min="8" max="8" width="11.6640625" style="163" bestFit="1" customWidth="1"/>
    <col min="9" max="9" width="11.1640625" style="163" customWidth="1"/>
    <col min="10" max="10" width="12" style="163" bestFit="1" customWidth="1"/>
    <col min="11" max="11" width="12" style="163" customWidth="1"/>
    <col min="12" max="13" width="9.33203125" style="163"/>
    <col min="14" max="15" width="9.33203125" style="163" customWidth="1"/>
    <col min="16" max="16384" width="9.33203125" style="163"/>
  </cols>
  <sheetData>
    <row r="1" spans="2:14" ht="15.75" x14ac:dyDescent="0.25">
      <c r="B1" s="1" t="s">
        <v>73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4" ht="15.75" x14ac:dyDescent="0.25">
      <c r="B2" s="1"/>
      <c r="C2" s="162"/>
      <c r="D2" s="162"/>
      <c r="E2" s="162"/>
      <c r="F2" s="162"/>
      <c r="G2" s="162"/>
      <c r="H2" s="162"/>
      <c r="I2" s="162"/>
      <c r="J2" s="162"/>
      <c r="K2" s="162"/>
    </row>
    <row r="3" spans="2:14" ht="15.75" x14ac:dyDescent="0.25">
      <c r="B3" s="1" t="s">
        <v>113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4" ht="15.75" x14ac:dyDescent="0.25">
      <c r="B4" s="1" t="s">
        <v>126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4" ht="15.75" x14ac:dyDescent="0.25">
      <c r="B5" s="1" t="str">
        <f>C54</f>
        <v>Utah - 423 MW - CCCT Dry "J", Adv 1x1 - East Side Resource (5,050')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4" ht="15.75" x14ac:dyDescent="0.25">
      <c r="B6" s="1"/>
      <c r="C6" s="162"/>
      <c r="D6" s="162"/>
      <c r="E6" s="162"/>
      <c r="F6" s="162"/>
      <c r="G6" s="162"/>
      <c r="H6" s="162"/>
      <c r="I6" s="162"/>
      <c r="K6" s="62"/>
    </row>
    <row r="7" spans="2:14" x14ac:dyDescent="0.2">
      <c r="B7" s="164"/>
      <c r="C7" s="164"/>
      <c r="D7" s="164"/>
      <c r="E7" s="164"/>
      <c r="F7" s="164"/>
      <c r="G7" s="164"/>
      <c r="H7" s="164"/>
      <c r="I7" s="162"/>
      <c r="J7" s="165"/>
      <c r="K7" s="165"/>
      <c r="L7" s="165"/>
      <c r="M7" s="165"/>
      <c r="N7" s="165"/>
    </row>
    <row r="8" spans="2:14" ht="51.75" customHeight="1" x14ac:dyDescent="0.2">
      <c r="B8" s="63" t="s">
        <v>0</v>
      </c>
      <c r="C8" s="64" t="s">
        <v>10</v>
      </c>
      <c r="D8" s="64" t="s">
        <v>11</v>
      </c>
      <c r="E8" s="64" t="s">
        <v>12</v>
      </c>
      <c r="F8" s="64" t="s">
        <v>13</v>
      </c>
      <c r="G8" s="64" t="s">
        <v>14</v>
      </c>
      <c r="H8" s="64" t="s">
        <v>15</v>
      </c>
      <c r="I8" s="65" t="s">
        <v>41</v>
      </c>
      <c r="J8" s="65" t="s">
        <v>94</v>
      </c>
      <c r="K8" s="64" t="s">
        <v>95</v>
      </c>
      <c r="L8" s="165"/>
    </row>
    <row r="9" spans="2:14" ht="18.75" customHeight="1" x14ac:dyDescent="0.2">
      <c r="B9" s="66"/>
      <c r="C9" s="67" t="s">
        <v>8</v>
      </c>
      <c r="D9" s="68" t="s">
        <v>9</v>
      </c>
      <c r="E9" s="68" t="s">
        <v>9</v>
      </c>
      <c r="F9" s="67" t="s">
        <v>59</v>
      </c>
      <c r="G9" s="68" t="s">
        <v>9</v>
      </c>
      <c r="H9" s="68" t="s">
        <v>9</v>
      </c>
      <c r="I9" s="68" t="s">
        <v>42</v>
      </c>
      <c r="J9" s="67" t="s">
        <v>59</v>
      </c>
      <c r="K9" s="67" t="s">
        <v>59</v>
      </c>
      <c r="L9" s="165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7" t="str">
        <f>C54</f>
        <v>Utah - 423 MW - CCCT Dry "J", Adv 1x1 - East Side Resource (5,050')</v>
      </c>
      <c r="C12" s="165"/>
      <c r="E12" s="165"/>
      <c r="F12" s="165"/>
      <c r="G12" s="165"/>
      <c r="H12" s="165"/>
      <c r="I12" s="164"/>
      <c r="J12" s="164"/>
      <c r="K12" s="164"/>
      <c r="L12" s="165"/>
    </row>
    <row r="13" spans="2:14" ht="4.5" customHeight="1" x14ac:dyDescent="0.2">
      <c r="B13" s="166"/>
      <c r="C13" s="167"/>
      <c r="D13" s="168"/>
      <c r="E13" s="169"/>
      <c r="F13" s="169"/>
      <c r="G13" s="170"/>
      <c r="H13" s="170"/>
      <c r="I13" s="170"/>
      <c r="J13" s="170"/>
      <c r="K13" s="170"/>
    </row>
    <row r="14" spans="2:14" x14ac:dyDescent="0.2">
      <c r="B14" s="166">
        <v>2014</v>
      </c>
      <c r="C14" s="167">
        <f>$H$60</f>
        <v>979</v>
      </c>
      <c r="D14" s="168">
        <f>ROUND(C14*$C$76,2)</f>
        <v>75.209999999999994</v>
      </c>
      <c r="E14" s="169">
        <f>$I$60</f>
        <v>18.22</v>
      </c>
      <c r="F14" s="169">
        <f>$J$65</f>
        <v>2.62</v>
      </c>
      <c r="G14" s="170">
        <f t="shared" ref="G14:G42" si="0">ROUND(F14*(8.76*$G$65)+E14,2)</f>
        <v>34.58</v>
      </c>
      <c r="H14" s="170">
        <f t="shared" ref="H14:H42" si="1">ROUND(D14+G14,2)</f>
        <v>109.79</v>
      </c>
      <c r="I14" s="170"/>
      <c r="J14" s="170"/>
      <c r="K14" s="170"/>
    </row>
    <row r="15" spans="2:14" x14ac:dyDescent="0.2">
      <c r="B15" s="166">
        <f t="shared" ref="B15:B42" si="2">B14+1</f>
        <v>2015</v>
      </c>
      <c r="C15" s="171"/>
      <c r="D15" s="168">
        <f t="shared" ref="D15:F17" si="3">ROUND(D14*(1+$D83),2)</f>
        <v>75.59</v>
      </c>
      <c r="E15" s="168">
        <f t="shared" si="3"/>
        <v>18.309999999999999</v>
      </c>
      <c r="F15" s="168">
        <f t="shared" si="3"/>
        <v>2.63</v>
      </c>
      <c r="G15" s="172">
        <f t="shared" si="0"/>
        <v>34.74</v>
      </c>
      <c r="H15" s="172">
        <f t="shared" si="1"/>
        <v>110.33</v>
      </c>
      <c r="I15" s="170"/>
      <c r="J15" s="170"/>
      <c r="K15" s="170"/>
      <c r="M15" s="104"/>
    </row>
    <row r="16" spans="2:14" x14ac:dyDescent="0.2">
      <c r="B16" s="166">
        <f t="shared" si="2"/>
        <v>2016</v>
      </c>
      <c r="C16" s="171"/>
      <c r="D16" s="168">
        <f t="shared" si="3"/>
        <v>77.03</v>
      </c>
      <c r="E16" s="168">
        <f t="shared" si="3"/>
        <v>18.66</v>
      </c>
      <c r="F16" s="168">
        <f t="shared" si="3"/>
        <v>2.68</v>
      </c>
      <c r="G16" s="170">
        <f t="shared" si="0"/>
        <v>35.4</v>
      </c>
      <c r="H16" s="170">
        <f t="shared" si="1"/>
        <v>112.43</v>
      </c>
      <c r="I16" s="170"/>
      <c r="J16" s="170"/>
      <c r="K16" s="170"/>
      <c r="M16" s="104"/>
    </row>
    <row r="17" spans="2:13" x14ac:dyDescent="0.2">
      <c r="B17" s="166">
        <f t="shared" si="2"/>
        <v>2017</v>
      </c>
      <c r="C17" s="171"/>
      <c r="D17" s="168">
        <f t="shared" si="3"/>
        <v>78.72</v>
      </c>
      <c r="E17" s="168">
        <f t="shared" si="3"/>
        <v>19.07</v>
      </c>
      <c r="F17" s="168">
        <f t="shared" si="3"/>
        <v>2.74</v>
      </c>
      <c r="G17" s="170">
        <f t="shared" si="0"/>
        <v>36.18</v>
      </c>
      <c r="H17" s="170">
        <f t="shared" si="1"/>
        <v>114.9</v>
      </c>
      <c r="I17" s="170"/>
      <c r="J17" s="170"/>
      <c r="K17" s="170"/>
      <c r="M17" s="104"/>
    </row>
    <row r="18" spans="2:13" x14ac:dyDescent="0.2">
      <c r="B18" s="166">
        <f t="shared" si="2"/>
        <v>2018</v>
      </c>
      <c r="C18" s="171"/>
      <c r="D18" s="168">
        <f t="shared" ref="D18:F18" si="4">ROUND(D17*(1+$D86),2)</f>
        <v>80.53</v>
      </c>
      <c r="E18" s="168">
        <f t="shared" si="4"/>
        <v>19.510000000000002</v>
      </c>
      <c r="F18" s="168">
        <f t="shared" si="4"/>
        <v>2.8</v>
      </c>
      <c r="G18" s="170">
        <f t="shared" ref="G18:G23" si="5">ROUND(F18*(8.76*$G$65)+E18,2)</f>
        <v>37</v>
      </c>
      <c r="H18" s="170">
        <f t="shared" ref="H18:H23" si="6">ROUND(D18+G18,2)</f>
        <v>117.53</v>
      </c>
      <c r="I18" s="170"/>
      <c r="J18" s="170"/>
      <c r="K18" s="170"/>
      <c r="M18" s="104"/>
    </row>
    <row r="19" spans="2:13" x14ac:dyDescent="0.2">
      <c r="B19" s="166">
        <f t="shared" si="2"/>
        <v>2019</v>
      </c>
      <c r="C19" s="171"/>
      <c r="D19" s="168">
        <f t="shared" ref="D19:F19" si="7">ROUND(D18*(1+$D87),2)</f>
        <v>82.3</v>
      </c>
      <c r="E19" s="168">
        <f t="shared" si="7"/>
        <v>19.940000000000001</v>
      </c>
      <c r="F19" s="168">
        <f t="shared" si="7"/>
        <v>2.86</v>
      </c>
      <c r="G19" s="170">
        <f t="shared" si="5"/>
        <v>37.799999999999997</v>
      </c>
      <c r="H19" s="170">
        <f t="shared" si="6"/>
        <v>120.1</v>
      </c>
      <c r="I19" s="170"/>
      <c r="J19" s="170"/>
      <c r="K19" s="170"/>
      <c r="M19" s="104"/>
    </row>
    <row r="20" spans="2:13" x14ac:dyDescent="0.2">
      <c r="B20" s="166">
        <f t="shared" si="2"/>
        <v>2020</v>
      </c>
      <c r="C20" s="171"/>
      <c r="D20" s="168">
        <f t="shared" ref="D20:F20" si="8">ROUND(D19*(1+$D88),2)</f>
        <v>83.86</v>
      </c>
      <c r="E20" s="168">
        <f t="shared" si="8"/>
        <v>20.32</v>
      </c>
      <c r="F20" s="168">
        <f t="shared" si="8"/>
        <v>2.91</v>
      </c>
      <c r="G20" s="170">
        <f t="shared" si="5"/>
        <v>38.5</v>
      </c>
      <c r="H20" s="170">
        <f t="shared" si="6"/>
        <v>122.36</v>
      </c>
      <c r="I20" s="170"/>
      <c r="J20" s="170"/>
      <c r="K20" s="170"/>
      <c r="M20" s="104"/>
    </row>
    <row r="21" spans="2:13" x14ac:dyDescent="0.2">
      <c r="B21" s="166">
        <f t="shared" si="2"/>
        <v>2021</v>
      </c>
      <c r="C21" s="171"/>
      <c r="D21" s="168">
        <f t="shared" ref="D21:F21" si="9">ROUND(D20*(1+$D89),2)</f>
        <v>85.62</v>
      </c>
      <c r="E21" s="168">
        <f t="shared" si="9"/>
        <v>20.75</v>
      </c>
      <c r="F21" s="168">
        <f t="shared" si="9"/>
        <v>2.97</v>
      </c>
      <c r="G21" s="170">
        <f t="shared" si="5"/>
        <v>39.299999999999997</v>
      </c>
      <c r="H21" s="170">
        <f t="shared" si="6"/>
        <v>124.92</v>
      </c>
      <c r="I21" s="170"/>
      <c r="J21" s="170"/>
      <c r="K21" s="170"/>
      <c r="M21" s="104"/>
    </row>
    <row r="22" spans="2:13" x14ac:dyDescent="0.2">
      <c r="B22" s="166">
        <f t="shared" si="2"/>
        <v>2022</v>
      </c>
      <c r="C22" s="171"/>
      <c r="D22" s="168">
        <f t="shared" ref="D22:F22" si="10">ROUND(D21*(1+$D90),2)</f>
        <v>87.59</v>
      </c>
      <c r="E22" s="168">
        <f t="shared" si="10"/>
        <v>21.23</v>
      </c>
      <c r="F22" s="168">
        <f t="shared" si="10"/>
        <v>3.04</v>
      </c>
      <c r="G22" s="170">
        <f t="shared" si="5"/>
        <v>40.22</v>
      </c>
      <c r="H22" s="170">
        <f t="shared" si="6"/>
        <v>127.81</v>
      </c>
      <c r="I22" s="170"/>
      <c r="J22" s="170"/>
      <c r="K22" s="170"/>
      <c r="M22" s="104"/>
    </row>
    <row r="23" spans="2:13" x14ac:dyDescent="0.2">
      <c r="B23" s="166">
        <f t="shared" si="2"/>
        <v>2023</v>
      </c>
      <c r="C23" s="171"/>
      <c r="D23" s="168">
        <f t="shared" ref="D23:F23" si="11">ROUND(D22*(1+$D91),2)</f>
        <v>89.69</v>
      </c>
      <c r="E23" s="168">
        <f t="shared" si="11"/>
        <v>21.74</v>
      </c>
      <c r="F23" s="168">
        <f t="shared" si="11"/>
        <v>3.11</v>
      </c>
      <c r="G23" s="170">
        <f t="shared" si="5"/>
        <v>41.16</v>
      </c>
      <c r="H23" s="170">
        <f t="shared" si="6"/>
        <v>130.85</v>
      </c>
      <c r="I23" s="170"/>
      <c r="J23" s="170"/>
      <c r="K23" s="170"/>
      <c r="M23" s="104"/>
    </row>
    <row r="24" spans="2:13" x14ac:dyDescent="0.2">
      <c r="B24" s="166">
        <f t="shared" si="2"/>
        <v>2024</v>
      </c>
      <c r="C24" s="171"/>
      <c r="D24" s="172">
        <f>ROUND(D23*(1+$G83),2)</f>
        <v>91.75</v>
      </c>
      <c r="E24" s="172">
        <f>ROUND(E23*(1+$G83),2)</f>
        <v>22.24</v>
      </c>
      <c r="F24" s="172">
        <f>ROUND(F23*(1+$G83),2)</f>
        <v>3.18</v>
      </c>
      <c r="G24" s="170">
        <f t="shared" si="0"/>
        <v>42.1</v>
      </c>
      <c r="H24" s="170">
        <f t="shared" si="1"/>
        <v>133.85</v>
      </c>
      <c r="I24" s="170"/>
      <c r="J24" s="170"/>
      <c r="K24" s="170"/>
      <c r="M24" s="104"/>
    </row>
    <row r="25" spans="2:13" x14ac:dyDescent="0.2">
      <c r="B25" s="166">
        <f t="shared" si="2"/>
        <v>2025</v>
      </c>
      <c r="C25" s="171"/>
      <c r="D25" s="172">
        <f t="shared" ref="D25:F25" si="12">ROUND(D24*(1+$G84),2)</f>
        <v>93.77</v>
      </c>
      <c r="E25" s="172">
        <f t="shared" si="12"/>
        <v>22.73</v>
      </c>
      <c r="F25" s="172">
        <f t="shared" si="12"/>
        <v>3.25</v>
      </c>
      <c r="G25" s="170">
        <f t="shared" ref="G25:G30" si="13">ROUND(F25*(8.76*$G$65)+E25,2)</f>
        <v>43.03</v>
      </c>
      <c r="H25" s="170">
        <f t="shared" ref="H25:H30" si="14">ROUND(D25+G25,2)</f>
        <v>136.80000000000001</v>
      </c>
      <c r="I25" s="170"/>
      <c r="J25" s="170"/>
      <c r="K25" s="170"/>
      <c r="M25" s="104"/>
    </row>
    <row r="26" spans="2:13" x14ac:dyDescent="0.2">
      <c r="B26" s="166">
        <f t="shared" si="2"/>
        <v>2026</v>
      </c>
      <c r="C26" s="171"/>
      <c r="D26" s="172">
        <f t="shared" ref="D26:F26" si="15">ROUND(D25*(1+$G85),2)</f>
        <v>95.83</v>
      </c>
      <c r="E26" s="172">
        <f t="shared" si="15"/>
        <v>23.23</v>
      </c>
      <c r="F26" s="172">
        <f t="shared" si="15"/>
        <v>3.32</v>
      </c>
      <c r="G26" s="170">
        <f t="shared" si="13"/>
        <v>43.97</v>
      </c>
      <c r="H26" s="170">
        <f t="shared" si="14"/>
        <v>139.80000000000001</v>
      </c>
      <c r="I26" s="170"/>
      <c r="J26" s="170"/>
      <c r="K26" s="170"/>
      <c r="M26" s="104"/>
    </row>
    <row r="27" spans="2:13" x14ac:dyDescent="0.2">
      <c r="B27" s="166">
        <f t="shared" si="2"/>
        <v>2027</v>
      </c>
      <c r="C27" s="171"/>
      <c r="D27" s="172">
        <f t="shared" ref="D27:F27" si="16">ROUND(D26*(1+$G86),2)</f>
        <v>97.94</v>
      </c>
      <c r="E27" s="172">
        <f t="shared" si="16"/>
        <v>23.74</v>
      </c>
      <c r="F27" s="172">
        <f t="shared" si="16"/>
        <v>3.39</v>
      </c>
      <c r="G27" s="170">
        <f t="shared" si="13"/>
        <v>44.91</v>
      </c>
      <c r="H27" s="170">
        <f t="shared" si="14"/>
        <v>142.85</v>
      </c>
      <c r="I27" s="170"/>
      <c r="J27" s="170"/>
      <c r="K27" s="170"/>
      <c r="M27" s="104"/>
    </row>
    <row r="28" spans="2:13" x14ac:dyDescent="0.2">
      <c r="B28" s="166">
        <f t="shared" si="2"/>
        <v>2028</v>
      </c>
      <c r="C28" s="171"/>
      <c r="D28" s="172">
        <f t="shared" ref="D28:D29" si="17">ROUND(D27*(1+$G87),2)</f>
        <v>100.09</v>
      </c>
      <c r="E28" s="172">
        <f t="shared" ref="E28:E29" si="18">ROUND(E27*(1+$G87),2)</f>
        <v>24.26</v>
      </c>
      <c r="F28" s="172">
        <f t="shared" ref="F28:F29" si="19">ROUND(F27*(1+$G87),2)</f>
        <v>3.46</v>
      </c>
      <c r="G28" s="170">
        <f t="shared" ref="G28:G29" si="20">ROUND(F28*(8.76*$G$65)+E28,2)</f>
        <v>45.87</v>
      </c>
      <c r="H28" s="170">
        <f t="shared" ref="H28:H29" si="21">ROUND(D28+G28,2)</f>
        <v>145.96</v>
      </c>
      <c r="I28" s="170"/>
      <c r="J28" s="170"/>
      <c r="K28" s="170"/>
      <c r="M28" s="104"/>
    </row>
    <row r="29" spans="2:13" ht="13.5" thickBot="1" x14ac:dyDescent="0.25">
      <c r="B29" s="166">
        <f t="shared" si="2"/>
        <v>2029</v>
      </c>
      <c r="C29" s="171"/>
      <c r="D29" s="229">
        <f t="shared" si="17"/>
        <v>102.29</v>
      </c>
      <c r="E29" s="229">
        <f t="shared" si="18"/>
        <v>24.79</v>
      </c>
      <c r="F29" s="229">
        <f t="shared" si="19"/>
        <v>3.54</v>
      </c>
      <c r="G29" s="197">
        <f t="shared" si="20"/>
        <v>46.9</v>
      </c>
      <c r="H29" s="197">
        <f t="shared" si="21"/>
        <v>149.19</v>
      </c>
      <c r="I29" s="197"/>
      <c r="J29" s="197"/>
      <c r="K29" s="197"/>
      <c r="M29" s="104"/>
    </row>
    <row r="30" spans="2:13" s="207" customFormat="1" x14ac:dyDescent="0.2">
      <c r="B30" s="210">
        <f t="shared" si="2"/>
        <v>2030</v>
      </c>
      <c r="C30" s="211"/>
      <c r="D30" s="205">
        <f t="shared" ref="D30:F30" si="22">ROUND(D29*(1+$G89),2)</f>
        <v>104.54</v>
      </c>
      <c r="E30" s="205">
        <f t="shared" si="22"/>
        <v>25.34</v>
      </c>
      <c r="F30" s="205">
        <f t="shared" si="22"/>
        <v>3.62</v>
      </c>
      <c r="G30" s="205">
        <f t="shared" si="13"/>
        <v>47.95</v>
      </c>
      <c r="H30" s="205">
        <f t="shared" si="14"/>
        <v>152.49</v>
      </c>
      <c r="I30" s="170">
        <f>VLOOKUP(B30,'Table 4'!$B$13:$C$40,2,FALSE)</f>
        <v>5.45</v>
      </c>
      <c r="J30" s="170">
        <f t="shared" ref="J30:J42" si="23">ROUND($K$65*I30/1000,2)</f>
        <v>35.590000000000003</v>
      </c>
      <c r="K30" s="170">
        <f t="shared" ref="K30:K42" si="24">ROUND(H30*1000/8760/$G$65+J30,2)</f>
        <v>60</v>
      </c>
      <c r="M30" s="104"/>
    </row>
    <row r="31" spans="2:13" s="207" customFormat="1" x14ac:dyDescent="0.2">
      <c r="B31" s="210">
        <f t="shared" si="2"/>
        <v>2031</v>
      </c>
      <c r="C31" s="211"/>
      <c r="D31" s="205">
        <f t="shared" ref="D31:D32" si="25">ROUND(D30*(1+$G90),2)</f>
        <v>106.94</v>
      </c>
      <c r="E31" s="205">
        <f t="shared" ref="E31:E32" si="26">ROUND(E30*(1+$G90),2)</f>
        <v>25.92</v>
      </c>
      <c r="F31" s="205">
        <f t="shared" ref="F31:F32" si="27">ROUND(F30*(1+$G90),2)</f>
        <v>3.7</v>
      </c>
      <c r="G31" s="205">
        <f t="shared" ref="G31:G33" si="28">ROUND(F31*(8.76*$G$65)+E31,2)</f>
        <v>49.03</v>
      </c>
      <c r="H31" s="205">
        <f t="shared" ref="H31:H33" si="29">ROUND(D31+G31,2)</f>
        <v>155.97</v>
      </c>
      <c r="I31" s="170">
        <f>VLOOKUP(B31,'Table 4'!$B$13:$C$40,2,FALSE)</f>
        <v>5.89</v>
      </c>
      <c r="J31" s="170">
        <f t="shared" si="23"/>
        <v>38.46</v>
      </c>
      <c r="K31" s="170">
        <f t="shared" si="24"/>
        <v>63.43</v>
      </c>
      <c r="M31" s="104"/>
    </row>
    <row r="32" spans="2:13" s="207" customFormat="1" x14ac:dyDescent="0.2">
      <c r="B32" s="210">
        <f t="shared" si="2"/>
        <v>2032</v>
      </c>
      <c r="C32" s="211"/>
      <c r="D32" s="205">
        <f t="shared" si="25"/>
        <v>109.4</v>
      </c>
      <c r="E32" s="205">
        <f t="shared" si="26"/>
        <v>26.52</v>
      </c>
      <c r="F32" s="205">
        <f t="shared" si="27"/>
        <v>3.79</v>
      </c>
      <c r="G32" s="205">
        <f t="shared" si="28"/>
        <v>50.19</v>
      </c>
      <c r="H32" s="205">
        <f t="shared" si="29"/>
        <v>159.59</v>
      </c>
      <c r="I32" s="170">
        <f>VLOOKUP(B32,'Table 4'!$B$13:$C$40,2,FALSE)</f>
        <v>5.98</v>
      </c>
      <c r="J32" s="170">
        <f t="shared" si="23"/>
        <v>39.049999999999997</v>
      </c>
      <c r="K32" s="170">
        <f t="shared" si="24"/>
        <v>64.599999999999994</v>
      </c>
      <c r="M32" s="104"/>
    </row>
    <row r="33" spans="2:15" x14ac:dyDescent="0.2">
      <c r="B33" s="166">
        <f t="shared" si="2"/>
        <v>2033</v>
      </c>
      <c r="C33" s="171"/>
      <c r="D33" s="170">
        <f>ROUND(D32*(1+$J83),2)</f>
        <v>111.92</v>
      </c>
      <c r="E33" s="168">
        <f>ROUND(E32*(1+$J83),2)</f>
        <v>27.13</v>
      </c>
      <c r="F33" s="168">
        <f>ROUND(F32*(1+$J83),2)</f>
        <v>3.88</v>
      </c>
      <c r="G33" s="170">
        <f t="shared" si="28"/>
        <v>51.36</v>
      </c>
      <c r="H33" s="170">
        <f t="shared" si="29"/>
        <v>163.28</v>
      </c>
      <c r="I33" s="170">
        <f>VLOOKUP(B33,'Table 4'!$B$13:$C$40,2,FALSE)</f>
        <v>6.12</v>
      </c>
      <c r="J33" s="170">
        <f t="shared" si="23"/>
        <v>39.96</v>
      </c>
      <c r="K33" s="170">
        <f t="shared" si="24"/>
        <v>66.099999999999994</v>
      </c>
      <c r="M33" s="104"/>
    </row>
    <row r="34" spans="2:15" x14ac:dyDescent="0.2">
      <c r="B34" s="166">
        <f t="shared" si="2"/>
        <v>2034</v>
      </c>
      <c r="C34" s="171"/>
      <c r="D34" s="170">
        <f t="shared" ref="D34:F34" si="30">ROUND(D33*(1+$J84),2)</f>
        <v>114.49</v>
      </c>
      <c r="E34" s="168">
        <f t="shared" si="30"/>
        <v>27.75</v>
      </c>
      <c r="F34" s="168">
        <f t="shared" si="30"/>
        <v>3.97</v>
      </c>
      <c r="G34" s="170">
        <f t="shared" ref="G34:G40" si="31">ROUND(F34*(8.76*$G$65)+E34,2)</f>
        <v>52.55</v>
      </c>
      <c r="H34" s="170">
        <f t="shared" ref="H34:H40" si="32">ROUND(D34+G34,2)</f>
        <v>167.04</v>
      </c>
      <c r="I34" s="170">
        <f>VLOOKUP(B34,'Table 4'!$B$13:$C$40,2,FALSE)</f>
        <v>6.36</v>
      </c>
      <c r="J34" s="170">
        <f t="shared" si="23"/>
        <v>41.53</v>
      </c>
      <c r="K34" s="170">
        <f t="shared" si="24"/>
        <v>68.27</v>
      </c>
      <c r="M34" s="104"/>
    </row>
    <row r="35" spans="2:15" x14ac:dyDescent="0.2">
      <c r="B35" s="166">
        <f t="shared" si="2"/>
        <v>2035</v>
      </c>
      <c r="C35" s="171"/>
      <c r="D35" s="170">
        <f t="shared" ref="D35:F35" si="33">ROUND(D34*(1+$J85),2)</f>
        <v>117.12</v>
      </c>
      <c r="E35" s="168">
        <f t="shared" si="33"/>
        <v>28.39</v>
      </c>
      <c r="F35" s="168">
        <f t="shared" si="33"/>
        <v>4.0599999999999996</v>
      </c>
      <c r="G35" s="170">
        <f t="shared" si="31"/>
        <v>53.75</v>
      </c>
      <c r="H35" s="170">
        <f t="shared" si="32"/>
        <v>170.87</v>
      </c>
      <c r="I35" s="170">
        <f>VLOOKUP(B35,'Table 4'!$B$13:$C$40,2,FALSE)</f>
        <v>6.5</v>
      </c>
      <c r="J35" s="170">
        <f t="shared" si="23"/>
        <v>42.45</v>
      </c>
      <c r="K35" s="170">
        <f t="shared" si="24"/>
        <v>69.81</v>
      </c>
      <c r="M35" s="104"/>
    </row>
    <row r="36" spans="2:15" x14ac:dyDescent="0.2">
      <c r="B36" s="166">
        <f t="shared" si="2"/>
        <v>2036</v>
      </c>
      <c r="C36" s="171"/>
      <c r="D36" s="170">
        <f t="shared" ref="D36:F36" si="34">ROUND(D35*(1+$J86),2)</f>
        <v>119.81</v>
      </c>
      <c r="E36" s="168">
        <f t="shared" si="34"/>
        <v>29.04</v>
      </c>
      <c r="F36" s="168">
        <f t="shared" si="34"/>
        <v>4.1500000000000004</v>
      </c>
      <c r="G36" s="170">
        <f t="shared" si="31"/>
        <v>54.96</v>
      </c>
      <c r="H36" s="170">
        <f t="shared" si="32"/>
        <v>174.77</v>
      </c>
      <c r="I36" s="170">
        <f>VLOOKUP(B36,'Table 4'!$B$13:$C$40,2,FALSE)</f>
        <v>6.73</v>
      </c>
      <c r="J36" s="170">
        <f t="shared" si="23"/>
        <v>43.95</v>
      </c>
      <c r="K36" s="170">
        <f t="shared" si="24"/>
        <v>71.930000000000007</v>
      </c>
      <c r="M36" s="104"/>
    </row>
    <row r="37" spans="2:15" x14ac:dyDescent="0.2">
      <c r="B37" s="166">
        <f t="shared" si="2"/>
        <v>2037</v>
      </c>
      <c r="C37" s="171"/>
      <c r="D37" s="170">
        <f t="shared" ref="D37:F37" si="35">ROUND(D36*(1+$J87),2)</f>
        <v>122.57</v>
      </c>
      <c r="E37" s="168">
        <f t="shared" si="35"/>
        <v>29.71</v>
      </c>
      <c r="F37" s="168">
        <f t="shared" si="35"/>
        <v>4.25</v>
      </c>
      <c r="G37" s="170">
        <f t="shared" si="31"/>
        <v>56.25</v>
      </c>
      <c r="H37" s="170">
        <f t="shared" si="32"/>
        <v>178.82</v>
      </c>
      <c r="I37" s="170">
        <f>VLOOKUP(B37,'Table 4'!$B$13:$C$40,2,FALSE)</f>
        <v>7.01</v>
      </c>
      <c r="J37" s="170">
        <f t="shared" si="23"/>
        <v>45.78</v>
      </c>
      <c r="K37" s="170">
        <f t="shared" si="24"/>
        <v>74.41</v>
      </c>
      <c r="M37" s="104"/>
    </row>
    <row r="38" spans="2:15" x14ac:dyDescent="0.2">
      <c r="B38" s="166">
        <f t="shared" si="2"/>
        <v>2038</v>
      </c>
      <c r="C38" s="171"/>
      <c r="D38" s="170">
        <f t="shared" ref="D38:F38" si="36">ROUND(D37*(1+$J88),2)</f>
        <v>125.39</v>
      </c>
      <c r="E38" s="168">
        <f t="shared" si="36"/>
        <v>30.39</v>
      </c>
      <c r="F38" s="168">
        <f t="shared" si="36"/>
        <v>4.3499999999999996</v>
      </c>
      <c r="G38" s="170">
        <f t="shared" si="31"/>
        <v>57.56</v>
      </c>
      <c r="H38" s="170">
        <f t="shared" si="32"/>
        <v>182.95</v>
      </c>
      <c r="I38" s="170">
        <f>VLOOKUP(B38,'Table 4'!$B$13:$C$40,2,FALSE)</f>
        <v>7.23</v>
      </c>
      <c r="J38" s="170">
        <f t="shared" si="23"/>
        <v>47.21</v>
      </c>
      <c r="K38" s="170">
        <f t="shared" si="24"/>
        <v>76.5</v>
      </c>
      <c r="M38" s="104"/>
    </row>
    <row r="39" spans="2:15" x14ac:dyDescent="0.2">
      <c r="B39" s="166">
        <f t="shared" si="2"/>
        <v>2039</v>
      </c>
      <c r="C39" s="171"/>
      <c r="D39" s="170">
        <f t="shared" ref="D39:F39" si="37">ROUND(D38*(1+$J89),2)</f>
        <v>128.4</v>
      </c>
      <c r="E39" s="168">
        <f t="shared" si="37"/>
        <v>31.12</v>
      </c>
      <c r="F39" s="168">
        <f t="shared" si="37"/>
        <v>4.45</v>
      </c>
      <c r="G39" s="170">
        <f t="shared" si="31"/>
        <v>58.91</v>
      </c>
      <c r="H39" s="170">
        <f t="shared" si="32"/>
        <v>187.31</v>
      </c>
      <c r="I39" s="170">
        <f>VLOOKUP(B39,'Table 4'!$B$13:$C$40,2,FALSE)</f>
        <v>7.42</v>
      </c>
      <c r="J39" s="170">
        <f t="shared" si="23"/>
        <v>48.45</v>
      </c>
      <c r="K39" s="170">
        <f t="shared" si="24"/>
        <v>78.44</v>
      </c>
      <c r="M39" s="104"/>
    </row>
    <row r="40" spans="2:15" x14ac:dyDescent="0.2">
      <c r="B40" s="166">
        <f t="shared" si="2"/>
        <v>2040</v>
      </c>
      <c r="C40" s="171"/>
      <c r="D40" s="170">
        <f t="shared" ref="D40:F40" si="38">ROUND(D39*(1+$J90),2)</f>
        <v>131.47999999999999</v>
      </c>
      <c r="E40" s="168">
        <f t="shared" si="38"/>
        <v>31.87</v>
      </c>
      <c r="F40" s="168">
        <f t="shared" si="38"/>
        <v>4.5599999999999996</v>
      </c>
      <c r="G40" s="170">
        <f t="shared" si="31"/>
        <v>60.35</v>
      </c>
      <c r="H40" s="170">
        <f t="shared" si="32"/>
        <v>191.83</v>
      </c>
      <c r="I40" s="170">
        <f>VLOOKUP(B40,'Table 4'!$B$13:$C$40,2,FALSE)</f>
        <v>7.71</v>
      </c>
      <c r="J40" s="170">
        <f t="shared" si="23"/>
        <v>50.35</v>
      </c>
      <c r="K40" s="170">
        <f t="shared" si="24"/>
        <v>81.06</v>
      </c>
      <c r="M40" s="104"/>
    </row>
    <row r="41" spans="2:15" hidden="1" x14ac:dyDescent="0.2">
      <c r="B41" s="166">
        <f t="shared" si="2"/>
        <v>2041</v>
      </c>
      <c r="C41" s="171"/>
      <c r="D41" s="170">
        <f t="shared" ref="D41:F42" si="39">ROUND(D40*(1+$J92),2)</f>
        <v>131.47999999999999</v>
      </c>
      <c r="E41" s="168">
        <f t="shared" si="39"/>
        <v>31.87</v>
      </c>
      <c r="F41" s="168">
        <f t="shared" si="39"/>
        <v>4.5599999999999996</v>
      </c>
      <c r="G41" s="170">
        <f t="shared" si="0"/>
        <v>60.35</v>
      </c>
      <c r="H41" s="170">
        <f t="shared" si="1"/>
        <v>191.83</v>
      </c>
      <c r="I41" s="170" t="e">
        <f>VLOOKUP(B41,'Table 4'!$B$13:$C$40,2,FALSE)</f>
        <v>#N/A</v>
      </c>
      <c r="J41" s="170" t="e">
        <f t="shared" si="23"/>
        <v>#N/A</v>
      </c>
      <c r="K41" s="170" t="e">
        <f t="shared" si="24"/>
        <v>#N/A</v>
      </c>
    </row>
    <row r="42" spans="2:15" hidden="1" x14ac:dyDescent="0.2">
      <c r="B42" s="166">
        <f t="shared" si="2"/>
        <v>2042</v>
      </c>
      <c r="C42" s="171"/>
      <c r="D42" s="170">
        <f t="shared" si="39"/>
        <v>131.47999999999999</v>
      </c>
      <c r="E42" s="168">
        <f t="shared" si="39"/>
        <v>31.87</v>
      </c>
      <c r="F42" s="168">
        <f t="shared" si="39"/>
        <v>4.5599999999999996</v>
      </c>
      <c r="G42" s="170">
        <f t="shared" si="0"/>
        <v>60.35</v>
      </c>
      <c r="H42" s="170">
        <f t="shared" si="1"/>
        <v>191.83</v>
      </c>
      <c r="I42" s="170" t="e">
        <f>VLOOKUP(B42,'Table 4'!$B$13:$C$40,2,FALSE)</f>
        <v>#N/A</v>
      </c>
      <c r="J42" s="170" t="e">
        <f t="shared" si="23"/>
        <v>#N/A</v>
      </c>
      <c r="K42" s="170" t="e">
        <f t="shared" si="24"/>
        <v>#N/A</v>
      </c>
    </row>
    <row r="43" spans="2:15" x14ac:dyDescent="0.2">
      <c r="M43" s="166"/>
      <c r="O43" s="173"/>
    </row>
    <row r="44" spans="2:15" ht="14.25" x14ac:dyDescent="0.2">
      <c r="B44" s="7" t="s">
        <v>51</v>
      </c>
      <c r="C44" s="69"/>
      <c r="D44" s="69"/>
      <c r="E44" s="69"/>
      <c r="F44" s="69"/>
      <c r="G44" s="69"/>
      <c r="H44" s="69"/>
      <c r="I44" s="69"/>
      <c r="J44" s="69"/>
      <c r="K44" s="69"/>
      <c r="M44" s="166"/>
      <c r="N44" s="173"/>
      <c r="O44" s="173"/>
    </row>
    <row r="46" spans="2:15" x14ac:dyDescent="0.2">
      <c r="B46" s="163" t="s">
        <v>30</v>
      </c>
      <c r="D46" s="174" t="s">
        <v>124</v>
      </c>
    </row>
    <row r="47" spans="2:15" x14ac:dyDescent="0.2">
      <c r="C47" s="175" t="str">
        <f>D10</f>
        <v>(b)</v>
      </c>
      <c r="D47" s="170" t="str">
        <f>"= "&amp;C10&amp;" x "&amp;C76</f>
        <v>= (a) x 0.07682</v>
      </c>
    </row>
    <row r="48" spans="2:15" x14ac:dyDescent="0.2">
      <c r="C48" s="175" t="str">
        <f>G10</f>
        <v>(e)</v>
      </c>
      <c r="D48" s="170" t="str">
        <f>"= "&amp;$F$10&amp;" x  (8.76 x "&amp;TEXT(G65,"0.0%")&amp;") + "&amp;$E$10</f>
        <v>= (d) x  (8.76 x 71.3%) + (c)</v>
      </c>
    </row>
    <row r="49" spans="3:11" x14ac:dyDescent="0.2">
      <c r="C49" s="175" t="str">
        <f>H10</f>
        <v>(f)</v>
      </c>
      <c r="D49" s="170" t="str">
        <f>"= "&amp;D10&amp;" + "&amp;G10</f>
        <v>= (b) + (e)</v>
      </c>
    </row>
    <row r="50" spans="3:11" x14ac:dyDescent="0.2">
      <c r="C50" s="175" t="str">
        <f>I10</f>
        <v>(g)</v>
      </c>
      <c r="D50" s="206" t="str">
        <f>'Table 4'!B3&amp;" - "&amp;'Table 4'!B4</f>
        <v>Table 4 - Burnertip Natural Gas Price Forecast</v>
      </c>
    </row>
    <row r="51" spans="3:11" x14ac:dyDescent="0.2">
      <c r="C51" s="175" t="str">
        <f>J10</f>
        <v>(h)</v>
      </c>
      <c r="D51" s="170" t="str">
        <f>"= "&amp;TEXT(K65,"?,0")&amp;" MMBtu/MWH x "&amp;I9</f>
        <v>= 6,530 MMBtu/MWH x $/MMBtu</v>
      </c>
    </row>
    <row r="52" spans="3:11" x14ac:dyDescent="0.2">
      <c r="C52" s="175" t="str">
        <f>K10</f>
        <v>(i)</v>
      </c>
      <c r="D52" s="170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5" t="s">
        <v>127</v>
      </c>
      <c r="D54" s="102"/>
      <c r="E54" s="102"/>
      <c r="F54" s="102"/>
      <c r="G54" s="102"/>
      <c r="H54" s="102"/>
      <c r="I54" s="102"/>
      <c r="J54" s="103"/>
      <c r="K54" s="176"/>
    </row>
    <row r="55" spans="3:11" ht="5.25" customHeight="1" x14ac:dyDescent="0.2"/>
    <row r="56" spans="3:11" ht="5.25" customHeight="1" x14ac:dyDescent="0.2"/>
    <row r="57" spans="3:11" x14ac:dyDescent="0.2">
      <c r="C57" s="89" t="s">
        <v>61</v>
      </c>
      <c r="D57" s="77"/>
      <c r="E57" s="89"/>
      <c r="F57" s="88" t="s">
        <v>62</v>
      </c>
      <c r="G57" s="88" t="s">
        <v>63</v>
      </c>
      <c r="H57" s="88" t="s">
        <v>64</v>
      </c>
      <c r="I57" s="88" t="s">
        <v>65</v>
      </c>
    </row>
    <row r="58" spans="3:11" x14ac:dyDescent="0.2">
      <c r="C58" s="207" t="s">
        <v>104</v>
      </c>
      <c r="F58" s="177">
        <f>C69</f>
        <v>380</v>
      </c>
      <c r="G58" s="104">
        <f>F58/F60</f>
        <v>0.89834515366430256</v>
      </c>
      <c r="H58" s="191">
        <f>C70</f>
        <v>1035</v>
      </c>
      <c r="I58" s="193">
        <f>C73</f>
        <v>18.8</v>
      </c>
    </row>
    <row r="59" spans="3:11" x14ac:dyDescent="0.2">
      <c r="C59" s="207" t="s">
        <v>105</v>
      </c>
      <c r="F59" s="95">
        <f>D69</f>
        <v>43</v>
      </c>
      <c r="G59" s="91">
        <f>1-G58</f>
        <v>0.10165484633569744</v>
      </c>
      <c r="H59" s="192">
        <f>D70</f>
        <v>481</v>
      </c>
      <c r="I59" s="194">
        <f>D73</f>
        <v>13.11</v>
      </c>
    </row>
    <row r="60" spans="3:11" x14ac:dyDescent="0.2">
      <c r="C60" s="207" t="s">
        <v>66</v>
      </c>
      <c r="F60" s="177">
        <f>F58+F59</f>
        <v>423</v>
      </c>
      <c r="G60" s="104">
        <f>G58+G59</f>
        <v>1</v>
      </c>
      <c r="H60" s="191">
        <f>ROUND(((F58*H58)+(F59*H59))/F60,0)</f>
        <v>979</v>
      </c>
      <c r="I60" s="193">
        <f>ROUND(((F58*I58)+(F59*I59))/F60,2)</f>
        <v>18.22</v>
      </c>
    </row>
    <row r="61" spans="3:11" x14ac:dyDescent="0.2">
      <c r="C61" s="207"/>
      <c r="F61" s="177"/>
      <c r="G61" s="104"/>
      <c r="H61" s="178"/>
      <c r="I61" s="179"/>
    </row>
    <row r="62" spans="3:11" x14ac:dyDescent="0.2">
      <c r="C62" s="208" t="s">
        <v>61</v>
      </c>
      <c r="D62" s="77"/>
      <c r="E62" s="89"/>
      <c r="F62" s="88" t="s">
        <v>62</v>
      </c>
      <c r="G62" s="88" t="s">
        <v>67</v>
      </c>
      <c r="H62" s="88" t="s">
        <v>68</v>
      </c>
      <c r="I62" s="88" t="s">
        <v>63</v>
      </c>
      <c r="J62" s="88" t="s">
        <v>69</v>
      </c>
      <c r="K62" s="88" t="s">
        <v>70</v>
      </c>
    </row>
    <row r="63" spans="3:11" x14ac:dyDescent="0.2">
      <c r="C63" s="209" t="str">
        <f>C58</f>
        <v>CCCT Dry "J" - Turbine</v>
      </c>
      <c r="D63" s="180"/>
      <c r="E63" s="180"/>
      <c r="F63" s="163">
        <f>C69</f>
        <v>380</v>
      </c>
      <c r="G63" s="104">
        <f>C77</f>
        <v>0.78</v>
      </c>
      <c r="H63" s="234">
        <f>G63*F63</f>
        <v>296.40000000000003</v>
      </c>
      <c r="I63" s="104">
        <f>H63/H65</f>
        <v>0.98288897731794655</v>
      </c>
      <c r="J63" s="179">
        <f>C74</f>
        <v>2.6599999999999997</v>
      </c>
      <c r="K63" s="181">
        <f>C75</f>
        <v>6495</v>
      </c>
    </row>
    <row r="64" spans="3:11" x14ac:dyDescent="0.2">
      <c r="C64" s="209" t="str">
        <f>C59</f>
        <v>CCCT Dry "J" - Duct Firing</v>
      </c>
      <c r="D64" s="180"/>
      <c r="E64" s="180"/>
      <c r="F64" s="90">
        <f>D69</f>
        <v>43</v>
      </c>
      <c r="G64" s="91">
        <f>D77</f>
        <v>0.12</v>
      </c>
      <c r="H64" s="235">
        <f>G64*F64</f>
        <v>5.16</v>
      </c>
      <c r="I64" s="91">
        <f>1-I63</f>
        <v>1.7111022682053445E-2</v>
      </c>
      <c r="J64" s="92">
        <f>D74</f>
        <v>0.1</v>
      </c>
      <c r="K64" s="93">
        <f>D75</f>
        <v>8611</v>
      </c>
    </row>
    <row r="65" spans="3:11" x14ac:dyDescent="0.2">
      <c r="C65" s="207" t="s">
        <v>71</v>
      </c>
      <c r="F65" s="163">
        <f>F63+F64</f>
        <v>423</v>
      </c>
      <c r="G65" s="182">
        <f>ROUND(H65/F65,3)</f>
        <v>0.71299999999999997</v>
      </c>
      <c r="H65" s="234">
        <f>SUM(H63:H64)</f>
        <v>301.56000000000006</v>
      </c>
      <c r="I65" s="104">
        <f>I63+I64</f>
        <v>1</v>
      </c>
      <c r="J65" s="179">
        <f>ROUND(($I63*J63)+($I64*J64),2)</f>
        <v>2.62</v>
      </c>
      <c r="K65" s="183">
        <f>ROUND(($I63*K63)+($I64*K64),-1)</f>
        <v>6530</v>
      </c>
    </row>
    <row r="66" spans="3:11" x14ac:dyDescent="0.2">
      <c r="G66" s="182"/>
      <c r="I66" s="104"/>
      <c r="J66" s="179"/>
      <c r="K66" s="94" t="s">
        <v>72</v>
      </c>
    </row>
    <row r="68" spans="3:11" x14ac:dyDescent="0.2">
      <c r="C68" s="88" t="s">
        <v>54</v>
      </c>
      <c r="D68" s="88" t="s">
        <v>55</v>
      </c>
      <c r="E68" s="106" t="str">
        <f>D46</f>
        <v>Plant Costs  - 2015 IRP - Table 6.1 &amp; 6.2 - Page 92</v>
      </c>
      <c r="F68" s="184"/>
      <c r="G68" s="184"/>
      <c r="H68" s="184"/>
      <c r="I68" s="184"/>
      <c r="J68" s="184"/>
      <c r="K68" s="185"/>
    </row>
    <row r="69" spans="3:11" x14ac:dyDescent="0.2">
      <c r="C69" s="163">
        <v>380</v>
      </c>
      <c r="D69" s="163">
        <v>43</v>
      </c>
      <c r="E69" s="163" t="s">
        <v>99</v>
      </c>
      <c r="H69" s="186"/>
    </row>
    <row r="70" spans="3:11" x14ac:dyDescent="0.2">
      <c r="C70" s="178">
        <v>1035</v>
      </c>
      <c r="D70" s="178">
        <v>481</v>
      </c>
      <c r="E70" s="163" t="s">
        <v>100</v>
      </c>
    </row>
    <row r="71" spans="3:11" x14ac:dyDescent="0.2">
      <c r="C71" s="179">
        <f>8.58+0.33</f>
        <v>8.91</v>
      </c>
      <c r="D71" s="179">
        <v>0</v>
      </c>
      <c r="E71" s="163" t="s">
        <v>101</v>
      </c>
    </row>
    <row r="72" spans="3:11" x14ac:dyDescent="0.2">
      <c r="C72" s="96">
        <v>9.89</v>
      </c>
      <c r="D72" s="96">
        <v>13.11</v>
      </c>
      <c r="E72" s="163" t="s">
        <v>97</v>
      </c>
    </row>
    <row r="73" spans="3:11" x14ac:dyDescent="0.2">
      <c r="C73" s="179">
        <f>C71+C72</f>
        <v>18.8</v>
      </c>
      <c r="D73" s="179">
        <f>D71+D72</f>
        <v>13.11</v>
      </c>
      <c r="E73" s="163" t="s">
        <v>102</v>
      </c>
    </row>
    <row r="74" spans="3:11" x14ac:dyDescent="0.2">
      <c r="C74" s="179">
        <f>2.34+0.32</f>
        <v>2.6599999999999997</v>
      </c>
      <c r="D74" s="179">
        <f>0.1</f>
        <v>0.1</v>
      </c>
      <c r="E74" s="163" t="s">
        <v>103</v>
      </c>
    </row>
    <row r="75" spans="3:11" x14ac:dyDescent="0.2">
      <c r="C75" s="183">
        <v>6495</v>
      </c>
      <c r="D75" s="183">
        <v>8611</v>
      </c>
      <c r="E75" s="163" t="s">
        <v>74</v>
      </c>
    </row>
    <row r="76" spans="3:11" x14ac:dyDescent="0.2">
      <c r="C76" s="204">
        <v>7.6819999999999999E-2</v>
      </c>
      <c r="D76" s="204">
        <f>C76</f>
        <v>7.6819999999999999E-2</v>
      </c>
      <c r="E76" s="163" t="s">
        <v>75</v>
      </c>
    </row>
    <row r="77" spans="3:11" x14ac:dyDescent="0.2">
      <c r="C77" s="187">
        <v>0.78</v>
      </c>
      <c r="D77" s="187">
        <v>0.12</v>
      </c>
      <c r="E77" s="163" t="s">
        <v>76</v>
      </c>
    </row>
    <row r="78" spans="3:11" x14ac:dyDescent="0.2">
      <c r="D78" s="104">
        <f>ROUND(H65/F65,3)</f>
        <v>0.71299999999999997</v>
      </c>
      <c r="E78" s="163" t="s">
        <v>77</v>
      </c>
    </row>
    <row r="79" spans="3:11" x14ac:dyDescent="0.2">
      <c r="D79" s="182"/>
      <c r="E79" s="115"/>
    </row>
    <row r="80" spans="3:11" x14ac:dyDescent="0.2">
      <c r="C80" s="187"/>
      <c r="D80" s="187"/>
    </row>
    <row r="82" spans="3:15" ht="13.5" thickBot="1" x14ac:dyDescent="0.25">
      <c r="C82" s="101" t="str">
        <f>"Company Official Inflation Forecast Dated "&amp;TEXT('Table 4'!G5,"mmmm dd, yyyy")</f>
        <v>Company Official Inflation Forecast Dated September 30, 2015</v>
      </c>
      <c r="D82" s="102"/>
      <c r="E82" s="102"/>
      <c r="F82" s="102"/>
      <c r="G82" s="102"/>
      <c r="H82" s="102"/>
      <c r="I82" s="102"/>
      <c r="J82" s="103"/>
      <c r="K82" s="176"/>
    </row>
    <row r="83" spans="3:15" x14ac:dyDescent="0.2">
      <c r="C83" s="188">
        <v>2015</v>
      </c>
      <c r="D83" s="104">
        <v>5.0000000000000001E-3</v>
      </c>
      <c r="F83" s="188">
        <f>C91+1</f>
        <v>2024</v>
      </c>
      <c r="G83" s="104">
        <v>2.3E-2</v>
      </c>
      <c r="I83" s="188">
        <f>F91+1</f>
        <v>2033</v>
      </c>
      <c r="J83" s="104">
        <v>2.3E-2</v>
      </c>
    </row>
    <row r="84" spans="3:15" x14ac:dyDescent="0.2">
      <c r="C84" s="188">
        <f t="shared" ref="C84:C91" si="40">C83+1</f>
        <v>2016</v>
      </c>
      <c r="D84" s="104">
        <v>1.9E-2</v>
      </c>
      <c r="F84" s="188">
        <f t="shared" ref="F84:F91" si="41">F83+1</f>
        <v>2025</v>
      </c>
      <c r="G84" s="104">
        <v>2.1999999999999999E-2</v>
      </c>
      <c r="I84" s="188">
        <f t="shared" ref="I84:I91" si="42">I83+1</f>
        <v>2034</v>
      </c>
      <c r="J84" s="104">
        <v>2.3E-2</v>
      </c>
    </row>
    <row r="85" spans="3:15" x14ac:dyDescent="0.2">
      <c r="C85" s="188">
        <f t="shared" si="40"/>
        <v>2017</v>
      </c>
      <c r="D85" s="104">
        <v>2.1999999999999999E-2</v>
      </c>
      <c r="F85" s="188">
        <f t="shared" si="41"/>
        <v>2026</v>
      </c>
      <c r="G85" s="104">
        <v>2.1999999999999999E-2</v>
      </c>
      <c r="I85" s="188">
        <f t="shared" si="42"/>
        <v>2035</v>
      </c>
      <c r="J85" s="104">
        <v>2.3E-2</v>
      </c>
    </row>
    <row r="86" spans="3:15" x14ac:dyDescent="0.2">
      <c r="C86" s="188">
        <f t="shared" si="40"/>
        <v>2018</v>
      </c>
      <c r="D86" s="104">
        <v>2.3E-2</v>
      </c>
      <c r="F86" s="188">
        <f t="shared" si="41"/>
        <v>2027</v>
      </c>
      <c r="G86" s="104">
        <v>2.1999999999999999E-2</v>
      </c>
      <c r="I86" s="188">
        <f t="shared" si="42"/>
        <v>2036</v>
      </c>
      <c r="J86" s="104">
        <v>2.3E-2</v>
      </c>
    </row>
    <row r="87" spans="3:15" x14ac:dyDescent="0.2">
      <c r="C87" s="188">
        <f t="shared" si="40"/>
        <v>2019</v>
      </c>
      <c r="D87" s="104">
        <v>2.1999999999999999E-2</v>
      </c>
      <c r="F87" s="188">
        <f t="shared" si="41"/>
        <v>2028</v>
      </c>
      <c r="G87" s="104">
        <v>2.1999999999999999E-2</v>
      </c>
      <c r="I87" s="188">
        <f t="shared" si="42"/>
        <v>2037</v>
      </c>
      <c r="J87" s="104">
        <v>2.3E-2</v>
      </c>
    </row>
    <row r="88" spans="3:15" x14ac:dyDescent="0.2">
      <c r="C88" s="188">
        <f t="shared" si="40"/>
        <v>2020</v>
      </c>
      <c r="D88" s="104">
        <v>1.9E-2</v>
      </c>
      <c r="F88" s="188">
        <f t="shared" si="41"/>
        <v>2029</v>
      </c>
      <c r="G88" s="104">
        <v>2.1999999999999999E-2</v>
      </c>
      <c r="I88" s="188">
        <f t="shared" si="42"/>
        <v>2038</v>
      </c>
      <c r="J88" s="104">
        <v>2.3E-2</v>
      </c>
    </row>
    <row r="89" spans="3:15" s="165" customFormat="1" x14ac:dyDescent="0.2">
      <c r="C89" s="188">
        <f t="shared" si="40"/>
        <v>2021</v>
      </c>
      <c r="D89" s="104">
        <v>2.1000000000000001E-2</v>
      </c>
      <c r="F89" s="188">
        <f t="shared" si="41"/>
        <v>2030</v>
      </c>
      <c r="G89" s="104">
        <v>2.1999999999999999E-2</v>
      </c>
      <c r="I89" s="188">
        <f t="shared" si="42"/>
        <v>2039</v>
      </c>
      <c r="J89" s="104">
        <v>2.4E-2</v>
      </c>
      <c r="N89" s="163"/>
      <c r="O89" s="163"/>
    </row>
    <row r="90" spans="3:15" s="165" customFormat="1" x14ac:dyDescent="0.2">
      <c r="C90" s="188">
        <f t="shared" si="40"/>
        <v>2022</v>
      </c>
      <c r="D90" s="104">
        <v>2.3E-2</v>
      </c>
      <c r="F90" s="188">
        <f t="shared" si="41"/>
        <v>2031</v>
      </c>
      <c r="G90" s="104">
        <v>2.3E-2</v>
      </c>
      <c r="I90" s="188">
        <f t="shared" si="42"/>
        <v>2040</v>
      </c>
      <c r="J90" s="104">
        <v>2.4E-2</v>
      </c>
      <c r="N90" s="163"/>
      <c r="O90" s="163"/>
    </row>
    <row r="91" spans="3:15" s="165" customFormat="1" x14ac:dyDescent="0.2">
      <c r="C91" s="188">
        <f t="shared" si="40"/>
        <v>2023</v>
      </c>
      <c r="D91" s="104">
        <v>2.4E-2</v>
      </c>
      <c r="F91" s="188">
        <f t="shared" si="41"/>
        <v>2032</v>
      </c>
      <c r="G91" s="104">
        <v>2.3E-2</v>
      </c>
      <c r="I91" s="188">
        <f t="shared" si="42"/>
        <v>2041</v>
      </c>
      <c r="J91" s="104">
        <v>2.4E-2</v>
      </c>
      <c r="N91" s="163"/>
      <c r="O91" s="163"/>
    </row>
    <row r="92" spans="3:15" s="165" customFormat="1" x14ac:dyDescent="0.2">
      <c r="N92" s="163"/>
      <c r="O92" s="163"/>
    </row>
    <row r="93" spans="3:15" s="165" customFormat="1" x14ac:dyDescent="0.2">
      <c r="N93" s="163"/>
      <c r="O93" s="163"/>
    </row>
    <row r="94" spans="3:15" x14ac:dyDescent="0.2">
      <c r="D94" s="195"/>
    </row>
    <row r="95" spans="3:15" x14ac:dyDescent="0.2">
      <c r="D95" s="195"/>
    </row>
  </sheetData>
  <printOptions horizontalCentered="1"/>
  <pageMargins left="0.25" right="0.25" top="0.75" bottom="0.75" header="0.3" footer="0.3"/>
  <pageSetup scale="96" fitToHeight="0" orientation="portrait" r:id="rId1"/>
  <headerFooter alignWithMargins="0"/>
  <rowBreaks count="1" manualBreakCount="1">
    <brk id="5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O95"/>
  <sheetViews>
    <sheetView zoomScaleNormal="100" zoomScaleSheetLayoutView="85" workbookViewId="0">
      <pane xSplit="3" ySplit="10" topLeftCell="D11" activePane="bottomRight" state="frozen"/>
      <selection activeCell="F39" sqref="F39"/>
      <selection pane="topRight" activeCell="F39" sqref="F39"/>
      <selection pane="bottomLeft" activeCell="F39" sqref="F39"/>
      <selection pane="bottomRight" activeCell="D44" sqref="D44"/>
    </sheetView>
  </sheetViews>
  <sheetFormatPr defaultColWidth="9.33203125" defaultRowHeight="12.75" x14ac:dyDescent="0.2"/>
  <cols>
    <col min="1" max="1" width="2.83203125" style="163" customWidth="1"/>
    <col min="2" max="2" width="10.83203125" style="163" customWidth="1"/>
    <col min="3" max="3" width="14.1640625" style="163" customWidth="1"/>
    <col min="4" max="4" width="12.33203125" style="163" customWidth="1"/>
    <col min="5" max="5" width="9.1640625" style="163" customWidth="1"/>
    <col min="6" max="6" width="10.5" style="163" customWidth="1"/>
    <col min="7" max="7" width="10.5" style="163" bestFit="1" customWidth="1"/>
    <col min="8" max="8" width="11.6640625" style="163" bestFit="1" customWidth="1"/>
    <col min="9" max="9" width="11.1640625" style="163" customWidth="1"/>
    <col min="10" max="10" width="12" style="163" bestFit="1" customWidth="1"/>
    <col min="11" max="11" width="12" style="163" customWidth="1"/>
    <col min="12" max="13" width="9.33203125" style="163"/>
    <col min="14" max="15" width="9.33203125" style="163" customWidth="1"/>
    <col min="16" max="16384" width="9.33203125" style="163"/>
  </cols>
  <sheetData>
    <row r="1" spans="2:14" ht="15.75" x14ac:dyDescent="0.25">
      <c r="B1" s="1" t="s">
        <v>73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4" ht="15.75" x14ac:dyDescent="0.25">
      <c r="B2" s="1"/>
      <c r="C2" s="162"/>
      <c r="D2" s="162"/>
      <c r="E2" s="162"/>
      <c r="F2" s="162"/>
      <c r="G2" s="162"/>
      <c r="H2" s="162"/>
      <c r="I2" s="162"/>
      <c r="J2" s="162"/>
      <c r="K2" s="162"/>
    </row>
    <row r="3" spans="2:14" ht="15.75" x14ac:dyDescent="0.25">
      <c r="B3" s="1" t="s">
        <v>113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4" ht="15.75" x14ac:dyDescent="0.25">
      <c r="B4" s="1" t="s">
        <v>126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4" ht="15.75" x14ac:dyDescent="0.25">
      <c r="B5" s="1" t="str">
        <f>C54</f>
        <v>Dave Johnston - 313 MW - CCCT Dry "F", 1x1 - East Side Resource (5,050')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4" ht="15.75" x14ac:dyDescent="0.25">
      <c r="B6" s="1"/>
      <c r="C6" s="162"/>
      <c r="D6" s="162"/>
      <c r="E6" s="162"/>
      <c r="F6" s="162"/>
      <c r="G6" s="162"/>
      <c r="H6" s="162"/>
      <c r="I6" s="162"/>
      <c r="K6" s="62"/>
    </row>
    <row r="7" spans="2:14" x14ac:dyDescent="0.2">
      <c r="B7" s="164"/>
      <c r="C7" s="164"/>
      <c r="D7" s="164"/>
      <c r="E7" s="164"/>
      <c r="F7" s="164"/>
      <c r="G7" s="164"/>
      <c r="H7" s="164"/>
      <c r="I7" s="162"/>
      <c r="J7" s="165"/>
      <c r="K7" s="165"/>
      <c r="L7" s="165"/>
      <c r="M7" s="165"/>
      <c r="N7" s="165"/>
    </row>
    <row r="8" spans="2:14" ht="51.75" customHeight="1" x14ac:dyDescent="0.2">
      <c r="B8" s="63" t="s">
        <v>0</v>
      </c>
      <c r="C8" s="64" t="s">
        <v>10</v>
      </c>
      <c r="D8" s="64" t="s">
        <v>11</v>
      </c>
      <c r="E8" s="64" t="s">
        <v>12</v>
      </c>
      <c r="F8" s="64" t="s">
        <v>13</v>
      </c>
      <c r="G8" s="64" t="s">
        <v>14</v>
      </c>
      <c r="H8" s="64" t="s">
        <v>15</v>
      </c>
      <c r="I8" s="65" t="s">
        <v>41</v>
      </c>
      <c r="J8" s="65" t="s">
        <v>94</v>
      </c>
      <c r="K8" s="64" t="s">
        <v>95</v>
      </c>
      <c r="L8" s="165"/>
    </row>
    <row r="9" spans="2:14" ht="18.75" customHeight="1" x14ac:dyDescent="0.2">
      <c r="B9" s="66"/>
      <c r="C9" s="67" t="s">
        <v>8</v>
      </c>
      <c r="D9" s="68" t="s">
        <v>9</v>
      </c>
      <c r="E9" s="68" t="s">
        <v>9</v>
      </c>
      <c r="F9" s="67" t="s">
        <v>59</v>
      </c>
      <c r="G9" s="68" t="s">
        <v>9</v>
      </c>
      <c r="H9" s="68" t="s">
        <v>9</v>
      </c>
      <c r="I9" s="68" t="s">
        <v>42</v>
      </c>
      <c r="J9" s="67" t="s">
        <v>59</v>
      </c>
      <c r="K9" s="67" t="s">
        <v>59</v>
      </c>
      <c r="L9" s="165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7" t="str">
        <f>C54</f>
        <v>Dave Johnston - 313 MW - CCCT Dry "F", 1x1 - East Side Resource (5,050')</v>
      </c>
      <c r="C12" s="165"/>
      <c r="E12" s="165"/>
      <c r="F12" s="165"/>
      <c r="G12" s="165"/>
      <c r="H12" s="165"/>
      <c r="I12" s="164"/>
      <c r="J12" s="164"/>
      <c r="K12" s="164"/>
      <c r="L12" s="165"/>
    </row>
    <row r="13" spans="2:14" ht="4.5" customHeight="1" x14ac:dyDescent="0.2">
      <c r="B13" s="166"/>
      <c r="C13" s="167"/>
      <c r="D13" s="168"/>
      <c r="E13" s="169"/>
      <c r="F13" s="169"/>
      <c r="G13" s="170"/>
      <c r="H13" s="170"/>
      <c r="I13" s="170"/>
      <c r="J13" s="170"/>
      <c r="K13" s="170"/>
    </row>
    <row r="14" spans="2:14" x14ac:dyDescent="0.2">
      <c r="B14" s="166">
        <v>2014</v>
      </c>
      <c r="C14" s="167">
        <f>$H$60</f>
        <v>977</v>
      </c>
      <c r="D14" s="168">
        <f>ROUND(C14*$C$76,2)</f>
        <v>75.05</v>
      </c>
      <c r="E14" s="169">
        <f>$I$60</f>
        <v>22.95</v>
      </c>
      <c r="F14" s="169">
        <f>$J$65</f>
        <v>1.76</v>
      </c>
      <c r="G14" s="170">
        <f t="shared" ref="G14:G42" si="0">ROUND(F14*(8.76*$G$65)+E14,2)</f>
        <v>33.42</v>
      </c>
      <c r="H14" s="170">
        <f t="shared" ref="H14:H42" si="1">ROUND(D14+G14,2)</f>
        <v>108.47</v>
      </c>
      <c r="I14" s="170"/>
      <c r="J14" s="170"/>
      <c r="K14" s="170"/>
    </row>
    <row r="15" spans="2:14" x14ac:dyDescent="0.2">
      <c r="B15" s="166">
        <f t="shared" ref="B15:B42" si="2">B14+1</f>
        <v>2015</v>
      </c>
      <c r="C15" s="171"/>
      <c r="D15" s="168">
        <f t="shared" ref="D15:F17" si="3">ROUND(D14*(1+$D83),2)</f>
        <v>75.430000000000007</v>
      </c>
      <c r="E15" s="168">
        <f t="shared" si="3"/>
        <v>23.06</v>
      </c>
      <c r="F15" s="168">
        <f t="shared" si="3"/>
        <v>1.77</v>
      </c>
      <c r="G15" s="172">
        <f t="shared" si="0"/>
        <v>33.590000000000003</v>
      </c>
      <c r="H15" s="172">
        <f t="shared" si="1"/>
        <v>109.02</v>
      </c>
      <c r="I15" s="170"/>
      <c r="J15" s="170"/>
      <c r="K15" s="170"/>
      <c r="M15" s="104"/>
    </row>
    <row r="16" spans="2:14" x14ac:dyDescent="0.2">
      <c r="B16" s="166">
        <f t="shared" si="2"/>
        <v>2016</v>
      </c>
      <c r="C16" s="171"/>
      <c r="D16" s="168">
        <f t="shared" si="3"/>
        <v>76.86</v>
      </c>
      <c r="E16" s="168">
        <f t="shared" si="3"/>
        <v>23.5</v>
      </c>
      <c r="F16" s="168">
        <f t="shared" si="3"/>
        <v>1.8</v>
      </c>
      <c r="G16" s="170">
        <f t="shared" si="0"/>
        <v>34.21</v>
      </c>
      <c r="H16" s="170">
        <f t="shared" si="1"/>
        <v>111.07</v>
      </c>
      <c r="I16" s="170"/>
      <c r="J16" s="170"/>
      <c r="K16" s="170"/>
      <c r="M16" s="104"/>
    </row>
    <row r="17" spans="2:13" x14ac:dyDescent="0.2">
      <c r="B17" s="166">
        <f t="shared" si="2"/>
        <v>2017</v>
      </c>
      <c r="C17" s="171"/>
      <c r="D17" s="168">
        <f t="shared" si="3"/>
        <v>78.55</v>
      </c>
      <c r="E17" s="168">
        <f t="shared" si="3"/>
        <v>24.02</v>
      </c>
      <c r="F17" s="168">
        <f t="shared" si="3"/>
        <v>1.84</v>
      </c>
      <c r="G17" s="170">
        <f t="shared" si="0"/>
        <v>34.96</v>
      </c>
      <c r="H17" s="170">
        <f t="shared" si="1"/>
        <v>113.51</v>
      </c>
      <c r="I17" s="170"/>
      <c r="J17" s="170"/>
      <c r="K17" s="170"/>
      <c r="M17" s="104"/>
    </row>
    <row r="18" spans="2:13" x14ac:dyDescent="0.2">
      <c r="B18" s="166">
        <f t="shared" si="2"/>
        <v>2018</v>
      </c>
      <c r="C18" s="171"/>
      <c r="D18" s="168">
        <f t="shared" ref="D18:F18" si="4">ROUND(D17*(1+$D86),2)</f>
        <v>80.36</v>
      </c>
      <c r="E18" s="168">
        <f t="shared" si="4"/>
        <v>24.57</v>
      </c>
      <c r="F18" s="168">
        <f t="shared" si="4"/>
        <v>1.88</v>
      </c>
      <c r="G18" s="170">
        <f t="shared" ref="G18:G23" si="5">ROUND(F18*(8.76*$G$65)+E18,2)</f>
        <v>35.75</v>
      </c>
      <c r="H18" s="170">
        <f t="shared" ref="H18:H23" si="6">ROUND(D18+G18,2)</f>
        <v>116.11</v>
      </c>
      <c r="I18" s="170"/>
      <c r="J18" s="170"/>
      <c r="K18" s="170"/>
      <c r="M18" s="104"/>
    </row>
    <row r="19" spans="2:13" x14ac:dyDescent="0.2">
      <c r="B19" s="166">
        <f t="shared" si="2"/>
        <v>2019</v>
      </c>
      <c r="C19" s="171"/>
      <c r="D19" s="168">
        <f t="shared" ref="D19:F19" si="7">ROUND(D18*(1+$D87),2)</f>
        <v>82.13</v>
      </c>
      <c r="E19" s="168">
        <f t="shared" si="7"/>
        <v>25.11</v>
      </c>
      <c r="F19" s="168">
        <f t="shared" si="7"/>
        <v>1.92</v>
      </c>
      <c r="G19" s="170">
        <f t="shared" si="5"/>
        <v>36.53</v>
      </c>
      <c r="H19" s="170">
        <f t="shared" si="6"/>
        <v>118.66</v>
      </c>
      <c r="I19" s="170"/>
      <c r="J19" s="170"/>
      <c r="K19" s="170"/>
      <c r="M19" s="104"/>
    </row>
    <row r="20" spans="2:13" x14ac:dyDescent="0.2">
      <c r="B20" s="166">
        <f t="shared" si="2"/>
        <v>2020</v>
      </c>
      <c r="C20" s="171"/>
      <c r="D20" s="168">
        <f t="shared" ref="D20:F20" si="8">ROUND(D19*(1+$D88),2)</f>
        <v>83.69</v>
      </c>
      <c r="E20" s="168">
        <f t="shared" si="8"/>
        <v>25.59</v>
      </c>
      <c r="F20" s="168">
        <f t="shared" si="8"/>
        <v>1.96</v>
      </c>
      <c r="G20" s="170">
        <f t="shared" si="5"/>
        <v>37.25</v>
      </c>
      <c r="H20" s="170">
        <f t="shared" si="6"/>
        <v>120.94</v>
      </c>
      <c r="I20" s="170"/>
      <c r="J20" s="170"/>
      <c r="K20" s="170"/>
      <c r="M20" s="104"/>
    </row>
    <row r="21" spans="2:13" x14ac:dyDescent="0.2">
      <c r="B21" s="166">
        <f t="shared" si="2"/>
        <v>2021</v>
      </c>
      <c r="C21" s="171"/>
      <c r="D21" s="168">
        <f t="shared" ref="D21:F21" si="9">ROUND(D20*(1+$D89),2)</f>
        <v>85.45</v>
      </c>
      <c r="E21" s="168">
        <f t="shared" si="9"/>
        <v>26.13</v>
      </c>
      <c r="F21" s="168">
        <f t="shared" si="9"/>
        <v>2</v>
      </c>
      <c r="G21" s="170">
        <f t="shared" si="5"/>
        <v>38.03</v>
      </c>
      <c r="H21" s="170">
        <f t="shared" si="6"/>
        <v>123.48</v>
      </c>
      <c r="I21" s="170"/>
      <c r="J21" s="170"/>
      <c r="K21" s="170"/>
      <c r="M21" s="104"/>
    </row>
    <row r="22" spans="2:13" x14ac:dyDescent="0.2">
      <c r="B22" s="166">
        <f t="shared" si="2"/>
        <v>2022</v>
      </c>
      <c r="C22" s="171"/>
      <c r="D22" s="168">
        <f t="shared" ref="D22:F22" si="10">ROUND(D21*(1+$D90),2)</f>
        <v>87.42</v>
      </c>
      <c r="E22" s="168">
        <f t="shared" si="10"/>
        <v>26.73</v>
      </c>
      <c r="F22" s="168">
        <f t="shared" si="10"/>
        <v>2.0499999999999998</v>
      </c>
      <c r="G22" s="170">
        <f t="shared" si="5"/>
        <v>38.92</v>
      </c>
      <c r="H22" s="170">
        <f t="shared" si="6"/>
        <v>126.34</v>
      </c>
      <c r="I22" s="170"/>
      <c r="J22" s="170"/>
      <c r="K22" s="170"/>
      <c r="M22" s="104"/>
    </row>
    <row r="23" spans="2:13" x14ac:dyDescent="0.2">
      <c r="B23" s="166">
        <f t="shared" si="2"/>
        <v>2023</v>
      </c>
      <c r="C23" s="171"/>
      <c r="D23" s="168">
        <f t="shared" ref="D23:F23" si="11">ROUND(D22*(1+$D91),2)</f>
        <v>89.52</v>
      </c>
      <c r="E23" s="168">
        <f t="shared" si="11"/>
        <v>27.37</v>
      </c>
      <c r="F23" s="168">
        <f t="shared" si="11"/>
        <v>2.1</v>
      </c>
      <c r="G23" s="170">
        <f t="shared" si="5"/>
        <v>39.86</v>
      </c>
      <c r="H23" s="170">
        <f t="shared" si="6"/>
        <v>129.38</v>
      </c>
      <c r="I23" s="170"/>
      <c r="J23" s="170"/>
      <c r="K23" s="170"/>
      <c r="M23" s="104"/>
    </row>
    <row r="24" spans="2:13" x14ac:dyDescent="0.2">
      <c r="B24" s="166">
        <f t="shared" si="2"/>
        <v>2024</v>
      </c>
      <c r="C24" s="171"/>
      <c r="D24" s="172">
        <f>ROUND(D23*(1+$G83),2)</f>
        <v>91.58</v>
      </c>
      <c r="E24" s="172">
        <f>ROUND(E23*(1+$G83),2)</f>
        <v>28</v>
      </c>
      <c r="F24" s="172">
        <f>ROUND(F23*(1+$G83),2)</f>
        <v>2.15</v>
      </c>
      <c r="G24" s="170">
        <f t="shared" si="0"/>
        <v>40.79</v>
      </c>
      <c r="H24" s="170">
        <f t="shared" si="1"/>
        <v>132.37</v>
      </c>
      <c r="I24" s="170"/>
      <c r="J24" s="170"/>
      <c r="K24" s="170"/>
      <c r="M24" s="104"/>
    </row>
    <row r="25" spans="2:13" x14ac:dyDescent="0.2">
      <c r="B25" s="166">
        <f t="shared" si="2"/>
        <v>2025</v>
      </c>
      <c r="C25" s="171"/>
      <c r="D25" s="172">
        <f t="shared" ref="D25:F25" si="12">ROUND(D24*(1+$G84),2)</f>
        <v>93.59</v>
      </c>
      <c r="E25" s="172">
        <f t="shared" si="12"/>
        <v>28.62</v>
      </c>
      <c r="F25" s="172">
        <f t="shared" si="12"/>
        <v>2.2000000000000002</v>
      </c>
      <c r="G25" s="170">
        <f t="shared" ref="G25:G30" si="13">ROUND(F25*(8.76*$G$65)+E25,2)</f>
        <v>41.71</v>
      </c>
      <c r="H25" s="170">
        <f t="shared" ref="H25:H30" si="14">ROUND(D25+G25,2)</f>
        <v>135.30000000000001</v>
      </c>
      <c r="I25" s="170"/>
      <c r="J25" s="170"/>
      <c r="K25" s="170"/>
      <c r="M25" s="104"/>
    </row>
    <row r="26" spans="2:13" x14ac:dyDescent="0.2">
      <c r="B26" s="166">
        <f t="shared" si="2"/>
        <v>2026</v>
      </c>
      <c r="C26" s="171"/>
      <c r="D26" s="172">
        <f t="shared" ref="D26:F26" si="15">ROUND(D25*(1+$G85),2)</f>
        <v>95.65</v>
      </c>
      <c r="E26" s="172">
        <f t="shared" si="15"/>
        <v>29.25</v>
      </c>
      <c r="F26" s="172">
        <f t="shared" si="15"/>
        <v>2.25</v>
      </c>
      <c r="G26" s="170">
        <f t="shared" si="13"/>
        <v>42.63</v>
      </c>
      <c r="H26" s="170">
        <f t="shared" si="14"/>
        <v>138.28</v>
      </c>
      <c r="I26" s="170"/>
      <c r="J26" s="170"/>
      <c r="K26" s="170"/>
      <c r="M26" s="104"/>
    </row>
    <row r="27" spans="2:13" x14ac:dyDescent="0.2">
      <c r="B27" s="166">
        <f t="shared" si="2"/>
        <v>2027</v>
      </c>
      <c r="C27" s="171"/>
      <c r="D27" s="172">
        <f t="shared" ref="D27:F27" si="16">ROUND(D26*(1+$G86),2)</f>
        <v>97.75</v>
      </c>
      <c r="E27" s="172">
        <f t="shared" si="16"/>
        <v>29.89</v>
      </c>
      <c r="F27" s="172">
        <f t="shared" si="16"/>
        <v>2.2999999999999998</v>
      </c>
      <c r="G27" s="170">
        <f t="shared" si="13"/>
        <v>43.57</v>
      </c>
      <c r="H27" s="170">
        <f t="shared" si="14"/>
        <v>141.32</v>
      </c>
      <c r="I27" s="170"/>
      <c r="J27" s="170"/>
      <c r="K27" s="170"/>
      <c r="M27" s="104"/>
    </row>
    <row r="28" spans="2:13" x14ac:dyDescent="0.2">
      <c r="B28" s="166">
        <f t="shared" si="2"/>
        <v>2028</v>
      </c>
      <c r="C28" s="171"/>
      <c r="D28" s="172">
        <f t="shared" ref="D28:D29" si="17">ROUND(D27*(1+$G87),2)</f>
        <v>99.9</v>
      </c>
      <c r="E28" s="172">
        <f t="shared" ref="E28:E29" si="18">ROUND(E27*(1+$G87),2)</f>
        <v>30.55</v>
      </c>
      <c r="F28" s="172">
        <f t="shared" ref="F28:F29" si="19">ROUND(F27*(1+$G87),2)</f>
        <v>2.35</v>
      </c>
      <c r="G28" s="170">
        <f t="shared" ref="G28:G29" si="20">ROUND(F28*(8.76*$G$65)+E28,2)</f>
        <v>44.53</v>
      </c>
      <c r="H28" s="170">
        <f t="shared" ref="H28:H29" si="21">ROUND(D28+G28,2)</f>
        <v>144.43</v>
      </c>
      <c r="I28" s="170"/>
      <c r="J28" s="170"/>
      <c r="K28" s="170"/>
      <c r="M28" s="104"/>
    </row>
    <row r="29" spans="2:13" ht="13.5" thickBot="1" x14ac:dyDescent="0.25">
      <c r="B29" s="166">
        <f t="shared" si="2"/>
        <v>2029</v>
      </c>
      <c r="C29" s="171"/>
      <c r="D29" s="229">
        <f t="shared" si="17"/>
        <v>102.1</v>
      </c>
      <c r="E29" s="229">
        <f t="shared" si="18"/>
        <v>31.22</v>
      </c>
      <c r="F29" s="229">
        <f t="shared" si="19"/>
        <v>2.4</v>
      </c>
      <c r="G29" s="197">
        <f t="shared" si="20"/>
        <v>45.5</v>
      </c>
      <c r="H29" s="197">
        <f t="shared" si="21"/>
        <v>147.6</v>
      </c>
      <c r="I29" s="197"/>
      <c r="J29" s="197"/>
      <c r="K29" s="197"/>
      <c r="M29" s="104"/>
    </row>
    <row r="30" spans="2:13" s="207" customFormat="1" x14ac:dyDescent="0.2">
      <c r="B30" s="210">
        <f t="shared" si="2"/>
        <v>2030</v>
      </c>
      <c r="C30" s="211"/>
      <c r="D30" s="205">
        <f t="shared" ref="D30:F30" si="22">ROUND(D29*(1+$G89),2)</f>
        <v>104.35</v>
      </c>
      <c r="E30" s="205">
        <f t="shared" si="22"/>
        <v>31.91</v>
      </c>
      <c r="F30" s="205">
        <f t="shared" si="22"/>
        <v>2.4500000000000002</v>
      </c>
      <c r="G30" s="205">
        <f t="shared" si="13"/>
        <v>46.48</v>
      </c>
      <c r="H30" s="205">
        <f t="shared" si="14"/>
        <v>150.83000000000001</v>
      </c>
      <c r="I30" s="170">
        <f>VLOOKUP(B30,'Table 4'!$B$13:$C$40,2,FALSE)</f>
        <v>5.45</v>
      </c>
      <c r="J30" s="170">
        <f t="shared" ref="J30:J42" si="23">ROUND($K$65*I30/1000,2)</f>
        <v>36.520000000000003</v>
      </c>
      <c r="K30" s="170">
        <f t="shared" ref="K30:K42" si="24">ROUND(H30*1000/8760/$G$65+J30,2)</f>
        <v>61.88</v>
      </c>
      <c r="M30" s="104"/>
    </row>
    <row r="31" spans="2:13" s="207" customFormat="1" x14ac:dyDescent="0.2">
      <c r="B31" s="210">
        <f t="shared" si="2"/>
        <v>2031</v>
      </c>
      <c r="C31" s="211"/>
      <c r="D31" s="205">
        <f t="shared" ref="D31:D32" si="25">ROUND(D30*(1+$G90),2)</f>
        <v>106.75</v>
      </c>
      <c r="E31" s="205">
        <f t="shared" ref="E31:E32" si="26">ROUND(E30*(1+$G90),2)</f>
        <v>32.64</v>
      </c>
      <c r="F31" s="205">
        <f t="shared" ref="F31:F32" si="27">ROUND(F30*(1+$G90),2)</f>
        <v>2.5099999999999998</v>
      </c>
      <c r="G31" s="205">
        <f t="shared" ref="G31:G33" si="28">ROUND(F31*(8.76*$G$65)+E31,2)</f>
        <v>47.57</v>
      </c>
      <c r="H31" s="205">
        <f t="shared" ref="H31:H33" si="29">ROUND(D31+G31,2)</f>
        <v>154.32</v>
      </c>
      <c r="I31" s="170">
        <f>VLOOKUP(B31,'Table 4'!$B$13:$C$40,2,FALSE)</f>
        <v>5.89</v>
      </c>
      <c r="J31" s="170">
        <f t="shared" si="23"/>
        <v>39.46</v>
      </c>
      <c r="K31" s="170">
        <f t="shared" si="24"/>
        <v>65.400000000000006</v>
      </c>
      <c r="M31" s="104"/>
    </row>
    <row r="32" spans="2:13" s="207" customFormat="1" x14ac:dyDescent="0.2">
      <c r="B32" s="210">
        <f t="shared" si="2"/>
        <v>2032</v>
      </c>
      <c r="C32" s="211"/>
      <c r="D32" s="205">
        <f t="shared" si="25"/>
        <v>109.21</v>
      </c>
      <c r="E32" s="205">
        <f t="shared" si="26"/>
        <v>33.39</v>
      </c>
      <c r="F32" s="205">
        <f t="shared" si="27"/>
        <v>2.57</v>
      </c>
      <c r="G32" s="205">
        <f t="shared" si="28"/>
        <v>48.68</v>
      </c>
      <c r="H32" s="205">
        <f t="shared" si="29"/>
        <v>157.88999999999999</v>
      </c>
      <c r="I32" s="170">
        <f>VLOOKUP(B32,'Table 4'!$B$13:$C$40,2,FALSE)</f>
        <v>5.98</v>
      </c>
      <c r="J32" s="170">
        <f t="shared" si="23"/>
        <v>40.07</v>
      </c>
      <c r="K32" s="170">
        <f t="shared" si="24"/>
        <v>66.61</v>
      </c>
      <c r="M32" s="104"/>
    </row>
    <row r="33" spans="2:15" x14ac:dyDescent="0.2">
      <c r="B33" s="166">
        <f t="shared" si="2"/>
        <v>2033</v>
      </c>
      <c r="C33" s="171"/>
      <c r="D33" s="170">
        <f>ROUND(D32*(1+$J83),2)</f>
        <v>111.72</v>
      </c>
      <c r="E33" s="168">
        <f>ROUND(E32*(1+$J83),2)</f>
        <v>34.159999999999997</v>
      </c>
      <c r="F33" s="168">
        <f>ROUND(F32*(1+$J83),2)</f>
        <v>2.63</v>
      </c>
      <c r="G33" s="170">
        <f t="shared" si="28"/>
        <v>49.8</v>
      </c>
      <c r="H33" s="170">
        <f t="shared" si="29"/>
        <v>161.52000000000001</v>
      </c>
      <c r="I33" s="170">
        <f>VLOOKUP(B33,'Table 4'!$B$13:$C$40,2,FALSE)</f>
        <v>6.12</v>
      </c>
      <c r="J33" s="170">
        <f t="shared" si="23"/>
        <v>41</v>
      </c>
      <c r="K33" s="170">
        <f t="shared" si="24"/>
        <v>68.16</v>
      </c>
      <c r="M33" s="104"/>
    </row>
    <row r="34" spans="2:15" x14ac:dyDescent="0.2">
      <c r="B34" s="166">
        <f t="shared" si="2"/>
        <v>2034</v>
      </c>
      <c r="C34" s="171"/>
      <c r="D34" s="170">
        <f t="shared" ref="D34:F34" si="30">ROUND(D33*(1+$J84),2)</f>
        <v>114.29</v>
      </c>
      <c r="E34" s="168">
        <f t="shared" si="30"/>
        <v>34.950000000000003</v>
      </c>
      <c r="F34" s="168">
        <f t="shared" si="30"/>
        <v>2.69</v>
      </c>
      <c r="G34" s="170">
        <f t="shared" ref="G34:G40" si="31">ROUND(F34*(8.76*$G$65)+E34,2)</f>
        <v>50.95</v>
      </c>
      <c r="H34" s="170">
        <f t="shared" ref="H34:H40" si="32">ROUND(D34+G34,2)</f>
        <v>165.24</v>
      </c>
      <c r="I34" s="170">
        <f>VLOOKUP(B34,'Table 4'!$B$13:$C$40,2,FALSE)</f>
        <v>6.36</v>
      </c>
      <c r="J34" s="170">
        <f t="shared" si="23"/>
        <v>42.61</v>
      </c>
      <c r="K34" s="170">
        <f t="shared" si="24"/>
        <v>70.39</v>
      </c>
      <c r="M34" s="104"/>
    </row>
    <row r="35" spans="2:15" x14ac:dyDescent="0.2">
      <c r="B35" s="166">
        <f t="shared" si="2"/>
        <v>2035</v>
      </c>
      <c r="C35" s="171"/>
      <c r="D35" s="170">
        <f t="shared" ref="D35:F35" si="33">ROUND(D34*(1+$J85),2)</f>
        <v>116.92</v>
      </c>
      <c r="E35" s="168">
        <f t="shared" si="33"/>
        <v>35.75</v>
      </c>
      <c r="F35" s="168">
        <f t="shared" si="33"/>
        <v>2.75</v>
      </c>
      <c r="G35" s="170">
        <f t="shared" si="31"/>
        <v>52.11</v>
      </c>
      <c r="H35" s="170">
        <f t="shared" si="32"/>
        <v>169.03</v>
      </c>
      <c r="I35" s="170">
        <f>VLOOKUP(B35,'Table 4'!$B$13:$C$40,2,FALSE)</f>
        <v>6.5</v>
      </c>
      <c r="J35" s="170">
        <f t="shared" si="23"/>
        <v>43.55</v>
      </c>
      <c r="K35" s="170">
        <f t="shared" si="24"/>
        <v>71.97</v>
      </c>
      <c r="M35" s="104"/>
    </row>
    <row r="36" spans="2:15" hidden="1" x14ac:dyDescent="0.2">
      <c r="B36" s="166">
        <f t="shared" si="2"/>
        <v>2036</v>
      </c>
      <c r="C36" s="171"/>
      <c r="D36" s="170">
        <f t="shared" ref="D36:F36" si="34">ROUND(D35*(1+$J86),2)</f>
        <v>119.61</v>
      </c>
      <c r="E36" s="168">
        <f t="shared" si="34"/>
        <v>36.57</v>
      </c>
      <c r="F36" s="168">
        <f t="shared" si="34"/>
        <v>2.81</v>
      </c>
      <c r="G36" s="170">
        <f t="shared" si="31"/>
        <v>53.28</v>
      </c>
      <c r="H36" s="170">
        <f t="shared" si="32"/>
        <v>172.89</v>
      </c>
      <c r="I36" s="170">
        <f>VLOOKUP(B36,'Table 4'!$B$13:$C$40,2,FALSE)</f>
        <v>6.73</v>
      </c>
      <c r="J36" s="170">
        <f t="shared" si="23"/>
        <v>45.09</v>
      </c>
      <c r="K36" s="170">
        <f t="shared" si="24"/>
        <v>74.16</v>
      </c>
      <c r="M36" s="104"/>
    </row>
    <row r="37" spans="2:15" hidden="1" x14ac:dyDescent="0.2">
      <c r="B37" s="166">
        <f t="shared" si="2"/>
        <v>2037</v>
      </c>
      <c r="C37" s="171"/>
      <c r="D37" s="170">
        <f t="shared" ref="D37:F37" si="35">ROUND(D36*(1+$J87),2)</f>
        <v>122.36</v>
      </c>
      <c r="E37" s="168">
        <f t="shared" si="35"/>
        <v>37.409999999999997</v>
      </c>
      <c r="F37" s="168">
        <f t="shared" si="35"/>
        <v>2.87</v>
      </c>
      <c r="G37" s="170">
        <f t="shared" si="31"/>
        <v>54.48</v>
      </c>
      <c r="H37" s="170">
        <f t="shared" si="32"/>
        <v>176.84</v>
      </c>
      <c r="I37" s="170">
        <f>VLOOKUP(B37,'Table 4'!$B$13:$C$40,2,FALSE)</f>
        <v>7.01</v>
      </c>
      <c r="J37" s="170">
        <f t="shared" si="23"/>
        <v>46.97</v>
      </c>
      <c r="K37" s="170">
        <f t="shared" si="24"/>
        <v>76.7</v>
      </c>
      <c r="M37" s="104"/>
    </row>
    <row r="38" spans="2:15" hidden="1" x14ac:dyDescent="0.2">
      <c r="B38" s="166">
        <f t="shared" si="2"/>
        <v>2038</v>
      </c>
      <c r="C38" s="171"/>
      <c r="D38" s="170">
        <f t="shared" ref="D38:F38" si="36">ROUND(D37*(1+$J88),2)</f>
        <v>125.17</v>
      </c>
      <c r="E38" s="168">
        <f t="shared" si="36"/>
        <v>38.270000000000003</v>
      </c>
      <c r="F38" s="168">
        <f t="shared" si="36"/>
        <v>2.94</v>
      </c>
      <c r="G38" s="170">
        <f t="shared" si="31"/>
        <v>55.76</v>
      </c>
      <c r="H38" s="170">
        <f t="shared" si="32"/>
        <v>180.93</v>
      </c>
      <c r="I38" s="170">
        <f>VLOOKUP(B38,'Table 4'!$B$13:$C$40,2,FALSE)</f>
        <v>7.23</v>
      </c>
      <c r="J38" s="170">
        <f t="shared" si="23"/>
        <v>48.44</v>
      </c>
      <c r="K38" s="170">
        <f t="shared" si="24"/>
        <v>78.86</v>
      </c>
      <c r="M38" s="104"/>
    </row>
    <row r="39" spans="2:15" hidden="1" x14ac:dyDescent="0.2">
      <c r="B39" s="166">
        <f t="shared" si="2"/>
        <v>2039</v>
      </c>
      <c r="C39" s="171"/>
      <c r="D39" s="170">
        <f t="shared" ref="D39:F39" si="37">ROUND(D38*(1+$J89),2)</f>
        <v>128.16999999999999</v>
      </c>
      <c r="E39" s="168">
        <f t="shared" si="37"/>
        <v>39.19</v>
      </c>
      <c r="F39" s="168">
        <f t="shared" si="37"/>
        <v>3.01</v>
      </c>
      <c r="G39" s="170">
        <f t="shared" si="31"/>
        <v>57.09</v>
      </c>
      <c r="H39" s="170">
        <f t="shared" si="32"/>
        <v>185.26</v>
      </c>
      <c r="I39" s="170">
        <f>VLOOKUP(B39,'Table 4'!$B$13:$C$40,2,FALSE)</f>
        <v>7.42</v>
      </c>
      <c r="J39" s="170">
        <f t="shared" si="23"/>
        <v>49.71</v>
      </c>
      <c r="K39" s="170">
        <f t="shared" si="24"/>
        <v>80.86</v>
      </c>
      <c r="M39" s="104"/>
    </row>
    <row r="40" spans="2:15" hidden="1" x14ac:dyDescent="0.2">
      <c r="B40" s="166">
        <f t="shared" si="2"/>
        <v>2040</v>
      </c>
      <c r="C40" s="171"/>
      <c r="D40" s="170">
        <f t="shared" ref="D40:F40" si="38">ROUND(D39*(1+$J90),2)</f>
        <v>131.25</v>
      </c>
      <c r="E40" s="168">
        <f t="shared" si="38"/>
        <v>40.130000000000003</v>
      </c>
      <c r="F40" s="168">
        <f t="shared" si="38"/>
        <v>3.08</v>
      </c>
      <c r="G40" s="170">
        <f t="shared" si="31"/>
        <v>58.45</v>
      </c>
      <c r="H40" s="170">
        <f t="shared" si="32"/>
        <v>189.7</v>
      </c>
      <c r="I40" s="170">
        <f>VLOOKUP(B40,'Table 4'!$B$13:$C$40,2,FALSE)</f>
        <v>7.71</v>
      </c>
      <c r="J40" s="170">
        <f t="shared" si="23"/>
        <v>51.66</v>
      </c>
      <c r="K40" s="170">
        <f t="shared" si="24"/>
        <v>83.55</v>
      </c>
      <c r="M40" s="104"/>
    </row>
    <row r="41" spans="2:15" hidden="1" x14ac:dyDescent="0.2">
      <c r="B41" s="166">
        <f t="shared" si="2"/>
        <v>2041</v>
      </c>
      <c r="C41" s="171"/>
      <c r="D41" s="170">
        <f t="shared" ref="D41:F42" si="39">ROUND(D40*(1+$J92),2)</f>
        <v>131.25</v>
      </c>
      <c r="E41" s="168">
        <f t="shared" si="39"/>
        <v>40.130000000000003</v>
      </c>
      <c r="F41" s="168">
        <f t="shared" si="39"/>
        <v>3.08</v>
      </c>
      <c r="G41" s="170">
        <f t="shared" si="0"/>
        <v>58.45</v>
      </c>
      <c r="H41" s="170">
        <f t="shared" si="1"/>
        <v>189.7</v>
      </c>
      <c r="I41" s="170" t="e">
        <f>VLOOKUP(B41,'Table 4'!$B$13:$C$40,2,FALSE)</f>
        <v>#N/A</v>
      </c>
      <c r="J41" s="170" t="e">
        <f t="shared" si="23"/>
        <v>#N/A</v>
      </c>
      <c r="K41" s="170" t="e">
        <f t="shared" si="24"/>
        <v>#N/A</v>
      </c>
    </row>
    <row r="42" spans="2:15" hidden="1" x14ac:dyDescent="0.2">
      <c r="B42" s="166">
        <f t="shared" si="2"/>
        <v>2042</v>
      </c>
      <c r="C42" s="171"/>
      <c r="D42" s="170">
        <f t="shared" si="39"/>
        <v>131.25</v>
      </c>
      <c r="E42" s="168">
        <f t="shared" si="39"/>
        <v>40.130000000000003</v>
      </c>
      <c r="F42" s="168">
        <f t="shared" si="39"/>
        <v>3.08</v>
      </c>
      <c r="G42" s="170">
        <f t="shared" si="0"/>
        <v>58.45</v>
      </c>
      <c r="H42" s="170">
        <f t="shared" si="1"/>
        <v>189.7</v>
      </c>
      <c r="I42" s="170" t="e">
        <f>VLOOKUP(B42,'Table 4'!$B$13:$C$40,2,FALSE)</f>
        <v>#N/A</v>
      </c>
      <c r="J42" s="170" t="e">
        <f t="shared" si="23"/>
        <v>#N/A</v>
      </c>
      <c r="K42" s="170" t="e">
        <f t="shared" si="24"/>
        <v>#N/A</v>
      </c>
    </row>
    <row r="43" spans="2:15" x14ac:dyDescent="0.2">
      <c r="M43" s="166"/>
      <c r="O43" s="173"/>
    </row>
    <row r="44" spans="2:15" ht="14.25" x14ac:dyDescent="0.2">
      <c r="B44" s="7" t="s">
        <v>51</v>
      </c>
      <c r="C44" s="69"/>
      <c r="D44" s="69"/>
      <c r="E44" s="69"/>
      <c r="F44" s="69"/>
      <c r="G44" s="69"/>
      <c r="H44" s="69"/>
      <c r="I44" s="69"/>
      <c r="J44" s="69"/>
      <c r="K44" s="69"/>
      <c r="M44" s="166"/>
      <c r="N44" s="173"/>
      <c r="O44" s="173"/>
    </row>
    <row r="46" spans="2:15" x14ac:dyDescent="0.2">
      <c r="B46" s="163" t="s">
        <v>30</v>
      </c>
      <c r="D46" s="174" t="s">
        <v>124</v>
      </c>
    </row>
    <row r="47" spans="2:15" x14ac:dyDescent="0.2">
      <c r="C47" s="175" t="str">
        <f>D10</f>
        <v>(b)</v>
      </c>
      <c r="D47" s="170" t="str">
        <f>"= "&amp;C10&amp;" x "&amp;C76</f>
        <v>= (a) x 0.07682</v>
      </c>
    </row>
    <row r="48" spans="2:15" x14ac:dyDescent="0.2">
      <c r="C48" s="175" t="str">
        <f>G10</f>
        <v>(e)</v>
      </c>
      <c r="D48" s="170" t="str">
        <f>"= "&amp;$F$10&amp;" x  (8.76 x "&amp;TEXT(G65,"0.0%")&amp;") + "&amp;$E$10</f>
        <v>= (d) x  (8.76 x 67.9%) + (c)</v>
      </c>
    </row>
    <row r="49" spans="3:11" x14ac:dyDescent="0.2">
      <c r="C49" s="175" t="str">
        <f>H10</f>
        <v>(f)</v>
      </c>
      <c r="D49" s="170" t="str">
        <f>"= "&amp;D10&amp;" + "&amp;G10</f>
        <v>= (b) + (e)</v>
      </c>
    </row>
    <row r="50" spans="3:11" x14ac:dyDescent="0.2">
      <c r="C50" s="175" t="str">
        <f>I10</f>
        <v>(g)</v>
      </c>
      <c r="D50" s="206" t="str">
        <f>'Table 4'!B3&amp;" - "&amp;'Table 4'!B4</f>
        <v>Table 4 - Burnertip Natural Gas Price Forecast</v>
      </c>
    </row>
    <row r="51" spans="3:11" x14ac:dyDescent="0.2">
      <c r="C51" s="175" t="str">
        <f>J10</f>
        <v>(h)</v>
      </c>
      <c r="D51" s="170" t="str">
        <f>"= "&amp;TEXT(K65,"?,0")&amp;" MMBtu/MWH x "&amp;I9</f>
        <v>= 6,700 MMBtu/MWH x $/MMBtu</v>
      </c>
    </row>
    <row r="52" spans="3:11" x14ac:dyDescent="0.2">
      <c r="C52" s="175" t="str">
        <f>K10</f>
        <v>(i)</v>
      </c>
      <c r="D52" s="170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5" t="s">
        <v>128</v>
      </c>
      <c r="D54" s="102"/>
      <c r="E54" s="102"/>
      <c r="F54" s="102"/>
      <c r="G54" s="102"/>
      <c r="H54" s="102"/>
      <c r="I54" s="102"/>
      <c r="J54" s="103"/>
      <c r="K54" s="176"/>
    </row>
    <row r="55" spans="3:11" ht="5.25" customHeight="1" x14ac:dyDescent="0.2"/>
    <row r="56" spans="3:11" ht="5.25" customHeight="1" x14ac:dyDescent="0.2"/>
    <row r="57" spans="3:11" x14ac:dyDescent="0.2">
      <c r="C57" s="89" t="s">
        <v>61</v>
      </c>
      <c r="D57" s="77"/>
      <c r="E57" s="89"/>
      <c r="F57" s="88" t="s">
        <v>62</v>
      </c>
      <c r="G57" s="88" t="s">
        <v>63</v>
      </c>
      <c r="H57" s="88" t="s">
        <v>64</v>
      </c>
      <c r="I57" s="88" t="s">
        <v>65</v>
      </c>
    </row>
    <row r="58" spans="3:11" x14ac:dyDescent="0.2">
      <c r="C58" s="207" t="s">
        <v>104</v>
      </c>
      <c r="F58" s="177">
        <f>C69</f>
        <v>265.39999999999998</v>
      </c>
      <c r="G58" s="104">
        <f>F58/F60</f>
        <v>0.84684109763880022</v>
      </c>
      <c r="H58" s="191">
        <f>C70</f>
        <v>1064</v>
      </c>
      <c r="I58" s="193">
        <f>C73</f>
        <v>24.36</v>
      </c>
    </row>
    <row r="59" spans="3:11" x14ac:dyDescent="0.2">
      <c r="C59" s="207" t="s">
        <v>105</v>
      </c>
      <c r="F59" s="95">
        <f>D69</f>
        <v>48</v>
      </c>
      <c r="G59" s="91">
        <f>1-G58</f>
        <v>0.15315890236119978</v>
      </c>
      <c r="H59" s="192">
        <f>D70</f>
        <v>498</v>
      </c>
      <c r="I59" s="194">
        <f>D73</f>
        <v>15.14</v>
      </c>
    </row>
    <row r="60" spans="3:11" x14ac:dyDescent="0.2">
      <c r="C60" s="207" t="s">
        <v>66</v>
      </c>
      <c r="F60" s="177">
        <f>F58+F59</f>
        <v>313.39999999999998</v>
      </c>
      <c r="G60" s="104">
        <f>G58+G59</f>
        <v>1</v>
      </c>
      <c r="H60" s="191">
        <f>ROUND(((F58*H58)+(F59*H59))/F60,0)</f>
        <v>977</v>
      </c>
      <c r="I60" s="193">
        <f>ROUND(((F58*I58)+(F59*I59))/F60,2)</f>
        <v>22.95</v>
      </c>
    </row>
    <row r="61" spans="3:11" x14ac:dyDescent="0.2">
      <c r="C61" s="207"/>
      <c r="F61" s="177"/>
      <c r="G61" s="104"/>
      <c r="H61" s="178"/>
      <c r="I61" s="179"/>
    </row>
    <row r="62" spans="3:11" x14ac:dyDescent="0.2">
      <c r="C62" s="208" t="s">
        <v>61</v>
      </c>
      <c r="D62" s="77"/>
      <c r="E62" s="89"/>
      <c r="F62" s="88" t="s">
        <v>62</v>
      </c>
      <c r="G62" s="88" t="s">
        <v>67</v>
      </c>
      <c r="H62" s="88" t="s">
        <v>68</v>
      </c>
      <c r="I62" s="88" t="s">
        <v>63</v>
      </c>
      <c r="J62" s="88" t="s">
        <v>69</v>
      </c>
      <c r="K62" s="88" t="s">
        <v>70</v>
      </c>
    </row>
    <row r="63" spans="3:11" x14ac:dyDescent="0.2">
      <c r="C63" s="209" t="str">
        <f>C58</f>
        <v>CCCT Dry "J" - Turbine</v>
      </c>
      <c r="D63" s="180"/>
      <c r="E63" s="180"/>
      <c r="F63" s="163">
        <f>C69</f>
        <v>265.39999999999998</v>
      </c>
      <c r="G63" s="104">
        <f>C77</f>
        <v>0.78</v>
      </c>
      <c r="H63" s="234">
        <f>G63*F63</f>
        <v>207.012</v>
      </c>
      <c r="I63" s="104">
        <f>H63/H65</f>
        <v>0.97292876882296542</v>
      </c>
      <c r="J63" s="179">
        <f>C74</f>
        <v>1.81</v>
      </c>
      <c r="K63" s="181">
        <f>C75</f>
        <v>6667</v>
      </c>
    </row>
    <row r="64" spans="3:11" x14ac:dyDescent="0.2">
      <c r="C64" s="209" t="str">
        <f>C59</f>
        <v>CCCT Dry "J" - Duct Firing</v>
      </c>
      <c r="D64" s="180"/>
      <c r="E64" s="180"/>
      <c r="F64" s="90">
        <f>D69</f>
        <v>48</v>
      </c>
      <c r="G64" s="91">
        <f>D77</f>
        <v>0.12</v>
      </c>
      <c r="H64" s="235">
        <f>G64*F64</f>
        <v>5.76</v>
      </c>
      <c r="I64" s="91">
        <f>1-I63</f>
        <v>2.7071231177034583E-2</v>
      </c>
      <c r="J64" s="92">
        <f>D74</f>
        <v>0.09</v>
      </c>
      <c r="K64" s="93">
        <f>D75</f>
        <v>7864</v>
      </c>
    </row>
    <row r="65" spans="3:11" x14ac:dyDescent="0.2">
      <c r="C65" s="207" t="s">
        <v>71</v>
      </c>
      <c r="F65" s="163">
        <f>F63+F64</f>
        <v>313.39999999999998</v>
      </c>
      <c r="G65" s="182">
        <f>ROUND(H65/F65,3)</f>
        <v>0.67900000000000005</v>
      </c>
      <c r="H65" s="234">
        <f>SUM(H63:H64)</f>
        <v>212.77199999999999</v>
      </c>
      <c r="I65" s="104">
        <f>I63+I64</f>
        <v>1</v>
      </c>
      <c r="J65" s="179">
        <f>ROUND(($I63*J63)+($I64*J64),2)</f>
        <v>1.76</v>
      </c>
      <c r="K65" s="183">
        <f>ROUND(($I63*K63)+($I64*K64),-1)</f>
        <v>6700</v>
      </c>
    </row>
    <row r="66" spans="3:11" x14ac:dyDescent="0.2">
      <c r="G66" s="182"/>
      <c r="I66" s="104"/>
      <c r="J66" s="179"/>
      <c r="K66" s="94" t="s">
        <v>72</v>
      </c>
    </row>
    <row r="68" spans="3:11" x14ac:dyDescent="0.2">
      <c r="C68" s="88" t="s">
        <v>54</v>
      </c>
      <c r="D68" s="88" t="s">
        <v>55</v>
      </c>
      <c r="E68" s="106" t="str">
        <f>D46</f>
        <v>Plant Costs  - 2015 IRP - Table 6.1 &amp; 6.2 - Page 92</v>
      </c>
      <c r="F68" s="184"/>
      <c r="G68" s="184"/>
      <c r="H68" s="184"/>
      <c r="I68" s="184"/>
      <c r="J68" s="184"/>
      <c r="K68" s="185"/>
    </row>
    <row r="69" spans="3:11" x14ac:dyDescent="0.2">
      <c r="C69" s="163">
        <v>265.39999999999998</v>
      </c>
      <c r="D69" s="163">
        <v>48</v>
      </c>
      <c r="E69" s="163" t="s">
        <v>99</v>
      </c>
      <c r="H69" s="186"/>
    </row>
    <row r="70" spans="3:11" x14ac:dyDescent="0.2">
      <c r="C70" s="178">
        <v>1064</v>
      </c>
      <c r="D70" s="178">
        <v>498</v>
      </c>
      <c r="E70" s="163" t="s">
        <v>100</v>
      </c>
    </row>
    <row r="71" spans="3:11" x14ac:dyDescent="0.2">
      <c r="C71" s="179">
        <f>11.19+0.33</f>
        <v>11.52</v>
      </c>
      <c r="D71" s="179">
        <v>0</v>
      </c>
      <c r="E71" s="163" t="s">
        <v>101</v>
      </c>
    </row>
    <row r="72" spans="3:11" x14ac:dyDescent="0.2">
      <c r="C72" s="96">
        <v>12.84</v>
      </c>
      <c r="D72" s="96">
        <v>15.14</v>
      </c>
      <c r="E72" s="163" t="s">
        <v>97</v>
      </c>
    </row>
    <row r="73" spans="3:11" x14ac:dyDescent="0.2">
      <c r="C73" s="179">
        <f>C71+C72</f>
        <v>24.36</v>
      </c>
      <c r="D73" s="179">
        <f>D71+D72</f>
        <v>15.14</v>
      </c>
      <c r="E73" s="163" t="s">
        <v>102</v>
      </c>
    </row>
    <row r="74" spans="3:11" x14ac:dyDescent="0.2">
      <c r="C74" s="179">
        <f>1.6+0.21</f>
        <v>1.81</v>
      </c>
      <c r="D74" s="179">
        <v>0.09</v>
      </c>
      <c r="E74" s="163" t="s">
        <v>103</v>
      </c>
    </row>
    <row r="75" spans="3:11" x14ac:dyDescent="0.2">
      <c r="C75" s="183">
        <v>6667</v>
      </c>
      <c r="D75" s="183">
        <v>7864</v>
      </c>
      <c r="E75" s="163" t="s">
        <v>74</v>
      </c>
    </row>
    <row r="76" spans="3:11" x14ac:dyDescent="0.2">
      <c r="C76" s="204">
        <v>7.6819999999999999E-2</v>
      </c>
      <c r="D76" s="204">
        <f>C76</f>
        <v>7.6819999999999999E-2</v>
      </c>
      <c r="E76" s="163" t="s">
        <v>75</v>
      </c>
    </row>
    <row r="77" spans="3:11" x14ac:dyDescent="0.2">
      <c r="C77" s="187">
        <v>0.78</v>
      </c>
      <c r="D77" s="187">
        <v>0.12</v>
      </c>
      <c r="E77" s="163" t="s">
        <v>76</v>
      </c>
    </row>
    <row r="78" spans="3:11" x14ac:dyDescent="0.2">
      <c r="D78" s="104">
        <f>ROUND(H65/F65,3)</f>
        <v>0.67900000000000005</v>
      </c>
      <c r="E78" s="163" t="s">
        <v>77</v>
      </c>
    </row>
    <row r="79" spans="3:11" x14ac:dyDescent="0.2">
      <c r="D79" s="182"/>
      <c r="E79" s="115"/>
    </row>
    <row r="80" spans="3:11" x14ac:dyDescent="0.2">
      <c r="C80" s="187"/>
      <c r="D80" s="187"/>
    </row>
    <row r="82" spans="3:15" ht="13.5" thickBot="1" x14ac:dyDescent="0.25">
      <c r="C82" s="101" t="str">
        <f>"Company Official Inflation Forecast Dated "&amp;TEXT('Table 4'!G5,"mmmm dd, yyyy")</f>
        <v>Company Official Inflation Forecast Dated September 30, 2015</v>
      </c>
      <c r="D82" s="102"/>
      <c r="E82" s="102"/>
      <c r="F82" s="102"/>
      <c r="G82" s="102"/>
      <c r="H82" s="102"/>
      <c r="I82" s="102"/>
      <c r="J82" s="103"/>
      <c r="K82" s="176"/>
    </row>
    <row r="83" spans="3:15" x14ac:dyDescent="0.2">
      <c r="C83" s="188">
        <v>2015</v>
      </c>
      <c r="D83" s="104">
        <v>5.0000000000000001E-3</v>
      </c>
      <c r="F83" s="188">
        <f>C91+1</f>
        <v>2024</v>
      </c>
      <c r="G83" s="104">
        <v>2.3E-2</v>
      </c>
      <c r="I83" s="188">
        <f>F91+1</f>
        <v>2033</v>
      </c>
      <c r="J83" s="104">
        <v>2.3E-2</v>
      </c>
    </row>
    <row r="84" spans="3:15" x14ac:dyDescent="0.2">
      <c r="C84" s="188">
        <f t="shared" ref="C84:C91" si="40">C83+1</f>
        <v>2016</v>
      </c>
      <c r="D84" s="104">
        <v>1.9E-2</v>
      </c>
      <c r="F84" s="188">
        <f t="shared" ref="F84:F91" si="41">F83+1</f>
        <v>2025</v>
      </c>
      <c r="G84" s="104">
        <v>2.1999999999999999E-2</v>
      </c>
      <c r="I84" s="188">
        <f t="shared" ref="I84:I91" si="42">I83+1</f>
        <v>2034</v>
      </c>
      <c r="J84" s="104">
        <v>2.3E-2</v>
      </c>
    </row>
    <row r="85" spans="3:15" x14ac:dyDescent="0.2">
      <c r="C85" s="188">
        <f t="shared" si="40"/>
        <v>2017</v>
      </c>
      <c r="D85" s="104">
        <v>2.1999999999999999E-2</v>
      </c>
      <c r="F85" s="188">
        <f t="shared" si="41"/>
        <v>2026</v>
      </c>
      <c r="G85" s="104">
        <v>2.1999999999999999E-2</v>
      </c>
      <c r="I85" s="188">
        <f t="shared" si="42"/>
        <v>2035</v>
      </c>
      <c r="J85" s="104">
        <v>2.3E-2</v>
      </c>
    </row>
    <row r="86" spans="3:15" x14ac:dyDescent="0.2">
      <c r="C86" s="188">
        <f t="shared" si="40"/>
        <v>2018</v>
      </c>
      <c r="D86" s="104">
        <v>2.3E-2</v>
      </c>
      <c r="F86" s="188">
        <f t="shared" si="41"/>
        <v>2027</v>
      </c>
      <c r="G86" s="104">
        <v>2.1999999999999999E-2</v>
      </c>
      <c r="I86" s="188">
        <f t="shared" si="42"/>
        <v>2036</v>
      </c>
      <c r="J86" s="104">
        <v>2.3E-2</v>
      </c>
    </row>
    <row r="87" spans="3:15" x14ac:dyDescent="0.2">
      <c r="C87" s="188">
        <f t="shared" si="40"/>
        <v>2019</v>
      </c>
      <c r="D87" s="104">
        <v>2.1999999999999999E-2</v>
      </c>
      <c r="F87" s="188">
        <f t="shared" si="41"/>
        <v>2028</v>
      </c>
      <c r="G87" s="104">
        <v>2.1999999999999999E-2</v>
      </c>
      <c r="I87" s="188">
        <f t="shared" si="42"/>
        <v>2037</v>
      </c>
      <c r="J87" s="104">
        <v>2.3E-2</v>
      </c>
    </row>
    <row r="88" spans="3:15" x14ac:dyDescent="0.2">
      <c r="C88" s="188">
        <f t="shared" si="40"/>
        <v>2020</v>
      </c>
      <c r="D88" s="104">
        <v>1.9E-2</v>
      </c>
      <c r="F88" s="188">
        <f t="shared" si="41"/>
        <v>2029</v>
      </c>
      <c r="G88" s="104">
        <v>2.1999999999999999E-2</v>
      </c>
      <c r="I88" s="188">
        <f t="shared" si="42"/>
        <v>2038</v>
      </c>
      <c r="J88" s="104">
        <v>2.3E-2</v>
      </c>
    </row>
    <row r="89" spans="3:15" s="165" customFormat="1" x14ac:dyDescent="0.2">
      <c r="C89" s="188">
        <f t="shared" si="40"/>
        <v>2021</v>
      </c>
      <c r="D89" s="104">
        <v>2.1000000000000001E-2</v>
      </c>
      <c r="F89" s="188">
        <f t="shared" si="41"/>
        <v>2030</v>
      </c>
      <c r="G89" s="104">
        <v>2.1999999999999999E-2</v>
      </c>
      <c r="I89" s="188">
        <f t="shared" si="42"/>
        <v>2039</v>
      </c>
      <c r="J89" s="104">
        <v>2.4E-2</v>
      </c>
      <c r="N89" s="163"/>
      <c r="O89" s="163"/>
    </row>
    <row r="90" spans="3:15" s="165" customFormat="1" x14ac:dyDescent="0.2">
      <c r="C90" s="188">
        <f t="shared" si="40"/>
        <v>2022</v>
      </c>
      <c r="D90" s="104">
        <v>2.3E-2</v>
      </c>
      <c r="F90" s="188">
        <f t="shared" si="41"/>
        <v>2031</v>
      </c>
      <c r="G90" s="104">
        <v>2.3E-2</v>
      </c>
      <c r="I90" s="188">
        <f t="shared" si="42"/>
        <v>2040</v>
      </c>
      <c r="J90" s="104">
        <v>2.4E-2</v>
      </c>
      <c r="N90" s="163"/>
      <c r="O90" s="163"/>
    </row>
    <row r="91" spans="3:15" s="165" customFormat="1" x14ac:dyDescent="0.2">
      <c r="C91" s="188">
        <f t="shared" si="40"/>
        <v>2023</v>
      </c>
      <c r="D91" s="104">
        <v>2.4E-2</v>
      </c>
      <c r="F91" s="188">
        <f t="shared" si="41"/>
        <v>2032</v>
      </c>
      <c r="G91" s="104">
        <v>2.3E-2</v>
      </c>
      <c r="I91" s="188">
        <f t="shared" si="42"/>
        <v>2041</v>
      </c>
      <c r="J91" s="104">
        <v>2.4E-2</v>
      </c>
      <c r="N91" s="163"/>
      <c r="O91" s="163"/>
    </row>
    <row r="92" spans="3:15" s="165" customFormat="1" x14ac:dyDescent="0.2">
      <c r="N92" s="163"/>
      <c r="O92" s="163"/>
    </row>
    <row r="93" spans="3:15" s="165" customFormat="1" x14ac:dyDescent="0.2">
      <c r="N93" s="163"/>
      <c r="O93" s="163"/>
    </row>
    <row r="94" spans="3:15" x14ac:dyDescent="0.2">
      <c r="D94" s="195"/>
    </row>
    <row r="95" spans="3:15" x14ac:dyDescent="0.2">
      <c r="D95" s="195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95"/>
  <sheetViews>
    <sheetView topLeftCell="A3" zoomScaleNormal="100" zoomScaleSheetLayoutView="85" workbookViewId="0">
      <pane xSplit="3" ySplit="8" topLeftCell="D16" activePane="bottomRight" state="frozen"/>
      <selection sqref="A1:XFD1"/>
      <selection pane="topRight" sqref="A1:XFD1"/>
      <selection pane="bottomLeft" sqref="A1:XFD1"/>
      <selection pane="bottomRight" activeCell="H34" sqref="H34"/>
    </sheetView>
  </sheetViews>
  <sheetFormatPr defaultColWidth="9.33203125" defaultRowHeight="12.75" x14ac:dyDescent="0.2"/>
  <cols>
    <col min="1" max="1" width="2.83203125" style="163" customWidth="1"/>
    <col min="2" max="2" width="10.83203125" style="163" customWidth="1"/>
    <col min="3" max="3" width="14.1640625" style="163" customWidth="1"/>
    <col min="4" max="4" width="12.33203125" style="163" customWidth="1"/>
    <col min="5" max="5" width="9.1640625" style="163" customWidth="1"/>
    <col min="6" max="6" width="10.5" style="163" customWidth="1"/>
    <col min="7" max="7" width="10.5" style="163" bestFit="1" customWidth="1"/>
    <col min="8" max="8" width="11.6640625" style="163" bestFit="1" customWidth="1"/>
    <col min="9" max="9" width="11.1640625" style="163" customWidth="1"/>
    <col min="10" max="10" width="12" style="163" bestFit="1" customWidth="1"/>
    <col min="11" max="11" width="12" style="163" customWidth="1"/>
    <col min="12" max="13" width="9.33203125" style="163"/>
    <col min="14" max="15" width="9.33203125" style="163" customWidth="1"/>
    <col min="16" max="16384" width="9.33203125" style="163"/>
  </cols>
  <sheetData>
    <row r="1" spans="2:14" ht="15.75" hidden="1" x14ac:dyDescent="0.25">
      <c r="B1" s="1" t="s">
        <v>73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4" ht="15.75" x14ac:dyDescent="0.25">
      <c r="B2" s="1"/>
      <c r="C2" s="162"/>
      <c r="D2" s="162"/>
      <c r="E2" s="162"/>
      <c r="F2" s="162"/>
      <c r="G2" s="162"/>
      <c r="H2" s="162"/>
      <c r="I2" s="162"/>
      <c r="J2" s="162"/>
      <c r="K2" s="162"/>
    </row>
    <row r="3" spans="2:14" ht="15.75" x14ac:dyDescent="0.25">
      <c r="B3" s="1" t="s">
        <v>113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4" ht="15.75" x14ac:dyDescent="0.25">
      <c r="B4" s="1" t="s">
        <v>126</v>
      </c>
      <c r="C4" s="162"/>
      <c r="D4" s="162"/>
      <c r="E4" s="162"/>
      <c r="F4" s="162"/>
      <c r="G4" s="162"/>
      <c r="H4" s="162"/>
      <c r="I4" s="162"/>
      <c r="J4" s="162"/>
      <c r="K4" s="162"/>
    </row>
    <row r="5" spans="2:14" ht="15.75" x14ac:dyDescent="0.25">
      <c r="B5" s="1" t="str">
        <f>C54</f>
        <v>Utah - 635 MW - CCCT Dry "F" 2x1 - East Side Resource (5,050')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2:14" ht="15.75" x14ac:dyDescent="0.25">
      <c r="B6" s="1"/>
      <c r="C6" s="162"/>
      <c r="D6" s="162"/>
      <c r="E6" s="162"/>
      <c r="F6" s="162"/>
      <c r="G6" s="162"/>
      <c r="H6" s="162"/>
      <c r="I6" s="162"/>
      <c r="K6" s="62"/>
    </row>
    <row r="7" spans="2:14" x14ac:dyDescent="0.2">
      <c r="B7" s="164"/>
      <c r="C7" s="164"/>
      <c r="D7" s="164"/>
      <c r="E7" s="164"/>
      <c r="F7" s="164"/>
      <c r="G7" s="164"/>
      <c r="H7" s="164"/>
      <c r="I7" s="162"/>
      <c r="J7" s="165"/>
      <c r="K7" s="165"/>
      <c r="L7" s="165"/>
      <c r="M7" s="165"/>
      <c r="N7" s="165"/>
    </row>
    <row r="8" spans="2:14" ht="51.75" customHeight="1" x14ac:dyDescent="0.2">
      <c r="B8" s="63" t="s">
        <v>0</v>
      </c>
      <c r="C8" s="64" t="s">
        <v>10</v>
      </c>
      <c r="D8" s="64" t="s">
        <v>11</v>
      </c>
      <c r="E8" s="64" t="s">
        <v>12</v>
      </c>
      <c r="F8" s="64" t="s">
        <v>13</v>
      </c>
      <c r="G8" s="64" t="s">
        <v>14</v>
      </c>
      <c r="H8" s="64" t="s">
        <v>15</v>
      </c>
      <c r="I8" s="65" t="s">
        <v>41</v>
      </c>
      <c r="J8" s="65" t="s">
        <v>94</v>
      </c>
      <c r="K8" s="64" t="s">
        <v>95</v>
      </c>
      <c r="L8" s="165"/>
    </row>
    <row r="9" spans="2:14" ht="18.75" customHeight="1" x14ac:dyDescent="0.2">
      <c r="B9" s="66"/>
      <c r="C9" s="67" t="s">
        <v>8</v>
      </c>
      <c r="D9" s="68" t="s">
        <v>9</v>
      </c>
      <c r="E9" s="68" t="s">
        <v>9</v>
      </c>
      <c r="F9" s="67" t="s">
        <v>59</v>
      </c>
      <c r="G9" s="68" t="s">
        <v>9</v>
      </c>
      <c r="H9" s="68" t="s">
        <v>9</v>
      </c>
      <c r="I9" s="68" t="s">
        <v>42</v>
      </c>
      <c r="J9" s="67" t="s">
        <v>59</v>
      </c>
      <c r="K9" s="67" t="s">
        <v>59</v>
      </c>
      <c r="L9" s="165"/>
    </row>
    <row r="10" spans="2:14" x14ac:dyDescent="0.2"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7</v>
      </c>
      <c r="I10" s="2" t="s">
        <v>43</v>
      </c>
      <c r="J10" s="2" t="s">
        <v>44</v>
      </c>
      <c r="K10" s="2" t="s">
        <v>50</v>
      </c>
    </row>
    <row r="11" spans="2:14" ht="6" customHeight="1" x14ac:dyDescent="0.2"/>
    <row r="12" spans="2:14" ht="15.75" x14ac:dyDescent="0.25">
      <c r="B12" s="107" t="str">
        <f>C54</f>
        <v>Utah - 635 MW - CCCT Dry "F" 2x1 - East Side Resource (5,050')</v>
      </c>
      <c r="C12" s="165"/>
      <c r="E12" s="165"/>
      <c r="F12" s="165"/>
      <c r="G12" s="165"/>
      <c r="H12" s="165"/>
      <c r="I12" s="164"/>
      <c r="J12" s="164"/>
      <c r="K12" s="164"/>
      <c r="L12" s="165"/>
    </row>
    <row r="13" spans="2:14" ht="4.5" customHeight="1" x14ac:dyDescent="0.2">
      <c r="B13" s="166"/>
      <c r="C13" s="167"/>
      <c r="D13" s="168"/>
      <c r="E13" s="169"/>
      <c r="F13" s="169"/>
      <c r="G13" s="170"/>
      <c r="H13" s="170"/>
      <c r="I13" s="170"/>
      <c r="J13" s="170"/>
      <c r="K13" s="170"/>
    </row>
    <row r="14" spans="2:14" x14ac:dyDescent="0.2">
      <c r="B14" s="166">
        <v>2014</v>
      </c>
      <c r="C14" s="167">
        <f>$H$60</f>
        <v>1026</v>
      </c>
      <c r="D14" s="168">
        <f>ROUND(C14*$C$76,2)</f>
        <v>78.819999999999993</v>
      </c>
      <c r="E14" s="169">
        <f>$I$60</f>
        <v>15.83</v>
      </c>
      <c r="F14" s="169">
        <f>$J$65</f>
        <v>1.52</v>
      </c>
      <c r="G14" s="170">
        <f t="shared" ref="G14:G42" si="0">ROUND(F14*(8.76*$G$65)+E14,2)</f>
        <v>24.82</v>
      </c>
      <c r="H14" s="170">
        <f t="shared" ref="H14:H42" si="1">ROUND(D14+G14,2)</f>
        <v>103.64</v>
      </c>
      <c r="I14" s="170"/>
      <c r="J14" s="170"/>
      <c r="K14" s="170"/>
    </row>
    <row r="15" spans="2:14" x14ac:dyDescent="0.2">
      <c r="B15" s="166">
        <f t="shared" ref="B15:B42" si="2">B14+1</f>
        <v>2015</v>
      </c>
      <c r="C15" s="171"/>
      <c r="D15" s="168">
        <f t="shared" ref="D15:F17" si="3">ROUND(D14*(1+$D83),2)</f>
        <v>79.209999999999994</v>
      </c>
      <c r="E15" s="168">
        <f t="shared" si="3"/>
        <v>15.91</v>
      </c>
      <c r="F15" s="168">
        <f t="shared" si="3"/>
        <v>1.53</v>
      </c>
      <c r="G15" s="172">
        <f t="shared" si="0"/>
        <v>24.96</v>
      </c>
      <c r="H15" s="172">
        <f t="shared" si="1"/>
        <v>104.17</v>
      </c>
      <c r="I15" s="170"/>
      <c r="J15" s="170"/>
      <c r="K15" s="170"/>
      <c r="M15" s="104"/>
    </row>
    <row r="16" spans="2:14" x14ac:dyDescent="0.2">
      <c r="B16" s="166">
        <f t="shared" si="2"/>
        <v>2016</v>
      </c>
      <c r="C16" s="171"/>
      <c r="D16" s="168">
        <f t="shared" si="3"/>
        <v>80.709999999999994</v>
      </c>
      <c r="E16" s="168">
        <f t="shared" si="3"/>
        <v>16.21</v>
      </c>
      <c r="F16" s="168">
        <f t="shared" si="3"/>
        <v>1.56</v>
      </c>
      <c r="G16" s="170">
        <f t="shared" si="0"/>
        <v>25.43</v>
      </c>
      <c r="H16" s="170">
        <f t="shared" si="1"/>
        <v>106.14</v>
      </c>
      <c r="I16" s="170"/>
      <c r="J16" s="170"/>
      <c r="K16" s="170"/>
      <c r="M16" s="104"/>
    </row>
    <row r="17" spans="2:13" x14ac:dyDescent="0.2">
      <c r="B17" s="166">
        <f t="shared" si="2"/>
        <v>2017</v>
      </c>
      <c r="C17" s="171"/>
      <c r="D17" s="168">
        <f t="shared" si="3"/>
        <v>82.49</v>
      </c>
      <c r="E17" s="168">
        <f t="shared" si="3"/>
        <v>16.57</v>
      </c>
      <c r="F17" s="168">
        <f t="shared" si="3"/>
        <v>1.59</v>
      </c>
      <c r="G17" s="170">
        <f t="shared" si="0"/>
        <v>25.97</v>
      </c>
      <c r="H17" s="170">
        <f t="shared" si="1"/>
        <v>108.46</v>
      </c>
      <c r="I17" s="170"/>
      <c r="J17" s="170"/>
      <c r="K17" s="170"/>
      <c r="M17" s="104"/>
    </row>
    <row r="18" spans="2:13" x14ac:dyDescent="0.2">
      <c r="B18" s="166">
        <f t="shared" si="2"/>
        <v>2018</v>
      </c>
      <c r="C18" s="171"/>
      <c r="D18" s="168">
        <f t="shared" ref="D18:F18" si="4">ROUND(D17*(1+$D86),2)</f>
        <v>84.39</v>
      </c>
      <c r="E18" s="168">
        <f t="shared" si="4"/>
        <v>16.95</v>
      </c>
      <c r="F18" s="168">
        <f t="shared" si="4"/>
        <v>1.63</v>
      </c>
      <c r="G18" s="170">
        <f t="shared" ref="G18:G23" si="5">ROUND(F18*(8.76*$G$65)+E18,2)</f>
        <v>26.59</v>
      </c>
      <c r="H18" s="170">
        <f t="shared" ref="H18:H23" si="6">ROUND(D18+G18,2)</f>
        <v>110.98</v>
      </c>
      <c r="I18" s="170"/>
      <c r="J18" s="170"/>
      <c r="K18" s="170"/>
      <c r="M18" s="104"/>
    </row>
    <row r="19" spans="2:13" x14ac:dyDescent="0.2">
      <c r="B19" s="166">
        <f t="shared" si="2"/>
        <v>2019</v>
      </c>
      <c r="C19" s="171"/>
      <c r="D19" s="168">
        <f t="shared" ref="D19:F19" si="7">ROUND(D18*(1+$D87),2)</f>
        <v>86.25</v>
      </c>
      <c r="E19" s="168">
        <f t="shared" si="7"/>
        <v>17.32</v>
      </c>
      <c r="F19" s="168">
        <f t="shared" si="7"/>
        <v>1.67</v>
      </c>
      <c r="G19" s="170">
        <f t="shared" si="5"/>
        <v>27.19</v>
      </c>
      <c r="H19" s="170">
        <f t="shared" si="6"/>
        <v>113.44</v>
      </c>
      <c r="I19" s="170"/>
      <c r="J19" s="170"/>
      <c r="K19" s="170"/>
      <c r="M19" s="104"/>
    </row>
    <row r="20" spans="2:13" x14ac:dyDescent="0.2">
      <c r="B20" s="166">
        <f t="shared" si="2"/>
        <v>2020</v>
      </c>
      <c r="C20" s="171"/>
      <c r="D20" s="168">
        <f t="shared" ref="D20:F20" si="8">ROUND(D19*(1+$D88),2)</f>
        <v>87.89</v>
      </c>
      <c r="E20" s="168">
        <f t="shared" si="8"/>
        <v>17.649999999999999</v>
      </c>
      <c r="F20" s="168">
        <f t="shared" si="8"/>
        <v>1.7</v>
      </c>
      <c r="G20" s="170">
        <f t="shared" si="5"/>
        <v>27.7</v>
      </c>
      <c r="H20" s="170">
        <f t="shared" si="6"/>
        <v>115.59</v>
      </c>
      <c r="I20" s="170"/>
      <c r="J20" s="170"/>
      <c r="K20" s="170"/>
      <c r="M20" s="104"/>
    </row>
    <row r="21" spans="2:13" x14ac:dyDescent="0.2">
      <c r="B21" s="166">
        <f t="shared" si="2"/>
        <v>2021</v>
      </c>
      <c r="C21" s="171"/>
      <c r="D21" s="168">
        <f t="shared" ref="D21:F21" si="9">ROUND(D20*(1+$D89),2)</f>
        <v>89.74</v>
      </c>
      <c r="E21" s="168">
        <f t="shared" si="9"/>
        <v>18.02</v>
      </c>
      <c r="F21" s="168">
        <f t="shared" si="9"/>
        <v>1.74</v>
      </c>
      <c r="G21" s="170">
        <f t="shared" si="5"/>
        <v>28.31</v>
      </c>
      <c r="H21" s="170">
        <f t="shared" si="6"/>
        <v>118.05</v>
      </c>
      <c r="I21" s="170"/>
      <c r="J21" s="170"/>
      <c r="K21" s="170"/>
      <c r="M21" s="104"/>
    </row>
    <row r="22" spans="2:13" x14ac:dyDescent="0.2">
      <c r="B22" s="166">
        <f t="shared" si="2"/>
        <v>2022</v>
      </c>
      <c r="C22" s="171"/>
      <c r="D22" s="168">
        <f t="shared" ref="D22:F22" si="10">ROUND(D21*(1+$D90),2)</f>
        <v>91.8</v>
      </c>
      <c r="E22" s="168">
        <f t="shared" si="10"/>
        <v>18.43</v>
      </c>
      <c r="F22" s="168">
        <f t="shared" si="10"/>
        <v>1.78</v>
      </c>
      <c r="G22" s="170">
        <f t="shared" si="5"/>
        <v>28.96</v>
      </c>
      <c r="H22" s="170">
        <f t="shared" si="6"/>
        <v>120.76</v>
      </c>
      <c r="I22" s="170"/>
      <c r="J22" s="170"/>
      <c r="K22" s="170"/>
      <c r="M22" s="104"/>
    </row>
    <row r="23" spans="2:13" x14ac:dyDescent="0.2">
      <c r="B23" s="166">
        <f t="shared" si="2"/>
        <v>2023</v>
      </c>
      <c r="C23" s="171"/>
      <c r="D23" s="168">
        <f t="shared" ref="D23:F23" si="11">ROUND(D22*(1+$D91),2)</f>
        <v>94</v>
      </c>
      <c r="E23" s="168">
        <f t="shared" si="11"/>
        <v>18.87</v>
      </c>
      <c r="F23" s="168">
        <f t="shared" si="11"/>
        <v>1.82</v>
      </c>
      <c r="G23" s="170">
        <f t="shared" si="5"/>
        <v>29.63</v>
      </c>
      <c r="H23" s="170">
        <f t="shared" si="6"/>
        <v>123.63</v>
      </c>
      <c r="I23" s="170"/>
      <c r="J23" s="170"/>
      <c r="K23" s="170"/>
      <c r="M23" s="104"/>
    </row>
    <row r="24" spans="2:13" x14ac:dyDescent="0.2">
      <c r="B24" s="166">
        <f t="shared" si="2"/>
        <v>2024</v>
      </c>
      <c r="C24" s="171"/>
      <c r="D24" s="172">
        <f>ROUND(D23*(1+$G83),2)</f>
        <v>96.16</v>
      </c>
      <c r="E24" s="172">
        <f>ROUND(E23*(1+$G83),2)</f>
        <v>19.3</v>
      </c>
      <c r="F24" s="172">
        <f>ROUND(F23*(1+$G83),2)</f>
        <v>1.86</v>
      </c>
      <c r="G24" s="170">
        <f t="shared" si="0"/>
        <v>30.3</v>
      </c>
      <c r="H24" s="170">
        <f t="shared" si="1"/>
        <v>126.46</v>
      </c>
      <c r="I24" s="170"/>
      <c r="J24" s="170"/>
      <c r="K24" s="170"/>
      <c r="M24" s="104"/>
    </row>
    <row r="25" spans="2:13" x14ac:dyDescent="0.2">
      <c r="B25" s="166">
        <f t="shared" si="2"/>
        <v>2025</v>
      </c>
      <c r="C25" s="171"/>
      <c r="D25" s="172">
        <f t="shared" ref="D25:F25" si="12">ROUND(D24*(1+$G84),2)</f>
        <v>98.28</v>
      </c>
      <c r="E25" s="172">
        <f t="shared" si="12"/>
        <v>19.72</v>
      </c>
      <c r="F25" s="172">
        <f t="shared" si="12"/>
        <v>1.9</v>
      </c>
      <c r="G25" s="170">
        <f t="shared" ref="G25:G30" si="13">ROUND(F25*(8.76*$G$65)+E25,2)</f>
        <v>30.95</v>
      </c>
      <c r="H25" s="170">
        <f t="shared" ref="H25:H30" si="14">ROUND(D25+G25,2)</f>
        <v>129.22999999999999</v>
      </c>
      <c r="I25" s="170"/>
      <c r="J25" s="170"/>
      <c r="K25" s="170"/>
      <c r="M25" s="104"/>
    </row>
    <row r="26" spans="2:13" x14ac:dyDescent="0.2">
      <c r="B26" s="166">
        <f t="shared" si="2"/>
        <v>2026</v>
      </c>
      <c r="C26" s="171"/>
      <c r="D26" s="172">
        <f t="shared" ref="D26:F26" si="15">ROUND(D25*(1+$G85),2)</f>
        <v>100.44</v>
      </c>
      <c r="E26" s="172">
        <f t="shared" si="15"/>
        <v>20.149999999999999</v>
      </c>
      <c r="F26" s="172">
        <f t="shared" si="15"/>
        <v>1.94</v>
      </c>
      <c r="G26" s="170">
        <f t="shared" si="13"/>
        <v>31.62</v>
      </c>
      <c r="H26" s="170">
        <f t="shared" si="14"/>
        <v>132.06</v>
      </c>
      <c r="I26" s="170"/>
      <c r="J26" s="170"/>
      <c r="K26" s="170"/>
      <c r="M26" s="104"/>
    </row>
    <row r="27" spans="2:13" x14ac:dyDescent="0.2">
      <c r="B27" s="166">
        <f t="shared" si="2"/>
        <v>2027</v>
      </c>
      <c r="C27" s="171"/>
      <c r="D27" s="172">
        <f t="shared" ref="D27:F27" si="16">ROUND(D26*(1+$G86),2)</f>
        <v>102.65</v>
      </c>
      <c r="E27" s="172">
        <f t="shared" si="16"/>
        <v>20.59</v>
      </c>
      <c r="F27" s="172">
        <f t="shared" si="16"/>
        <v>1.98</v>
      </c>
      <c r="G27" s="170">
        <f t="shared" si="13"/>
        <v>32.299999999999997</v>
      </c>
      <c r="H27" s="170">
        <f t="shared" si="14"/>
        <v>134.94999999999999</v>
      </c>
      <c r="I27" s="170"/>
      <c r="J27" s="170"/>
      <c r="K27" s="170"/>
      <c r="M27" s="104"/>
    </row>
    <row r="28" spans="2:13" x14ac:dyDescent="0.2">
      <c r="B28" s="166">
        <f t="shared" si="2"/>
        <v>2028</v>
      </c>
      <c r="C28" s="171"/>
      <c r="D28" s="172">
        <f t="shared" ref="D28:D29" si="17">ROUND(D27*(1+$G87),2)</f>
        <v>104.91</v>
      </c>
      <c r="E28" s="172">
        <f t="shared" ref="E28:E29" si="18">ROUND(E27*(1+$G87),2)</f>
        <v>21.04</v>
      </c>
      <c r="F28" s="172">
        <f t="shared" ref="F28:F29" si="19">ROUND(F27*(1+$G87),2)</f>
        <v>2.02</v>
      </c>
      <c r="G28" s="170">
        <f t="shared" ref="G28:G29" si="20">ROUND(F28*(8.76*$G$65)+E28,2)</f>
        <v>32.979999999999997</v>
      </c>
      <c r="H28" s="170">
        <f t="shared" ref="H28:H29" si="21">ROUND(D28+G28,2)</f>
        <v>137.88999999999999</v>
      </c>
      <c r="I28" s="170"/>
      <c r="J28" s="170"/>
      <c r="K28" s="170"/>
      <c r="M28" s="104"/>
    </row>
    <row r="29" spans="2:13" x14ac:dyDescent="0.2">
      <c r="B29" s="166">
        <f t="shared" si="2"/>
        <v>2029</v>
      </c>
      <c r="C29" s="171"/>
      <c r="D29" s="172">
        <f t="shared" si="17"/>
        <v>107.22</v>
      </c>
      <c r="E29" s="172">
        <f t="shared" si="18"/>
        <v>21.5</v>
      </c>
      <c r="F29" s="172">
        <f t="shared" si="19"/>
        <v>2.06</v>
      </c>
      <c r="G29" s="170">
        <f t="shared" si="20"/>
        <v>33.68</v>
      </c>
      <c r="H29" s="170">
        <f t="shared" si="21"/>
        <v>140.9</v>
      </c>
      <c r="I29" s="170"/>
      <c r="J29" s="170"/>
      <c r="K29" s="170"/>
      <c r="M29" s="104"/>
    </row>
    <row r="30" spans="2:13" s="207" customFormat="1" x14ac:dyDescent="0.2">
      <c r="B30" s="210">
        <f t="shared" si="2"/>
        <v>2030</v>
      </c>
      <c r="C30" s="211"/>
      <c r="D30" s="172">
        <f t="shared" ref="D30:F30" si="22">ROUND(D29*(1+$G89),2)</f>
        <v>109.58</v>
      </c>
      <c r="E30" s="172">
        <f t="shared" si="22"/>
        <v>21.97</v>
      </c>
      <c r="F30" s="172">
        <f t="shared" si="22"/>
        <v>2.11</v>
      </c>
      <c r="G30" s="170">
        <f t="shared" si="13"/>
        <v>34.450000000000003</v>
      </c>
      <c r="H30" s="170">
        <f t="shared" si="14"/>
        <v>144.03</v>
      </c>
      <c r="I30" s="170"/>
      <c r="J30" s="170"/>
      <c r="K30" s="170"/>
      <c r="M30" s="104"/>
    </row>
    <row r="31" spans="2:13" s="207" customFormat="1" x14ac:dyDescent="0.2">
      <c r="B31" s="210">
        <f t="shared" si="2"/>
        <v>2031</v>
      </c>
      <c r="C31" s="211"/>
      <c r="D31" s="172">
        <f t="shared" ref="D31:D32" si="23">ROUND(D30*(1+$G90),2)</f>
        <v>112.1</v>
      </c>
      <c r="E31" s="172">
        <f t="shared" ref="E31:E32" si="24">ROUND(E30*(1+$G90),2)</f>
        <v>22.48</v>
      </c>
      <c r="F31" s="172">
        <f t="shared" ref="F31:F32" si="25">ROUND(F30*(1+$G90),2)</f>
        <v>2.16</v>
      </c>
      <c r="G31" s="170">
        <f t="shared" ref="G31:G32" si="26">ROUND(F31*(8.76*$G$65)+E31,2)</f>
        <v>35.25</v>
      </c>
      <c r="H31" s="170">
        <f t="shared" ref="H31:H32" si="27">ROUND(D31+G31,2)</f>
        <v>147.35</v>
      </c>
      <c r="I31" s="170"/>
      <c r="J31" s="170"/>
      <c r="K31" s="170"/>
      <c r="M31" s="104"/>
    </row>
    <row r="32" spans="2:13" s="207" customFormat="1" ht="13.5" thickBot="1" x14ac:dyDescent="0.25">
      <c r="B32" s="210">
        <f t="shared" si="2"/>
        <v>2032</v>
      </c>
      <c r="C32" s="211"/>
      <c r="D32" s="229">
        <f t="shared" si="23"/>
        <v>114.68</v>
      </c>
      <c r="E32" s="229">
        <f t="shared" si="24"/>
        <v>23</v>
      </c>
      <c r="F32" s="229">
        <f t="shared" si="25"/>
        <v>2.21</v>
      </c>
      <c r="G32" s="197">
        <f t="shared" si="26"/>
        <v>36.07</v>
      </c>
      <c r="H32" s="197">
        <f t="shared" si="27"/>
        <v>150.75</v>
      </c>
      <c r="I32" s="197"/>
      <c r="J32" s="197"/>
      <c r="K32" s="197"/>
      <c r="M32" s="104"/>
    </row>
    <row r="33" spans="2:15" x14ac:dyDescent="0.2">
      <c r="B33" s="166">
        <f t="shared" si="2"/>
        <v>2033</v>
      </c>
      <c r="C33" s="171"/>
      <c r="D33" s="170">
        <f>ROUND(D32*(1+$J83),2)</f>
        <v>117.32</v>
      </c>
      <c r="E33" s="168">
        <f>ROUND(E32*(1+$J83),2)</f>
        <v>23.53</v>
      </c>
      <c r="F33" s="168">
        <f>ROUND(F32*(1+$J83),2)</f>
        <v>2.2599999999999998</v>
      </c>
      <c r="G33" s="170">
        <f t="shared" ref="G33" si="28">ROUND(F33*(8.76*$G$65)+E33,2)</f>
        <v>36.89</v>
      </c>
      <c r="H33" s="170">
        <f t="shared" ref="H33" si="29">ROUND(D33+G33,2)</f>
        <v>154.21</v>
      </c>
      <c r="I33" s="170">
        <f>IF(_635_CCCT_UTN1&lt;&gt;0,VLOOKUP(B33,'Table 4'!$B$13:$C$40,2,FALSE),0)</f>
        <v>0</v>
      </c>
      <c r="J33" s="170">
        <f>ROUND($K$65*I33/1000,2)</f>
        <v>0</v>
      </c>
      <c r="K33" s="170">
        <f>IF(_635_CCCT_UTN1&lt;&gt;0,ROUND(H33*1000/8760/$G$65+J33,2),0)</f>
        <v>0</v>
      </c>
      <c r="M33" s="104"/>
    </row>
    <row r="34" spans="2:15" x14ac:dyDescent="0.2">
      <c r="B34" s="166">
        <f t="shared" si="2"/>
        <v>2034</v>
      </c>
      <c r="C34" s="171"/>
      <c r="D34" s="170">
        <f t="shared" ref="D34:F34" si="30">ROUND(D33*(1+$J84),2)</f>
        <v>120.02</v>
      </c>
      <c r="E34" s="168">
        <f t="shared" si="30"/>
        <v>24.07</v>
      </c>
      <c r="F34" s="168">
        <f t="shared" si="30"/>
        <v>2.31</v>
      </c>
      <c r="G34" s="170">
        <f t="shared" ref="G34:G40" si="31">ROUND(F34*(8.76*$G$65)+E34,2)</f>
        <v>37.729999999999997</v>
      </c>
      <c r="H34" s="170">
        <f t="shared" ref="H34:H40" si="32">ROUND(D34+G34,2)</f>
        <v>157.75</v>
      </c>
      <c r="I34" s="170">
        <f>VLOOKUP(B34,'Table 4'!$B$13:$C$40,2,FALSE)</f>
        <v>6.36</v>
      </c>
      <c r="J34" s="170">
        <f t="shared" ref="J34:J42" si="33">ROUND($K$65*I34/1000,2)</f>
        <v>42.74</v>
      </c>
      <c r="K34" s="170">
        <f t="shared" ref="K34:K42" si="34">ROUND(H34*1000/8760/$G$65+J34,2)</f>
        <v>69.42</v>
      </c>
      <c r="M34" s="104"/>
    </row>
    <row r="35" spans="2:15" x14ac:dyDescent="0.2">
      <c r="B35" s="166">
        <f t="shared" si="2"/>
        <v>2035</v>
      </c>
      <c r="C35" s="171"/>
      <c r="D35" s="170">
        <f t="shared" ref="D35:F35" si="35">ROUND(D34*(1+$J85),2)</f>
        <v>122.78</v>
      </c>
      <c r="E35" s="168">
        <f t="shared" si="35"/>
        <v>24.62</v>
      </c>
      <c r="F35" s="168">
        <f t="shared" si="35"/>
        <v>2.36</v>
      </c>
      <c r="G35" s="170">
        <f t="shared" si="31"/>
        <v>38.57</v>
      </c>
      <c r="H35" s="170">
        <f t="shared" si="32"/>
        <v>161.35</v>
      </c>
      <c r="I35" s="170">
        <f>VLOOKUP(B35,'Table 4'!$B$13:$C$40,2,FALSE)</f>
        <v>6.5</v>
      </c>
      <c r="J35" s="170">
        <f t="shared" si="33"/>
        <v>43.68</v>
      </c>
      <c r="K35" s="170">
        <f t="shared" si="34"/>
        <v>70.97</v>
      </c>
      <c r="M35" s="104"/>
    </row>
    <row r="36" spans="2:15" x14ac:dyDescent="0.2">
      <c r="B36" s="166">
        <f t="shared" si="2"/>
        <v>2036</v>
      </c>
      <c r="C36" s="171"/>
      <c r="D36" s="170">
        <f t="shared" ref="D36:F36" si="36">ROUND(D35*(1+$J86),2)</f>
        <v>125.6</v>
      </c>
      <c r="E36" s="168">
        <f t="shared" si="36"/>
        <v>25.19</v>
      </c>
      <c r="F36" s="168">
        <f t="shared" si="36"/>
        <v>2.41</v>
      </c>
      <c r="G36" s="170">
        <f t="shared" si="31"/>
        <v>39.44</v>
      </c>
      <c r="H36" s="170">
        <f t="shared" si="32"/>
        <v>165.04</v>
      </c>
      <c r="I36" s="170">
        <f>VLOOKUP(B36,'Table 4'!$B$13:$C$40,2,FALSE)</f>
        <v>6.73</v>
      </c>
      <c r="J36" s="170">
        <f t="shared" si="33"/>
        <v>45.23</v>
      </c>
      <c r="K36" s="170">
        <f t="shared" si="34"/>
        <v>73.14</v>
      </c>
      <c r="M36" s="104"/>
    </row>
    <row r="37" spans="2:15" x14ac:dyDescent="0.2">
      <c r="B37" s="166">
        <f t="shared" si="2"/>
        <v>2037</v>
      </c>
      <c r="C37" s="171"/>
      <c r="D37" s="170">
        <f t="shared" ref="D37:F37" si="37">ROUND(D36*(1+$J87),2)</f>
        <v>128.49</v>
      </c>
      <c r="E37" s="168">
        <f t="shared" si="37"/>
        <v>25.77</v>
      </c>
      <c r="F37" s="168">
        <f t="shared" si="37"/>
        <v>2.4700000000000002</v>
      </c>
      <c r="G37" s="170">
        <f t="shared" si="31"/>
        <v>40.380000000000003</v>
      </c>
      <c r="H37" s="170">
        <f t="shared" si="32"/>
        <v>168.87</v>
      </c>
      <c r="I37" s="170">
        <f>VLOOKUP(B37,'Table 4'!$B$13:$C$40,2,FALSE)</f>
        <v>7.01</v>
      </c>
      <c r="J37" s="170">
        <f t="shared" si="33"/>
        <v>47.11</v>
      </c>
      <c r="K37" s="170">
        <f t="shared" si="34"/>
        <v>75.67</v>
      </c>
      <c r="M37" s="104"/>
    </row>
    <row r="38" spans="2:15" x14ac:dyDescent="0.2">
      <c r="B38" s="166">
        <f t="shared" si="2"/>
        <v>2038</v>
      </c>
      <c r="C38" s="171"/>
      <c r="D38" s="170">
        <f t="shared" ref="D38:F38" si="38">ROUND(D37*(1+$J88),2)</f>
        <v>131.44999999999999</v>
      </c>
      <c r="E38" s="168">
        <f t="shared" si="38"/>
        <v>26.36</v>
      </c>
      <c r="F38" s="168">
        <f t="shared" si="38"/>
        <v>2.5299999999999998</v>
      </c>
      <c r="G38" s="170">
        <f t="shared" si="31"/>
        <v>41.32</v>
      </c>
      <c r="H38" s="170">
        <f t="shared" si="32"/>
        <v>172.77</v>
      </c>
      <c r="I38" s="170">
        <f>VLOOKUP(B38,'Table 4'!$B$13:$C$40,2,FALSE)</f>
        <v>7.23</v>
      </c>
      <c r="J38" s="170">
        <f t="shared" si="33"/>
        <v>48.59</v>
      </c>
      <c r="K38" s="170">
        <f t="shared" si="34"/>
        <v>77.81</v>
      </c>
      <c r="M38" s="104"/>
    </row>
    <row r="39" spans="2:15" x14ac:dyDescent="0.2">
      <c r="B39" s="166">
        <f t="shared" si="2"/>
        <v>2039</v>
      </c>
      <c r="C39" s="171"/>
      <c r="D39" s="170">
        <f t="shared" ref="D39:F39" si="39">ROUND(D38*(1+$J89),2)</f>
        <v>134.6</v>
      </c>
      <c r="E39" s="168">
        <f t="shared" si="39"/>
        <v>26.99</v>
      </c>
      <c r="F39" s="168">
        <f t="shared" si="39"/>
        <v>2.59</v>
      </c>
      <c r="G39" s="170">
        <f t="shared" si="31"/>
        <v>42.3</v>
      </c>
      <c r="H39" s="170">
        <f t="shared" si="32"/>
        <v>176.9</v>
      </c>
      <c r="I39" s="170">
        <f>VLOOKUP(B39,'Table 4'!$B$13:$C$40,2,FALSE)</f>
        <v>7.42</v>
      </c>
      <c r="J39" s="170">
        <f t="shared" si="33"/>
        <v>49.86</v>
      </c>
      <c r="K39" s="170">
        <f t="shared" si="34"/>
        <v>79.78</v>
      </c>
      <c r="M39" s="104"/>
    </row>
    <row r="40" spans="2:15" x14ac:dyDescent="0.2">
      <c r="B40" s="166">
        <f t="shared" si="2"/>
        <v>2040</v>
      </c>
      <c r="C40" s="171"/>
      <c r="D40" s="170">
        <f t="shared" ref="D40:F40" si="40">ROUND(D39*(1+$J90),2)</f>
        <v>137.83000000000001</v>
      </c>
      <c r="E40" s="168">
        <f t="shared" si="40"/>
        <v>27.64</v>
      </c>
      <c r="F40" s="168">
        <f t="shared" si="40"/>
        <v>2.65</v>
      </c>
      <c r="G40" s="170">
        <f t="shared" si="31"/>
        <v>43.31</v>
      </c>
      <c r="H40" s="170">
        <f t="shared" si="32"/>
        <v>181.14</v>
      </c>
      <c r="I40" s="170">
        <f>VLOOKUP(B40,'Table 4'!$B$13:$C$40,2,FALSE)</f>
        <v>7.71</v>
      </c>
      <c r="J40" s="170">
        <f t="shared" si="33"/>
        <v>51.81</v>
      </c>
      <c r="K40" s="170">
        <f t="shared" si="34"/>
        <v>82.44</v>
      </c>
      <c r="M40" s="104"/>
    </row>
    <row r="41" spans="2:15" hidden="1" x14ac:dyDescent="0.2">
      <c r="B41" s="166">
        <f t="shared" si="2"/>
        <v>2041</v>
      </c>
      <c r="C41" s="171"/>
      <c r="D41" s="170">
        <f t="shared" ref="D41:F42" si="41">ROUND(D40*(1+$J92),2)</f>
        <v>137.83000000000001</v>
      </c>
      <c r="E41" s="168">
        <f t="shared" si="41"/>
        <v>27.64</v>
      </c>
      <c r="F41" s="168">
        <f t="shared" si="41"/>
        <v>2.65</v>
      </c>
      <c r="G41" s="170">
        <f t="shared" si="0"/>
        <v>43.31</v>
      </c>
      <c r="H41" s="170">
        <f t="shared" si="1"/>
        <v>181.14</v>
      </c>
      <c r="I41" s="170" t="e">
        <f>VLOOKUP(B41,'Table 4'!$B$13:$C$40,2,FALSE)</f>
        <v>#N/A</v>
      </c>
      <c r="J41" s="170" t="e">
        <f t="shared" si="33"/>
        <v>#N/A</v>
      </c>
      <c r="K41" s="170" t="e">
        <f t="shared" si="34"/>
        <v>#N/A</v>
      </c>
    </row>
    <row r="42" spans="2:15" hidden="1" x14ac:dyDescent="0.2">
      <c r="B42" s="166">
        <f t="shared" si="2"/>
        <v>2042</v>
      </c>
      <c r="C42" s="171"/>
      <c r="D42" s="170">
        <f t="shared" si="41"/>
        <v>137.83000000000001</v>
      </c>
      <c r="E42" s="168">
        <f t="shared" si="41"/>
        <v>27.64</v>
      </c>
      <c r="F42" s="168">
        <f t="shared" si="41"/>
        <v>2.65</v>
      </c>
      <c r="G42" s="170">
        <f t="shared" si="0"/>
        <v>43.31</v>
      </c>
      <c r="H42" s="170">
        <f t="shared" si="1"/>
        <v>181.14</v>
      </c>
      <c r="I42" s="170" t="e">
        <f>VLOOKUP(B42,'Table 4'!$B$13:$C$40,2,FALSE)</f>
        <v>#N/A</v>
      </c>
      <c r="J42" s="170" t="e">
        <f t="shared" si="33"/>
        <v>#N/A</v>
      </c>
      <c r="K42" s="170" t="e">
        <f t="shared" si="34"/>
        <v>#N/A</v>
      </c>
    </row>
    <row r="43" spans="2:15" x14ac:dyDescent="0.2">
      <c r="M43" s="166"/>
      <c r="O43" s="173"/>
    </row>
    <row r="44" spans="2:15" ht="14.25" x14ac:dyDescent="0.2">
      <c r="B44" s="7" t="s">
        <v>51</v>
      </c>
      <c r="C44" s="69"/>
      <c r="D44" s="69"/>
      <c r="E44" s="69"/>
      <c r="F44" s="69"/>
      <c r="G44" s="69"/>
      <c r="H44" s="69"/>
      <c r="I44" s="69"/>
      <c r="J44" s="69"/>
      <c r="K44" s="69"/>
      <c r="M44" s="166"/>
      <c r="N44" s="173"/>
      <c r="O44" s="173"/>
    </row>
    <row r="46" spans="2:15" x14ac:dyDescent="0.2">
      <c r="B46" s="163" t="s">
        <v>30</v>
      </c>
      <c r="D46" s="174" t="s">
        <v>124</v>
      </c>
    </row>
    <row r="47" spans="2:15" x14ac:dyDescent="0.2">
      <c r="C47" s="175" t="str">
        <f>D10</f>
        <v>(b)</v>
      </c>
      <c r="D47" s="170" t="str">
        <f>"= "&amp;C10&amp;" x "&amp;C76</f>
        <v>= (a) x 0.07682</v>
      </c>
    </row>
    <row r="48" spans="2:15" x14ac:dyDescent="0.2">
      <c r="C48" s="175" t="str">
        <f>G10</f>
        <v>(e)</v>
      </c>
      <c r="D48" s="170" t="str">
        <f>"= "&amp;$F$10&amp;" x  (8.76 x "&amp;TEXT(G65,"0.0%")&amp;") + "&amp;$E$10</f>
        <v>= (d) x  (8.76 x 67.5%) + (c)</v>
      </c>
    </row>
    <row r="49" spans="3:11" x14ac:dyDescent="0.2">
      <c r="C49" s="175" t="str">
        <f>H10</f>
        <v>(f)</v>
      </c>
      <c r="D49" s="170" t="str">
        <f>"= "&amp;D10&amp;" + "&amp;G10</f>
        <v>= (b) + (e)</v>
      </c>
    </row>
    <row r="50" spans="3:11" x14ac:dyDescent="0.2">
      <c r="C50" s="175" t="str">
        <f>I10</f>
        <v>(g)</v>
      </c>
      <c r="D50" s="206" t="str">
        <f>'Table 4'!B3&amp;" - "&amp;'Table 4'!B4</f>
        <v>Table 4 - Burnertip Natural Gas Price Forecast</v>
      </c>
    </row>
    <row r="51" spans="3:11" x14ac:dyDescent="0.2">
      <c r="C51" s="175" t="str">
        <f>J10</f>
        <v>(h)</v>
      </c>
      <c r="D51" s="170" t="str">
        <f>"= "&amp;TEXT(K65,"?,0")&amp;" MMBtu/MWH x "&amp;I9</f>
        <v>= 6,720 MMBtu/MWH x $/MMBtu</v>
      </c>
    </row>
    <row r="52" spans="3:11" x14ac:dyDescent="0.2">
      <c r="C52" s="175" t="str">
        <f>K10</f>
        <v>(i)</v>
      </c>
      <c r="D52" s="170" t="str">
        <f>"= "&amp;H10&amp;" / (8.76 x 'Capacity Factor' ) + "&amp;J10</f>
        <v>= (f) / (8.76 x 'Capacity Factor' ) + (h)</v>
      </c>
    </row>
    <row r="53" spans="3:11" ht="13.5" thickBot="1" x14ac:dyDescent="0.25"/>
    <row r="54" spans="3:11" ht="13.5" thickBot="1" x14ac:dyDescent="0.25">
      <c r="C54" s="105" t="s">
        <v>129</v>
      </c>
      <c r="D54" s="102"/>
      <c r="E54" s="102"/>
      <c r="F54" s="102"/>
      <c r="G54" s="102"/>
      <c r="H54" s="102"/>
      <c r="I54" s="102"/>
      <c r="J54" s="103"/>
      <c r="K54" s="176"/>
    </row>
    <row r="55" spans="3:11" ht="5.25" customHeight="1" x14ac:dyDescent="0.2"/>
    <row r="56" spans="3:11" ht="5.25" customHeight="1" x14ac:dyDescent="0.2"/>
    <row r="57" spans="3:11" x14ac:dyDescent="0.2">
      <c r="C57" s="89" t="s">
        <v>61</v>
      </c>
      <c r="D57" s="77"/>
      <c r="E57" s="89"/>
      <c r="F57" s="88" t="s">
        <v>62</v>
      </c>
      <c r="G57" s="88" t="s">
        <v>63</v>
      </c>
      <c r="H57" s="88" t="s">
        <v>64</v>
      </c>
      <c r="I57" s="88" t="s">
        <v>65</v>
      </c>
    </row>
    <row r="58" spans="3:11" x14ac:dyDescent="0.2">
      <c r="C58" s="207" t="s">
        <v>104</v>
      </c>
      <c r="F58" s="177">
        <f>C69</f>
        <v>534</v>
      </c>
      <c r="G58" s="104">
        <f>F58/F60</f>
        <v>0.8409448818897638</v>
      </c>
      <c r="H58" s="191">
        <f>C70</f>
        <v>1077</v>
      </c>
      <c r="I58" s="193">
        <f>C73</f>
        <v>16.07</v>
      </c>
    </row>
    <row r="59" spans="3:11" x14ac:dyDescent="0.2">
      <c r="C59" s="207" t="s">
        <v>105</v>
      </c>
      <c r="F59" s="95">
        <f>D69</f>
        <v>101</v>
      </c>
      <c r="G59" s="91">
        <f>1-G58</f>
        <v>0.1590551181102362</v>
      </c>
      <c r="H59" s="192">
        <f>D70</f>
        <v>755</v>
      </c>
      <c r="I59" s="194">
        <f>D73</f>
        <v>14.56</v>
      </c>
    </row>
    <row r="60" spans="3:11" x14ac:dyDescent="0.2">
      <c r="C60" s="207" t="s">
        <v>66</v>
      </c>
      <c r="F60" s="177">
        <f>F58+F59</f>
        <v>635</v>
      </c>
      <c r="G60" s="104">
        <f>G58+G59</f>
        <v>1</v>
      </c>
      <c r="H60" s="191">
        <f>ROUND(((F58*H58)+(F59*H59))/F60,0)</f>
        <v>1026</v>
      </c>
      <c r="I60" s="193">
        <f>ROUND(((F58*I58)+(F59*I59))/F60,2)</f>
        <v>15.83</v>
      </c>
    </row>
    <row r="61" spans="3:11" x14ac:dyDescent="0.2">
      <c r="C61" s="207"/>
      <c r="F61" s="177"/>
      <c r="G61" s="104"/>
      <c r="H61" s="178"/>
      <c r="I61" s="179"/>
    </row>
    <row r="62" spans="3:11" x14ac:dyDescent="0.2">
      <c r="C62" s="208" t="s">
        <v>61</v>
      </c>
      <c r="D62" s="77"/>
      <c r="E62" s="89"/>
      <c r="F62" s="88" t="s">
        <v>62</v>
      </c>
      <c r="G62" s="88" t="s">
        <v>67</v>
      </c>
      <c r="H62" s="88" t="s">
        <v>68</v>
      </c>
      <c r="I62" s="88" t="s">
        <v>63</v>
      </c>
      <c r="J62" s="88" t="s">
        <v>69</v>
      </c>
      <c r="K62" s="88" t="s">
        <v>70</v>
      </c>
    </row>
    <row r="63" spans="3:11" x14ac:dyDescent="0.2">
      <c r="C63" s="209" t="str">
        <f>C58</f>
        <v>CCCT Dry "J" - Turbine</v>
      </c>
      <c r="D63" s="180"/>
      <c r="E63" s="180"/>
      <c r="F63" s="163">
        <f>C69</f>
        <v>534</v>
      </c>
      <c r="G63" s="104">
        <f>C77</f>
        <v>0.78</v>
      </c>
      <c r="H63" s="234">
        <f>G63*F63</f>
        <v>416.52000000000004</v>
      </c>
      <c r="I63" s="104">
        <f>H63/H65</f>
        <v>0.97172452407614784</v>
      </c>
      <c r="J63" s="179">
        <f>C74</f>
        <v>1.56</v>
      </c>
      <c r="K63" s="181">
        <f>C75</f>
        <v>6637</v>
      </c>
    </row>
    <row r="64" spans="3:11" x14ac:dyDescent="0.2">
      <c r="C64" s="209" t="str">
        <f>C59</f>
        <v>CCCT Dry "J" - Duct Firing</v>
      </c>
      <c r="D64" s="180"/>
      <c r="E64" s="180"/>
      <c r="F64" s="90">
        <f>D69</f>
        <v>101</v>
      </c>
      <c r="G64" s="91">
        <f>D77</f>
        <v>0.12</v>
      </c>
      <c r="H64" s="235">
        <f>G64*F64</f>
        <v>12.12</v>
      </c>
      <c r="I64" s="91">
        <f>1-I63</f>
        <v>2.8275475923852156E-2</v>
      </c>
      <c r="J64" s="92">
        <f>D74</f>
        <v>0.11</v>
      </c>
      <c r="K64" s="93">
        <f>D75</f>
        <v>9561</v>
      </c>
    </row>
    <row r="65" spans="3:11" x14ac:dyDescent="0.2">
      <c r="C65" s="207" t="s">
        <v>71</v>
      </c>
      <c r="F65" s="163">
        <f>F63+F64</f>
        <v>635</v>
      </c>
      <c r="G65" s="182">
        <f>ROUND(H65/F65,3)</f>
        <v>0.67500000000000004</v>
      </c>
      <c r="H65" s="234">
        <f>SUM(H63:H64)</f>
        <v>428.64000000000004</v>
      </c>
      <c r="I65" s="104">
        <f>I63+I64</f>
        <v>1</v>
      </c>
      <c r="J65" s="179">
        <f>ROUND(($I63*J63)+($I64*J64),2)</f>
        <v>1.52</v>
      </c>
      <c r="K65" s="183">
        <f>ROUND(($I63*K63)+($I64*K64),-1)</f>
        <v>6720</v>
      </c>
    </row>
    <row r="66" spans="3:11" x14ac:dyDescent="0.2">
      <c r="G66" s="182"/>
      <c r="I66" s="104"/>
      <c r="J66" s="179"/>
      <c r="K66" s="94" t="s">
        <v>72</v>
      </c>
    </row>
    <row r="68" spans="3:11" x14ac:dyDescent="0.2">
      <c r="C68" s="88" t="s">
        <v>54</v>
      </c>
      <c r="D68" s="88" t="s">
        <v>55</v>
      </c>
      <c r="E68" s="106" t="str">
        <f>D46</f>
        <v>Plant Costs  - 2015 IRP - Table 6.1 &amp; 6.2 - Page 92</v>
      </c>
      <c r="F68" s="184"/>
      <c r="G68" s="184"/>
      <c r="H68" s="184"/>
      <c r="I68" s="184"/>
      <c r="J68" s="184"/>
      <c r="K68" s="185"/>
    </row>
    <row r="69" spans="3:11" x14ac:dyDescent="0.2">
      <c r="C69" s="163">
        <v>534</v>
      </c>
      <c r="D69" s="163">
        <v>101</v>
      </c>
      <c r="E69" s="163" t="s">
        <v>99</v>
      </c>
      <c r="H69" s="186"/>
    </row>
    <row r="70" spans="3:11" x14ac:dyDescent="0.2">
      <c r="C70" s="178">
        <v>1077</v>
      </c>
      <c r="D70" s="178">
        <v>755</v>
      </c>
      <c r="E70" s="163" t="s">
        <v>100</v>
      </c>
    </row>
    <row r="71" spans="3:11" x14ac:dyDescent="0.2">
      <c r="C71" s="179">
        <f>5.8+0.16</f>
        <v>5.96</v>
      </c>
      <c r="D71" s="179">
        <v>0</v>
      </c>
      <c r="E71" s="163" t="s">
        <v>101</v>
      </c>
    </row>
    <row r="72" spans="3:11" x14ac:dyDescent="0.2">
      <c r="C72" s="96">
        <v>10.11</v>
      </c>
      <c r="D72" s="96">
        <v>14.56</v>
      </c>
      <c r="E72" s="163" t="s">
        <v>97</v>
      </c>
    </row>
    <row r="73" spans="3:11" x14ac:dyDescent="0.2">
      <c r="C73" s="179">
        <f>C71+C72</f>
        <v>16.07</v>
      </c>
      <c r="D73" s="179">
        <f>D71+D72</f>
        <v>14.56</v>
      </c>
      <c r="E73" s="163" t="s">
        <v>102</v>
      </c>
    </row>
    <row r="74" spans="3:11" x14ac:dyDescent="0.2">
      <c r="C74" s="179">
        <f>1.36+0.2</f>
        <v>1.56</v>
      </c>
      <c r="D74" s="179">
        <v>0.11</v>
      </c>
      <c r="E74" s="163" t="s">
        <v>103</v>
      </c>
    </row>
    <row r="75" spans="3:11" x14ac:dyDescent="0.2">
      <c r="C75" s="183">
        <v>6637</v>
      </c>
      <c r="D75" s="183">
        <v>9561</v>
      </c>
      <c r="E75" s="163" t="s">
        <v>74</v>
      </c>
    </row>
    <row r="76" spans="3:11" x14ac:dyDescent="0.2">
      <c r="C76" s="204">
        <v>7.6819999999999999E-2</v>
      </c>
      <c r="D76" s="204">
        <f>C76</f>
        <v>7.6819999999999999E-2</v>
      </c>
      <c r="E76" s="163" t="s">
        <v>75</v>
      </c>
    </row>
    <row r="77" spans="3:11" x14ac:dyDescent="0.2">
      <c r="C77" s="187">
        <v>0.78</v>
      </c>
      <c r="D77" s="187">
        <v>0.12</v>
      </c>
      <c r="E77" s="163" t="s">
        <v>76</v>
      </c>
    </row>
    <row r="78" spans="3:11" x14ac:dyDescent="0.2">
      <c r="D78" s="104">
        <f>ROUND(H65/F65,3)</f>
        <v>0.67500000000000004</v>
      </c>
      <c r="E78" s="163" t="s">
        <v>77</v>
      </c>
    </row>
    <row r="79" spans="3:11" x14ac:dyDescent="0.2">
      <c r="D79" s="182"/>
      <c r="E79" s="115"/>
    </row>
    <row r="80" spans="3:11" x14ac:dyDescent="0.2">
      <c r="C80" s="187"/>
      <c r="D80" s="187"/>
    </row>
    <row r="82" spans="3:15" ht="13.5" thickBot="1" x14ac:dyDescent="0.25">
      <c r="C82" s="101" t="str">
        <f>"Company Official Inflation Forecast Dated "&amp;TEXT('Table 4'!G5,"mmmm dd, yyyy")</f>
        <v>Company Official Inflation Forecast Dated September 30, 2015</v>
      </c>
      <c r="D82" s="102"/>
      <c r="E82" s="102"/>
      <c r="F82" s="102"/>
      <c r="G82" s="102"/>
      <c r="H82" s="102"/>
      <c r="I82" s="102"/>
      <c r="J82" s="103"/>
      <c r="K82" s="176"/>
    </row>
    <row r="83" spans="3:15" x14ac:dyDescent="0.2">
      <c r="C83" s="188">
        <v>2015</v>
      </c>
      <c r="D83" s="104">
        <v>5.0000000000000001E-3</v>
      </c>
      <c r="F83" s="188">
        <f>C91+1</f>
        <v>2024</v>
      </c>
      <c r="G83" s="104">
        <v>2.3E-2</v>
      </c>
      <c r="I83" s="188">
        <f>F91+1</f>
        <v>2033</v>
      </c>
      <c r="J83" s="104">
        <v>2.3E-2</v>
      </c>
    </row>
    <row r="84" spans="3:15" x14ac:dyDescent="0.2">
      <c r="C84" s="188">
        <f t="shared" ref="C84:C91" si="42">C83+1</f>
        <v>2016</v>
      </c>
      <c r="D84" s="104">
        <v>1.9E-2</v>
      </c>
      <c r="F84" s="188">
        <f t="shared" ref="F84:F91" si="43">F83+1</f>
        <v>2025</v>
      </c>
      <c r="G84" s="104">
        <v>2.1999999999999999E-2</v>
      </c>
      <c r="I84" s="188">
        <f t="shared" ref="I84:I91" si="44">I83+1</f>
        <v>2034</v>
      </c>
      <c r="J84" s="104">
        <v>2.3E-2</v>
      </c>
    </row>
    <row r="85" spans="3:15" x14ac:dyDescent="0.2">
      <c r="C85" s="188">
        <f t="shared" si="42"/>
        <v>2017</v>
      </c>
      <c r="D85" s="104">
        <v>2.1999999999999999E-2</v>
      </c>
      <c r="F85" s="188">
        <f t="shared" si="43"/>
        <v>2026</v>
      </c>
      <c r="G85" s="104">
        <v>2.1999999999999999E-2</v>
      </c>
      <c r="I85" s="188">
        <f t="shared" si="44"/>
        <v>2035</v>
      </c>
      <c r="J85" s="104">
        <v>2.3E-2</v>
      </c>
    </row>
    <row r="86" spans="3:15" x14ac:dyDescent="0.2">
      <c r="C86" s="188">
        <f t="shared" si="42"/>
        <v>2018</v>
      </c>
      <c r="D86" s="104">
        <v>2.3E-2</v>
      </c>
      <c r="F86" s="188">
        <f t="shared" si="43"/>
        <v>2027</v>
      </c>
      <c r="G86" s="104">
        <v>2.1999999999999999E-2</v>
      </c>
      <c r="I86" s="188">
        <f t="shared" si="44"/>
        <v>2036</v>
      </c>
      <c r="J86" s="104">
        <v>2.3E-2</v>
      </c>
    </row>
    <row r="87" spans="3:15" x14ac:dyDescent="0.2">
      <c r="C87" s="188">
        <f t="shared" si="42"/>
        <v>2019</v>
      </c>
      <c r="D87" s="104">
        <v>2.1999999999999999E-2</v>
      </c>
      <c r="F87" s="188">
        <f t="shared" si="43"/>
        <v>2028</v>
      </c>
      <c r="G87" s="104">
        <v>2.1999999999999999E-2</v>
      </c>
      <c r="I87" s="188">
        <f t="shared" si="44"/>
        <v>2037</v>
      </c>
      <c r="J87" s="104">
        <v>2.3E-2</v>
      </c>
    </row>
    <row r="88" spans="3:15" x14ac:dyDescent="0.2">
      <c r="C88" s="188">
        <f t="shared" si="42"/>
        <v>2020</v>
      </c>
      <c r="D88" s="104">
        <v>1.9E-2</v>
      </c>
      <c r="F88" s="188">
        <f t="shared" si="43"/>
        <v>2029</v>
      </c>
      <c r="G88" s="104">
        <v>2.1999999999999999E-2</v>
      </c>
      <c r="I88" s="188">
        <f t="shared" si="44"/>
        <v>2038</v>
      </c>
      <c r="J88" s="104">
        <v>2.3E-2</v>
      </c>
    </row>
    <row r="89" spans="3:15" s="165" customFormat="1" x14ac:dyDescent="0.2">
      <c r="C89" s="188">
        <f t="shared" si="42"/>
        <v>2021</v>
      </c>
      <c r="D89" s="104">
        <v>2.1000000000000001E-2</v>
      </c>
      <c r="F89" s="188">
        <f t="shared" si="43"/>
        <v>2030</v>
      </c>
      <c r="G89" s="104">
        <v>2.1999999999999999E-2</v>
      </c>
      <c r="I89" s="188">
        <f t="shared" si="44"/>
        <v>2039</v>
      </c>
      <c r="J89" s="104">
        <v>2.4E-2</v>
      </c>
      <c r="N89" s="163"/>
      <c r="O89" s="163"/>
    </row>
    <row r="90" spans="3:15" s="165" customFormat="1" x14ac:dyDescent="0.2">
      <c r="C90" s="188">
        <f t="shared" si="42"/>
        <v>2022</v>
      </c>
      <c r="D90" s="104">
        <v>2.3E-2</v>
      </c>
      <c r="F90" s="188">
        <f t="shared" si="43"/>
        <v>2031</v>
      </c>
      <c r="G90" s="104">
        <v>2.3E-2</v>
      </c>
      <c r="I90" s="188">
        <f t="shared" si="44"/>
        <v>2040</v>
      </c>
      <c r="J90" s="104">
        <v>2.4E-2</v>
      </c>
      <c r="N90" s="163"/>
      <c r="O90" s="163"/>
    </row>
    <row r="91" spans="3:15" s="165" customFormat="1" x14ac:dyDescent="0.2">
      <c r="C91" s="188">
        <f t="shared" si="42"/>
        <v>2023</v>
      </c>
      <c r="D91" s="104">
        <v>2.4E-2</v>
      </c>
      <c r="F91" s="188">
        <f t="shared" si="43"/>
        <v>2032</v>
      </c>
      <c r="G91" s="104">
        <v>2.3E-2</v>
      </c>
      <c r="I91" s="188">
        <f t="shared" si="44"/>
        <v>2041</v>
      </c>
      <c r="J91" s="104">
        <v>2.4E-2</v>
      </c>
      <c r="N91" s="163"/>
      <c r="O91" s="163"/>
    </row>
    <row r="92" spans="3:15" s="165" customFormat="1" x14ac:dyDescent="0.2">
      <c r="N92" s="163"/>
      <c r="O92" s="163"/>
    </row>
    <row r="93" spans="3:15" s="165" customFormat="1" x14ac:dyDescent="0.2">
      <c r="N93" s="163"/>
      <c r="O93" s="163"/>
    </row>
    <row r="94" spans="3:15" x14ac:dyDescent="0.2">
      <c r="D94" s="195"/>
    </row>
    <row r="95" spans="3:15" x14ac:dyDescent="0.2">
      <c r="D95" s="195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K328"/>
  <sheetViews>
    <sheetView zoomScaleNormal="100" workbookViewId="0">
      <pane ySplit="10" topLeftCell="A11" activePane="bottomLeft" state="frozen"/>
      <selection activeCell="C9" sqref="C9"/>
      <selection pane="bottomLeft" activeCell="O33" sqref="O33"/>
    </sheetView>
  </sheetViews>
  <sheetFormatPr defaultRowHeight="12.75" x14ac:dyDescent="0.2"/>
  <cols>
    <col min="1" max="1" width="9.33203125" style="6"/>
    <col min="2" max="3" width="39" style="6" customWidth="1"/>
    <col min="4" max="6" width="9.33203125" style="6"/>
    <col min="7" max="7" width="15" style="111" hidden="1" customWidth="1"/>
    <col min="8" max="8" width="9.33203125" style="82" hidden="1" customWidth="1"/>
    <col min="9" max="10" width="9.33203125" style="212" hidden="1" customWidth="1"/>
    <col min="11" max="11" width="11.5" style="212" hidden="1" customWidth="1"/>
    <col min="12" max="12" width="9.33203125" style="6" customWidth="1"/>
    <col min="13" max="16384" width="9.33203125" style="6"/>
  </cols>
  <sheetData>
    <row r="1" spans="2:11" ht="15.75" x14ac:dyDescent="0.25">
      <c r="B1" s="1" t="s">
        <v>73</v>
      </c>
      <c r="C1" s="1"/>
      <c r="G1" s="79"/>
    </row>
    <row r="2" spans="2:11" ht="15.75" x14ac:dyDescent="0.25">
      <c r="B2" s="1"/>
      <c r="C2" s="1"/>
      <c r="G2" s="79"/>
    </row>
    <row r="3" spans="2:11" ht="15.75" x14ac:dyDescent="0.25">
      <c r="B3" s="1" t="s">
        <v>112</v>
      </c>
      <c r="C3" s="1"/>
      <c r="G3" s="79"/>
    </row>
    <row r="4" spans="2:11" ht="15.75" x14ac:dyDescent="0.25">
      <c r="B4" s="1" t="s">
        <v>58</v>
      </c>
      <c r="C4" s="1"/>
      <c r="G4" s="213" t="s">
        <v>57</v>
      </c>
    </row>
    <row r="5" spans="2:11" ht="15.75" x14ac:dyDescent="0.25">
      <c r="B5" s="1" t="str">
        <f ca="1">'Table 1'!$B$5</f>
        <v>Utah 2015.Q3 - 100.0 MW and 85.0% CF</v>
      </c>
      <c r="C5" s="1"/>
      <c r="G5" s="214">
        <v>42277</v>
      </c>
    </row>
    <row r="6" spans="2:11" x14ac:dyDescent="0.2">
      <c r="B6" s="43"/>
      <c r="C6" s="43"/>
      <c r="G6" s="79"/>
    </row>
    <row r="7" spans="2:11" ht="14.25" x14ac:dyDescent="0.2">
      <c r="B7" s="70"/>
      <c r="C7" s="78" t="s">
        <v>52</v>
      </c>
      <c r="G7" s="79"/>
    </row>
    <row r="8" spans="2:11" x14ac:dyDescent="0.2">
      <c r="B8" s="71"/>
      <c r="C8" s="63" t="s">
        <v>53</v>
      </c>
      <c r="G8" s="79"/>
    </row>
    <row r="9" spans="2:11" x14ac:dyDescent="0.2">
      <c r="B9" s="71" t="s">
        <v>0</v>
      </c>
      <c r="C9" s="71" t="str">
        <f>K16</f>
        <v>IRP - Utah Greenfield</v>
      </c>
      <c r="G9" s="79"/>
    </row>
    <row r="10" spans="2:11" x14ac:dyDescent="0.2">
      <c r="B10" s="72"/>
      <c r="C10" s="73" t="s">
        <v>41</v>
      </c>
      <c r="G10" s="215"/>
      <c r="H10" s="216"/>
    </row>
    <row r="11" spans="2:11" x14ac:dyDescent="0.2">
      <c r="C11" s="44"/>
      <c r="G11" s="215"/>
      <c r="H11" s="216"/>
    </row>
    <row r="12" spans="2:11" x14ac:dyDescent="0.2">
      <c r="C12" s="74"/>
      <c r="G12" s="215"/>
      <c r="H12" s="216"/>
    </row>
    <row r="13" spans="2:11" ht="6" customHeight="1" x14ac:dyDescent="0.2">
      <c r="G13" s="217"/>
      <c r="H13" s="218"/>
    </row>
    <row r="14" spans="2:11" x14ac:dyDescent="0.2">
      <c r="B14" s="75">
        <v>2015</v>
      </c>
      <c r="C14" s="76">
        <f t="shared" ref="C14:C28" si="0">ROUND(SUMIF($I$17:$I$328,B14,$H$17:$H$328)/COUNTIF($I$17:$I$328,B14),2)</f>
        <v>2.56</v>
      </c>
      <c r="G14" s="219"/>
      <c r="H14" s="83"/>
    </row>
    <row r="15" spans="2:11" ht="13.5" thickBot="1" x14ac:dyDescent="0.25">
      <c r="B15" s="75">
        <f t="shared" ref="B15:B39" si="1">B14+1</f>
        <v>2016</v>
      </c>
      <c r="C15" s="76">
        <f t="shared" si="0"/>
        <v>2.65</v>
      </c>
      <c r="G15" s="80"/>
      <c r="H15" s="84" t="s">
        <v>92</v>
      </c>
    </row>
    <row r="16" spans="2:11" ht="13.5" thickBot="1" x14ac:dyDescent="0.25">
      <c r="B16" s="75">
        <f t="shared" si="1"/>
        <v>2017</v>
      </c>
      <c r="C16" s="76">
        <f t="shared" si="0"/>
        <v>2.83</v>
      </c>
      <c r="G16" s="80" t="s">
        <v>56</v>
      </c>
      <c r="H16" s="84" t="s">
        <v>53</v>
      </c>
      <c r="I16" s="220" t="s">
        <v>0</v>
      </c>
      <c r="K16" s="221" t="str">
        <f>IF(_423_CCCT_Clvr1+_423_CCCT_Clvr2+_635_CCCT_UTN1+_635_CCCT_UTN2&gt;0,"IRP - Utah Greenfield","IRP - Wyo NE")</f>
        <v>IRP - Utah Greenfield</v>
      </c>
    </row>
    <row r="17" spans="2:11" ht="13.5" thickBot="1" x14ac:dyDescent="0.25">
      <c r="B17" s="75">
        <f t="shared" si="1"/>
        <v>2018</v>
      </c>
      <c r="C17" s="76">
        <f t="shared" si="0"/>
        <v>2.92</v>
      </c>
      <c r="G17" s="81">
        <v>42005</v>
      </c>
      <c r="H17" s="85">
        <v>2.8661259334845059</v>
      </c>
      <c r="I17" s="222">
        <f t="shared" ref="I17:I64" si="2">YEAR(G17)</f>
        <v>2015</v>
      </c>
      <c r="K17" s="223">
        <v>47</v>
      </c>
    </row>
    <row r="18" spans="2:11" x14ac:dyDescent="0.2">
      <c r="B18" s="75">
        <f t="shared" si="1"/>
        <v>2019</v>
      </c>
      <c r="C18" s="76">
        <f t="shared" si="0"/>
        <v>3.06</v>
      </c>
      <c r="G18" s="81">
        <v>42036</v>
      </c>
      <c r="H18" s="85">
        <v>2.5069044671201808</v>
      </c>
      <c r="I18" s="222">
        <f t="shared" si="2"/>
        <v>2015</v>
      </c>
    </row>
    <row r="19" spans="2:11" x14ac:dyDescent="0.2">
      <c r="B19" s="75">
        <f t="shared" si="1"/>
        <v>2020</v>
      </c>
      <c r="C19" s="76">
        <f t="shared" si="0"/>
        <v>3.2</v>
      </c>
      <c r="G19" s="81">
        <v>42064</v>
      </c>
      <c r="H19" s="85">
        <v>2.4056734985422739</v>
      </c>
      <c r="I19" s="222">
        <f t="shared" si="2"/>
        <v>2015</v>
      </c>
    </row>
    <row r="20" spans="2:11" x14ac:dyDescent="0.2">
      <c r="B20" s="75">
        <f t="shared" si="1"/>
        <v>2021</v>
      </c>
      <c r="C20" s="76">
        <f t="shared" si="0"/>
        <v>3.4</v>
      </c>
      <c r="G20" s="81">
        <v>42095</v>
      </c>
      <c r="H20" s="85">
        <v>2.2982876870748301</v>
      </c>
      <c r="I20" s="222">
        <f t="shared" si="2"/>
        <v>2015</v>
      </c>
    </row>
    <row r="21" spans="2:11" x14ac:dyDescent="0.2">
      <c r="B21" s="75">
        <f t="shared" si="1"/>
        <v>2022</v>
      </c>
      <c r="C21" s="76">
        <f t="shared" si="0"/>
        <v>3.69</v>
      </c>
      <c r="G21" s="81">
        <v>42125</v>
      </c>
      <c r="H21" s="85">
        <v>2.591008775510204</v>
      </c>
      <c r="I21" s="222">
        <f t="shared" si="2"/>
        <v>2015</v>
      </c>
    </row>
    <row r="22" spans="2:11" x14ac:dyDescent="0.2">
      <c r="B22" s="75">
        <f t="shared" si="1"/>
        <v>2023</v>
      </c>
      <c r="C22" s="76">
        <f t="shared" si="0"/>
        <v>3.96</v>
      </c>
      <c r="G22" s="81">
        <v>42156</v>
      </c>
      <c r="H22" s="85">
        <v>2.5545017111459973</v>
      </c>
      <c r="I22" s="222">
        <f t="shared" si="2"/>
        <v>2015</v>
      </c>
    </row>
    <row r="23" spans="2:11" x14ac:dyDescent="0.2">
      <c r="B23" s="75">
        <f t="shared" si="1"/>
        <v>2024</v>
      </c>
      <c r="C23" s="76">
        <f t="shared" si="0"/>
        <v>4.0999999999999996</v>
      </c>
      <c r="G23" s="81">
        <v>42186</v>
      </c>
      <c r="H23" s="85">
        <v>2.6884017972350227</v>
      </c>
      <c r="I23" s="222">
        <f t="shared" si="2"/>
        <v>2015</v>
      </c>
    </row>
    <row r="24" spans="2:11" x14ac:dyDescent="0.2">
      <c r="B24" s="75">
        <f t="shared" si="1"/>
        <v>2025</v>
      </c>
      <c r="C24" s="76">
        <f t="shared" si="0"/>
        <v>4.37</v>
      </c>
      <c r="G24" s="81">
        <v>42217</v>
      </c>
      <c r="H24" s="85">
        <v>2.6176754421768718</v>
      </c>
      <c r="I24" s="222">
        <f t="shared" si="2"/>
        <v>2015</v>
      </c>
    </row>
    <row r="25" spans="2:11" x14ac:dyDescent="0.2">
      <c r="B25" s="75">
        <f t="shared" si="1"/>
        <v>2026</v>
      </c>
      <c r="C25" s="76">
        <f t="shared" si="0"/>
        <v>4.4000000000000004</v>
      </c>
      <c r="G25" s="81">
        <v>42248</v>
      </c>
      <c r="H25" s="85">
        <v>2.5461010981535477</v>
      </c>
      <c r="I25" s="222">
        <f t="shared" si="2"/>
        <v>2015</v>
      </c>
    </row>
    <row r="26" spans="2:11" x14ac:dyDescent="0.2">
      <c r="B26" s="75">
        <f t="shared" si="1"/>
        <v>2027</v>
      </c>
      <c r="C26" s="76">
        <f t="shared" si="0"/>
        <v>4.6100000000000003</v>
      </c>
      <c r="G26" s="81">
        <v>42278</v>
      </c>
      <c r="H26" s="85">
        <v>2.4326414285714284</v>
      </c>
      <c r="I26" s="222">
        <f t="shared" si="2"/>
        <v>2015</v>
      </c>
    </row>
    <row r="27" spans="2:11" x14ac:dyDescent="0.2">
      <c r="B27" s="75">
        <f t="shared" si="1"/>
        <v>2028</v>
      </c>
      <c r="C27" s="76">
        <f t="shared" si="0"/>
        <v>5</v>
      </c>
      <c r="G27" s="81">
        <v>42309</v>
      </c>
      <c r="H27" s="85">
        <v>2.4826414285714287</v>
      </c>
      <c r="I27" s="222">
        <f t="shared" si="2"/>
        <v>2015</v>
      </c>
    </row>
    <row r="28" spans="2:11" x14ac:dyDescent="0.2">
      <c r="B28" s="75">
        <f t="shared" si="1"/>
        <v>2029</v>
      </c>
      <c r="C28" s="76">
        <f t="shared" si="0"/>
        <v>5.2</v>
      </c>
      <c r="G28" s="81">
        <v>42339</v>
      </c>
      <c r="H28" s="85">
        <v>2.6887638775510201</v>
      </c>
      <c r="I28" s="222">
        <f t="shared" si="2"/>
        <v>2015</v>
      </c>
    </row>
    <row r="29" spans="2:11" x14ac:dyDescent="0.2">
      <c r="B29" s="75">
        <f t="shared" si="1"/>
        <v>2030</v>
      </c>
      <c r="C29" s="76">
        <f t="shared" ref="C29:C39" si="3">ROUND(SUMIF($I$17:$I$328,B29,$H$17:$H$328)/COUNTIF($I$17:$I$328,B29),2)</f>
        <v>5.45</v>
      </c>
      <c r="G29" s="81">
        <v>42370</v>
      </c>
      <c r="H29" s="85">
        <v>2.8010087755102044</v>
      </c>
      <c r="I29" s="222">
        <f t="shared" si="2"/>
        <v>2016</v>
      </c>
    </row>
    <row r="30" spans="2:11" x14ac:dyDescent="0.2">
      <c r="B30" s="75">
        <f t="shared" si="1"/>
        <v>2031</v>
      </c>
      <c r="C30" s="76">
        <f t="shared" si="3"/>
        <v>5.89</v>
      </c>
      <c r="G30" s="81">
        <v>42401</v>
      </c>
      <c r="H30" s="85">
        <v>2.8096822448979593</v>
      </c>
      <c r="I30" s="222">
        <f t="shared" si="2"/>
        <v>2016</v>
      </c>
    </row>
    <row r="31" spans="2:11" x14ac:dyDescent="0.2">
      <c r="B31" s="75">
        <f t="shared" si="1"/>
        <v>2032</v>
      </c>
      <c r="C31" s="76">
        <f t="shared" si="3"/>
        <v>5.98</v>
      </c>
      <c r="G31" s="81">
        <v>42430</v>
      </c>
      <c r="H31" s="85">
        <v>2.67141693877551</v>
      </c>
      <c r="I31" s="222">
        <f t="shared" si="2"/>
        <v>2016</v>
      </c>
    </row>
    <row r="32" spans="2:11" x14ac:dyDescent="0.2">
      <c r="B32" s="75">
        <f t="shared" si="1"/>
        <v>2033</v>
      </c>
      <c r="C32" s="76">
        <f t="shared" si="3"/>
        <v>6.12</v>
      </c>
      <c r="G32" s="81">
        <v>42461</v>
      </c>
      <c r="H32" s="85">
        <v>2.4688659183673471</v>
      </c>
      <c r="I32" s="222">
        <f t="shared" si="2"/>
        <v>2016</v>
      </c>
    </row>
    <row r="33" spans="2:9" x14ac:dyDescent="0.2">
      <c r="B33" s="75">
        <f t="shared" si="1"/>
        <v>2034</v>
      </c>
      <c r="C33" s="76">
        <f t="shared" si="3"/>
        <v>6.36</v>
      </c>
      <c r="G33" s="81">
        <v>42491</v>
      </c>
      <c r="H33" s="85">
        <v>2.4760087755102038</v>
      </c>
      <c r="I33" s="222">
        <f t="shared" si="2"/>
        <v>2016</v>
      </c>
    </row>
    <row r="34" spans="2:9" x14ac:dyDescent="0.2">
      <c r="B34" s="75">
        <f t="shared" si="1"/>
        <v>2035</v>
      </c>
      <c r="C34" s="76">
        <f t="shared" si="3"/>
        <v>6.5</v>
      </c>
      <c r="G34" s="81">
        <v>42522</v>
      </c>
      <c r="H34" s="85">
        <v>2.5127434693877553</v>
      </c>
      <c r="I34" s="222">
        <f t="shared" si="2"/>
        <v>2016</v>
      </c>
    </row>
    <row r="35" spans="2:9" x14ac:dyDescent="0.2">
      <c r="B35" s="75">
        <f t="shared" si="1"/>
        <v>2036</v>
      </c>
      <c r="C35" s="76">
        <f t="shared" si="3"/>
        <v>6.73</v>
      </c>
      <c r="G35" s="81">
        <v>42552</v>
      </c>
      <c r="H35" s="85">
        <v>2.6229475510204083</v>
      </c>
      <c r="I35" s="222">
        <f t="shared" si="2"/>
        <v>2016</v>
      </c>
    </row>
    <row r="36" spans="2:9" hidden="1" x14ac:dyDescent="0.2">
      <c r="B36" s="75">
        <f t="shared" si="1"/>
        <v>2037</v>
      </c>
      <c r="C36" s="76">
        <f t="shared" si="3"/>
        <v>7.01</v>
      </c>
      <c r="G36" s="81">
        <v>42583</v>
      </c>
      <c r="H36" s="85">
        <v>2.5984577551020407</v>
      </c>
      <c r="I36" s="222">
        <f t="shared" si="2"/>
        <v>2016</v>
      </c>
    </row>
    <row r="37" spans="2:9" hidden="1" x14ac:dyDescent="0.2">
      <c r="B37" s="75">
        <f t="shared" si="1"/>
        <v>2038</v>
      </c>
      <c r="C37" s="76">
        <f t="shared" si="3"/>
        <v>7.23</v>
      </c>
      <c r="G37" s="81">
        <v>42614</v>
      </c>
      <c r="H37" s="85">
        <v>2.5489679591836736</v>
      </c>
      <c r="I37" s="222">
        <f t="shared" si="2"/>
        <v>2016</v>
      </c>
    </row>
    <row r="38" spans="2:9" hidden="1" x14ac:dyDescent="0.2">
      <c r="B38" s="75">
        <f t="shared" si="1"/>
        <v>2039</v>
      </c>
      <c r="C38" s="76">
        <f t="shared" si="3"/>
        <v>7.42</v>
      </c>
      <c r="G38" s="81">
        <v>42644</v>
      </c>
      <c r="H38" s="85">
        <v>2.607131224489796</v>
      </c>
      <c r="I38" s="222">
        <f t="shared" si="2"/>
        <v>2016</v>
      </c>
    </row>
    <row r="39" spans="2:9" hidden="1" x14ac:dyDescent="0.2">
      <c r="B39" s="75">
        <f t="shared" si="1"/>
        <v>2040</v>
      </c>
      <c r="C39" s="76">
        <f t="shared" si="3"/>
        <v>7.71</v>
      </c>
      <c r="G39" s="81">
        <v>42675</v>
      </c>
      <c r="H39" s="85">
        <v>2.7550904081632654</v>
      </c>
      <c r="I39" s="222">
        <f t="shared" si="2"/>
        <v>2016</v>
      </c>
    </row>
    <row r="40" spans="2:9" x14ac:dyDescent="0.2">
      <c r="G40" s="81">
        <v>42705</v>
      </c>
      <c r="H40" s="85">
        <v>2.9377434693877551</v>
      </c>
      <c r="I40" s="222">
        <f t="shared" si="2"/>
        <v>2016</v>
      </c>
    </row>
    <row r="41" spans="2:9" x14ac:dyDescent="0.2">
      <c r="B41" s="224" t="str">
        <f>"Official Forward Price Curve Forecast dated   "&amp;TEXT(G5,"MMM dd, YYYY")</f>
        <v>Official Forward Price Curve Forecast dated   Sep 30, 2015</v>
      </c>
      <c r="G41" s="81">
        <v>42736</v>
      </c>
      <c r="H41" s="85">
        <v>3.0749883673469389</v>
      </c>
      <c r="I41" s="222">
        <f t="shared" si="2"/>
        <v>2017</v>
      </c>
    </row>
    <row r="42" spans="2:9" x14ac:dyDescent="0.2">
      <c r="G42" s="81">
        <v>42767</v>
      </c>
      <c r="H42" s="85">
        <v>3.0280495918367345</v>
      </c>
      <c r="I42" s="222">
        <f t="shared" si="2"/>
        <v>2017</v>
      </c>
    </row>
    <row r="43" spans="2:9" x14ac:dyDescent="0.2">
      <c r="G43" s="81">
        <v>42795</v>
      </c>
      <c r="H43" s="85">
        <v>2.9744781632653061</v>
      </c>
      <c r="I43" s="222">
        <f t="shared" si="2"/>
        <v>2017</v>
      </c>
    </row>
    <row r="44" spans="2:9" x14ac:dyDescent="0.2">
      <c r="G44" s="81">
        <v>42826</v>
      </c>
      <c r="H44" s="85">
        <v>2.6806006122448984</v>
      </c>
      <c r="I44" s="222">
        <f t="shared" si="2"/>
        <v>2017</v>
      </c>
    </row>
    <row r="45" spans="2:9" x14ac:dyDescent="0.2">
      <c r="G45" s="81">
        <v>42856</v>
      </c>
      <c r="H45" s="85">
        <v>2.6030495918367351</v>
      </c>
      <c r="I45" s="222">
        <f t="shared" si="2"/>
        <v>2017</v>
      </c>
    </row>
    <row r="46" spans="2:9" x14ac:dyDescent="0.2">
      <c r="G46" s="81">
        <v>42887</v>
      </c>
      <c r="H46" s="85">
        <v>2.634682244897959</v>
      </c>
      <c r="I46" s="222">
        <f t="shared" si="2"/>
        <v>2017</v>
      </c>
    </row>
    <row r="47" spans="2:9" x14ac:dyDescent="0.2">
      <c r="G47" s="81">
        <v>42917</v>
      </c>
      <c r="H47" s="85">
        <v>2.7056006122448979</v>
      </c>
      <c r="I47" s="222">
        <f t="shared" si="2"/>
        <v>2017</v>
      </c>
    </row>
    <row r="48" spans="2:9" x14ac:dyDescent="0.2">
      <c r="G48" s="81">
        <v>42948</v>
      </c>
      <c r="H48" s="85">
        <v>2.722947551020408</v>
      </c>
      <c r="I48" s="222">
        <f t="shared" si="2"/>
        <v>2017</v>
      </c>
    </row>
    <row r="49" spans="7:9" x14ac:dyDescent="0.2">
      <c r="G49" s="81">
        <v>42979</v>
      </c>
      <c r="H49" s="85">
        <v>2.7168251020408163</v>
      </c>
      <c r="I49" s="222">
        <f t="shared" si="2"/>
        <v>2017</v>
      </c>
    </row>
    <row r="50" spans="7:9" x14ac:dyDescent="0.2">
      <c r="G50" s="81">
        <v>43009</v>
      </c>
      <c r="H50" s="85">
        <v>2.7331516326530614</v>
      </c>
      <c r="I50" s="222">
        <f t="shared" si="2"/>
        <v>2017</v>
      </c>
    </row>
    <row r="51" spans="7:9" x14ac:dyDescent="0.2">
      <c r="G51" s="81">
        <v>43040</v>
      </c>
      <c r="H51" s="85">
        <v>2.9714169387755103</v>
      </c>
      <c r="I51" s="222">
        <f t="shared" si="2"/>
        <v>2017</v>
      </c>
    </row>
    <row r="52" spans="7:9" x14ac:dyDescent="0.2">
      <c r="G52" s="81">
        <v>43070</v>
      </c>
      <c r="H52" s="85">
        <v>3.1571312244897958</v>
      </c>
      <c r="I52" s="222">
        <f t="shared" si="2"/>
        <v>2017</v>
      </c>
    </row>
    <row r="53" spans="7:9" x14ac:dyDescent="0.2">
      <c r="G53" s="81">
        <v>43101</v>
      </c>
      <c r="H53" s="85">
        <v>3.2101924489795919</v>
      </c>
      <c r="I53" s="222">
        <f t="shared" si="2"/>
        <v>2018</v>
      </c>
    </row>
    <row r="54" spans="7:9" x14ac:dyDescent="0.2">
      <c r="G54" s="81">
        <v>43132</v>
      </c>
      <c r="H54" s="85">
        <v>3.1943761224489799</v>
      </c>
      <c r="I54" s="222">
        <f t="shared" si="2"/>
        <v>2018</v>
      </c>
    </row>
    <row r="55" spans="7:9" x14ac:dyDescent="0.2">
      <c r="G55" s="81">
        <v>43160</v>
      </c>
      <c r="H55" s="85">
        <v>3.1321312244897963</v>
      </c>
      <c r="I55" s="222">
        <f t="shared" si="2"/>
        <v>2018</v>
      </c>
    </row>
    <row r="56" spans="7:9" x14ac:dyDescent="0.2">
      <c r="G56" s="81">
        <v>43191</v>
      </c>
      <c r="H56" s="85">
        <v>2.7520291836734696</v>
      </c>
      <c r="I56" s="222">
        <f t="shared" si="2"/>
        <v>2018</v>
      </c>
    </row>
    <row r="57" spans="7:9" x14ac:dyDescent="0.2">
      <c r="G57" s="81">
        <v>43221</v>
      </c>
      <c r="H57" s="85">
        <v>2.6765189795918372</v>
      </c>
      <c r="I57" s="222">
        <f t="shared" si="2"/>
        <v>2018</v>
      </c>
    </row>
    <row r="58" spans="7:9" x14ac:dyDescent="0.2">
      <c r="G58" s="81">
        <v>43252</v>
      </c>
      <c r="H58" s="85">
        <v>2.7091720408163265</v>
      </c>
      <c r="I58" s="222">
        <f t="shared" si="2"/>
        <v>2018</v>
      </c>
    </row>
    <row r="59" spans="7:9" x14ac:dyDescent="0.2">
      <c r="G59" s="81">
        <v>43282</v>
      </c>
      <c r="H59" s="85">
        <v>2.7678455102040815</v>
      </c>
      <c r="I59" s="222">
        <f t="shared" si="2"/>
        <v>2018</v>
      </c>
    </row>
    <row r="60" spans="7:9" x14ac:dyDescent="0.2">
      <c r="G60" s="81">
        <v>43313</v>
      </c>
      <c r="H60" s="85">
        <v>2.7831516326530612</v>
      </c>
      <c r="I60" s="222">
        <f t="shared" si="2"/>
        <v>2018</v>
      </c>
    </row>
    <row r="61" spans="7:9" x14ac:dyDescent="0.2">
      <c r="G61" s="81">
        <v>43344</v>
      </c>
      <c r="H61" s="85">
        <v>2.7749883673469391</v>
      </c>
      <c r="I61" s="222">
        <f t="shared" si="2"/>
        <v>2018</v>
      </c>
    </row>
    <row r="62" spans="7:9" x14ac:dyDescent="0.2">
      <c r="G62" s="81">
        <v>43374</v>
      </c>
      <c r="H62" s="85">
        <v>2.8004985714285713</v>
      </c>
      <c r="I62" s="222">
        <f t="shared" si="2"/>
        <v>2018</v>
      </c>
    </row>
    <row r="63" spans="7:9" x14ac:dyDescent="0.2">
      <c r="G63" s="81">
        <v>43405</v>
      </c>
      <c r="H63" s="85">
        <v>3.0076414285714286</v>
      </c>
      <c r="I63" s="222">
        <f t="shared" si="2"/>
        <v>2018</v>
      </c>
    </row>
    <row r="64" spans="7:9" x14ac:dyDescent="0.2">
      <c r="G64" s="81">
        <v>43435</v>
      </c>
      <c r="H64" s="85">
        <v>3.2091720408163265</v>
      </c>
      <c r="I64" s="222">
        <f t="shared" si="2"/>
        <v>2018</v>
      </c>
    </row>
    <row r="65" spans="7:9" x14ac:dyDescent="0.2">
      <c r="G65" s="81">
        <v>43466</v>
      </c>
      <c r="H65" s="85">
        <v>3.3316210204081633</v>
      </c>
      <c r="I65" s="222">
        <f t="shared" ref="I65:I112" si="4">YEAR(G65)</f>
        <v>2019</v>
      </c>
    </row>
    <row r="66" spans="7:9" x14ac:dyDescent="0.2">
      <c r="G66" s="81">
        <v>43497</v>
      </c>
      <c r="H66" s="85">
        <v>3.3183557142857145</v>
      </c>
      <c r="I66" s="222">
        <f t="shared" si="4"/>
        <v>2019</v>
      </c>
    </row>
    <row r="67" spans="7:9" x14ac:dyDescent="0.2">
      <c r="G67" s="81">
        <v>43525</v>
      </c>
      <c r="H67" s="85">
        <v>3.2591720408163267</v>
      </c>
      <c r="I67" s="222">
        <f t="shared" si="4"/>
        <v>2019</v>
      </c>
    </row>
    <row r="68" spans="7:9" x14ac:dyDescent="0.2">
      <c r="G68" s="81">
        <v>43556</v>
      </c>
      <c r="H68" s="85">
        <v>2.9045802040816326</v>
      </c>
      <c r="I68" s="222">
        <f t="shared" si="4"/>
        <v>2019</v>
      </c>
    </row>
    <row r="69" spans="7:9" x14ac:dyDescent="0.2">
      <c r="G69" s="81">
        <v>43586</v>
      </c>
      <c r="H69" s="85">
        <v>2.8311108163265311</v>
      </c>
      <c r="I69" s="222">
        <f t="shared" si="4"/>
        <v>2019</v>
      </c>
    </row>
    <row r="70" spans="7:9" x14ac:dyDescent="0.2">
      <c r="G70" s="81">
        <v>43617</v>
      </c>
      <c r="H70" s="85">
        <v>2.8637638775510208</v>
      </c>
      <c r="I70" s="222">
        <f t="shared" si="4"/>
        <v>2019</v>
      </c>
    </row>
    <row r="71" spans="7:9" x14ac:dyDescent="0.2">
      <c r="G71" s="81">
        <v>43647</v>
      </c>
      <c r="H71" s="85">
        <v>2.9224373469387754</v>
      </c>
      <c r="I71" s="222">
        <f t="shared" si="4"/>
        <v>2019</v>
      </c>
    </row>
    <row r="72" spans="7:9" x14ac:dyDescent="0.2">
      <c r="G72" s="81">
        <v>43678</v>
      </c>
      <c r="H72" s="85">
        <v>2.9377434693877551</v>
      </c>
      <c r="I72" s="222">
        <f t="shared" si="4"/>
        <v>2019</v>
      </c>
    </row>
    <row r="73" spans="7:9" x14ac:dyDescent="0.2">
      <c r="G73" s="81">
        <v>43709</v>
      </c>
      <c r="H73" s="85">
        <v>2.9295802040816326</v>
      </c>
      <c r="I73" s="222">
        <f t="shared" si="4"/>
        <v>2019</v>
      </c>
    </row>
    <row r="74" spans="7:9" x14ac:dyDescent="0.2">
      <c r="G74" s="81">
        <v>43739</v>
      </c>
      <c r="H74" s="85">
        <v>2.9530495918367348</v>
      </c>
      <c r="I74" s="222">
        <f t="shared" si="4"/>
        <v>2019</v>
      </c>
    </row>
    <row r="75" spans="7:9" x14ac:dyDescent="0.2">
      <c r="G75" s="81">
        <v>43770</v>
      </c>
      <c r="H75" s="85">
        <v>3.1061108163265305</v>
      </c>
      <c r="I75" s="222">
        <f t="shared" si="4"/>
        <v>2019</v>
      </c>
    </row>
    <row r="76" spans="7:9" x14ac:dyDescent="0.2">
      <c r="G76" s="81">
        <v>43800</v>
      </c>
      <c r="H76" s="85">
        <v>3.3275393877551021</v>
      </c>
      <c r="I76" s="222">
        <f t="shared" si="4"/>
        <v>2019</v>
      </c>
    </row>
    <row r="77" spans="7:9" x14ac:dyDescent="0.2">
      <c r="G77" s="81">
        <v>43831</v>
      </c>
      <c r="H77" s="85">
        <v>3.4402944897959187</v>
      </c>
      <c r="I77" s="222">
        <f t="shared" si="4"/>
        <v>2020</v>
      </c>
    </row>
    <row r="78" spans="7:9" x14ac:dyDescent="0.2">
      <c r="G78" s="81">
        <v>43862</v>
      </c>
      <c r="H78" s="85">
        <v>3.4280495918367349</v>
      </c>
      <c r="I78" s="222">
        <f t="shared" si="4"/>
        <v>2020</v>
      </c>
    </row>
    <row r="79" spans="7:9" x14ac:dyDescent="0.2">
      <c r="G79" s="81">
        <v>43891</v>
      </c>
      <c r="H79" s="85">
        <v>3.3698863265306125</v>
      </c>
      <c r="I79" s="222">
        <f t="shared" si="4"/>
        <v>2020</v>
      </c>
    </row>
    <row r="80" spans="7:9" x14ac:dyDescent="0.2">
      <c r="G80" s="81">
        <v>43922</v>
      </c>
      <c r="H80" s="85">
        <v>3.0663148979591837</v>
      </c>
      <c r="I80" s="222">
        <f t="shared" si="4"/>
        <v>2020</v>
      </c>
    </row>
    <row r="81" spans="7:9" x14ac:dyDescent="0.2">
      <c r="G81" s="81">
        <v>43952</v>
      </c>
      <c r="H81" s="85">
        <v>2.9938659183673471</v>
      </c>
      <c r="I81" s="222">
        <f t="shared" si="4"/>
        <v>2020</v>
      </c>
    </row>
    <row r="82" spans="7:9" x14ac:dyDescent="0.2">
      <c r="G82" s="81">
        <v>43983</v>
      </c>
      <c r="H82" s="85">
        <v>3.022437346938776</v>
      </c>
      <c r="I82" s="222">
        <f t="shared" si="4"/>
        <v>2020</v>
      </c>
    </row>
    <row r="83" spans="7:9" x14ac:dyDescent="0.2">
      <c r="G83" s="81">
        <v>44013</v>
      </c>
      <c r="H83" s="85">
        <v>3.0749883673469389</v>
      </c>
      <c r="I83" s="222">
        <f t="shared" si="4"/>
        <v>2020</v>
      </c>
    </row>
    <row r="84" spans="7:9" x14ac:dyDescent="0.2">
      <c r="G84" s="81">
        <v>44044</v>
      </c>
      <c r="H84" s="85">
        <v>3.0994781632653061</v>
      </c>
      <c r="I84" s="222">
        <f t="shared" si="4"/>
        <v>2020</v>
      </c>
    </row>
    <row r="85" spans="7:9" x14ac:dyDescent="0.2">
      <c r="G85" s="81">
        <v>44075</v>
      </c>
      <c r="H85" s="85">
        <v>3.0933557142857144</v>
      </c>
      <c r="I85" s="222">
        <f t="shared" si="4"/>
        <v>2020</v>
      </c>
    </row>
    <row r="86" spans="7:9" x14ac:dyDescent="0.2">
      <c r="G86" s="81">
        <v>44105</v>
      </c>
      <c r="H86" s="85">
        <v>3.1239679591836738</v>
      </c>
      <c r="I86" s="222">
        <f t="shared" si="4"/>
        <v>2020</v>
      </c>
    </row>
    <row r="87" spans="7:9" x14ac:dyDescent="0.2">
      <c r="G87" s="81">
        <v>44136</v>
      </c>
      <c r="H87" s="85">
        <v>3.2438659183673471</v>
      </c>
      <c r="I87" s="222">
        <f t="shared" si="4"/>
        <v>2020</v>
      </c>
    </row>
    <row r="88" spans="7:9" x14ac:dyDescent="0.2">
      <c r="G88" s="81">
        <v>44166</v>
      </c>
      <c r="H88" s="85">
        <v>3.46407</v>
      </c>
      <c r="I88" s="222">
        <f t="shared" si="4"/>
        <v>2020</v>
      </c>
    </row>
    <row r="89" spans="7:9" x14ac:dyDescent="0.2">
      <c r="G89" s="81">
        <v>44197</v>
      </c>
      <c r="H89" s="85">
        <v>3.5913148979591836</v>
      </c>
      <c r="I89" s="222">
        <f t="shared" si="4"/>
        <v>2021</v>
      </c>
    </row>
    <row r="90" spans="7:9" x14ac:dyDescent="0.2">
      <c r="G90" s="81">
        <v>44228</v>
      </c>
      <c r="H90" s="85">
        <v>3.5790699999999998</v>
      </c>
      <c r="I90" s="222">
        <f t="shared" si="4"/>
        <v>2021</v>
      </c>
    </row>
    <row r="91" spans="7:9" x14ac:dyDescent="0.2">
      <c r="G91" s="81">
        <v>44256</v>
      </c>
      <c r="H91" s="85">
        <v>3.5209067346938774</v>
      </c>
      <c r="I91" s="222">
        <f t="shared" si="4"/>
        <v>2021</v>
      </c>
    </row>
    <row r="92" spans="7:9" x14ac:dyDescent="0.2">
      <c r="G92" s="81">
        <v>44287</v>
      </c>
      <c r="H92" s="85">
        <v>3.2453965306122448</v>
      </c>
      <c r="I92" s="222">
        <f t="shared" si="4"/>
        <v>2021</v>
      </c>
    </row>
    <row r="93" spans="7:9" x14ac:dyDescent="0.2">
      <c r="G93" s="81">
        <v>44317</v>
      </c>
      <c r="H93" s="85">
        <v>3.1739679591836736</v>
      </c>
      <c r="I93" s="222">
        <f t="shared" si="4"/>
        <v>2021</v>
      </c>
    </row>
    <row r="94" spans="7:9" x14ac:dyDescent="0.2">
      <c r="G94" s="81">
        <v>44348</v>
      </c>
      <c r="H94" s="85">
        <v>3.2045802040816325</v>
      </c>
      <c r="I94" s="222">
        <f t="shared" si="4"/>
        <v>2021</v>
      </c>
    </row>
    <row r="95" spans="7:9" x14ac:dyDescent="0.2">
      <c r="G95" s="81">
        <v>44378</v>
      </c>
      <c r="H95" s="85">
        <v>3.2652944897959189</v>
      </c>
      <c r="I95" s="222">
        <f t="shared" si="4"/>
        <v>2021</v>
      </c>
    </row>
    <row r="96" spans="7:9" x14ac:dyDescent="0.2">
      <c r="G96" s="81">
        <v>44409</v>
      </c>
      <c r="H96" s="85">
        <v>3.2959067346938777</v>
      </c>
      <c r="I96" s="222">
        <f t="shared" si="4"/>
        <v>2021</v>
      </c>
    </row>
    <row r="97" spans="7:9" x14ac:dyDescent="0.2">
      <c r="G97" s="81">
        <v>44440</v>
      </c>
      <c r="H97" s="85">
        <v>3.2969271428571427</v>
      </c>
      <c r="I97" s="222">
        <f t="shared" si="4"/>
        <v>2021</v>
      </c>
    </row>
    <row r="98" spans="7:9" x14ac:dyDescent="0.2">
      <c r="G98" s="81">
        <v>44470</v>
      </c>
      <c r="H98" s="85">
        <v>3.33672306122449</v>
      </c>
      <c r="I98" s="222">
        <f t="shared" si="4"/>
        <v>2021</v>
      </c>
    </row>
    <row r="99" spans="7:9" x14ac:dyDescent="0.2">
      <c r="G99" s="81">
        <v>44501</v>
      </c>
      <c r="H99" s="85">
        <v>3.5904985714285713</v>
      </c>
      <c r="I99" s="222">
        <f t="shared" si="4"/>
        <v>2021</v>
      </c>
    </row>
    <row r="100" spans="7:9" x14ac:dyDescent="0.2">
      <c r="G100" s="81">
        <v>44531</v>
      </c>
      <c r="H100" s="85">
        <v>3.700600612244898</v>
      </c>
      <c r="I100" s="222">
        <f t="shared" si="4"/>
        <v>2021</v>
      </c>
    </row>
    <row r="101" spans="7:9" x14ac:dyDescent="0.2">
      <c r="G101" s="81">
        <v>44562</v>
      </c>
      <c r="H101" s="85">
        <v>3.8496822448979593</v>
      </c>
      <c r="I101" s="222">
        <f t="shared" si="4"/>
        <v>2022</v>
      </c>
    </row>
    <row r="102" spans="7:9" x14ac:dyDescent="0.2">
      <c r="G102" s="81">
        <v>44593</v>
      </c>
      <c r="H102" s="85">
        <v>3.862335306122449</v>
      </c>
      <c r="I102" s="222">
        <f t="shared" si="4"/>
        <v>2022</v>
      </c>
    </row>
    <row r="103" spans="7:9" x14ac:dyDescent="0.2">
      <c r="G103" s="81">
        <v>44621</v>
      </c>
      <c r="H103" s="85">
        <v>3.7768251020408163</v>
      </c>
      <c r="I103" s="222">
        <f t="shared" si="4"/>
        <v>2022</v>
      </c>
    </row>
    <row r="104" spans="7:9" x14ac:dyDescent="0.2">
      <c r="G104" s="81">
        <v>44652</v>
      </c>
      <c r="H104" s="85">
        <v>3.5325393877551021</v>
      </c>
      <c r="I104" s="222">
        <f t="shared" si="4"/>
        <v>2022</v>
      </c>
    </row>
    <row r="105" spans="7:9" x14ac:dyDescent="0.2">
      <c r="G105" s="81">
        <v>44682</v>
      </c>
      <c r="H105" s="85">
        <v>3.4904985714285717</v>
      </c>
      <c r="I105" s="222">
        <f t="shared" si="4"/>
        <v>2022</v>
      </c>
    </row>
    <row r="106" spans="7:9" x14ac:dyDescent="0.2">
      <c r="G106" s="81">
        <v>44713</v>
      </c>
      <c r="H106" s="85">
        <v>3.493253673469388</v>
      </c>
      <c r="I106" s="222">
        <f t="shared" si="4"/>
        <v>2022</v>
      </c>
    </row>
    <row r="107" spans="7:9" x14ac:dyDescent="0.2">
      <c r="G107" s="81">
        <v>44743</v>
      </c>
      <c r="H107" s="85">
        <v>3.536212857142857</v>
      </c>
      <c r="I107" s="222">
        <f t="shared" si="4"/>
        <v>2022</v>
      </c>
    </row>
    <row r="108" spans="7:9" x14ac:dyDescent="0.2">
      <c r="G108" s="81">
        <v>44774</v>
      </c>
      <c r="H108" s="85">
        <v>3.6079475510204082</v>
      </c>
      <c r="I108" s="222">
        <f t="shared" si="4"/>
        <v>2022</v>
      </c>
    </row>
    <row r="109" spans="7:9" x14ac:dyDescent="0.2">
      <c r="G109" s="81">
        <v>44805</v>
      </c>
      <c r="H109" s="85">
        <v>3.6209067346938779</v>
      </c>
      <c r="I109" s="222">
        <f t="shared" si="4"/>
        <v>2022</v>
      </c>
    </row>
    <row r="110" spans="7:9" x14ac:dyDescent="0.2">
      <c r="G110" s="81">
        <v>44835</v>
      </c>
      <c r="H110" s="85">
        <v>3.6408046938775511</v>
      </c>
      <c r="I110" s="222">
        <f t="shared" si="4"/>
        <v>2022</v>
      </c>
    </row>
    <row r="111" spans="7:9" x14ac:dyDescent="0.2">
      <c r="G111" s="81">
        <v>44866</v>
      </c>
      <c r="H111" s="85">
        <v>3.9372332653061224</v>
      </c>
      <c r="I111" s="222">
        <f t="shared" si="4"/>
        <v>2022</v>
      </c>
    </row>
    <row r="112" spans="7:9" x14ac:dyDescent="0.2">
      <c r="G112" s="81">
        <v>44896</v>
      </c>
      <c r="H112" s="85">
        <v>3.9372332653061224</v>
      </c>
      <c r="I112" s="222">
        <f t="shared" si="4"/>
        <v>2022</v>
      </c>
    </row>
    <row r="113" spans="7:9" x14ac:dyDescent="0.2">
      <c r="G113" s="81">
        <v>44927</v>
      </c>
      <c r="H113" s="85">
        <v>4.1079475510204073</v>
      </c>
      <c r="I113" s="222">
        <f t="shared" ref="I113:I159" si="5">YEAR(G113)</f>
        <v>2023</v>
      </c>
    </row>
    <row r="114" spans="7:9" x14ac:dyDescent="0.2">
      <c r="G114" s="81">
        <v>44958</v>
      </c>
      <c r="H114" s="85">
        <v>4.1456006122448974</v>
      </c>
      <c r="I114" s="222">
        <f t="shared" si="5"/>
        <v>2023</v>
      </c>
    </row>
    <row r="115" spans="7:9" x14ac:dyDescent="0.2">
      <c r="G115" s="81">
        <v>44986</v>
      </c>
      <c r="H115" s="85">
        <v>4.0327434693877553</v>
      </c>
      <c r="I115" s="222">
        <f t="shared" si="5"/>
        <v>2023</v>
      </c>
    </row>
    <row r="116" spans="7:9" x14ac:dyDescent="0.2">
      <c r="G116" s="81">
        <v>45017</v>
      </c>
      <c r="H116" s="85">
        <v>3.8195802040816327</v>
      </c>
      <c r="I116" s="222">
        <f t="shared" si="5"/>
        <v>2023</v>
      </c>
    </row>
    <row r="117" spans="7:9" x14ac:dyDescent="0.2">
      <c r="G117" s="81">
        <v>45047</v>
      </c>
      <c r="H117" s="85">
        <v>3.8070291836734698</v>
      </c>
      <c r="I117" s="222">
        <f t="shared" si="5"/>
        <v>2023</v>
      </c>
    </row>
    <row r="118" spans="7:9" x14ac:dyDescent="0.2">
      <c r="G118" s="81">
        <v>45078</v>
      </c>
      <c r="H118" s="85">
        <v>3.7820291836734694</v>
      </c>
      <c r="I118" s="222">
        <f t="shared" si="5"/>
        <v>2023</v>
      </c>
    </row>
    <row r="119" spans="7:9" x14ac:dyDescent="0.2">
      <c r="G119" s="81">
        <v>45108</v>
      </c>
      <c r="H119" s="85">
        <v>3.8070291836734698</v>
      </c>
      <c r="I119" s="222">
        <f t="shared" si="5"/>
        <v>2023</v>
      </c>
    </row>
    <row r="120" spans="7:9" x14ac:dyDescent="0.2">
      <c r="G120" s="81">
        <v>45139</v>
      </c>
      <c r="H120" s="85">
        <v>3.9198863265306123</v>
      </c>
      <c r="I120" s="222">
        <f t="shared" si="5"/>
        <v>2023</v>
      </c>
    </row>
    <row r="121" spans="7:9" x14ac:dyDescent="0.2">
      <c r="G121" s="81">
        <v>45170</v>
      </c>
      <c r="H121" s="85">
        <v>3.9449883673469386</v>
      </c>
      <c r="I121" s="222">
        <f t="shared" si="5"/>
        <v>2023</v>
      </c>
    </row>
    <row r="122" spans="7:9" x14ac:dyDescent="0.2">
      <c r="G122" s="81">
        <v>45200</v>
      </c>
      <c r="H122" s="85">
        <v>3.9449883673469386</v>
      </c>
      <c r="I122" s="222">
        <f t="shared" si="5"/>
        <v>2023</v>
      </c>
    </row>
    <row r="123" spans="7:9" x14ac:dyDescent="0.2">
      <c r="G123" s="81">
        <v>45231</v>
      </c>
      <c r="H123" s="85">
        <v>4.0828455102040815</v>
      </c>
      <c r="I123" s="222">
        <f t="shared" si="5"/>
        <v>2023</v>
      </c>
    </row>
    <row r="124" spans="7:9" x14ac:dyDescent="0.2">
      <c r="G124" s="81">
        <v>45261</v>
      </c>
      <c r="H124" s="85">
        <v>4.1204985714285707</v>
      </c>
      <c r="I124" s="222">
        <f t="shared" si="5"/>
        <v>2023</v>
      </c>
    </row>
    <row r="125" spans="7:9" x14ac:dyDescent="0.2">
      <c r="G125" s="81">
        <v>45292</v>
      </c>
      <c r="H125" s="85">
        <v>4.1648863265306124</v>
      </c>
      <c r="I125" s="222">
        <f t="shared" si="5"/>
        <v>2024</v>
      </c>
    </row>
    <row r="126" spans="7:9" x14ac:dyDescent="0.2">
      <c r="G126" s="81">
        <v>45323</v>
      </c>
      <c r="H126" s="85">
        <v>4.1008046938775511</v>
      </c>
      <c r="I126" s="222">
        <f t="shared" si="5"/>
        <v>2024</v>
      </c>
    </row>
    <row r="127" spans="7:9" x14ac:dyDescent="0.2">
      <c r="G127" s="81">
        <v>45352</v>
      </c>
      <c r="H127" s="85">
        <v>4.0366210204081634</v>
      </c>
      <c r="I127" s="222">
        <f t="shared" si="5"/>
        <v>2024</v>
      </c>
    </row>
    <row r="128" spans="7:9" x14ac:dyDescent="0.2">
      <c r="G128" s="81">
        <v>45383</v>
      </c>
      <c r="H128" s="85">
        <v>3.985396530612245</v>
      </c>
      <c r="I128" s="222">
        <f t="shared" si="5"/>
        <v>2024</v>
      </c>
    </row>
    <row r="129" spans="7:9" x14ac:dyDescent="0.2">
      <c r="G129" s="81">
        <v>45413</v>
      </c>
      <c r="H129" s="85">
        <v>3.9469271428571426</v>
      </c>
      <c r="I129" s="222">
        <f t="shared" si="5"/>
        <v>2024</v>
      </c>
    </row>
    <row r="130" spans="7:9" x14ac:dyDescent="0.2">
      <c r="G130" s="81">
        <v>45444</v>
      </c>
      <c r="H130" s="85">
        <v>3.9340700000000002</v>
      </c>
      <c r="I130" s="222">
        <f t="shared" si="5"/>
        <v>2024</v>
      </c>
    </row>
    <row r="131" spans="7:9" x14ac:dyDescent="0.2">
      <c r="G131" s="81">
        <v>45474</v>
      </c>
      <c r="H131" s="85">
        <v>3.9596822448979592</v>
      </c>
      <c r="I131" s="222">
        <f t="shared" si="5"/>
        <v>2024</v>
      </c>
    </row>
    <row r="132" spans="7:9" x14ac:dyDescent="0.2">
      <c r="G132" s="81">
        <v>45505</v>
      </c>
      <c r="H132" s="85">
        <v>4.0879475510204077</v>
      </c>
      <c r="I132" s="222">
        <f t="shared" si="5"/>
        <v>2024</v>
      </c>
    </row>
    <row r="133" spans="7:9" x14ac:dyDescent="0.2">
      <c r="G133" s="81">
        <v>45536</v>
      </c>
      <c r="H133" s="85">
        <v>4.139274081632653</v>
      </c>
      <c r="I133" s="222">
        <f t="shared" si="5"/>
        <v>2024</v>
      </c>
    </row>
    <row r="134" spans="7:9" x14ac:dyDescent="0.2">
      <c r="G134" s="81">
        <v>45566</v>
      </c>
      <c r="H134" s="85">
        <v>4.1777434693877549</v>
      </c>
      <c r="I134" s="222">
        <f t="shared" si="5"/>
        <v>2024</v>
      </c>
    </row>
    <row r="135" spans="7:9" x14ac:dyDescent="0.2">
      <c r="G135" s="81">
        <v>45597</v>
      </c>
      <c r="H135" s="85">
        <v>4.3444781632653058</v>
      </c>
      <c r="I135" s="222">
        <f t="shared" si="5"/>
        <v>2024</v>
      </c>
    </row>
    <row r="136" spans="7:9" x14ac:dyDescent="0.2">
      <c r="G136" s="81">
        <v>45627</v>
      </c>
      <c r="H136" s="85">
        <v>4.3316210204081624</v>
      </c>
      <c r="I136" s="222">
        <f t="shared" si="5"/>
        <v>2024</v>
      </c>
    </row>
    <row r="137" spans="7:9" x14ac:dyDescent="0.2">
      <c r="G137" s="81">
        <v>45658</v>
      </c>
      <c r="H137" s="85">
        <v>4.4540699999999998</v>
      </c>
      <c r="I137" s="222">
        <f t="shared" ref="I137:I148" si="6">YEAR(G137)</f>
        <v>2025</v>
      </c>
    </row>
    <row r="138" spans="7:9" x14ac:dyDescent="0.2">
      <c r="G138" s="81">
        <v>45689</v>
      </c>
      <c r="H138" s="85">
        <v>4.4540699999999998</v>
      </c>
      <c r="I138" s="222">
        <f t="shared" si="6"/>
        <v>2025</v>
      </c>
    </row>
    <row r="139" spans="7:9" x14ac:dyDescent="0.2">
      <c r="G139" s="81">
        <v>45717</v>
      </c>
      <c r="H139" s="85">
        <v>4.3623353061224481</v>
      </c>
      <c r="I139" s="222">
        <f t="shared" si="6"/>
        <v>2025</v>
      </c>
    </row>
    <row r="140" spans="7:9" x14ac:dyDescent="0.2">
      <c r="G140" s="81">
        <v>45748</v>
      </c>
      <c r="H140" s="85">
        <v>4.3098863265306111</v>
      </c>
      <c r="I140" s="222">
        <f t="shared" si="6"/>
        <v>2025</v>
      </c>
    </row>
    <row r="141" spans="7:9" x14ac:dyDescent="0.2">
      <c r="G141" s="81">
        <v>45778</v>
      </c>
      <c r="H141" s="85">
        <v>4.2443761224489789</v>
      </c>
      <c r="I141" s="222">
        <f t="shared" si="6"/>
        <v>2025</v>
      </c>
    </row>
    <row r="142" spans="7:9" x14ac:dyDescent="0.2">
      <c r="G142" s="81">
        <v>45809</v>
      </c>
      <c r="H142" s="85">
        <v>4.2443761224489789</v>
      </c>
      <c r="I142" s="222">
        <f t="shared" si="6"/>
        <v>2025</v>
      </c>
    </row>
    <row r="143" spans="7:9" x14ac:dyDescent="0.2">
      <c r="G143" s="81">
        <v>45839</v>
      </c>
      <c r="H143" s="85">
        <v>4.2836618367346935</v>
      </c>
      <c r="I143" s="222">
        <f t="shared" si="6"/>
        <v>2025</v>
      </c>
    </row>
    <row r="144" spans="7:9" x14ac:dyDescent="0.2">
      <c r="G144" s="81">
        <v>45870</v>
      </c>
      <c r="H144" s="85">
        <v>4.3753965306122442</v>
      </c>
      <c r="I144" s="222">
        <f t="shared" si="6"/>
        <v>2025</v>
      </c>
    </row>
    <row r="145" spans="7:9" x14ac:dyDescent="0.2">
      <c r="G145" s="81">
        <v>45901</v>
      </c>
      <c r="H145" s="85">
        <v>4.4147842857142852</v>
      </c>
      <c r="I145" s="222">
        <f t="shared" si="6"/>
        <v>2025</v>
      </c>
    </row>
    <row r="146" spans="7:9" x14ac:dyDescent="0.2">
      <c r="G146" s="81">
        <v>45931</v>
      </c>
      <c r="H146" s="85">
        <v>4.4016210204081627</v>
      </c>
      <c r="I146" s="222">
        <f t="shared" si="6"/>
        <v>2025</v>
      </c>
    </row>
    <row r="147" spans="7:9" x14ac:dyDescent="0.2">
      <c r="G147" s="81">
        <v>45962</v>
      </c>
      <c r="H147" s="85">
        <v>4.4672332653061222</v>
      </c>
      <c r="I147" s="222">
        <f t="shared" si="6"/>
        <v>2025</v>
      </c>
    </row>
    <row r="148" spans="7:9" x14ac:dyDescent="0.2">
      <c r="G148" s="81">
        <v>45992</v>
      </c>
      <c r="H148" s="85">
        <v>4.4410087755102037</v>
      </c>
      <c r="I148" s="222">
        <f t="shared" si="6"/>
        <v>2025</v>
      </c>
    </row>
    <row r="149" spans="7:9" x14ac:dyDescent="0.2">
      <c r="G149" s="81">
        <v>46023</v>
      </c>
      <c r="H149" s="85">
        <v>4.5128455102040812</v>
      </c>
      <c r="I149" s="222">
        <f t="shared" si="5"/>
        <v>2026</v>
      </c>
    </row>
    <row r="150" spans="7:9" x14ac:dyDescent="0.2">
      <c r="G150" s="81">
        <v>46054</v>
      </c>
      <c r="H150" s="85">
        <v>4.5395802040816324</v>
      </c>
      <c r="I150" s="222">
        <f t="shared" si="5"/>
        <v>2026</v>
      </c>
    </row>
    <row r="151" spans="7:9" x14ac:dyDescent="0.2">
      <c r="G151" s="81">
        <v>46082</v>
      </c>
      <c r="H151" s="85">
        <v>4.3788659183673468</v>
      </c>
      <c r="I151" s="222">
        <f t="shared" si="5"/>
        <v>2026</v>
      </c>
    </row>
    <row r="152" spans="7:9" x14ac:dyDescent="0.2">
      <c r="G152" s="81">
        <v>46113</v>
      </c>
      <c r="H152" s="85">
        <v>4.2582536734693877</v>
      </c>
      <c r="I152" s="222">
        <f t="shared" si="5"/>
        <v>2026</v>
      </c>
    </row>
    <row r="153" spans="7:9" x14ac:dyDescent="0.2">
      <c r="G153" s="81">
        <v>46143</v>
      </c>
      <c r="H153" s="85">
        <v>4.2046822448979588</v>
      </c>
      <c r="I153" s="222">
        <f t="shared" si="5"/>
        <v>2026</v>
      </c>
    </row>
    <row r="154" spans="7:9" x14ac:dyDescent="0.2">
      <c r="G154" s="81">
        <v>46174</v>
      </c>
      <c r="H154" s="85">
        <v>4.218049591836734</v>
      </c>
      <c r="I154" s="222">
        <f t="shared" si="5"/>
        <v>2026</v>
      </c>
    </row>
    <row r="155" spans="7:9" x14ac:dyDescent="0.2">
      <c r="G155" s="81">
        <v>46204</v>
      </c>
      <c r="H155" s="85">
        <v>4.2850904081632653</v>
      </c>
      <c r="I155" s="222">
        <f t="shared" si="5"/>
        <v>2026</v>
      </c>
    </row>
    <row r="156" spans="7:9" x14ac:dyDescent="0.2">
      <c r="G156" s="81">
        <v>46235</v>
      </c>
      <c r="H156" s="85">
        <v>4.392233265306122</v>
      </c>
      <c r="I156" s="222">
        <f t="shared" si="5"/>
        <v>2026</v>
      </c>
    </row>
    <row r="157" spans="7:9" x14ac:dyDescent="0.2">
      <c r="G157" s="81">
        <v>46266</v>
      </c>
      <c r="H157" s="85">
        <v>4.4324373469387757</v>
      </c>
      <c r="I157" s="222">
        <f t="shared" si="5"/>
        <v>2026</v>
      </c>
    </row>
    <row r="158" spans="7:9" x14ac:dyDescent="0.2">
      <c r="G158" s="81">
        <v>46296</v>
      </c>
      <c r="H158" s="85">
        <v>4.4458046938775508</v>
      </c>
      <c r="I158" s="222">
        <f t="shared" si="5"/>
        <v>2026</v>
      </c>
    </row>
    <row r="159" spans="7:9" x14ac:dyDescent="0.2">
      <c r="G159" s="81">
        <v>46327</v>
      </c>
      <c r="H159" s="85">
        <v>4.5797842857142861</v>
      </c>
      <c r="I159" s="222">
        <f t="shared" si="5"/>
        <v>2026</v>
      </c>
    </row>
    <row r="160" spans="7:9" x14ac:dyDescent="0.2">
      <c r="G160" s="81">
        <v>46357</v>
      </c>
      <c r="H160" s="85">
        <v>4.6066210204081637</v>
      </c>
      <c r="I160" s="222">
        <f t="shared" ref="I160:I223" si="7">YEAR(G160)</f>
        <v>2026</v>
      </c>
    </row>
    <row r="161" spans="7:9" x14ac:dyDescent="0.2">
      <c r="G161" s="81">
        <v>46388</v>
      </c>
      <c r="H161" s="85">
        <v>4.6951924489795909</v>
      </c>
      <c r="I161" s="222">
        <f t="shared" si="7"/>
        <v>2027</v>
      </c>
    </row>
    <row r="162" spans="7:9" x14ac:dyDescent="0.2">
      <c r="G162" s="81">
        <v>46419</v>
      </c>
      <c r="H162" s="85">
        <v>4.6951924489795909</v>
      </c>
      <c r="I162" s="222">
        <f t="shared" si="7"/>
        <v>2027</v>
      </c>
    </row>
    <row r="163" spans="7:9" x14ac:dyDescent="0.2">
      <c r="G163" s="81">
        <v>46447</v>
      </c>
      <c r="H163" s="85">
        <v>4.5856006122448969</v>
      </c>
      <c r="I163" s="222">
        <f t="shared" si="7"/>
        <v>2027</v>
      </c>
    </row>
    <row r="164" spans="7:9" x14ac:dyDescent="0.2">
      <c r="G164" s="81">
        <v>46478</v>
      </c>
      <c r="H164" s="85">
        <v>4.4487638775510208</v>
      </c>
      <c r="I164" s="222">
        <f t="shared" si="7"/>
        <v>2027</v>
      </c>
    </row>
    <row r="165" spans="7:9" x14ac:dyDescent="0.2">
      <c r="G165" s="81">
        <v>46508</v>
      </c>
      <c r="H165" s="85">
        <v>4.3939679591836738</v>
      </c>
      <c r="I165" s="222">
        <f t="shared" si="7"/>
        <v>2027</v>
      </c>
    </row>
    <row r="166" spans="7:9" x14ac:dyDescent="0.2">
      <c r="G166" s="81">
        <v>46539</v>
      </c>
      <c r="H166" s="85">
        <v>4.3802944897959186</v>
      </c>
      <c r="I166" s="222">
        <f t="shared" si="7"/>
        <v>2027</v>
      </c>
    </row>
    <row r="167" spans="7:9" x14ac:dyDescent="0.2">
      <c r="G167" s="81">
        <v>46569</v>
      </c>
      <c r="H167" s="85">
        <v>4.4487638775510208</v>
      </c>
      <c r="I167" s="222">
        <f t="shared" si="7"/>
        <v>2027</v>
      </c>
    </row>
    <row r="168" spans="7:9" x14ac:dyDescent="0.2">
      <c r="G168" s="81">
        <v>46600</v>
      </c>
      <c r="H168" s="85">
        <v>4.5309067346938772</v>
      </c>
      <c r="I168" s="222">
        <f t="shared" si="7"/>
        <v>2027</v>
      </c>
    </row>
    <row r="169" spans="7:9" x14ac:dyDescent="0.2">
      <c r="G169" s="81">
        <v>46631</v>
      </c>
      <c r="H169" s="85">
        <v>4.5992740816326529</v>
      </c>
      <c r="I169" s="222">
        <f t="shared" si="7"/>
        <v>2027</v>
      </c>
    </row>
    <row r="170" spans="7:9" x14ac:dyDescent="0.2">
      <c r="G170" s="81">
        <v>46661</v>
      </c>
      <c r="H170" s="85">
        <v>4.7362128571428572</v>
      </c>
      <c r="I170" s="222">
        <f t="shared" si="7"/>
        <v>2027</v>
      </c>
    </row>
    <row r="171" spans="7:9" x14ac:dyDescent="0.2">
      <c r="G171" s="81">
        <v>46692</v>
      </c>
      <c r="H171" s="85">
        <v>4.9004985714285709</v>
      </c>
      <c r="I171" s="222">
        <f t="shared" si="7"/>
        <v>2027</v>
      </c>
    </row>
    <row r="172" spans="7:9" x14ac:dyDescent="0.2">
      <c r="G172" s="81">
        <v>46722</v>
      </c>
      <c r="H172" s="85">
        <v>4.9279475510204076</v>
      </c>
      <c r="I172" s="222">
        <f t="shared" si="7"/>
        <v>2027</v>
      </c>
    </row>
    <row r="173" spans="7:9" x14ac:dyDescent="0.2">
      <c r="G173" s="81">
        <v>46753</v>
      </c>
      <c r="H173" s="85">
        <v>5.0651924489795919</v>
      </c>
      <c r="I173" s="222">
        <f t="shared" si="7"/>
        <v>2028</v>
      </c>
    </row>
    <row r="174" spans="7:9" x14ac:dyDescent="0.2">
      <c r="G174" s="81">
        <v>46784</v>
      </c>
      <c r="H174" s="85">
        <v>5.0372332653061225</v>
      </c>
      <c r="I174" s="222">
        <f t="shared" si="7"/>
        <v>2028</v>
      </c>
    </row>
    <row r="175" spans="7:9" x14ac:dyDescent="0.2">
      <c r="G175" s="81">
        <v>46813</v>
      </c>
      <c r="H175" s="85">
        <v>4.9812128571428573</v>
      </c>
      <c r="I175" s="222">
        <f t="shared" si="7"/>
        <v>2028</v>
      </c>
    </row>
    <row r="176" spans="7:9" x14ac:dyDescent="0.2">
      <c r="G176" s="81">
        <v>46844</v>
      </c>
      <c r="H176" s="85">
        <v>4.883355714285714</v>
      </c>
      <c r="I176" s="222">
        <f t="shared" si="7"/>
        <v>2028</v>
      </c>
    </row>
    <row r="177" spans="7:9" x14ac:dyDescent="0.2">
      <c r="G177" s="81">
        <v>46874</v>
      </c>
      <c r="H177" s="85">
        <v>4.8413148979591831</v>
      </c>
      <c r="I177" s="222">
        <f t="shared" si="7"/>
        <v>2028</v>
      </c>
    </row>
    <row r="178" spans="7:9" x14ac:dyDescent="0.2">
      <c r="G178" s="81">
        <v>46905</v>
      </c>
      <c r="H178" s="85">
        <v>4.8133557142857137</v>
      </c>
      <c r="I178" s="222">
        <f t="shared" si="7"/>
        <v>2028</v>
      </c>
    </row>
    <row r="179" spans="7:9" x14ac:dyDescent="0.2">
      <c r="G179" s="81">
        <v>46935</v>
      </c>
      <c r="H179" s="85">
        <v>4.8693761224489789</v>
      </c>
      <c r="I179" s="222">
        <f t="shared" si="7"/>
        <v>2028</v>
      </c>
    </row>
    <row r="180" spans="7:9" x14ac:dyDescent="0.2">
      <c r="G180" s="81">
        <v>46966</v>
      </c>
      <c r="H180" s="85">
        <v>4.9672332653061222</v>
      </c>
      <c r="I180" s="222">
        <f t="shared" si="7"/>
        <v>2028</v>
      </c>
    </row>
    <row r="181" spans="7:9" x14ac:dyDescent="0.2">
      <c r="G181" s="81">
        <v>46997</v>
      </c>
      <c r="H181" s="85">
        <v>5.0372332653061225</v>
      </c>
      <c r="I181" s="222">
        <f t="shared" si="7"/>
        <v>2028</v>
      </c>
    </row>
    <row r="182" spans="7:9" x14ac:dyDescent="0.2">
      <c r="G182" s="81">
        <v>47027</v>
      </c>
      <c r="H182" s="85">
        <v>5.1072332653061219</v>
      </c>
      <c r="I182" s="222">
        <f t="shared" si="7"/>
        <v>2028</v>
      </c>
    </row>
    <row r="183" spans="7:9" x14ac:dyDescent="0.2">
      <c r="G183" s="81">
        <v>47058</v>
      </c>
      <c r="H183" s="85">
        <v>5.1911108163265309</v>
      </c>
      <c r="I183" s="222">
        <f t="shared" si="7"/>
        <v>2028</v>
      </c>
    </row>
    <row r="184" spans="7:9" x14ac:dyDescent="0.2">
      <c r="G184" s="81">
        <v>47088</v>
      </c>
      <c r="H184" s="85">
        <v>5.2471312244897961</v>
      </c>
      <c r="I184" s="222">
        <f t="shared" si="7"/>
        <v>2028</v>
      </c>
    </row>
    <row r="185" spans="7:9" x14ac:dyDescent="0.2">
      <c r="G185" s="81">
        <v>47119</v>
      </c>
      <c r="H185" s="85">
        <v>5.3920291836734693</v>
      </c>
      <c r="I185" s="222">
        <f t="shared" si="7"/>
        <v>2029</v>
      </c>
    </row>
    <row r="186" spans="7:9" x14ac:dyDescent="0.2">
      <c r="G186" s="81">
        <v>47150</v>
      </c>
      <c r="H186" s="85">
        <v>5.4064169387755099</v>
      </c>
      <c r="I186" s="222">
        <f t="shared" si="7"/>
        <v>2029</v>
      </c>
    </row>
    <row r="187" spans="7:9" x14ac:dyDescent="0.2">
      <c r="G187" s="81">
        <v>47178</v>
      </c>
      <c r="H187" s="85">
        <v>5.3206006122448981</v>
      </c>
      <c r="I187" s="222">
        <f t="shared" si="7"/>
        <v>2029</v>
      </c>
    </row>
    <row r="188" spans="7:9" x14ac:dyDescent="0.2">
      <c r="G188" s="81">
        <v>47209</v>
      </c>
      <c r="H188" s="85">
        <v>5.1775393877551021</v>
      </c>
      <c r="I188" s="222">
        <f t="shared" si="7"/>
        <v>2029</v>
      </c>
    </row>
    <row r="189" spans="7:9" x14ac:dyDescent="0.2">
      <c r="G189" s="81">
        <v>47239</v>
      </c>
      <c r="H189" s="85">
        <v>5.1203965306122452</v>
      </c>
      <c r="I189" s="222">
        <f t="shared" si="7"/>
        <v>2029</v>
      </c>
    </row>
    <row r="190" spans="7:9" x14ac:dyDescent="0.2">
      <c r="G190" s="81">
        <v>47270</v>
      </c>
      <c r="H190" s="85">
        <v>5.0488659183673468</v>
      </c>
      <c r="I190" s="222">
        <f t="shared" si="7"/>
        <v>2029</v>
      </c>
    </row>
    <row r="191" spans="7:9" x14ac:dyDescent="0.2">
      <c r="G191" s="81">
        <v>47300</v>
      </c>
      <c r="H191" s="85">
        <v>5.0202944897959174</v>
      </c>
      <c r="I191" s="222">
        <f t="shared" si="7"/>
        <v>2029</v>
      </c>
    </row>
    <row r="192" spans="7:9" x14ac:dyDescent="0.2">
      <c r="G192" s="81">
        <v>47331</v>
      </c>
      <c r="H192" s="85">
        <v>5.0774373469387752</v>
      </c>
      <c r="I192" s="222">
        <f t="shared" si="7"/>
        <v>2029</v>
      </c>
    </row>
    <row r="193" spans="7:9" x14ac:dyDescent="0.2">
      <c r="G193" s="81">
        <v>47362</v>
      </c>
      <c r="H193" s="85">
        <v>5.1489679591836728</v>
      </c>
      <c r="I193" s="222">
        <f t="shared" si="7"/>
        <v>2029</v>
      </c>
    </row>
    <row r="194" spans="7:9" x14ac:dyDescent="0.2">
      <c r="G194" s="81">
        <v>47392</v>
      </c>
      <c r="H194" s="85">
        <v>5.1632536734693879</v>
      </c>
      <c r="I194" s="222">
        <f t="shared" si="7"/>
        <v>2029</v>
      </c>
    </row>
    <row r="195" spans="7:9" x14ac:dyDescent="0.2">
      <c r="G195" s="81">
        <v>47423</v>
      </c>
      <c r="H195" s="85">
        <v>5.2776414285714282</v>
      </c>
      <c r="I195" s="222">
        <f t="shared" si="7"/>
        <v>2029</v>
      </c>
    </row>
    <row r="196" spans="7:9" x14ac:dyDescent="0.2">
      <c r="G196" s="81">
        <v>47453</v>
      </c>
      <c r="H196" s="85">
        <v>5.3063148979591839</v>
      </c>
      <c r="I196" s="222">
        <f t="shared" si="7"/>
        <v>2029</v>
      </c>
    </row>
    <row r="197" spans="7:9" x14ac:dyDescent="0.2">
      <c r="G197" s="81">
        <v>47484</v>
      </c>
      <c r="H197" s="85">
        <v>5.4385597959183674</v>
      </c>
      <c r="I197" s="222">
        <f t="shared" si="7"/>
        <v>2030</v>
      </c>
    </row>
    <row r="198" spans="7:9" x14ac:dyDescent="0.2">
      <c r="G198" s="81">
        <v>47515</v>
      </c>
      <c r="H198" s="85">
        <v>5.4823353061224482</v>
      </c>
      <c r="I198" s="222">
        <f t="shared" si="7"/>
        <v>2030</v>
      </c>
    </row>
    <row r="199" spans="7:9" x14ac:dyDescent="0.2">
      <c r="G199" s="81">
        <v>47543</v>
      </c>
      <c r="H199" s="85">
        <v>5.4677434693877549</v>
      </c>
      <c r="I199" s="222">
        <f t="shared" si="7"/>
        <v>2030</v>
      </c>
    </row>
    <row r="200" spans="7:9" x14ac:dyDescent="0.2">
      <c r="G200" s="81">
        <v>47574</v>
      </c>
      <c r="H200" s="85">
        <v>5.2631516326530612</v>
      </c>
      <c r="I200" s="222">
        <f t="shared" si="7"/>
        <v>2030</v>
      </c>
    </row>
    <row r="201" spans="7:9" x14ac:dyDescent="0.2">
      <c r="G201" s="81">
        <v>47604</v>
      </c>
      <c r="H201" s="85">
        <v>5.2193761224489794</v>
      </c>
      <c r="I201" s="222">
        <f t="shared" si="7"/>
        <v>2030</v>
      </c>
    </row>
    <row r="202" spans="7:9" x14ac:dyDescent="0.2">
      <c r="G202" s="81">
        <v>47635</v>
      </c>
      <c r="H202" s="85">
        <v>5.2193761224489794</v>
      </c>
      <c r="I202" s="222">
        <f t="shared" si="7"/>
        <v>2030</v>
      </c>
    </row>
    <row r="203" spans="7:9" x14ac:dyDescent="0.2">
      <c r="G203" s="81">
        <v>47665</v>
      </c>
      <c r="H203" s="85">
        <v>5.248559795918367</v>
      </c>
      <c r="I203" s="222">
        <f t="shared" si="7"/>
        <v>2030</v>
      </c>
    </row>
    <row r="204" spans="7:9" x14ac:dyDescent="0.2">
      <c r="G204" s="81">
        <v>47696</v>
      </c>
      <c r="H204" s="85">
        <v>5.380090408163265</v>
      </c>
      <c r="I204" s="222">
        <f t="shared" si="7"/>
        <v>2030</v>
      </c>
    </row>
    <row r="205" spans="7:9" x14ac:dyDescent="0.2">
      <c r="G205" s="81">
        <v>47727</v>
      </c>
      <c r="H205" s="85">
        <v>5.511621020408163</v>
      </c>
      <c r="I205" s="222">
        <f t="shared" si="7"/>
        <v>2030</v>
      </c>
    </row>
    <row r="206" spans="7:9" x14ac:dyDescent="0.2">
      <c r="G206" s="81">
        <v>47757</v>
      </c>
      <c r="H206" s="85">
        <v>5.5992740816326529</v>
      </c>
      <c r="I206" s="222">
        <f t="shared" si="7"/>
        <v>2030</v>
      </c>
    </row>
    <row r="207" spans="7:9" x14ac:dyDescent="0.2">
      <c r="G207" s="81">
        <v>47788</v>
      </c>
      <c r="H207" s="85">
        <v>5.7746822448979582</v>
      </c>
      <c r="I207" s="222">
        <f t="shared" si="7"/>
        <v>2030</v>
      </c>
    </row>
    <row r="208" spans="7:9" x14ac:dyDescent="0.2">
      <c r="G208" s="81">
        <v>47818</v>
      </c>
      <c r="H208" s="85">
        <v>5.7892740816326533</v>
      </c>
      <c r="I208" s="222">
        <f t="shared" si="7"/>
        <v>2030</v>
      </c>
    </row>
    <row r="209" spans="7:9" x14ac:dyDescent="0.2">
      <c r="G209" s="81">
        <v>47849</v>
      </c>
      <c r="H209" s="85">
        <v>5.9383557142857137</v>
      </c>
      <c r="I209" s="222">
        <f t="shared" si="7"/>
        <v>2031</v>
      </c>
    </row>
    <row r="210" spans="7:9" x14ac:dyDescent="0.2">
      <c r="G210" s="81">
        <v>47880</v>
      </c>
      <c r="H210" s="85">
        <v>5.9981516326530606</v>
      </c>
      <c r="I210" s="222">
        <f t="shared" si="7"/>
        <v>2031</v>
      </c>
    </row>
    <row r="211" spans="7:9" x14ac:dyDescent="0.2">
      <c r="G211" s="81">
        <v>47908</v>
      </c>
      <c r="H211" s="85">
        <v>5.9682536734693876</v>
      </c>
      <c r="I211" s="222">
        <f t="shared" si="7"/>
        <v>2031</v>
      </c>
    </row>
    <row r="212" spans="7:9" x14ac:dyDescent="0.2">
      <c r="G212" s="81">
        <v>47939</v>
      </c>
      <c r="H212" s="85">
        <v>5.7439679591836725</v>
      </c>
      <c r="I212" s="222">
        <f t="shared" si="7"/>
        <v>2031</v>
      </c>
    </row>
    <row r="213" spans="7:9" x14ac:dyDescent="0.2">
      <c r="G213" s="81">
        <v>47969</v>
      </c>
      <c r="H213" s="85">
        <v>5.6692740816326523</v>
      </c>
      <c r="I213" s="222">
        <f t="shared" si="7"/>
        <v>2031</v>
      </c>
    </row>
    <row r="214" spans="7:9" x14ac:dyDescent="0.2">
      <c r="G214" s="81">
        <v>48000</v>
      </c>
      <c r="H214" s="85">
        <v>5.6692740816326523</v>
      </c>
      <c r="I214" s="222">
        <f t="shared" si="7"/>
        <v>2031</v>
      </c>
    </row>
    <row r="215" spans="7:9" x14ac:dyDescent="0.2">
      <c r="G215" s="81">
        <v>48030</v>
      </c>
      <c r="H215" s="85">
        <v>5.7140699999999995</v>
      </c>
      <c r="I215" s="222">
        <f t="shared" si="7"/>
        <v>2031</v>
      </c>
    </row>
    <row r="216" spans="7:9" x14ac:dyDescent="0.2">
      <c r="G216" s="81">
        <v>48061</v>
      </c>
      <c r="H216" s="85">
        <v>5.8187638775510209</v>
      </c>
      <c r="I216" s="222">
        <f t="shared" si="7"/>
        <v>2031</v>
      </c>
    </row>
    <row r="217" spans="7:9" x14ac:dyDescent="0.2">
      <c r="G217" s="81">
        <v>48092</v>
      </c>
      <c r="H217" s="85">
        <v>5.9832536734693882</v>
      </c>
      <c r="I217" s="222">
        <f t="shared" si="7"/>
        <v>2031</v>
      </c>
    </row>
    <row r="218" spans="7:9" x14ac:dyDescent="0.2">
      <c r="G218" s="81">
        <v>48122</v>
      </c>
      <c r="H218" s="85">
        <v>5.9832536734693882</v>
      </c>
      <c r="I218" s="222">
        <f t="shared" si="7"/>
        <v>2031</v>
      </c>
    </row>
    <row r="219" spans="7:9" x14ac:dyDescent="0.2">
      <c r="G219" s="81">
        <v>48153</v>
      </c>
      <c r="H219" s="85">
        <v>6.0729475510204081</v>
      </c>
      <c r="I219" s="222">
        <f t="shared" si="7"/>
        <v>2031</v>
      </c>
    </row>
    <row r="220" spans="7:9" x14ac:dyDescent="0.2">
      <c r="G220" s="81">
        <v>48183</v>
      </c>
      <c r="H220" s="85">
        <v>6.0729475510204081</v>
      </c>
      <c r="I220" s="222">
        <f t="shared" si="7"/>
        <v>2031</v>
      </c>
    </row>
    <row r="221" spans="7:9" x14ac:dyDescent="0.2">
      <c r="G221" s="81">
        <v>48214</v>
      </c>
      <c r="H221" s="85">
        <v>6.2135597959183668</v>
      </c>
      <c r="I221" s="222">
        <f t="shared" si="7"/>
        <v>2032</v>
      </c>
    </row>
    <row r="222" spans="7:9" x14ac:dyDescent="0.2">
      <c r="G222" s="81">
        <v>48245</v>
      </c>
      <c r="H222" s="85">
        <v>6.1676414285714287</v>
      </c>
      <c r="I222" s="222">
        <f t="shared" si="7"/>
        <v>2032</v>
      </c>
    </row>
    <row r="223" spans="7:9" x14ac:dyDescent="0.2">
      <c r="G223" s="81">
        <v>48274</v>
      </c>
      <c r="H223" s="85">
        <v>6.0759067346938771</v>
      </c>
      <c r="I223" s="222">
        <f t="shared" si="7"/>
        <v>2032</v>
      </c>
    </row>
    <row r="224" spans="7:9" x14ac:dyDescent="0.2">
      <c r="G224" s="81">
        <v>48305</v>
      </c>
      <c r="H224" s="85">
        <v>5.9229475510204086</v>
      </c>
      <c r="I224" s="222">
        <f t="shared" ref="I224:I311" si="8">YEAR(G224)</f>
        <v>2032</v>
      </c>
    </row>
    <row r="225" spans="7:9" x14ac:dyDescent="0.2">
      <c r="G225" s="81">
        <v>48335</v>
      </c>
      <c r="H225" s="85">
        <v>5.7699883673469383</v>
      </c>
      <c r="I225" s="222">
        <f t="shared" si="8"/>
        <v>2032</v>
      </c>
    </row>
    <row r="226" spans="7:9" x14ac:dyDescent="0.2">
      <c r="G226" s="81">
        <v>48366</v>
      </c>
      <c r="H226" s="85">
        <v>5.739376122448979</v>
      </c>
      <c r="I226" s="222">
        <f t="shared" si="8"/>
        <v>2032</v>
      </c>
    </row>
    <row r="227" spans="7:9" x14ac:dyDescent="0.2">
      <c r="G227" s="81">
        <v>48396</v>
      </c>
      <c r="H227" s="85">
        <v>5.739376122448979</v>
      </c>
      <c r="I227" s="222">
        <f t="shared" si="8"/>
        <v>2032</v>
      </c>
    </row>
    <row r="228" spans="7:9" x14ac:dyDescent="0.2">
      <c r="G228" s="81">
        <v>48427</v>
      </c>
      <c r="H228" s="85">
        <v>5.907641428571428</v>
      </c>
      <c r="I228" s="222">
        <f t="shared" si="8"/>
        <v>2032</v>
      </c>
    </row>
    <row r="229" spans="7:9" x14ac:dyDescent="0.2">
      <c r="G229" s="81">
        <v>48458</v>
      </c>
      <c r="H229" s="85">
        <v>5.9841720408163264</v>
      </c>
      <c r="I229" s="222">
        <f t="shared" si="8"/>
        <v>2032</v>
      </c>
    </row>
    <row r="230" spans="7:9" x14ac:dyDescent="0.2">
      <c r="G230" s="81">
        <v>48488</v>
      </c>
      <c r="H230" s="85">
        <v>6.0452944897959178</v>
      </c>
      <c r="I230" s="222">
        <f t="shared" si="8"/>
        <v>2032</v>
      </c>
    </row>
    <row r="231" spans="7:9" x14ac:dyDescent="0.2">
      <c r="G231" s="81">
        <v>48519</v>
      </c>
      <c r="H231" s="85">
        <v>6.0912128571428568</v>
      </c>
      <c r="I231" s="222">
        <f t="shared" si="8"/>
        <v>2032</v>
      </c>
    </row>
    <row r="232" spans="7:9" x14ac:dyDescent="0.2">
      <c r="G232" s="81">
        <v>48549</v>
      </c>
      <c r="H232" s="85">
        <v>6.1065189795918364</v>
      </c>
      <c r="I232" s="222">
        <f t="shared" si="8"/>
        <v>2032</v>
      </c>
    </row>
    <row r="233" spans="7:9" x14ac:dyDescent="0.2">
      <c r="G233" s="81">
        <v>48580</v>
      </c>
      <c r="H233" s="85">
        <v>6.2166210204081631</v>
      </c>
      <c r="I233" s="222">
        <f t="shared" si="8"/>
        <v>2033</v>
      </c>
    </row>
    <row r="234" spans="7:9" x14ac:dyDescent="0.2">
      <c r="G234" s="81">
        <v>48611</v>
      </c>
      <c r="H234" s="85">
        <v>6.2322332653061219</v>
      </c>
      <c r="I234" s="222">
        <f t="shared" si="8"/>
        <v>2033</v>
      </c>
    </row>
    <row r="235" spans="7:9" x14ac:dyDescent="0.2">
      <c r="G235" s="81">
        <v>48639</v>
      </c>
      <c r="H235" s="85">
        <v>6.1696822448979587</v>
      </c>
      <c r="I235" s="222">
        <f t="shared" si="8"/>
        <v>2033</v>
      </c>
    </row>
    <row r="236" spans="7:9" x14ac:dyDescent="0.2">
      <c r="G236" s="81">
        <v>48670</v>
      </c>
      <c r="H236" s="85">
        <v>5.9975393877551015</v>
      </c>
      <c r="I236" s="222">
        <f t="shared" si="8"/>
        <v>2033</v>
      </c>
    </row>
    <row r="237" spans="7:9" x14ac:dyDescent="0.2">
      <c r="G237" s="81">
        <v>48700</v>
      </c>
      <c r="H237" s="85">
        <v>5.794172040816326</v>
      </c>
      <c r="I237" s="222">
        <f t="shared" si="8"/>
        <v>2033</v>
      </c>
    </row>
    <row r="238" spans="7:9" x14ac:dyDescent="0.2">
      <c r="G238" s="81">
        <v>48731</v>
      </c>
      <c r="H238" s="85">
        <v>5.794172040816326</v>
      </c>
      <c r="I238" s="222">
        <f t="shared" si="8"/>
        <v>2033</v>
      </c>
    </row>
    <row r="239" spans="7:9" x14ac:dyDescent="0.2">
      <c r="G239" s="81">
        <v>48761</v>
      </c>
      <c r="H239" s="85">
        <v>5.8880495918367348</v>
      </c>
      <c r="I239" s="222">
        <f t="shared" si="8"/>
        <v>2033</v>
      </c>
    </row>
    <row r="240" spans="7:9" x14ac:dyDescent="0.2">
      <c r="G240" s="81">
        <v>48792</v>
      </c>
      <c r="H240" s="85">
        <v>6.0758046938775507</v>
      </c>
      <c r="I240" s="222">
        <f t="shared" si="8"/>
        <v>2033</v>
      </c>
    </row>
    <row r="241" spans="7:9" x14ac:dyDescent="0.2">
      <c r="G241" s="81">
        <v>48823</v>
      </c>
      <c r="H241" s="85">
        <v>6.2010087755102044</v>
      </c>
      <c r="I241" s="222">
        <f t="shared" si="8"/>
        <v>2033</v>
      </c>
    </row>
    <row r="242" spans="7:9" x14ac:dyDescent="0.2">
      <c r="G242" s="81">
        <v>48853</v>
      </c>
      <c r="H242" s="85">
        <v>6.2791720408163263</v>
      </c>
      <c r="I242" s="222">
        <f t="shared" si="8"/>
        <v>2033</v>
      </c>
    </row>
    <row r="243" spans="7:9" x14ac:dyDescent="0.2">
      <c r="G243" s="81">
        <v>48884</v>
      </c>
      <c r="H243" s="85">
        <v>6.3730495918367343</v>
      </c>
      <c r="I243" s="222">
        <f t="shared" si="8"/>
        <v>2033</v>
      </c>
    </row>
    <row r="244" spans="7:9" x14ac:dyDescent="0.2">
      <c r="G244" s="81">
        <v>48914</v>
      </c>
      <c r="H244" s="85">
        <v>6.4199883673469387</v>
      </c>
      <c r="I244" s="222">
        <f t="shared" si="8"/>
        <v>2033</v>
      </c>
    </row>
    <row r="245" spans="7:9" x14ac:dyDescent="0.2">
      <c r="G245" s="81">
        <v>48945</v>
      </c>
      <c r="H245" s="85">
        <v>6.5686618367346936</v>
      </c>
      <c r="I245" s="222">
        <f t="shared" si="8"/>
        <v>2034</v>
      </c>
    </row>
    <row r="246" spans="7:9" x14ac:dyDescent="0.2">
      <c r="G246" s="81">
        <v>48976</v>
      </c>
      <c r="H246" s="85">
        <v>6.5686618367346936</v>
      </c>
      <c r="I246" s="222">
        <f t="shared" si="8"/>
        <v>2034</v>
      </c>
    </row>
    <row r="247" spans="7:9" x14ac:dyDescent="0.2">
      <c r="G247" s="81">
        <v>49004</v>
      </c>
      <c r="H247" s="85">
        <v>6.5366210204081634</v>
      </c>
      <c r="I247" s="222">
        <f t="shared" si="8"/>
        <v>2034</v>
      </c>
    </row>
    <row r="248" spans="7:9" x14ac:dyDescent="0.2">
      <c r="G248" s="81">
        <v>49035</v>
      </c>
      <c r="H248" s="85">
        <v>6.344580204081633</v>
      </c>
      <c r="I248" s="222">
        <f t="shared" si="8"/>
        <v>2034</v>
      </c>
    </row>
    <row r="249" spans="7:9" x14ac:dyDescent="0.2">
      <c r="G249" s="81">
        <v>49065</v>
      </c>
      <c r="H249" s="85">
        <v>6.1684577551020405</v>
      </c>
      <c r="I249" s="222">
        <f t="shared" si="8"/>
        <v>2034</v>
      </c>
    </row>
    <row r="250" spans="7:9" x14ac:dyDescent="0.2">
      <c r="G250" s="81">
        <v>49096</v>
      </c>
      <c r="H250" s="85">
        <v>6.1204985714285716</v>
      </c>
      <c r="I250" s="222">
        <f t="shared" si="8"/>
        <v>2034</v>
      </c>
    </row>
    <row r="251" spans="7:9" x14ac:dyDescent="0.2">
      <c r="G251" s="81">
        <v>49126</v>
      </c>
      <c r="H251" s="85">
        <v>6.1684577551020405</v>
      </c>
      <c r="I251" s="222">
        <f t="shared" si="8"/>
        <v>2034</v>
      </c>
    </row>
    <row r="252" spans="7:9" x14ac:dyDescent="0.2">
      <c r="G252" s="81">
        <v>49157</v>
      </c>
      <c r="H252" s="85">
        <v>6.312539387755101</v>
      </c>
      <c r="I252" s="222">
        <f t="shared" si="8"/>
        <v>2034</v>
      </c>
    </row>
    <row r="253" spans="7:9" x14ac:dyDescent="0.2">
      <c r="G253" s="81">
        <v>49188</v>
      </c>
      <c r="H253" s="85">
        <v>6.4245802040816322</v>
      </c>
      <c r="I253" s="222">
        <f t="shared" si="8"/>
        <v>2034</v>
      </c>
    </row>
    <row r="254" spans="7:9" x14ac:dyDescent="0.2">
      <c r="G254" s="81">
        <v>49218</v>
      </c>
      <c r="H254" s="85">
        <v>6.3765189795918369</v>
      </c>
      <c r="I254" s="222">
        <f t="shared" si="8"/>
        <v>2034</v>
      </c>
    </row>
    <row r="255" spans="7:9" x14ac:dyDescent="0.2">
      <c r="G255" s="81">
        <v>49249</v>
      </c>
      <c r="H255" s="85">
        <v>6.3606006122448981</v>
      </c>
      <c r="I255" s="222">
        <f t="shared" si="8"/>
        <v>2034</v>
      </c>
    </row>
    <row r="256" spans="7:9" x14ac:dyDescent="0.2">
      <c r="G256" s="81">
        <v>49279</v>
      </c>
      <c r="H256" s="85">
        <v>6.3606006122448981</v>
      </c>
      <c r="I256" s="222">
        <f t="shared" si="8"/>
        <v>2034</v>
      </c>
    </row>
    <row r="257" spans="7:9" x14ac:dyDescent="0.2">
      <c r="G257" s="81">
        <v>49310</v>
      </c>
      <c r="H257" s="85">
        <v>6.5241720408163264</v>
      </c>
      <c r="I257" s="222">
        <f t="shared" si="8"/>
        <v>2035</v>
      </c>
    </row>
    <row r="258" spans="7:9" x14ac:dyDescent="0.2">
      <c r="G258" s="81">
        <v>49341</v>
      </c>
      <c r="H258" s="85">
        <v>6.556927142857143</v>
      </c>
      <c r="I258" s="222">
        <f t="shared" si="8"/>
        <v>2035</v>
      </c>
    </row>
    <row r="259" spans="7:9" x14ac:dyDescent="0.2">
      <c r="G259" s="81">
        <v>49369</v>
      </c>
      <c r="H259" s="85">
        <v>6.5241720408163264</v>
      </c>
      <c r="I259" s="222">
        <f t="shared" si="8"/>
        <v>2035</v>
      </c>
    </row>
    <row r="260" spans="7:9" x14ac:dyDescent="0.2">
      <c r="G260" s="81">
        <v>49400</v>
      </c>
      <c r="H260" s="85">
        <v>6.376825102040816</v>
      </c>
      <c r="I260" s="222">
        <f t="shared" si="8"/>
        <v>2035</v>
      </c>
    </row>
    <row r="261" spans="7:9" x14ac:dyDescent="0.2">
      <c r="G261" s="81">
        <v>49430</v>
      </c>
      <c r="H261" s="85">
        <v>6.376825102040816</v>
      </c>
      <c r="I261" s="222">
        <f t="shared" si="8"/>
        <v>2035</v>
      </c>
    </row>
    <row r="262" spans="7:9" x14ac:dyDescent="0.2">
      <c r="G262" s="81">
        <v>49461</v>
      </c>
      <c r="H262" s="85">
        <v>6.2785597959183672</v>
      </c>
      <c r="I262" s="222">
        <f t="shared" si="8"/>
        <v>2035</v>
      </c>
    </row>
    <row r="263" spans="7:9" x14ac:dyDescent="0.2">
      <c r="G263" s="81">
        <v>49491</v>
      </c>
      <c r="H263" s="85">
        <v>6.3931516326530611</v>
      </c>
      <c r="I263" s="222">
        <f t="shared" si="8"/>
        <v>2035</v>
      </c>
    </row>
    <row r="264" spans="7:9" x14ac:dyDescent="0.2">
      <c r="G264" s="81">
        <v>49522</v>
      </c>
      <c r="H264" s="85">
        <v>6.5406006122448979</v>
      </c>
      <c r="I264" s="222">
        <f t="shared" si="8"/>
        <v>2035</v>
      </c>
    </row>
    <row r="265" spans="7:9" x14ac:dyDescent="0.2">
      <c r="G265" s="81">
        <v>49553</v>
      </c>
      <c r="H265" s="85">
        <v>6.6224373469387752</v>
      </c>
      <c r="I265" s="222">
        <f t="shared" si="8"/>
        <v>2035</v>
      </c>
    </row>
    <row r="266" spans="7:9" x14ac:dyDescent="0.2">
      <c r="G266" s="81">
        <v>49583</v>
      </c>
      <c r="H266" s="85">
        <v>6.573253673469388</v>
      </c>
      <c r="I266" s="222">
        <f t="shared" si="8"/>
        <v>2035</v>
      </c>
    </row>
    <row r="267" spans="7:9" x14ac:dyDescent="0.2">
      <c r="G267" s="81">
        <v>49614</v>
      </c>
      <c r="H267" s="85">
        <v>6.6060087755102037</v>
      </c>
      <c r="I267" s="222">
        <f t="shared" si="8"/>
        <v>2035</v>
      </c>
    </row>
    <row r="268" spans="7:9" x14ac:dyDescent="0.2">
      <c r="G268" s="81">
        <v>49644</v>
      </c>
      <c r="H268" s="85">
        <v>6.6551924489795908</v>
      </c>
      <c r="I268" s="222">
        <f t="shared" si="8"/>
        <v>2035</v>
      </c>
    </row>
    <row r="269" spans="7:9" x14ac:dyDescent="0.2">
      <c r="G269" s="81">
        <v>49675</v>
      </c>
      <c r="H269" s="85">
        <v>6.8929475510204083</v>
      </c>
      <c r="I269" s="222">
        <f t="shared" si="8"/>
        <v>2036</v>
      </c>
    </row>
    <row r="270" spans="7:9" x14ac:dyDescent="0.2">
      <c r="G270" s="81">
        <v>49706</v>
      </c>
      <c r="H270" s="85">
        <v>6.7589679591836731</v>
      </c>
      <c r="I270" s="222">
        <f t="shared" si="8"/>
        <v>2036</v>
      </c>
    </row>
    <row r="271" spans="7:9" x14ac:dyDescent="0.2">
      <c r="G271" s="81">
        <v>49735</v>
      </c>
      <c r="H271" s="85">
        <v>6.7589679591836731</v>
      </c>
      <c r="I271" s="222">
        <f t="shared" si="8"/>
        <v>2036</v>
      </c>
    </row>
    <row r="272" spans="7:9" x14ac:dyDescent="0.2">
      <c r="G272" s="81">
        <v>49766</v>
      </c>
      <c r="H272" s="85">
        <v>6.6081516326530609</v>
      </c>
      <c r="I272" s="222">
        <f t="shared" si="8"/>
        <v>2036</v>
      </c>
    </row>
    <row r="273" spans="7:9" x14ac:dyDescent="0.2">
      <c r="G273" s="81">
        <v>49796</v>
      </c>
      <c r="H273" s="85">
        <v>6.5244781632653055</v>
      </c>
      <c r="I273" s="222">
        <f t="shared" si="8"/>
        <v>2036</v>
      </c>
    </row>
    <row r="274" spans="7:9" x14ac:dyDescent="0.2">
      <c r="G274" s="81">
        <v>49827</v>
      </c>
      <c r="H274" s="85">
        <v>6.4239679591836731</v>
      </c>
      <c r="I274" s="222">
        <f t="shared" si="8"/>
        <v>2036</v>
      </c>
    </row>
    <row r="275" spans="7:9" x14ac:dyDescent="0.2">
      <c r="G275" s="81">
        <v>49857</v>
      </c>
      <c r="H275" s="85">
        <v>6.5412128571428569</v>
      </c>
      <c r="I275" s="222">
        <f t="shared" si="8"/>
        <v>2036</v>
      </c>
    </row>
    <row r="276" spans="7:9" x14ac:dyDescent="0.2">
      <c r="G276" s="81">
        <v>49888</v>
      </c>
      <c r="H276" s="85">
        <v>6.7589679591836731</v>
      </c>
      <c r="I276" s="222">
        <f t="shared" si="8"/>
        <v>2036</v>
      </c>
    </row>
    <row r="277" spans="7:9" x14ac:dyDescent="0.2">
      <c r="G277" s="81">
        <v>49919</v>
      </c>
      <c r="H277" s="85">
        <v>6.7924373469387751</v>
      </c>
      <c r="I277" s="222">
        <f t="shared" si="8"/>
        <v>2036</v>
      </c>
    </row>
    <row r="278" spans="7:9" x14ac:dyDescent="0.2">
      <c r="G278" s="81">
        <v>49949</v>
      </c>
      <c r="H278" s="85">
        <v>6.7589679591836731</v>
      </c>
      <c r="I278" s="222">
        <f t="shared" si="8"/>
        <v>2036</v>
      </c>
    </row>
    <row r="279" spans="7:9" x14ac:dyDescent="0.2">
      <c r="G279" s="81">
        <v>49980</v>
      </c>
      <c r="H279" s="85">
        <v>6.9432536734693873</v>
      </c>
      <c r="I279" s="222">
        <f t="shared" si="8"/>
        <v>2036</v>
      </c>
    </row>
    <row r="280" spans="7:9" x14ac:dyDescent="0.2">
      <c r="G280" s="81">
        <v>50010</v>
      </c>
      <c r="H280" s="85">
        <v>6.9599883673469378</v>
      </c>
      <c r="I280" s="222">
        <f t="shared" si="8"/>
        <v>2036</v>
      </c>
    </row>
    <row r="281" spans="7:9" x14ac:dyDescent="0.2">
      <c r="G281" s="81">
        <v>50041</v>
      </c>
      <c r="H281" s="85">
        <v>7.155294489795919</v>
      </c>
      <c r="I281" s="222">
        <f t="shared" ref="I281:I304" si="9">YEAR(G281)</f>
        <v>2037</v>
      </c>
    </row>
    <row r="282" spans="7:9" x14ac:dyDescent="0.2">
      <c r="G282" s="81">
        <v>50072</v>
      </c>
      <c r="H282" s="85">
        <v>7.1210087755102034</v>
      </c>
      <c r="I282" s="222">
        <f t="shared" si="9"/>
        <v>2037</v>
      </c>
    </row>
    <row r="283" spans="7:9" x14ac:dyDescent="0.2">
      <c r="G283" s="81">
        <v>50100</v>
      </c>
      <c r="H283" s="85">
        <v>7.0524373469387749</v>
      </c>
      <c r="I283" s="222">
        <f t="shared" si="9"/>
        <v>2037</v>
      </c>
    </row>
    <row r="284" spans="7:9" x14ac:dyDescent="0.2">
      <c r="G284" s="81">
        <v>50131</v>
      </c>
      <c r="H284" s="85">
        <v>6.8468251020408157</v>
      </c>
      <c r="I284" s="222">
        <f t="shared" si="9"/>
        <v>2037</v>
      </c>
    </row>
    <row r="285" spans="7:9" x14ac:dyDescent="0.2">
      <c r="G285" s="81">
        <v>50161</v>
      </c>
      <c r="H285" s="85">
        <v>6.795396530612245</v>
      </c>
      <c r="I285" s="222">
        <f t="shared" si="9"/>
        <v>2037</v>
      </c>
    </row>
    <row r="286" spans="7:9" x14ac:dyDescent="0.2">
      <c r="G286" s="81">
        <v>50192</v>
      </c>
      <c r="H286" s="85">
        <v>6.6926414285714282</v>
      </c>
      <c r="I286" s="222">
        <f t="shared" si="9"/>
        <v>2037</v>
      </c>
    </row>
    <row r="287" spans="7:9" x14ac:dyDescent="0.2">
      <c r="G287" s="81">
        <v>50222</v>
      </c>
      <c r="H287" s="85">
        <v>6.8468251020408157</v>
      </c>
      <c r="I287" s="222">
        <f t="shared" si="9"/>
        <v>2037</v>
      </c>
    </row>
    <row r="288" spans="7:9" x14ac:dyDescent="0.2">
      <c r="G288" s="81">
        <v>50253</v>
      </c>
      <c r="H288" s="85">
        <v>7.0695802040816327</v>
      </c>
      <c r="I288" s="222">
        <f t="shared" si="9"/>
        <v>2037</v>
      </c>
    </row>
    <row r="289" spans="7:9" x14ac:dyDescent="0.2">
      <c r="G289" s="81">
        <v>50284</v>
      </c>
      <c r="H289" s="85">
        <v>7.1038659183673465</v>
      </c>
      <c r="I289" s="222">
        <f t="shared" si="9"/>
        <v>2037</v>
      </c>
    </row>
    <row r="290" spans="7:9" x14ac:dyDescent="0.2">
      <c r="G290" s="81">
        <v>50314</v>
      </c>
      <c r="H290" s="85">
        <v>7.0695802040816327</v>
      </c>
      <c r="I290" s="222">
        <f t="shared" si="9"/>
        <v>2037</v>
      </c>
    </row>
    <row r="291" spans="7:9" x14ac:dyDescent="0.2">
      <c r="G291" s="81">
        <v>50345</v>
      </c>
      <c r="H291" s="85">
        <v>7.1038659183673465</v>
      </c>
      <c r="I291" s="222">
        <f t="shared" si="9"/>
        <v>2037</v>
      </c>
    </row>
    <row r="292" spans="7:9" x14ac:dyDescent="0.2">
      <c r="G292" s="81">
        <v>50375</v>
      </c>
      <c r="H292" s="85">
        <v>7.2067230612244897</v>
      </c>
      <c r="I292" s="222">
        <f t="shared" si="9"/>
        <v>2037</v>
      </c>
    </row>
    <row r="293" spans="7:9" x14ac:dyDescent="0.2">
      <c r="G293" s="81">
        <v>50406</v>
      </c>
      <c r="H293" s="85">
        <v>7.3733557142857133</v>
      </c>
      <c r="I293" s="222">
        <f t="shared" si="9"/>
        <v>2038</v>
      </c>
    </row>
    <row r="294" spans="7:9" x14ac:dyDescent="0.2">
      <c r="G294" s="81">
        <v>50437</v>
      </c>
      <c r="H294" s="85">
        <v>7.3383557142857141</v>
      </c>
      <c r="I294" s="222">
        <f t="shared" si="9"/>
        <v>2038</v>
      </c>
    </row>
    <row r="295" spans="7:9" x14ac:dyDescent="0.2">
      <c r="G295" s="81">
        <v>50465</v>
      </c>
      <c r="H295" s="85">
        <v>7.2682536734693874</v>
      </c>
      <c r="I295" s="222">
        <f t="shared" si="9"/>
        <v>2038</v>
      </c>
    </row>
    <row r="296" spans="7:9" x14ac:dyDescent="0.2">
      <c r="G296" s="81">
        <v>50496</v>
      </c>
      <c r="H296" s="85">
        <v>7.0753965306122444</v>
      </c>
      <c r="I296" s="222">
        <f t="shared" si="9"/>
        <v>2038</v>
      </c>
    </row>
    <row r="297" spans="7:9" x14ac:dyDescent="0.2">
      <c r="G297" s="81">
        <v>50526</v>
      </c>
      <c r="H297" s="85">
        <v>7.0578455102040811</v>
      </c>
      <c r="I297" s="222">
        <f t="shared" si="9"/>
        <v>2038</v>
      </c>
    </row>
    <row r="298" spans="7:9" x14ac:dyDescent="0.2">
      <c r="G298" s="81">
        <v>50557</v>
      </c>
      <c r="H298" s="85">
        <v>6.9877434693877554</v>
      </c>
      <c r="I298" s="222">
        <f t="shared" si="9"/>
        <v>2038</v>
      </c>
    </row>
    <row r="299" spans="7:9" x14ac:dyDescent="0.2">
      <c r="G299" s="81">
        <v>50587</v>
      </c>
      <c r="H299" s="85">
        <v>7.0929475510204076</v>
      </c>
      <c r="I299" s="222">
        <f t="shared" si="9"/>
        <v>2038</v>
      </c>
    </row>
    <row r="300" spans="7:9" x14ac:dyDescent="0.2">
      <c r="G300" s="81">
        <v>50618</v>
      </c>
      <c r="H300" s="85">
        <v>7.2857026530612243</v>
      </c>
      <c r="I300" s="222">
        <f t="shared" si="9"/>
        <v>2038</v>
      </c>
    </row>
    <row r="301" spans="7:9" x14ac:dyDescent="0.2">
      <c r="G301" s="81">
        <v>50649</v>
      </c>
      <c r="H301" s="85">
        <v>7.2507026530612242</v>
      </c>
      <c r="I301" s="222">
        <f t="shared" si="9"/>
        <v>2038</v>
      </c>
    </row>
    <row r="302" spans="7:9" x14ac:dyDescent="0.2">
      <c r="G302" s="81">
        <v>50679</v>
      </c>
      <c r="H302" s="85">
        <v>7.2507026530612242</v>
      </c>
      <c r="I302" s="222">
        <f t="shared" si="9"/>
        <v>2038</v>
      </c>
    </row>
    <row r="303" spans="7:9" x14ac:dyDescent="0.2">
      <c r="G303" s="81">
        <v>50710</v>
      </c>
      <c r="H303" s="85">
        <v>7.3559067346938773</v>
      </c>
      <c r="I303" s="222">
        <f t="shared" si="9"/>
        <v>2038</v>
      </c>
    </row>
    <row r="304" spans="7:9" x14ac:dyDescent="0.2">
      <c r="G304" s="81">
        <v>50740</v>
      </c>
      <c r="H304" s="85">
        <v>7.3909067346938766</v>
      </c>
      <c r="I304" s="222">
        <f t="shared" si="9"/>
        <v>2038</v>
      </c>
    </row>
    <row r="305" spans="7:9" x14ac:dyDescent="0.2">
      <c r="G305" s="81">
        <v>50771</v>
      </c>
      <c r="H305" s="85">
        <v>7.5692740816326527</v>
      </c>
      <c r="I305" s="222">
        <f t="shared" si="8"/>
        <v>2039</v>
      </c>
    </row>
    <row r="306" spans="7:9" x14ac:dyDescent="0.2">
      <c r="G306" s="81">
        <v>50802</v>
      </c>
      <c r="H306" s="85">
        <v>7.5692740816326527</v>
      </c>
      <c r="I306" s="222">
        <f t="shared" si="8"/>
        <v>2039</v>
      </c>
    </row>
    <row r="307" spans="7:9" x14ac:dyDescent="0.2">
      <c r="G307" s="81">
        <v>50830</v>
      </c>
      <c r="H307" s="85">
        <v>7.4795802040816319</v>
      </c>
      <c r="I307" s="222">
        <f t="shared" si="8"/>
        <v>2039</v>
      </c>
    </row>
    <row r="308" spans="7:9" x14ac:dyDescent="0.2">
      <c r="G308" s="81">
        <v>50861</v>
      </c>
      <c r="H308" s="85">
        <v>7.2641720408163257</v>
      </c>
      <c r="I308" s="222">
        <f t="shared" si="8"/>
        <v>2039</v>
      </c>
    </row>
    <row r="309" spans="7:9" x14ac:dyDescent="0.2">
      <c r="G309" s="81">
        <v>50891</v>
      </c>
      <c r="H309" s="85">
        <v>7.2282536734693874</v>
      </c>
      <c r="I309" s="222">
        <f t="shared" si="8"/>
        <v>2039</v>
      </c>
    </row>
    <row r="310" spans="7:9" x14ac:dyDescent="0.2">
      <c r="G310" s="81">
        <v>50922</v>
      </c>
      <c r="H310" s="85">
        <v>7.1204985714285716</v>
      </c>
      <c r="I310" s="222">
        <f t="shared" si="8"/>
        <v>2039</v>
      </c>
    </row>
    <row r="311" spans="7:9" x14ac:dyDescent="0.2">
      <c r="G311" s="81">
        <v>50952</v>
      </c>
      <c r="H311" s="85">
        <v>7.246212857142857</v>
      </c>
      <c r="I311" s="222">
        <f t="shared" si="8"/>
        <v>2039</v>
      </c>
    </row>
    <row r="312" spans="7:9" x14ac:dyDescent="0.2">
      <c r="G312" s="81">
        <v>50983</v>
      </c>
      <c r="H312" s="85">
        <v>7.425702653061224</v>
      </c>
      <c r="I312" s="222">
        <f t="shared" ref="I312:I328" si="10">YEAR(G312)</f>
        <v>2039</v>
      </c>
    </row>
    <row r="313" spans="7:9" x14ac:dyDescent="0.2">
      <c r="G313" s="81">
        <v>51014</v>
      </c>
      <c r="H313" s="85">
        <v>7.4436618367346936</v>
      </c>
      <c r="I313" s="222">
        <f t="shared" si="10"/>
        <v>2039</v>
      </c>
    </row>
    <row r="314" spans="7:9" x14ac:dyDescent="0.2">
      <c r="G314" s="81">
        <v>51044</v>
      </c>
      <c r="H314" s="85">
        <v>7.425702653061224</v>
      </c>
      <c r="I314" s="222">
        <f t="shared" si="10"/>
        <v>2039</v>
      </c>
    </row>
    <row r="315" spans="7:9" x14ac:dyDescent="0.2">
      <c r="G315" s="81">
        <v>51075</v>
      </c>
      <c r="H315" s="85">
        <v>7.605192448979591</v>
      </c>
      <c r="I315" s="222">
        <f t="shared" si="10"/>
        <v>2039</v>
      </c>
    </row>
    <row r="316" spans="7:9" x14ac:dyDescent="0.2">
      <c r="G316" s="81">
        <v>51105</v>
      </c>
      <c r="H316" s="85">
        <v>7.605192448979591</v>
      </c>
      <c r="I316" s="222">
        <f t="shared" si="10"/>
        <v>2039</v>
      </c>
    </row>
    <row r="317" spans="7:9" x14ac:dyDescent="0.2">
      <c r="G317" s="81">
        <v>51136</v>
      </c>
      <c r="H317" s="85">
        <v>7.8622332653061218</v>
      </c>
      <c r="I317" s="222">
        <f t="shared" si="10"/>
        <v>2040</v>
      </c>
    </row>
    <row r="318" spans="7:9" x14ac:dyDescent="0.2">
      <c r="G318" s="81">
        <v>51167</v>
      </c>
      <c r="H318" s="85">
        <v>7.7520291836734687</v>
      </c>
      <c r="I318" s="222">
        <f t="shared" si="10"/>
        <v>2040</v>
      </c>
    </row>
    <row r="319" spans="7:9" x14ac:dyDescent="0.2">
      <c r="G319" s="81">
        <v>51196</v>
      </c>
      <c r="H319" s="85">
        <v>7.7335597959183673</v>
      </c>
      <c r="I319" s="222">
        <f t="shared" si="10"/>
        <v>2040</v>
      </c>
    </row>
    <row r="320" spans="7:9" x14ac:dyDescent="0.2">
      <c r="G320" s="81">
        <v>51227</v>
      </c>
      <c r="H320" s="85">
        <v>7.5314169387755099</v>
      </c>
      <c r="I320" s="222">
        <f t="shared" si="10"/>
        <v>2040</v>
      </c>
    </row>
    <row r="321" spans="7:9" x14ac:dyDescent="0.2">
      <c r="G321" s="81">
        <v>51257</v>
      </c>
      <c r="H321" s="85">
        <v>7.5130495918367339</v>
      </c>
      <c r="I321" s="222">
        <f t="shared" si="10"/>
        <v>2040</v>
      </c>
    </row>
    <row r="322" spans="7:9" x14ac:dyDescent="0.2">
      <c r="G322" s="81">
        <v>51288</v>
      </c>
      <c r="H322" s="85">
        <v>7.3660087755102035</v>
      </c>
      <c r="I322" s="222">
        <f t="shared" si="10"/>
        <v>2040</v>
      </c>
    </row>
    <row r="323" spans="7:9" x14ac:dyDescent="0.2">
      <c r="G323" s="81">
        <v>51318</v>
      </c>
      <c r="H323" s="85">
        <v>7.5130495918367339</v>
      </c>
      <c r="I323" s="222">
        <f t="shared" si="10"/>
        <v>2040</v>
      </c>
    </row>
    <row r="324" spans="7:9" x14ac:dyDescent="0.2">
      <c r="G324" s="81">
        <v>51349</v>
      </c>
      <c r="H324" s="85">
        <v>7.7520291836734687</v>
      </c>
      <c r="I324" s="222">
        <f t="shared" si="10"/>
        <v>2040</v>
      </c>
    </row>
    <row r="325" spans="7:9" x14ac:dyDescent="0.2">
      <c r="G325" s="81">
        <v>51380</v>
      </c>
      <c r="H325" s="85">
        <v>7.7887638775510197</v>
      </c>
      <c r="I325" s="222">
        <f t="shared" si="10"/>
        <v>2040</v>
      </c>
    </row>
    <row r="326" spans="7:9" x14ac:dyDescent="0.2">
      <c r="G326" s="81">
        <v>51410</v>
      </c>
      <c r="H326" s="85">
        <v>7.7887638775510197</v>
      </c>
      <c r="I326" s="222">
        <f t="shared" si="10"/>
        <v>2040</v>
      </c>
    </row>
    <row r="327" spans="7:9" x14ac:dyDescent="0.2">
      <c r="G327" s="81">
        <v>51441</v>
      </c>
      <c r="H327" s="85">
        <v>7.9174373469387751</v>
      </c>
      <c r="I327" s="222">
        <f t="shared" si="10"/>
        <v>2040</v>
      </c>
    </row>
    <row r="328" spans="7:9" x14ac:dyDescent="0.2">
      <c r="G328" s="81">
        <v>51471</v>
      </c>
      <c r="H328" s="85">
        <v>8.0093761224489803</v>
      </c>
      <c r="I328" s="222">
        <f t="shared" si="10"/>
        <v>2040</v>
      </c>
    </row>
  </sheetData>
  <phoneticPr fontId="6" type="noConversion"/>
  <printOptions horizontalCentered="1"/>
  <pageMargins left="0.25" right="0.25" top="0.75" bottom="0.75" header="0.3" footer="0.3"/>
  <pageSetup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266"/>
  <sheetViews>
    <sheetView zoomScaleNormal="100" zoomScaleSheetLayoutView="85" workbookViewId="0">
      <selection activeCell="A267" sqref="A267"/>
    </sheetView>
  </sheetViews>
  <sheetFormatPr defaultRowHeight="12.75" outlineLevelRow="1" x14ac:dyDescent="0.2"/>
  <cols>
    <col min="1" max="1" width="6.1640625" style="122" customWidth="1"/>
    <col min="2" max="2" width="12.6640625" style="122" customWidth="1"/>
    <col min="3" max="3" width="18.1640625" style="122" customWidth="1"/>
    <col min="4" max="4" width="16.1640625" style="122" customWidth="1"/>
    <col min="5" max="5" width="18.5" style="122" customWidth="1"/>
    <col min="6" max="7" width="16.1640625" style="122" customWidth="1"/>
    <col min="8" max="8" width="3.83203125" style="122" customWidth="1"/>
    <col min="9" max="9" width="9.5" style="122" hidden="1" customWidth="1"/>
    <col min="10" max="11" width="10" style="122" hidden="1" customWidth="1"/>
    <col min="12" max="12" width="9.33203125" style="122" hidden="1" customWidth="1"/>
    <col min="13" max="13" width="21.1640625" style="122" hidden="1" customWidth="1"/>
    <col min="14" max="14" width="12.1640625" style="122" hidden="1" customWidth="1"/>
    <col min="15" max="16384" width="9.33203125" style="122"/>
  </cols>
  <sheetData>
    <row r="1" spans="2:14" s="6" customFormat="1" ht="15.75" x14ac:dyDescent="0.25">
      <c r="B1" s="1" t="s">
        <v>73</v>
      </c>
      <c r="C1" s="1"/>
      <c r="D1" s="43"/>
      <c r="E1" s="43"/>
      <c r="F1" s="43"/>
      <c r="G1" s="43"/>
      <c r="H1" s="82"/>
      <c r="I1" s="212"/>
      <c r="J1" s="212"/>
      <c r="K1" s="212"/>
    </row>
    <row r="3" spans="2:14" ht="15.75" x14ac:dyDescent="0.25">
      <c r="B3" s="1" t="str">
        <f>"Table "&amp;RIGHT('Table 4'!B3,1)+1</f>
        <v>Table 5</v>
      </c>
      <c r="C3" s="160"/>
      <c r="D3" s="160"/>
      <c r="E3" s="160"/>
      <c r="F3" s="160"/>
      <c r="G3" s="160"/>
      <c r="M3" s="122" t="s">
        <v>98</v>
      </c>
    </row>
    <row r="4" spans="2:14" x14ac:dyDescent="0.2">
      <c r="B4" s="160" t="str">
        <f ca="1">'Table 1'!B5</f>
        <v>Utah 2015.Q3 - 100.0 MW and 85.0% CF</v>
      </c>
      <c r="C4" s="160"/>
      <c r="D4" s="160"/>
      <c r="E4" s="160"/>
      <c r="F4" s="160"/>
      <c r="G4" s="160"/>
      <c r="M4" s="124" t="s">
        <v>145</v>
      </c>
    </row>
    <row r="5" spans="2:14" x14ac:dyDescent="0.2">
      <c r="B5" s="160" t="str">
        <f>TEXT($K$5,"MMMM YYYY")&amp;"  through  "&amp;TEXT($K$6,"MMMM YYYY")</f>
        <v>January 2017  through  December 2036</v>
      </c>
      <c r="C5" s="160"/>
      <c r="D5" s="160"/>
      <c r="E5" s="160"/>
      <c r="F5" s="160"/>
      <c r="G5" s="160"/>
      <c r="J5" s="122" t="s">
        <v>78</v>
      </c>
      <c r="K5" s="123">
        <f>MIN(K13:K24)</f>
        <v>42736</v>
      </c>
      <c r="M5" s="122" t="s">
        <v>79</v>
      </c>
    </row>
    <row r="6" spans="2:14" x14ac:dyDescent="0.2">
      <c r="B6" s="160" t="s">
        <v>80</v>
      </c>
      <c r="C6" s="160"/>
      <c r="D6" s="160"/>
      <c r="E6" s="160"/>
      <c r="F6" s="160"/>
      <c r="G6" s="160"/>
      <c r="J6" s="122" t="s">
        <v>81</v>
      </c>
      <c r="K6" s="123">
        <f>EDATE(K5,20*12-1)</f>
        <v>50010</v>
      </c>
      <c r="M6" s="124">
        <v>100</v>
      </c>
      <c r="N6" s="122" t="s">
        <v>62</v>
      </c>
    </row>
    <row r="7" spans="2:14" x14ac:dyDescent="0.2">
      <c r="B7" s="160"/>
      <c r="C7" s="160"/>
      <c r="D7" s="160"/>
      <c r="E7" s="160"/>
      <c r="F7" s="160"/>
      <c r="G7" s="160"/>
      <c r="M7" s="238">
        <f ca="1">SUM(OFFSET(F12,MATCH(K5,B13:B24,0),0,12))/(8760*Study_MW)</f>
        <v>0.85</v>
      </c>
      <c r="N7" s="189" t="s">
        <v>67</v>
      </c>
    </row>
    <row r="8" spans="2:14" x14ac:dyDescent="0.2">
      <c r="B8" s="227" t="str">
        <f>"Nominal NPV at "&amp;TEXT(J9,"0.00%")&amp;" Discount Rate"</f>
        <v>Nominal NPV at 6.66% Discount Rate</v>
      </c>
      <c r="J8" s="122" t="str">
        <f>'Table 1'!I34</f>
        <v>Discount Rate - 2015 IRP Page 141</v>
      </c>
    </row>
    <row r="9" spans="2:14" x14ac:dyDescent="0.2">
      <c r="C9" s="125">
        <f>NPV($K$9,C13:C264)</f>
        <v>254587783.31976447</v>
      </c>
      <c r="D9" s="125">
        <f>NPV($K$9,D13:D264)</f>
        <v>39479579.308568075</v>
      </c>
      <c r="E9" s="125">
        <f>NPV($K$9,E13:E264)</f>
        <v>294067362.62833244</v>
      </c>
      <c r="F9" s="125">
        <f>NPV($K$9,F13:F264)</f>
        <v>8349666.202130923</v>
      </c>
      <c r="G9" s="198">
        <f>($C9+D9)/$F9</f>
        <v>35.219056128649008</v>
      </c>
      <c r="J9" s="233">
        <f>'Table 1'!I35</f>
        <v>6.6600000000000006E-2</v>
      </c>
      <c r="K9" s="203">
        <f>((1+J9)^(1/12))-1</f>
        <v>5.3874620588785227E-3</v>
      </c>
    </row>
    <row r="10" spans="2:14" x14ac:dyDescent="0.2">
      <c r="N10" s="126"/>
    </row>
    <row r="11" spans="2:14" x14ac:dyDescent="0.2">
      <c r="B11" s="202"/>
      <c r="C11" s="128" t="s">
        <v>36</v>
      </c>
      <c r="D11" s="129" t="s">
        <v>82</v>
      </c>
      <c r="E11" s="129" t="s">
        <v>83</v>
      </c>
      <c r="F11" s="129" t="s">
        <v>83</v>
      </c>
      <c r="G11" s="130" t="s">
        <v>91</v>
      </c>
    </row>
    <row r="12" spans="2:14" x14ac:dyDescent="0.2">
      <c r="B12" s="134" t="s">
        <v>84</v>
      </c>
      <c r="C12" s="128" t="s">
        <v>85</v>
      </c>
      <c r="D12" s="132" t="str">
        <f>TEXT((SUM(F25:F72)/(8760*3+8784))/Study_MW,"0.0%")&amp;" CF"</f>
        <v>85.0% CF</v>
      </c>
      <c r="E12" s="133" t="s">
        <v>90</v>
      </c>
      <c r="F12" s="134" t="s">
        <v>86</v>
      </c>
      <c r="G12" s="132" t="str">
        <f>D12</f>
        <v>85.0% CF</v>
      </c>
      <c r="I12" s="129" t="s">
        <v>87</v>
      </c>
      <c r="J12" s="135" t="s">
        <v>0</v>
      </c>
      <c r="K12" s="135" t="s">
        <v>88</v>
      </c>
      <c r="L12" s="135" t="s">
        <v>87</v>
      </c>
      <c r="M12" s="135"/>
      <c r="N12" s="130"/>
    </row>
    <row r="13" spans="2:14" x14ac:dyDescent="0.2">
      <c r="B13" s="141">
        <v>42736</v>
      </c>
      <c r="C13" s="136">
        <v>1380477.5137926787</v>
      </c>
      <c r="D13" s="137">
        <f>IF(ISNUMBER($F13),VLOOKUP($J13,'Table 1'!$B$13:$C$32,2,FALSE)/12*1000*Study_MW,"")</f>
        <v>0</v>
      </c>
      <c r="E13" s="138">
        <f>IF(ISNUMBER(C13+D13),C13+D13,"")</f>
        <v>1380477.5137926787</v>
      </c>
      <c r="F13" s="136">
        <v>63240</v>
      </c>
      <c r="G13" s="139">
        <f>IF(ISNUMBER($F13),E13/$F13,"")</f>
        <v>21.829182697543938</v>
      </c>
      <c r="I13" s="127">
        <v>1</v>
      </c>
      <c r="J13" s="140">
        <f>YEAR(B13)</f>
        <v>2017</v>
      </c>
      <c r="K13" s="141">
        <f t="shared" ref="K13:K24" si="0">IF(ISNUMBER(F13),B13,"")</f>
        <v>42736</v>
      </c>
      <c r="L13" s="122">
        <v>259</v>
      </c>
      <c r="M13" s="122" t="s">
        <v>89</v>
      </c>
    </row>
    <row r="14" spans="2:14" x14ac:dyDescent="0.2">
      <c r="B14" s="145">
        <f t="shared" ref="B14:B77" si="1">EDATE(B13,1)</f>
        <v>42767</v>
      </c>
      <c r="C14" s="142">
        <v>1199287.3102368116</v>
      </c>
      <c r="D14" s="138">
        <f>IF(ISNUMBER($F14),VLOOKUP($J14,'Table 1'!$B$13:$C$32,2,FALSE)/12*1000*Study_MW,"")</f>
        <v>0</v>
      </c>
      <c r="E14" s="138">
        <f t="shared" ref="E14:E23" si="2">IF(ISNUMBER(C14+D14),C14+D14,"")</f>
        <v>1199287.3102368116</v>
      </c>
      <c r="F14" s="142">
        <v>57120</v>
      </c>
      <c r="G14" s="143">
        <f t="shared" ref="G14:G77" si="3">IF(ISNUMBER($F14),E14/$F14,"")</f>
        <v>20.99592629966407</v>
      </c>
      <c r="I14" s="144">
        <f>I13+1</f>
        <v>2</v>
      </c>
      <c r="J14" s="140">
        <f t="shared" ref="J14:J77" si="4">YEAR(B14)</f>
        <v>2017</v>
      </c>
      <c r="K14" s="145">
        <f t="shared" si="0"/>
        <v>42767</v>
      </c>
      <c r="L14" s="122">
        <v>343</v>
      </c>
      <c r="M14" s="196" t="s">
        <v>143</v>
      </c>
    </row>
    <row r="15" spans="2:14" x14ac:dyDescent="0.2">
      <c r="B15" s="145">
        <f t="shared" si="1"/>
        <v>42795</v>
      </c>
      <c r="C15" s="142">
        <v>1400871.3135626167</v>
      </c>
      <c r="D15" s="138">
        <f>IF(ISNUMBER($F15),VLOOKUP($J15,'Table 1'!$B$13:$C$32,2,FALSE)/12*1000*Study_MW,"")</f>
        <v>0</v>
      </c>
      <c r="E15" s="138">
        <f t="shared" si="2"/>
        <v>1400871.3135626167</v>
      </c>
      <c r="F15" s="142">
        <v>63240</v>
      </c>
      <c r="G15" s="143">
        <f t="shared" si="3"/>
        <v>22.151665299851626</v>
      </c>
      <c r="I15" s="144">
        <f t="shared" ref="I15:I24" si="5">I14+1</f>
        <v>3</v>
      </c>
      <c r="J15" s="140">
        <f t="shared" si="4"/>
        <v>2017</v>
      </c>
      <c r="K15" s="145">
        <f t="shared" si="0"/>
        <v>42795</v>
      </c>
    </row>
    <row r="16" spans="2:14" x14ac:dyDescent="0.2">
      <c r="B16" s="145">
        <f t="shared" si="1"/>
        <v>42826</v>
      </c>
      <c r="C16" s="142">
        <v>1089928.7614140362</v>
      </c>
      <c r="D16" s="138">
        <f>IF(ISNUMBER($F16),VLOOKUP($J16,'Table 1'!$B$13:$C$32,2,FALSE)/12*1000*Study_MW,"")</f>
        <v>0</v>
      </c>
      <c r="E16" s="138">
        <f t="shared" si="2"/>
        <v>1089928.7614140362</v>
      </c>
      <c r="F16" s="142">
        <v>61200</v>
      </c>
      <c r="G16" s="143">
        <f t="shared" si="3"/>
        <v>17.809293487157454</v>
      </c>
      <c r="I16" s="144">
        <f t="shared" si="5"/>
        <v>4</v>
      </c>
      <c r="J16" s="140">
        <f t="shared" si="4"/>
        <v>2017</v>
      </c>
      <c r="K16" s="145">
        <f t="shared" si="0"/>
        <v>42826</v>
      </c>
      <c r="L16" s="140">
        <f>YEAR(B13)</f>
        <v>2017</v>
      </c>
      <c r="M16" s="122">
        <f>SUMIF($J$13:$J$264,L16,$C$13:$C$264)</f>
        <v>15552283.879473373</v>
      </c>
      <c r="N16" s="122">
        <f>SUMIF($J$13:$J$264,L16,$D$13:$D$264)</f>
        <v>0</v>
      </c>
    </row>
    <row r="17" spans="2:14" x14ac:dyDescent="0.2">
      <c r="B17" s="145">
        <f t="shared" si="1"/>
        <v>42856</v>
      </c>
      <c r="C17" s="142">
        <v>1079827.6323377639</v>
      </c>
      <c r="D17" s="138">
        <f>IF(ISNUMBER($F17),VLOOKUP($J17,'Table 1'!$B$13:$C$32,2,FALSE)/12*1000*Study_MW,"")</f>
        <v>0</v>
      </c>
      <c r="E17" s="138">
        <f t="shared" si="2"/>
        <v>1079827.6323377639</v>
      </c>
      <c r="F17" s="142">
        <v>63240</v>
      </c>
      <c r="G17" s="143">
        <f t="shared" si="3"/>
        <v>17.07507325012277</v>
      </c>
      <c r="I17" s="144">
        <f t="shared" si="5"/>
        <v>5</v>
      </c>
      <c r="J17" s="140">
        <f t="shared" si="4"/>
        <v>2017</v>
      </c>
      <c r="K17" s="145">
        <f t="shared" si="0"/>
        <v>42856</v>
      </c>
      <c r="L17" s="140">
        <f>L16+1</f>
        <v>2018</v>
      </c>
      <c r="M17" s="122">
        <f>SUMIF($J$13:$J$264,L17,$C$13:$C$264)</f>
        <v>16775386.161775917</v>
      </c>
      <c r="N17" s="122">
        <f t="shared" ref="N17:N36" si="6">SUMIF($J$13:$J$264,L17,$D$13:$D$264)</f>
        <v>0</v>
      </c>
    </row>
    <row r="18" spans="2:14" x14ac:dyDescent="0.2">
      <c r="B18" s="145">
        <f t="shared" si="1"/>
        <v>42887</v>
      </c>
      <c r="C18" s="142">
        <v>1015480.9223711193</v>
      </c>
      <c r="D18" s="138">
        <f>IF(ISNUMBER($F18),VLOOKUP($J18,'Table 1'!$B$13:$C$32,2,FALSE)/12*1000*Study_MW,"")</f>
        <v>0</v>
      </c>
      <c r="E18" s="138">
        <f t="shared" si="2"/>
        <v>1015480.9223711193</v>
      </c>
      <c r="F18" s="142">
        <v>61200</v>
      </c>
      <c r="G18" s="143">
        <f t="shared" si="3"/>
        <v>16.592825528939859</v>
      </c>
      <c r="I18" s="144">
        <f t="shared" si="5"/>
        <v>6</v>
      </c>
      <c r="J18" s="140">
        <f t="shared" si="4"/>
        <v>2017</v>
      </c>
      <c r="K18" s="145">
        <f t="shared" si="0"/>
        <v>42887</v>
      </c>
      <c r="L18" s="140">
        <f t="shared" ref="L18:L36" si="7">L17+1</f>
        <v>2019</v>
      </c>
      <c r="M18" s="122">
        <f t="shared" ref="M18:M36" si="8">SUMIF($J$13:$J$264,L18,$C$13:$C$264)</f>
        <v>17285040.604742244</v>
      </c>
      <c r="N18" s="122">
        <f t="shared" si="6"/>
        <v>0</v>
      </c>
    </row>
    <row r="19" spans="2:14" x14ac:dyDescent="0.2">
      <c r="B19" s="145">
        <f t="shared" si="1"/>
        <v>42917</v>
      </c>
      <c r="C19" s="142">
        <v>1625211.9679218233</v>
      </c>
      <c r="D19" s="138">
        <f>IF(ISNUMBER($F19),VLOOKUP($J19,'Table 1'!$B$13:$C$32,2,FALSE)/12*1000*Study_MW,"")</f>
        <v>0</v>
      </c>
      <c r="E19" s="138">
        <f t="shared" si="2"/>
        <v>1625211.9679218233</v>
      </c>
      <c r="F19" s="142">
        <v>63240</v>
      </c>
      <c r="G19" s="143">
        <f t="shared" si="3"/>
        <v>25.699113977258431</v>
      </c>
      <c r="I19" s="144">
        <f t="shared" si="5"/>
        <v>7</v>
      </c>
      <c r="J19" s="140">
        <f t="shared" si="4"/>
        <v>2017</v>
      </c>
      <c r="K19" s="145">
        <f t="shared" si="0"/>
        <v>42917</v>
      </c>
      <c r="L19" s="140">
        <f t="shared" si="7"/>
        <v>2020</v>
      </c>
      <c r="M19" s="122">
        <f t="shared" si="8"/>
        <v>17810112.707879767</v>
      </c>
      <c r="N19" s="122">
        <f t="shared" si="6"/>
        <v>0</v>
      </c>
    </row>
    <row r="20" spans="2:14" x14ac:dyDescent="0.2">
      <c r="B20" s="145">
        <f t="shared" si="1"/>
        <v>42948</v>
      </c>
      <c r="C20" s="142">
        <v>1461427.1300285459</v>
      </c>
      <c r="D20" s="138">
        <f>IF(ISNUMBER($F20),VLOOKUP($J20,'Table 1'!$B$13:$C$32,2,FALSE)/12*1000*Study_MW,"")</f>
        <v>0</v>
      </c>
      <c r="E20" s="138">
        <f t="shared" si="2"/>
        <v>1461427.1300285459</v>
      </c>
      <c r="F20" s="142">
        <v>63240</v>
      </c>
      <c r="G20" s="143">
        <f t="shared" si="3"/>
        <v>23.109220904942219</v>
      </c>
      <c r="I20" s="144">
        <f t="shared" si="5"/>
        <v>8</v>
      </c>
      <c r="J20" s="140">
        <f t="shared" si="4"/>
        <v>2017</v>
      </c>
      <c r="K20" s="145">
        <f t="shared" si="0"/>
        <v>42948</v>
      </c>
      <c r="L20" s="140">
        <f t="shared" si="7"/>
        <v>2021</v>
      </c>
      <c r="M20" s="122">
        <f t="shared" si="8"/>
        <v>18622125.736367345</v>
      </c>
      <c r="N20" s="122">
        <f t="shared" si="6"/>
        <v>0</v>
      </c>
    </row>
    <row r="21" spans="2:14" x14ac:dyDescent="0.2">
      <c r="B21" s="145">
        <f t="shared" si="1"/>
        <v>42979</v>
      </c>
      <c r="C21" s="142">
        <v>1244078.8661645353</v>
      </c>
      <c r="D21" s="138">
        <f>IF(ISNUMBER($F21),VLOOKUP($J21,'Table 1'!$B$13:$C$32,2,FALSE)/12*1000*Study_MW,"")</f>
        <v>0</v>
      </c>
      <c r="E21" s="138">
        <f t="shared" si="2"/>
        <v>1244078.8661645353</v>
      </c>
      <c r="F21" s="142">
        <v>61200</v>
      </c>
      <c r="G21" s="143">
        <f t="shared" si="3"/>
        <v>20.32808604844012</v>
      </c>
      <c r="I21" s="144">
        <f t="shared" si="5"/>
        <v>9</v>
      </c>
      <c r="J21" s="140">
        <f t="shared" si="4"/>
        <v>2017</v>
      </c>
      <c r="K21" s="145">
        <f t="shared" si="0"/>
        <v>42979</v>
      </c>
      <c r="L21" s="140">
        <f t="shared" si="7"/>
        <v>2022</v>
      </c>
      <c r="M21" s="122">
        <f t="shared" si="8"/>
        <v>19780320.368798077</v>
      </c>
      <c r="N21" s="122">
        <f t="shared" si="6"/>
        <v>0</v>
      </c>
    </row>
    <row r="22" spans="2:14" x14ac:dyDescent="0.2">
      <c r="B22" s="145">
        <f t="shared" si="1"/>
        <v>43009</v>
      </c>
      <c r="C22" s="142">
        <v>1201245.1979208291</v>
      </c>
      <c r="D22" s="138">
        <f>IF(ISNUMBER($F22),VLOOKUP($J22,'Table 1'!$B$13:$C$32,2,FALSE)/12*1000*Study_MW,"")</f>
        <v>0</v>
      </c>
      <c r="E22" s="138">
        <f t="shared" si="2"/>
        <v>1201245.1979208291</v>
      </c>
      <c r="F22" s="142">
        <v>63240</v>
      </c>
      <c r="G22" s="143">
        <f t="shared" si="3"/>
        <v>18.995022105009948</v>
      </c>
      <c r="I22" s="144">
        <f t="shared" si="5"/>
        <v>10</v>
      </c>
      <c r="J22" s="140">
        <f t="shared" si="4"/>
        <v>2017</v>
      </c>
      <c r="K22" s="145">
        <f t="shared" si="0"/>
        <v>43009</v>
      </c>
      <c r="L22" s="140">
        <f t="shared" si="7"/>
        <v>2023</v>
      </c>
      <c r="M22" s="122">
        <f t="shared" si="8"/>
        <v>21452225.643482864</v>
      </c>
      <c r="N22" s="122">
        <f t="shared" si="6"/>
        <v>0</v>
      </c>
    </row>
    <row r="23" spans="2:14" x14ac:dyDescent="0.2">
      <c r="B23" s="145">
        <f t="shared" si="1"/>
        <v>43040</v>
      </c>
      <c r="C23" s="142">
        <v>1330378.7335439473</v>
      </c>
      <c r="D23" s="138">
        <f>IF(ISNUMBER($F23),VLOOKUP($J23,'Table 1'!$B$13:$C$32,2,FALSE)/12*1000*Study_MW,"")</f>
        <v>0</v>
      </c>
      <c r="E23" s="138">
        <f t="shared" si="2"/>
        <v>1330378.7335439473</v>
      </c>
      <c r="F23" s="142">
        <v>61200</v>
      </c>
      <c r="G23" s="143">
        <f t="shared" si="3"/>
        <v>21.738214600391295</v>
      </c>
      <c r="I23" s="144">
        <f t="shared" si="5"/>
        <v>11</v>
      </c>
      <c r="J23" s="140">
        <f t="shared" si="4"/>
        <v>2017</v>
      </c>
      <c r="K23" s="145">
        <f t="shared" si="0"/>
        <v>43040</v>
      </c>
      <c r="L23" s="140">
        <f t="shared" si="7"/>
        <v>2024</v>
      </c>
      <c r="M23" s="122">
        <f t="shared" si="8"/>
        <v>22698912.78689684</v>
      </c>
      <c r="N23" s="122">
        <f t="shared" si="6"/>
        <v>0</v>
      </c>
    </row>
    <row r="24" spans="2:14" x14ac:dyDescent="0.2">
      <c r="B24" s="149">
        <f t="shared" si="1"/>
        <v>43070</v>
      </c>
      <c r="C24" s="146">
        <v>1524068.5301786661</v>
      </c>
      <c r="D24" s="147">
        <f>IF(ISNUMBER($F24),VLOOKUP($J24,'Table 1'!$B$13:$C$32,2,FALSE)/12*1000*Study_MW,"")</f>
        <v>0</v>
      </c>
      <c r="E24" s="147">
        <f t="shared" ref="E24:E77" si="9">C24+D24</f>
        <v>1524068.5301786661</v>
      </c>
      <c r="F24" s="146">
        <v>63240</v>
      </c>
      <c r="G24" s="148">
        <f t="shared" si="3"/>
        <v>24.099755379169295</v>
      </c>
      <c r="I24" s="131">
        <f t="shared" si="5"/>
        <v>12</v>
      </c>
      <c r="J24" s="140">
        <f t="shared" si="4"/>
        <v>2017</v>
      </c>
      <c r="K24" s="149">
        <f t="shared" si="0"/>
        <v>43070</v>
      </c>
      <c r="L24" s="140">
        <f t="shared" si="7"/>
        <v>2025</v>
      </c>
      <c r="M24" s="122">
        <f t="shared" si="8"/>
        <v>24189922.020601988</v>
      </c>
      <c r="N24" s="122">
        <f t="shared" si="6"/>
        <v>0</v>
      </c>
    </row>
    <row r="25" spans="2:14" x14ac:dyDescent="0.2">
      <c r="B25" s="141">
        <f t="shared" si="1"/>
        <v>43101</v>
      </c>
      <c r="C25" s="136">
        <v>1494734.1889683604</v>
      </c>
      <c r="D25" s="137">
        <f>IF(ISNUMBER($F25),VLOOKUP($J25,'Table 1'!$B$13:$C$32,2,FALSE)/12*1000*Study_MW,"")</f>
        <v>0</v>
      </c>
      <c r="E25" s="137">
        <f t="shared" si="9"/>
        <v>1494734.1889683604</v>
      </c>
      <c r="F25" s="136">
        <v>63240</v>
      </c>
      <c r="G25" s="139">
        <f t="shared" si="3"/>
        <v>23.635897991277048</v>
      </c>
      <c r="I25" s="127">
        <f>I13+13</f>
        <v>14</v>
      </c>
      <c r="J25" s="140">
        <f t="shared" si="4"/>
        <v>2018</v>
      </c>
      <c r="K25" s="140"/>
      <c r="L25" s="140">
        <f t="shared" si="7"/>
        <v>2026</v>
      </c>
      <c r="M25" s="122">
        <f t="shared" si="8"/>
        <v>24951425.487302959</v>
      </c>
      <c r="N25" s="122">
        <f t="shared" si="6"/>
        <v>0</v>
      </c>
    </row>
    <row r="26" spans="2:14" x14ac:dyDescent="0.2">
      <c r="B26" s="145">
        <f t="shared" si="1"/>
        <v>43132</v>
      </c>
      <c r="C26" s="142">
        <v>1326877.9060451686</v>
      </c>
      <c r="D26" s="138">
        <f>IF(ISNUMBER($F26),VLOOKUP($J26,'Table 1'!$B$13:$C$32,2,FALSE)/12*1000*Study_MW,"")</f>
        <v>0</v>
      </c>
      <c r="E26" s="138">
        <f t="shared" si="9"/>
        <v>1326877.9060451686</v>
      </c>
      <c r="F26" s="142">
        <v>57120</v>
      </c>
      <c r="G26" s="143">
        <f t="shared" si="3"/>
        <v>23.229655217877603</v>
      </c>
      <c r="I26" s="144">
        <f t="shared" ref="I26:I89" si="10">I14+13</f>
        <v>15</v>
      </c>
      <c r="J26" s="140">
        <f t="shared" si="4"/>
        <v>2018</v>
      </c>
      <c r="K26" s="140"/>
      <c r="L26" s="140">
        <f t="shared" si="7"/>
        <v>2027</v>
      </c>
      <c r="M26" s="122">
        <f t="shared" si="8"/>
        <v>26606687.525180697</v>
      </c>
      <c r="N26" s="122">
        <f t="shared" si="6"/>
        <v>0</v>
      </c>
    </row>
    <row r="27" spans="2:14" x14ac:dyDescent="0.2">
      <c r="B27" s="145">
        <f t="shared" si="1"/>
        <v>43160</v>
      </c>
      <c r="C27" s="142">
        <v>1491209.4034103155</v>
      </c>
      <c r="D27" s="138">
        <f>IF(ISNUMBER($F27),VLOOKUP($J27,'Table 1'!$B$13:$C$32,2,FALSE)/12*1000*Study_MW,"")</f>
        <v>0</v>
      </c>
      <c r="E27" s="138">
        <f t="shared" si="9"/>
        <v>1491209.4034103155</v>
      </c>
      <c r="F27" s="142">
        <v>63240</v>
      </c>
      <c r="G27" s="143">
        <f t="shared" si="3"/>
        <v>23.580161344249138</v>
      </c>
      <c r="I27" s="144">
        <f t="shared" si="10"/>
        <v>16</v>
      </c>
      <c r="J27" s="140">
        <f t="shared" si="4"/>
        <v>2018</v>
      </c>
      <c r="K27" s="140"/>
      <c r="L27" s="140">
        <f t="shared" si="7"/>
        <v>2028</v>
      </c>
      <c r="M27" s="122">
        <f t="shared" si="8"/>
        <v>31026586.146065503</v>
      </c>
      <c r="N27" s="122">
        <f t="shared" si="6"/>
        <v>0</v>
      </c>
    </row>
    <row r="28" spans="2:14" x14ac:dyDescent="0.2">
      <c r="B28" s="145">
        <f t="shared" si="1"/>
        <v>43191</v>
      </c>
      <c r="C28" s="142">
        <v>1226926.453954339</v>
      </c>
      <c r="D28" s="138">
        <f>IF(ISNUMBER($F28),VLOOKUP($J28,'Table 1'!$B$13:$C$32,2,FALSE)/12*1000*Study_MW,"")</f>
        <v>0</v>
      </c>
      <c r="E28" s="138">
        <f t="shared" si="9"/>
        <v>1226926.453954339</v>
      </c>
      <c r="F28" s="142">
        <v>61200</v>
      </c>
      <c r="G28" s="143">
        <f t="shared" si="3"/>
        <v>20.047817875070898</v>
      </c>
      <c r="I28" s="144">
        <f t="shared" si="10"/>
        <v>17</v>
      </c>
      <c r="J28" s="140">
        <f t="shared" si="4"/>
        <v>2018</v>
      </c>
      <c r="K28" s="140"/>
      <c r="L28" s="140">
        <f t="shared" si="7"/>
        <v>2029</v>
      </c>
      <c r="M28" s="122">
        <f t="shared" si="8"/>
        <v>32449291.9947128</v>
      </c>
      <c r="N28" s="122">
        <f t="shared" si="6"/>
        <v>0</v>
      </c>
    </row>
    <row r="29" spans="2:14" x14ac:dyDescent="0.2">
      <c r="B29" s="145">
        <f t="shared" si="1"/>
        <v>43221</v>
      </c>
      <c r="C29" s="142">
        <v>1133321.5525171757</v>
      </c>
      <c r="D29" s="138">
        <f>IF(ISNUMBER($F29),VLOOKUP($J29,'Table 1'!$B$13:$C$32,2,FALSE)/12*1000*Study_MW,"")</f>
        <v>0</v>
      </c>
      <c r="E29" s="138">
        <f t="shared" si="9"/>
        <v>1133321.5525171757</v>
      </c>
      <c r="F29" s="142">
        <v>63240</v>
      </c>
      <c r="G29" s="143">
        <f t="shared" si="3"/>
        <v>17.920960665989494</v>
      </c>
      <c r="I29" s="144">
        <f t="shared" si="10"/>
        <v>18</v>
      </c>
      <c r="J29" s="140">
        <f t="shared" si="4"/>
        <v>2018</v>
      </c>
      <c r="K29" s="140"/>
      <c r="L29" s="140">
        <f t="shared" si="7"/>
        <v>2030</v>
      </c>
      <c r="M29" s="122">
        <f t="shared" si="8"/>
        <v>25417943.137500882</v>
      </c>
      <c r="N29" s="122">
        <f t="shared" si="6"/>
        <v>15249000.000000002</v>
      </c>
    </row>
    <row r="30" spans="2:14" x14ac:dyDescent="0.2">
      <c r="B30" s="145">
        <f t="shared" si="1"/>
        <v>43252</v>
      </c>
      <c r="C30" s="142">
        <v>1113561.0093402416</v>
      </c>
      <c r="D30" s="138">
        <f>IF(ISNUMBER($F30),VLOOKUP($J30,'Table 1'!$B$13:$C$32,2,FALSE)/12*1000*Study_MW,"")</f>
        <v>0</v>
      </c>
      <c r="E30" s="138">
        <f t="shared" si="9"/>
        <v>1113561.0093402416</v>
      </c>
      <c r="F30" s="142">
        <v>61200</v>
      </c>
      <c r="G30" s="143">
        <f t="shared" si="3"/>
        <v>18.195441329088915</v>
      </c>
      <c r="I30" s="144">
        <f t="shared" si="10"/>
        <v>19</v>
      </c>
      <c r="J30" s="140">
        <f t="shared" si="4"/>
        <v>2018</v>
      </c>
      <c r="K30" s="140"/>
      <c r="L30" s="140">
        <f t="shared" si="7"/>
        <v>2031</v>
      </c>
      <c r="M30" s="122">
        <f t="shared" si="8"/>
        <v>27518217.578956872</v>
      </c>
      <c r="N30" s="122">
        <f t="shared" si="6"/>
        <v>15597000</v>
      </c>
    </row>
    <row r="31" spans="2:14" x14ac:dyDescent="0.2">
      <c r="B31" s="145">
        <f t="shared" si="1"/>
        <v>43282</v>
      </c>
      <c r="C31" s="142">
        <v>1743911.8085651398</v>
      </c>
      <c r="D31" s="138">
        <f>IF(ISNUMBER($F31),VLOOKUP($J31,'Table 1'!$B$13:$C$32,2,FALSE)/12*1000*Study_MW,"")</f>
        <v>0</v>
      </c>
      <c r="E31" s="138">
        <f t="shared" si="9"/>
        <v>1743911.8085651398</v>
      </c>
      <c r="F31" s="142">
        <v>63240</v>
      </c>
      <c r="G31" s="143">
        <f t="shared" si="3"/>
        <v>27.576088054477225</v>
      </c>
      <c r="I31" s="144">
        <f t="shared" si="10"/>
        <v>20</v>
      </c>
      <c r="J31" s="140">
        <f t="shared" si="4"/>
        <v>2018</v>
      </c>
      <c r="K31" s="140"/>
      <c r="L31" s="140">
        <f t="shared" si="7"/>
        <v>2032</v>
      </c>
      <c r="M31" s="122">
        <f t="shared" si="8"/>
        <v>27968037.938293785</v>
      </c>
      <c r="N31" s="122">
        <f t="shared" si="6"/>
        <v>15958999.999999994</v>
      </c>
    </row>
    <row r="32" spans="2:14" x14ac:dyDescent="0.2">
      <c r="B32" s="145">
        <f t="shared" si="1"/>
        <v>43313</v>
      </c>
      <c r="C32" s="142">
        <v>1554663.3481827974</v>
      </c>
      <c r="D32" s="138">
        <f>IF(ISNUMBER($F32),VLOOKUP($J32,'Table 1'!$B$13:$C$32,2,FALSE)/12*1000*Study_MW,"")</f>
        <v>0</v>
      </c>
      <c r="E32" s="138">
        <f t="shared" si="9"/>
        <v>1554663.3481827974</v>
      </c>
      <c r="F32" s="142">
        <v>63240</v>
      </c>
      <c r="G32" s="143">
        <f t="shared" si="3"/>
        <v>24.583544405167576</v>
      </c>
      <c r="I32" s="144">
        <f t="shared" si="10"/>
        <v>21</v>
      </c>
      <c r="J32" s="140">
        <f t="shared" si="4"/>
        <v>2018</v>
      </c>
      <c r="K32" s="140"/>
      <c r="L32" s="140">
        <f t="shared" si="7"/>
        <v>2033</v>
      </c>
      <c r="M32" s="122">
        <f t="shared" si="8"/>
        <v>28793601.683160841</v>
      </c>
      <c r="N32" s="122">
        <f t="shared" si="6"/>
        <v>16327999.999999998</v>
      </c>
    </row>
    <row r="33" spans="2:14" x14ac:dyDescent="0.2">
      <c r="B33" s="145">
        <f t="shared" si="1"/>
        <v>43344</v>
      </c>
      <c r="C33" s="142">
        <v>1339698.827309072</v>
      </c>
      <c r="D33" s="138">
        <f>IF(ISNUMBER($F33),VLOOKUP($J33,'Table 1'!$B$13:$C$32,2,FALSE)/12*1000*Study_MW,"")</f>
        <v>0</v>
      </c>
      <c r="E33" s="138">
        <f t="shared" si="9"/>
        <v>1339698.827309072</v>
      </c>
      <c r="F33" s="142">
        <v>61200</v>
      </c>
      <c r="G33" s="143">
        <f t="shared" si="3"/>
        <v>21.890503714200523</v>
      </c>
      <c r="I33" s="144">
        <f t="shared" si="10"/>
        <v>22</v>
      </c>
      <c r="J33" s="140">
        <f t="shared" si="4"/>
        <v>2018</v>
      </c>
      <c r="K33" s="140"/>
      <c r="L33" s="140">
        <f t="shared" si="7"/>
        <v>2034</v>
      </c>
      <c r="M33" s="122">
        <f t="shared" si="8"/>
        <v>30323690.82087931</v>
      </c>
      <c r="N33" s="122">
        <f t="shared" si="6"/>
        <v>16704000</v>
      </c>
    </row>
    <row r="34" spans="2:14" x14ac:dyDescent="0.2">
      <c r="B34" s="145">
        <f t="shared" si="1"/>
        <v>43374</v>
      </c>
      <c r="C34" s="142">
        <v>1282346.2203290015</v>
      </c>
      <c r="D34" s="138">
        <f>IF(ISNUMBER($F34),VLOOKUP($J34,'Table 1'!$B$13:$C$32,2,FALSE)/12*1000*Study_MW,"")</f>
        <v>0</v>
      </c>
      <c r="E34" s="138">
        <f t="shared" si="9"/>
        <v>1282346.2203290015</v>
      </c>
      <c r="F34" s="142">
        <v>63240</v>
      </c>
      <c r="G34" s="143">
        <f t="shared" si="3"/>
        <v>20.277454464405466</v>
      </c>
      <c r="I34" s="144">
        <f t="shared" si="10"/>
        <v>23</v>
      </c>
      <c r="J34" s="140">
        <f t="shared" si="4"/>
        <v>2018</v>
      </c>
      <c r="K34" s="140"/>
      <c r="L34" s="140">
        <f t="shared" si="7"/>
        <v>2035</v>
      </c>
      <c r="M34" s="122">
        <f t="shared" si="8"/>
        <v>30842660.349286735</v>
      </c>
      <c r="N34" s="122">
        <f t="shared" si="6"/>
        <v>17086999.999999996</v>
      </c>
    </row>
    <row r="35" spans="2:14" x14ac:dyDescent="0.2">
      <c r="B35" s="145">
        <f t="shared" si="1"/>
        <v>43405</v>
      </c>
      <c r="C35" s="142">
        <v>1468761.3300525248</v>
      </c>
      <c r="D35" s="138">
        <f>IF(ISNUMBER($F35),VLOOKUP($J35,'Table 1'!$B$13:$C$32,2,FALSE)/12*1000*Study_MW,"")</f>
        <v>0</v>
      </c>
      <c r="E35" s="138">
        <f t="shared" si="9"/>
        <v>1468761.3300525248</v>
      </c>
      <c r="F35" s="142">
        <v>61200</v>
      </c>
      <c r="G35" s="143">
        <f t="shared" si="3"/>
        <v>23.999368138113152</v>
      </c>
      <c r="I35" s="144">
        <f t="shared" si="10"/>
        <v>24</v>
      </c>
      <c r="J35" s="140">
        <f t="shared" si="4"/>
        <v>2018</v>
      </c>
      <c r="K35" s="140"/>
      <c r="L35" s="140">
        <f t="shared" si="7"/>
        <v>2036</v>
      </c>
      <c r="M35" s="122">
        <f t="shared" si="8"/>
        <v>32020895.841478765</v>
      </c>
      <c r="N35" s="122">
        <f t="shared" si="6"/>
        <v>17476999.999999996</v>
      </c>
    </row>
    <row r="36" spans="2:14" x14ac:dyDescent="0.2">
      <c r="B36" s="149">
        <f t="shared" si="1"/>
        <v>43435</v>
      </c>
      <c r="C36" s="146">
        <v>1599374.1131017804</v>
      </c>
      <c r="D36" s="147">
        <f>IF(ISNUMBER($F36),VLOOKUP($J36,'Table 1'!$B$13:$C$32,2,FALSE)/12*1000*Study_MW,"")</f>
        <v>0</v>
      </c>
      <c r="E36" s="147">
        <f t="shared" si="9"/>
        <v>1599374.1131017804</v>
      </c>
      <c r="F36" s="146">
        <v>63240</v>
      </c>
      <c r="G36" s="148">
        <f t="shared" si="3"/>
        <v>25.290545747972491</v>
      </c>
      <c r="I36" s="131">
        <f t="shared" si="10"/>
        <v>25</v>
      </c>
      <c r="J36" s="140">
        <f t="shared" si="4"/>
        <v>2018</v>
      </c>
      <c r="K36" s="140"/>
      <c r="L36" s="140">
        <f t="shared" si="7"/>
        <v>2037</v>
      </c>
      <c r="M36" s="122">
        <f t="shared" si="8"/>
        <v>0</v>
      </c>
      <c r="N36" s="122">
        <f t="shared" si="6"/>
        <v>0</v>
      </c>
    </row>
    <row r="37" spans="2:14" hidden="1" outlineLevel="1" x14ac:dyDescent="0.2">
      <c r="B37" s="141">
        <f t="shared" si="1"/>
        <v>43466</v>
      </c>
      <c r="C37" s="136">
        <v>1709383.5712656081</v>
      </c>
      <c r="D37" s="137">
        <f>IF(ISNUMBER($F37),VLOOKUP($J37,'Table 1'!$B$13:$C$32,2,FALSE)/12*1000*Study_MW,"")</f>
        <v>0</v>
      </c>
      <c r="E37" s="137">
        <f t="shared" si="9"/>
        <v>1709383.5712656081</v>
      </c>
      <c r="F37" s="136">
        <v>63240</v>
      </c>
      <c r="G37" s="139">
        <f t="shared" si="3"/>
        <v>27.030100747400507</v>
      </c>
      <c r="I37" s="127">
        <f>I25+13</f>
        <v>27</v>
      </c>
      <c r="J37" s="140">
        <f t="shared" si="4"/>
        <v>2019</v>
      </c>
      <c r="K37" s="140"/>
    </row>
    <row r="38" spans="2:14" hidden="1" outlineLevel="1" x14ac:dyDescent="0.2">
      <c r="B38" s="145">
        <f t="shared" si="1"/>
        <v>43497</v>
      </c>
      <c r="C38" s="142">
        <v>1327315.3086711019</v>
      </c>
      <c r="D38" s="138">
        <f>IF(ISNUMBER($F38),VLOOKUP($J38,'Table 1'!$B$13:$C$32,2,FALSE)/12*1000*Study_MW,"")</f>
        <v>0</v>
      </c>
      <c r="E38" s="138">
        <f t="shared" si="9"/>
        <v>1327315.3086711019</v>
      </c>
      <c r="F38" s="142">
        <v>57120</v>
      </c>
      <c r="G38" s="143">
        <f t="shared" si="3"/>
        <v>23.237312826875034</v>
      </c>
      <c r="I38" s="144">
        <f t="shared" si="10"/>
        <v>28</v>
      </c>
      <c r="J38" s="140">
        <f t="shared" si="4"/>
        <v>2019</v>
      </c>
      <c r="K38" s="140"/>
    </row>
    <row r="39" spans="2:14" hidden="1" outlineLevel="1" x14ac:dyDescent="0.2">
      <c r="B39" s="145">
        <f t="shared" si="1"/>
        <v>43525</v>
      </c>
      <c r="C39" s="142">
        <v>1513660.4871145487</v>
      </c>
      <c r="D39" s="138">
        <f>IF(ISNUMBER($F39),VLOOKUP($J39,'Table 1'!$B$13:$C$32,2,FALSE)/12*1000*Study_MW,"")</f>
        <v>0</v>
      </c>
      <c r="E39" s="138">
        <f t="shared" si="9"/>
        <v>1513660.4871145487</v>
      </c>
      <c r="F39" s="142">
        <v>63240</v>
      </c>
      <c r="G39" s="143">
        <f t="shared" si="3"/>
        <v>23.935175318066868</v>
      </c>
      <c r="I39" s="144">
        <f t="shared" si="10"/>
        <v>29</v>
      </c>
      <c r="J39" s="140">
        <f t="shared" si="4"/>
        <v>2019</v>
      </c>
      <c r="K39" s="140"/>
    </row>
    <row r="40" spans="2:14" hidden="1" outlineLevel="1" x14ac:dyDescent="0.2">
      <c r="B40" s="145">
        <f t="shared" si="1"/>
        <v>43556</v>
      </c>
      <c r="C40" s="142">
        <v>1249622.5557223558</v>
      </c>
      <c r="D40" s="138">
        <f>IF(ISNUMBER($F40),VLOOKUP($J40,'Table 1'!$B$13:$C$32,2,FALSE)/12*1000*Study_MW,"")</f>
        <v>0</v>
      </c>
      <c r="E40" s="138">
        <f t="shared" si="9"/>
        <v>1249622.5557223558</v>
      </c>
      <c r="F40" s="142">
        <v>61200</v>
      </c>
      <c r="G40" s="143">
        <f t="shared" si="3"/>
        <v>20.418669211149606</v>
      </c>
      <c r="I40" s="144">
        <f t="shared" si="10"/>
        <v>30</v>
      </c>
      <c r="J40" s="140">
        <f t="shared" si="4"/>
        <v>2019</v>
      </c>
      <c r="K40" s="140"/>
    </row>
    <row r="41" spans="2:14" hidden="1" outlineLevel="1" x14ac:dyDescent="0.2">
      <c r="B41" s="145">
        <f t="shared" si="1"/>
        <v>43586</v>
      </c>
      <c r="C41" s="142">
        <v>1186018.254063338</v>
      </c>
      <c r="D41" s="138">
        <f>IF(ISNUMBER($F41),VLOOKUP($J41,'Table 1'!$B$13:$C$32,2,FALSE)/12*1000*Study_MW,"")</f>
        <v>0</v>
      </c>
      <c r="E41" s="138">
        <f t="shared" si="9"/>
        <v>1186018.254063338</v>
      </c>
      <c r="F41" s="142">
        <v>63240</v>
      </c>
      <c r="G41" s="143">
        <f t="shared" si="3"/>
        <v>18.75424184160876</v>
      </c>
      <c r="I41" s="144">
        <f t="shared" si="10"/>
        <v>31</v>
      </c>
      <c r="J41" s="140">
        <f t="shared" si="4"/>
        <v>2019</v>
      </c>
      <c r="K41" s="140"/>
    </row>
    <row r="42" spans="2:14" hidden="1" outlineLevel="1" x14ac:dyDescent="0.2">
      <c r="B42" s="145">
        <f t="shared" si="1"/>
        <v>43617</v>
      </c>
      <c r="C42" s="142">
        <v>1198250.7738597244</v>
      </c>
      <c r="D42" s="138">
        <f>IF(ISNUMBER($F42),VLOOKUP($J42,'Table 1'!$B$13:$C$32,2,FALSE)/12*1000*Study_MW,"")</f>
        <v>0</v>
      </c>
      <c r="E42" s="138">
        <f t="shared" si="9"/>
        <v>1198250.7738597244</v>
      </c>
      <c r="F42" s="142">
        <v>61200</v>
      </c>
      <c r="G42" s="143">
        <f t="shared" si="3"/>
        <v>19.57926101077981</v>
      </c>
      <c r="I42" s="144">
        <f t="shared" si="10"/>
        <v>32</v>
      </c>
      <c r="J42" s="140">
        <f t="shared" si="4"/>
        <v>2019</v>
      </c>
      <c r="K42" s="140"/>
    </row>
    <row r="43" spans="2:14" hidden="1" outlineLevel="1" x14ac:dyDescent="0.2">
      <c r="B43" s="145">
        <f t="shared" si="1"/>
        <v>43647</v>
      </c>
      <c r="C43" s="142">
        <v>1769700.2492897511</v>
      </c>
      <c r="D43" s="138">
        <f>IF(ISNUMBER($F43),VLOOKUP($J43,'Table 1'!$B$13:$C$32,2,FALSE)/12*1000*Study_MW,"")</f>
        <v>0</v>
      </c>
      <c r="E43" s="138">
        <f t="shared" si="9"/>
        <v>1769700.2492897511</v>
      </c>
      <c r="F43" s="142">
        <v>63240</v>
      </c>
      <c r="G43" s="143">
        <f t="shared" si="3"/>
        <v>27.983874909705108</v>
      </c>
      <c r="I43" s="144">
        <f t="shared" si="10"/>
        <v>33</v>
      </c>
      <c r="J43" s="140">
        <f t="shared" si="4"/>
        <v>2019</v>
      </c>
      <c r="K43" s="140"/>
    </row>
    <row r="44" spans="2:14" hidden="1" outlineLevel="1" x14ac:dyDescent="0.2">
      <c r="B44" s="145">
        <f t="shared" si="1"/>
        <v>43678</v>
      </c>
      <c r="C44" s="142">
        <v>1601378.2326668501</v>
      </c>
      <c r="D44" s="138">
        <f>IF(ISNUMBER($F44),VLOOKUP($J44,'Table 1'!$B$13:$C$32,2,FALSE)/12*1000*Study_MW,"")</f>
        <v>0</v>
      </c>
      <c r="E44" s="138">
        <f t="shared" si="9"/>
        <v>1601378.2326668501</v>
      </c>
      <c r="F44" s="142">
        <v>63240</v>
      </c>
      <c r="G44" s="143">
        <f t="shared" si="3"/>
        <v>25.322236443182323</v>
      </c>
      <c r="I44" s="144">
        <f t="shared" si="10"/>
        <v>34</v>
      </c>
      <c r="J44" s="140">
        <f t="shared" si="4"/>
        <v>2019</v>
      </c>
      <c r="K44" s="140"/>
    </row>
    <row r="45" spans="2:14" hidden="1" outlineLevel="1" x14ac:dyDescent="0.2">
      <c r="B45" s="145">
        <f t="shared" si="1"/>
        <v>43709</v>
      </c>
      <c r="C45" s="142">
        <v>1355074.0100434124</v>
      </c>
      <c r="D45" s="138">
        <f>IF(ISNUMBER($F45),VLOOKUP($J45,'Table 1'!$B$13:$C$32,2,FALSE)/12*1000*Study_MW,"")</f>
        <v>0</v>
      </c>
      <c r="E45" s="138">
        <f t="shared" si="9"/>
        <v>1355074.0100434124</v>
      </c>
      <c r="F45" s="142">
        <v>61200</v>
      </c>
      <c r="G45" s="143">
        <f t="shared" si="3"/>
        <v>22.141732190251837</v>
      </c>
      <c r="I45" s="144">
        <f t="shared" si="10"/>
        <v>35</v>
      </c>
      <c r="J45" s="140">
        <f t="shared" si="4"/>
        <v>2019</v>
      </c>
      <c r="K45" s="140"/>
    </row>
    <row r="46" spans="2:14" hidden="1" outlineLevel="1" x14ac:dyDescent="0.2">
      <c r="B46" s="145">
        <f t="shared" si="1"/>
        <v>43739</v>
      </c>
      <c r="C46" s="142">
        <v>1327239.2744684964</v>
      </c>
      <c r="D46" s="138">
        <f>IF(ISNUMBER($F46),VLOOKUP($J46,'Table 1'!$B$13:$C$32,2,FALSE)/12*1000*Study_MW,"")</f>
        <v>0</v>
      </c>
      <c r="E46" s="138">
        <f t="shared" si="9"/>
        <v>1327239.2744684964</v>
      </c>
      <c r="F46" s="142">
        <v>63240</v>
      </c>
      <c r="G46" s="143">
        <f t="shared" si="3"/>
        <v>20.987338305953454</v>
      </c>
      <c r="I46" s="144">
        <f t="shared" si="10"/>
        <v>36</v>
      </c>
      <c r="J46" s="140">
        <f t="shared" si="4"/>
        <v>2019</v>
      </c>
      <c r="K46" s="140"/>
    </row>
    <row r="47" spans="2:14" hidden="1" outlineLevel="1" x14ac:dyDescent="0.2">
      <c r="B47" s="145">
        <f t="shared" si="1"/>
        <v>43770</v>
      </c>
      <c r="C47" s="142">
        <v>1510570.0214910507</v>
      </c>
      <c r="D47" s="138">
        <f>IF(ISNUMBER($F47),VLOOKUP($J47,'Table 1'!$B$13:$C$32,2,FALSE)/12*1000*Study_MW,"")</f>
        <v>0</v>
      </c>
      <c r="E47" s="138">
        <f t="shared" si="9"/>
        <v>1510570.0214910507</v>
      </c>
      <c r="F47" s="142">
        <v>61200</v>
      </c>
      <c r="G47" s="143">
        <f t="shared" si="3"/>
        <v>24.682516691030241</v>
      </c>
      <c r="I47" s="144">
        <f t="shared" si="10"/>
        <v>37</v>
      </c>
      <c r="J47" s="140">
        <f t="shared" si="4"/>
        <v>2019</v>
      </c>
      <c r="K47" s="140"/>
    </row>
    <row r="48" spans="2:14" hidden="1" outlineLevel="1" x14ac:dyDescent="0.2">
      <c r="B48" s="149">
        <f t="shared" si="1"/>
        <v>43800</v>
      </c>
      <c r="C48" s="146">
        <v>1536827.8660860062</v>
      </c>
      <c r="D48" s="147">
        <f>IF(ISNUMBER($F48),VLOOKUP($J48,'Table 1'!$B$13:$C$32,2,FALSE)/12*1000*Study_MW,"")</f>
        <v>0</v>
      </c>
      <c r="E48" s="147">
        <f t="shared" si="9"/>
        <v>1536827.8660860062</v>
      </c>
      <c r="F48" s="146">
        <v>63240</v>
      </c>
      <c r="G48" s="148">
        <f t="shared" si="3"/>
        <v>24.301515909013379</v>
      </c>
      <c r="I48" s="131">
        <f t="shared" si="10"/>
        <v>38</v>
      </c>
      <c r="J48" s="140">
        <f t="shared" si="4"/>
        <v>2019</v>
      </c>
      <c r="K48" s="140"/>
    </row>
    <row r="49" spans="2:11" hidden="1" outlineLevel="1" x14ac:dyDescent="0.2">
      <c r="B49" s="141">
        <f t="shared" si="1"/>
        <v>43831</v>
      </c>
      <c r="C49" s="136">
        <v>1529120.6274057031</v>
      </c>
      <c r="D49" s="137">
        <f>IF(ISNUMBER($F49),VLOOKUP($J49,'Table 1'!$B$13:$C$32,2,FALSE)/12*1000*Study_MW,"")</f>
        <v>0</v>
      </c>
      <c r="E49" s="137">
        <f t="shared" si="9"/>
        <v>1529120.6274057031</v>
      </c>
      <c r="F49" s="136">
        <v>63240</v>
      </c>
      <c r="G49" s="139">
        <f t="shared" si="3"/>
        <v>24.17964306460631</v>
      </c>
      <c r="I49" s="127">
        <f>I37+13</f>
        <v>40</v>
      </c>
      <c r="J49" s="140">
        <f t="shared" si="4"/>
        <v>2020</v>
      </c>
      <c r="K49" s="140"/>
    </row>
    <row r="50" spans="2:11" hidden="1" outlineLevel="1" x14ac:dyDescent="0.2">
      <c r="B50" s="145">
        <f t="shared" si="1"/>
        <v>43862</v>
      </c>
      <c r="C50" s="142">
        <v>1440163.9071214497</v>
      </c>
      <c r="D50" s="138">
        <f>IF(ISNUMBER($F50),VLOOKUP($J50,'Table 1'!$B$13:$C$32,2,FALSE)/12*1000*Study_MW,"")</f>
        <v>0</v>
      </c>
      <c r="E50" s="138">
        <f t="shared" si="9"/>
        <v>1440163.9071214497</v>
      </c>
      <c r="F50" s="142">
        <v>59160</v>
      </c>
      <c r="G50" s="143">
        <f t="shared" si="3"/>
        <v>24.343541364459934</v>
      </c>
      <c r="I50" s="144">
        <f t="shared" si="10"/>
        <v>41</v>
      </c>
      <c r="J50" s="140">
        <f t="shared" si="4"/>
        <v>2020</v>
      </c>
      <c r="K50" s="140"/>
    </row>
    <row r="51" spans="2:11" hidden="1" outlineLevel="1" x14ac:dyDescent="0.2">
      <c r="B51" s="145">
        <f t="shared" si="1"/>
        <v>43891</v>
      </c>
      <c r="C51" s="142">
        <v>1559682.5169269592</v>
      </c>
      <c r="D51" s="138">
        <f>IF(ISNUMBER($F51),VLOOKUP($J51,'Table 1'!$B$13:$C$32,2,FALSE)/12*1000*Study_MW,"")</f>
        <v>0</v>
      </c>
      <c r="E51" s="138">
        <f t="shared" si="9"/>
        <v>1559682.5169269592</v>
      </c>
      <c r="F51" s="142">
        <v>63240</v>
      </c>
      <c r="G51" s="143">
        <f t="shared" si="3"/>
        <v>24.662911399857038</v>
      </c>
      <c r="I51" s="144">
        <f t="shared" si="10"/>
        <v>42</v>
      </c>
      <c r="J51" s="140">
        <f t="shared" si="4"/>
        <v>2020</v>
      </c>
      <c r="K51" s="140"/>
    </row>
    <row r="52" spans="2:11" hidden="1" outlineLevel="1" x14ac:dyDescent="0.2">
      <c r="B52" s="145">
        <f t="shared" si="1"/>
        <v>43922</v>
      </c>
      <c r="C52" s="142">
        <v>1276984.9940306395</v>
      </c>
      <c r="D52" s="138">
        <f>IF(ISNUMBER($F52),VLOOKUP($J52,'Table 1'!$B$13:$C$32,2,FALSE)/12*1000*Study_MW,"")</f>
        <v>0</v>
      </c>
      <c r="E52" s="138">
        <f t="shared" si="9"/>
        <v>1276984.9940306395</v>
      </c>
      <c r="F52" s="142">
        <v>61200</v>
      </c>
      <c r="G52" s="143">
        <f t="shared" si="3"/>
        <v>20.865767876317641</v>
      </c>
      <c r="I52" s="144">
        <f t="shared" si="10"/>
        <v>43</v>
      </c>
      <c r="J52" s="140">
        <f t="shared" si="4"/>
        <v>2020</v>
      </c>
      <c r="K52" s="140"/>
    </row>
    <row r="53" spans="2:11" hidden="1" outlineLevel="1" x14ac:dyDescent="0.2">
      <c r="B53" s="145">
        <f t="shared" si="1"/>
        <v>43952</v>
      </c>
      <c r="C53" s="142">
        <v>1344126.9117316902</v>
      </c>
      <c r="D53" s="138">
        <f>IF(ISNUMBER($F53),VLOOKUP($J53,'Table 1'!$B$13:$C$32,2,FALSE)/12*1000*Study_MW,"")</f>
        <v>0</v>
      </c>
      <c r="E53" s="138">
        <f t="shared" si="9"/>
        <v>1344126.9117316902</v>
      </c>
      <c r="F53" s="142">
        <v>63240</v>
      </c>
      <c r="G53" s="143">
        <f t="shared" si="3"/>
        <v>21.254378743385359</v>
      </c>
      <c r="I53" s="144">
        <f t="shared" si="10"/>
        <v>44</v>
      </c>
      <c r="J53" s="140">
        <f t="shared" si="4"/>
        <v>2020</v>
      </c>
      <c r="K53" s="140"/>
    </row>
    <row r="54" spans="2:11" hidden="1" outlineLevel="1" x14ac:dyDescent="0.2">
      <c r="B54" s="145">
        <f t="shared" si="1"/>
        <v>43983</v>
      </c>
      <c r="C54" s="142">
        <v>1211857.4286029637</v>
      </c>
      <c r="D54" s="138">
        <f>IF(ISNUMBER($F54),VLOOKUP($J54,'Table 1'!$B$13:$C$32,2,FALSE)/12*1000*Study_MW,"")</f>
        <v>0</v>
      </c>
      <c r="E54" s="138">
        <f t="shared" si="9"/>
        <v>1211857.4286029637</v>
      </c>
      <c r="F54" s="142">
        <v>61200</v>
      </c>
      <c r="G54" s="143">
        <f t="shared" si="3"/>
        <v>19.801591970636661</v>
      </c>
      <c r="I54" s="144">
        <f t="shared" si="10"/>
        <v>45</v>
      </c>
      <c r="J54" s="140">
        <f t="shared" si="4"/>
        <v>2020</v>
      </c>
      <c r="K54" s="140"/>
    </row>
    <row r="55" spans="2:11" hidden="1" outlineLevel="1" x14ac:dyDescent="0.2">
      <c r="B55" s="145">
        <f t="shared" si="1"/>
        <v>44013</v>
      </c>
      <c r="C55" s="142">
        <v>1865203.044759959</v>
      </c>
      <c r="D55" s="138">
        <f>IF(ISNUMBER($F55),VLOOKUP($J55,'Table 1'!$B$13:$C$32,2,FALSE)/12*1000*Study_MW,"")</f>
        <v>0</v>
      </c>
      <c r="E55" s="138">
        <f t="shared" si="9"/>
        <v>1865203.044759959</v>
      </c>
      <c r="F55" s="142">
        <v>63240</v>
      </c>
      <c r="G55" s="143">
        <f t="shared" si="3"/>
        <v>29.494039290954444</v>
      </c>
      <c r="I55" s="144">
        <f t="shared" si="10"/>
        <v>46</v>
      </c>
      <c r="J55" s="140">
        <f t="shared" si="4"/>
        <v>2020</v>
      </c>
      <c r="K55" s="140"/>
    </row>
    <row r="56" spans="2:11" hidden="1" outlineLevel="1" x14ac:dyDescent="0.2">
      <c r="B56" s="145">
        <f t="shared" si="1"/>
        <v>44044</v>
      </c>
      <c r="C56" s="142">
        <v>1731788.8102867305</v>
      </c>
      <c r="D56" s="138">
        <f>IF(ISNUMBER($F56),VLOOKUP($J56,'Table 1'!$B$13:$C$32,2,FALSE)/12*1000*Study_MW,"")</f>
        <v>0</v>
      </c>
      <c r="E56" s="138">
        <f t="shared" si="9"/>
        <v>1731788.8102867305</v>
      </c>
      <c r="F56" s="142">
        <v>63240</v>
      </c>
      <c r="G56" s="143">
        <f t="shared" si="3"/>
        <v>27.384389789480242</v>
      </c>
      <c r="I56" s="144">
        <f t="shared" si="10"/>
        <v>47</v>
      </c>
      <c r="J56" s="140">
        <f t="shared" si="4"/>
        <v>2020</v>
      </c>
      <c r="K56" s="140"/>
    </row>
    <row r="57" spans="2:11" hidden="1" outlineLevel="1" x14ac:dyDescent="0.2">
      <c r="B57" s="145">
        <f t="shared" si="1"/>
        <v>44075</v>
      </c>
      <c r="C57" s="142">
        <v>1399029.1658190191</v>
      </c>
      <c r="D57" s="138">
        <f>IF(ISNUMBER($F57),VLOOKUP($J57,'Table 1'!$B$13:$C$32,2,FALSE)/12*1000*Study_MW,"")</f>
        <v>0</v>
      </c>
      <c r="E57" s="138">
        <f t="shared" si="9"/>
        <v>1399029.1658190191</v>
      </c>
      <c r="F57" s="142">
        <v>61200</v>
      </c>
      <c r="G57" s="143">
        <f t="shared" si="3"/>
        <v>22.859953689853253</v>
      </c>
      <c r="I57" s="144">
        <f t="shared" si="10"/>
        <v>48</v>
      </c>
      <c r="J57" s="140">
        <f t="shared" si="4"/>
        <v>2020</v>
      </c>
      <c r="K57" s="140"/>
    </row>
    <row r="58" spans="2:11" hidden="1" outlineLevel="1" x14ac:dyDescent="0.2">
      <c r="B58" s="145">
        <f t="shared" si="1"/>
        <v>44105</v>
      </c>
      <c r="C58" s="142">
        <v>1431431.0283342451</v>
      </c>
      <c r="D58" s="138">
        <f>IF(ISNUMBER($F58),VLOOKUP($J58,'Table 1'!$B$13:$C$32,2,FALSE)/12*1000*Study_MW,"")</f>
        <v>0</v>
      </c>
      <c r="E58" s="138">
        <f t="shared" si="9"/>
        <v>1431431.0283342451</v>
      </c>
      <c r="F58" s="142">
        <v>63240</v>
      </c>
      <c r="G58" s="143">
        <f t="shared" si="3"/>
        <v>22.63489924627206</v>
      </c>
      <c r="I58" s="144">
        <f t="shared" si="10"/>
        <v>49</v>
      </c>
      <c r="J58" s="140">
        <f t="shared" si="4"/>
        <v>2020</v>
      </c>
      <c r="K58" s="140"/>
    </row>
    <row r="59" spans="2:11" hidden="1" outlineLevel="1" x14ac:dyDescent="0.2">
      <c r="B59" s="145">
        <f t="shared" si="1"/>
        <v>44136</v>
      </c>
      <c r="C59" s="142">
        <v>1485338.5388292968</v>
      </c>
      <c r="D59" s="138">
        <f>IF(ISNUMBER($F59),VLOOKUP($J59,'Table 1'!$B$13:$C$32,2,FALSE)/12*1000*Study_MW,"")</f>
        <v>0</v>
      </c>
      <c r="E59" s="138">
        <f t="shared" si="9"/>
        <v>1485338.5388292968</v>
      </c>
      <c r="F59" s="142">
        <v>61200</v>
      </c>
      <c r="G59" s="143">
        <f t="shared" si="3"/>
        <v>24.270237562570209</v>
      </c>
      <c r="I59" s="144">
        <f t="shared" si="10"/>
        <v>50</v>
      </c>
      <c r="J59" s="140">
        <f t="shared" si="4"/>
        <v>2020</v>
      </c>
      <c r="K59" s="140"/>
    </row>
    <row r="60" spans="2:11" hidden="1" outlineLevel="1" x14ac:dyDescent="0.2">
      <c r="B60" s="149">
        <f t="shared" si="1"/>
        <v>44166</v>
      </c>
      <c r="C60" s="146">
        <v>1535385.734031111</v>
      </c>
      <c r="D60" s="147">
        <f>IF(ISNUMBER($F60),VLOOKUP($J60,'Table 1'!$B$13:$C$32,2,FALSE)/12*1000*Study_MW,"")</f>
        <v>0</v>
      </c>
      <c r="E60" s="147">
        <f t="shared" si="9"/>
        <v>1535385.734031111</v>
      </c>
      <c r="F60" s="146">
        <v>63240</v>
      </c>
      <c r="G60" s="148">
        <f t="shared" si="3"/>
        <v>24.278711796823387</v>
      </c>
      <c r="I60" s="131">
        <f t="shared" si="10"/>
        <v>51</v>
      </c>
      <c r="J60" s="140">
        <f t="shared" si="4"/>
        <v>2020</v>
      </c>
      <c r="K60" s="140"/>
    </row>
    <row r="61" spans="2:11" hidden="1" outlineLevel="1" x14ac:dyDescent="0.2">
      <c r="B61" s="141">
        <f t="shared" si="1"/>
        <v>44197</v>
      </c>
      <c r="C61" s="136">
        <v>1625407.1230491698</v>
      </c>
      <c r="D61" s="137">
        <f>IF(ISNUMBER($F61),VLOOKUP($J61,'Table 1'!$B$13:$C$32,2,FALSE)/12*1000*Study_MW,"")</f>
        <v>0</v>
      </c>
      <c r="E61" s="137">
        <f t="shared" si="9"/>
        <v>1625407.1230491698</v>
      </c>
      <c r="F61" s="136">
        <v>63240</v>
      </c>
      <c r="G61" s="139">
        <f t="shared" si="3"/>
        <v>25.702199921713628</v>
      </c>
      <c r="I61" s="127">
        <f>I49+13</f>
        <v>53</v>
      </c>
      <c r="J61" s="140">
        <f t="shared" si="4"/>
        <v>2021</v>
      </c>
      <c r="K61" s="140"/>
    </row>
    <row r="62" spans="2:11" hidden="1" outlineLevel="1" x14ac:dyDescent="0.2">
      <c r="B62" s="145">
        <f t="shared" si="1"/>
        <v>44228</v>
      </c>
      <c r="C62" s="142">
        <v>1447964.573517859</v>
      </c>
      <c r="D62" s="138">
        <f>IF(ISNUMBER($F62),VLOOKUP($J62,'Table 1'!$B$13:$C$32,2,FALSE)/12*1000*Study_MW,"")</f>
        <v>0</v>
      </c>
      <c r="E62" s="138">
        <f t="shared" si="9"/>
        <v>1447964.573517859</v>
      </c>
      <c r="F62" s="142">
        <v>57120</v>
      </c>
      <c r="G62" s="143">
        <f t="shared" si="3"/>
        <v>25.349519844500332</v>
      </c>
      <c r="I62" s="144">
        <f t="shared" si="10"/>
        <v>54</v>
      </c>
      <c r="J62" s="140">
        <f t="shared" si="4"/>
        <v>2021</v>
      </c>
      <c r="K62" s="140"/>
    </row>
    <row r="63" spans="2:11" hidden="1" outlineLevel="1" x14ac:dyDescent="0.2">
      <c r="B63" s="145">
        <f t="shared" si="1"/>
        <v>44256</v>
      </c>
      <c r="C63" s="142">
        <v>1542338.8184253573</v>
      </c>
      <c r="D63" s="138">
        <f>IF(ISNUMBER($F63),VLOOKUP($J63,'Table 1'!$B$13:$C$32,2,FALSE)/12*1000*Study_MW,"")</f>
        <v>0</v>
      </c>
      <c r="E63" s="138">
        <f t="shared" si="9"/>
        <v>1542338.8184253573</v>
      </c>
      <c r="F63" s="142">
        <v>63240</v>
      </c>
      <c r="G63" s="143">
        <f t="shared" si="3"/>
        <v>24.3886593678899</v>
      </c>
      <c r="I63" s="144">
        <f t="shared" si="10"/>
        <v>55</v>
      </c>
      <c r="J63" s="140">
        <f t="shared" si="4"/>
        <v>2021</v>
      </c>
      <c r="K63" s="140"/>
    </row>
    <row r="64" spans="2:11" hidden="1" outlineLevel="1" x14ac:dyDescent="0.2">
      <c r="B64" s="145">
        <f t="shared" si="1"/>
        <v>44287</v>
      </c>
      <c r="C64" s="142">
        <v>1347747.4060416073</v>
      </c>
      <c r="D64" s="138">
        <f>IF(ISNUMBER($F64),VLOOKUP($J64,'Table 1'!$B$13:$C$32,2,FALSE)/12*1000*Study_MW,"")</f>
        <v>0</v>
      </c>
      <c r="E64" s="138">
        <f t="shared" si="9"/>
        <v>1347747.4060416073</v>
      </c>
      <c r="F64" s="142">
        <v>61200</v>
      </c>
      <c r="G64" s="143">
        <f t="shared" si="3"/>
        <v>22.022016438588356</v>
      </c>
      <c r="I64" s="144">
        <f t="shared" si="10"/>
        <v>56</v>
      </c>
      <c r="J64" s="140">
        <f t="shared" si="4"/>
        <v>2021</v>
      </c>
      <c r="K64" s="140"/>
    </row>
    <row r="65" spans="2:11" hidden="1" outlineLevel="1" x14ac:dyDescent="0.2">
      <c r="B65" s="145">
        <f t="shared" si="1"/>
        <v>44317</v>
      </c>
      <c r="C65" s="142">
        <v>1383278.3299989998</v>
      </c>
      <c r="D65" s="138">
        <f>IF(ISNUMBER($F65),VLOOKUP($J65,'Table 1'!$B$13:$C$32,2,FALSE)/12*1000*Study_MW,"")</f>
        <v>0</v>
      </c>
      <c r="E65" s="138">
        <f t="shared" si="9"/>
        <v>1383278.3299989998</v>
      </c>
      <c r="F65" s="142">
        <v>63240</v>
      </c>
      <c r="G65" s="143">
        <f t="shared" si="3"/>
        <v>21.873471378858316</v>
      </c>
      <c r="I65" s="144">
        <f t="shared" si="10"/>
        <v>57</v>
      </c>
      <c r="J65" s="140">
        <f t="shared" si="4"/>
        <v>2021</v>
      </c>
      <c r="K65" s="140"/>
    </row>
    <row r="66" spans="2:11" hidden="1" outlineLevel="1" x14ac:dyDescent="0.2">
      <c r="B66" s="145">
        <f t="shared" si="1"/>
        <v>44348</v>
      </c>
      <c r="C66" s="142">
        <v>1271486.6765380055</v>
      </c>
      <c r="D66" s="138">
        <f>IF(ISNUMBER($F66),VLOOKUP($J66,'Table 1'!$B$13:$C$32,2,FALSE)/12*1000*Study_MW,"")</f>
        <v>0</v>
      </c>
      <c r="E66" s="138">
        <f t="shared" si="9"/>
        <v>1271486.6765380055</v>
      </c>
      <c r="F66" s="142">
        <v>61200</v>
      </c>
      <c r="G66" s="143">
        <f t="shared" si="3"/>
        <v>20.775926087222313</v>
      </c>
      <c r="I66" s="144">
        <f t="shared" si="10"/>
        <v>58</v>
      </c>
      <c r="J66" s="140">
        <f t="shared" si="4"/>
        <v>2021</v>
      </c>
      <c r="K66" s="140"/>
    </row>
    <row r="67" spans="2:11" hidden="1" outlineLevel="1" x14ac:dyDescent="0.2">
      <c r="B67" s="145">
        <f t="shared" si="1"/>
        <v>44378</v>
      </c>
      <c r="C67" s="142">
        <v>1807446.2276363671</v>
      </c>
      <c r="D67" s="138">
        <f>IF(ISNUMBER($F67),VLOOKUP($J67,'Table 1'!$B$13:$C$32,2,FALSE)/12*1000*Study_MW,"")</f>
        <v>0</v>
      </c>
      <c r="E67" s="138">
        <f t="shared" si="9"/>
        <v>1807446.2276363671</v>
      </c>
      <c r="F67" s="142">
        <v>63240</v>
      </c>
      <c r="G67" s="143">
        <f t="shared" si="3"/>
        <v>28.580743637513709</v>
      </c>
      <c r="I67" s="144">
        <f t="shared" si="10"/>
        <v>59</v>
      </c>
      <c r="J67" s="140">
        <f t="shared" si="4"/>
        <v>2021</v>
      </c>
      <c r="K67" s="140"/>
    </row>
    <row r="68" spans="2:11" hidden="1" outlineLevel="1" x14ac:dyDescent="0.2">
      <c r="B68" s="145">
        <f t="shared" si="1"/>
        <v>44409</v>
      </c>
      <c r="C68" s="142">
        <v>1744592.7756175995</v>
      </c>
      <c r="D68" s="138">
        <f>IF(ISNUMBER($F68),VLOOKUP($J68,'Table 1'!$B$13:$C$32,2,FALSE)/12*1000*Study_MW,"")</f>
        <v>0</v>
      </c>
      <c r="E68" s="138">
        <f t="shared" si="9"/>
        <v>1744592.7756175995</v>
      </c>
      <c r="F68" s="142">
        <v>63240</v>
      </c>
      <c r="G68" s="143">
        <f t="shared" si="3"/>
        <v>27.586856034433893</v>
      </c>
      <c r="I68" s="144">
        <f t="shared" si="10"/>
        <v>60</v>
      </c>
      <c r="J68" s="140">
        <f t="shared" si="4"/>
        <v>2021</v>
      </c>
      <c r="K68" s="140"/>
    </row>
    <row r="69" spans="2:11" hidden="1" outlineLevel="1" x14ac:dyDescent="0.2">
      <c r="B69" s="145">
        <f t="shared" si="1"/>
        <v>44440</v>
      </c>
      <c r="C69" s="142">
        <v>1482577.9155890048</v>
      </c>
      <c r="D69" s="138">
        <f>IF(ISNUMBER($F69),VLOOKUP($J69,'Table 1'!$B$13:$C$32,2,FALSE)/12*1000*Study_MW,"")</f>
        <v>0</v>
      </c>
      <c r="E69" s="138">
        <f t="shared" si="9"/>
        <v>1482577.9155890048</v>
      </c>
      <c r="F69" s="142">
        <v>61200</v>
      </c>
      <c r="G69" s="143">
        <f t="shared" si="3"/>
        <v>24.225129339689619</v>
      </c>
      <c r="I69" s="144">
        <f t="shared" si="10"/>
        <v>61</v>
      </c>
      <c r="J69" s="140">
        <f t="shared" si="4"/>
        <v>2021</v>
      </c>
      <c r="K69" s="140"/>
    </row>
    <row r="70" spans="2:11" hidden="1" outlineLevel="1" x14ac:dyDescent="0.2">
      <c r="B70" s="145">
        <f t="shared" si="1"/>
        <v>44470</v>
      </c>
      <c r="C70" s="142">
        <v>1543543.5747880936</v>
      </c>
      <c r="D70" s="138">
        <f>IF(ISNUMBER($F70),VLOOKUP($J70,'Table 1'!$B$13:$C$32,2,FALSE)/12*1000*Study_MW,"")</f>
        <v>0</v>
      </c>
      <c r="E70" s="138">
        <f t="shared" si="9"/>
        <v>1543543.5747880936</v>
      </c>
      <c r="F70" s="142">
        <v>63240</v>
      </c>
      <c r="G70" s="143">
        <f t="shared" si="3"/>
        <v>24.407709911260177</v>
      </c>
      <c r="I70" s="144">
        <f t="shared" si="10"/>
        <v>62</v>
      </c>
      <c r="J70" s="140">
        <f t="shared" si="4"/>
        <v>2021</v>
      </c>
      <c r="K70" s="140"/>
    </row>
    <row r="71" spans="2:11" hidden="1" outlineLevel="1" x14ac:dyDescent="0.2">
      <c r="B71" s="145">
        <f t="shared" si="1"/>
        <v>44501</v>
      </c>
      <c r="C71" s="142">
        <v>1748407.5977292657</v>
      </c>
      <c r="D71" s="138">
        <f>IF(ISNUMBER($F71),VLOOKUP($J71,'Table 1'!$B$13:$C$32,2,FALSE)/12*1000*Study_MW,"")</f>
        <v>0</v>
      </c>
      <c r="E71" s="138">
        <f t="shared" si="9"/>
        <v>1748407.5977292657</v>
      </c>
      <c r="F71" s="142">
        <v>61200</v>
      </c>
      <c r="G71" s="143">
        <f t="shared" si="3"/>
        <v>28.568751596883427</v>
      </c>
      <c r="I71" s="144">
        <f t="shared" si="10"/>
        <v>63</v>
      </c>
      <c r="J71" s="140">
        <f t="shared" si="4"/>
        <v>2021</v>
      </c>
      <c r="K71" s="140"/>
    </row>
    <row r="72" spans="2:11" hidden="1" outlineLevel="1" x14ac:dyDescent="0.2">
      <c r="B72" s="149">
        <f t="shared" si="1"/>
        <v>44531</v>
      </c>
      <c r="C72" s="146">
        <v>1677334.7174360156</v>
      </c>
      <c r="D72" s="147">
        <f>IF(ISNUMBER($F72),VLOOKUP($J72,'Table 1'!$B$13:$C$32,2,FALSE)/12*1000*Study_MW,"")</f>
        <v>0</v>
      </c>
      <c r="E72" s="147">
        <f t="shared" si="9"/>
        <v>1677334.7174360156</v>
      </c>
      <c r="F72" s="146">
        <v>63240</v>
      </c>
      <c r="G72" s="148">
        <f t="shared" si="3"/>
        <v>26.523319377546105</v>
      </c>
      <c r="I72" s="131">
        <f t="shared" si="10"/>
        <v>64</v>
      </c>
      <c r="J72" s="140">
        <f t="shared" si="4"/>
        <v>2021</v>
      </c>
      <c r="K72" s="140"/>
    </row>
    <row r="73" spans="2:11" hidden="1" outlineLevel="1" x14ac:dyDescent="0.2">
      <c r="B73" s="141">
        <f t="shared" si="1"/>
        <v>44562</v>
      </c>
      <c r="C73" s="136">
        <v>1712583.3219854236</v>
      </c>
      <c r="D73" s="137">
        <f>IF(ISNUMBER($F73),VLOOKUP($J73,'Table 1'!$B$13:$C$32,2,FALSE)/12*1000*Study_MW,"")</f>
        <v>0</v>
      </c>
      <c r="E73" s="137">
        <f t="shared" si="9"/>
        <v>1712583.3219854236</v>
      </c>
      <c r="F73" s="136">
        <v>63240</v>
      </c>
      <c r="G73" s="139">
        <f t="shared" si="3"/>
        <v>27.080697691104106</v>
      </c>
      <c r="I73" s="127">
        <f>I61+13</f>
        <v>66</v>
      </c>
      <c r="J73" s="140">
        <f t="shared" si="4"/>
        <v>2022</v>
      </c>
      <c r="K73" s="140"/>
    </row>
    <row r="74" spans="2:11" hidden="1" outlineLevel="1" x14ac:dyDescent="0.2">
      <c r="B74" s="145">
        <f t="shared" si="1"/>
        <v>44593</v>
      </c>
      <c r="C74" s="142">
        <v>1542690.9823776782</v>
      </c>
      <c r="D74" s="138">
        <f>IF(ISNUMBER($F74),VLOOKUP($J74,'Table 1'!$B$13:$C$32,2,FALSE)/12*1000*Study_MW,"")</f>
        <v>0</v>
      </c>
      <c r="E74" s="138">
        <f t="shared" si="9"/>
        <v>1542690.9823776782</v>
      </c>
      <c r="F74" s="142">
        <v>57120</v>
      </c>
      <c r="G74" s="143">
        <f t="shared" si="3"/>
        <v>27.007895349749269</v>
      </c>
      <c r="I74" s="144">
        <f t="shared" si="10"/>
        <v>67</v>
      </c>
      <c r="J74" s="140">
        <f t="shared" si="4"/>
        <v>2022</v>
      </c>
      <c r="K74" s="140"/>
    </row>
    <row r="75" spans="2:11" hidden="1" outlineLevel="1" x14ac:dyDescent="0.2">
      <c r="B75" s="145">
        <f t="shared" si="1"/>
        <v>44621</v>
      </c>
      <c r="C75" s="142">
        <v>1660358.9724481106</v>
      </c>
      <c r="D75" s="138">
        <f>IF(ISNUMBER($F75),VLOOKUP($J75,'Table 1'!$B$13:$C$32,2,FALSE)/12*1000*Study_MW,"")</f>
        <v>0</v>
      </c>
      <c r="E75" s="138">
        <f t="shared" si="9"/>
        <v>1660358.9724481106</v>
      </c>
      <c r="F75" s="142">
        <v>63240</v>
      </c>
      <c r="G75" s="143">
        <f t="shared" si="3"/>
        <v>26.254885712335714</v>
      </c>
      <c r="I75" s="144">
        <f t="shared" si="10"/>
        <v>68</v>
      </c>
      <c r="J75" s="140">
        <f t="shared" si="4"/>
        <v>2022</v>
      </c>
      <c r="K75" s="140"/>
    </row>
    <row r="76" spans="2:11" hidden="1" outlineLevel="1" x14ac:dyDescent="0.2">
      <c r="B76" s="145">
        <f t="shared" si="1"/>
        <v>44652</v>
      </c>
      <c r="C76" s="142">
        <v>1413588.0699371994</v>
      </c>
      <c r="D76" s="138">
        <f>IF(ISNUMBER($F76),VLOOKUP($J76,'Table 1'!$B$13:$C$32,2,FALSE)/12*1000*Study_MW,"")</f>
        <v>0</v>
      </c>
      <c r="E76" s="138">
        <f t="shared" si="9"/>
        <v>1413588.0699371994</v>
      </c>
      <c r="F76" s="142">
        <v>61200</v>
      </c>
      <c r="G76" s="143">
        <f t="shared" si="3"/>
        <v>23.097844280019597</v>
      </c>
      <c r="I76" s="144">
        <f t="shared" si="10"/>
        <v>69</v>
      </c>
      <c r="J76" s="140">
        <f t="shared" si="4"/>
        <v>2022</v>
      </c>
      <c r="K76" s="140"/>
    </row>
    <row r="77" spans="2:11" hidden="1" outlineLevel="1" x14ac:dyDescent="0.2">
      <c r="B77" s="145">
        <f t="shared" si="1"/>
        <v>44682</v>
      </c>
      <c r="C77" s="142">
        <v>1463992.265758872</v>
      </c>
      <c r="D77" s="138">
        <f>IF(ISNUMBER($F77),VLOOKUP($J77,'Table 1'!$B$13:$C$32,2,FALSE)/12*1000*Study_MW,"")</f>
        <v>0</v>
      </c>
      <c r="E77" s="138">
        <f t="shared" si="9"/>
        <v>1463992.265758872</v>
      </c>
      <c r="F77" s="142">
        <v>63240</v>
      </c>
      <c r="G77" s="143">
        <f t="shared" si="3"/>
        <v>23.149782823511575</v>
      </c>
      <c r="I77" s="144">
        <f t="shared" si="10"/>
        <v>70</v>
      </c>
      <c r="J77" s="140">
        <f t="shared" si="4"/>
        <v>2022</v>
      </c>
      <c r="K77" s="140"/>
    </row>
    <row r="78" spans="2:11" hidden="1" outlineLevel="1" x14ac:dyDescent="0.2">
      <c r="B78" s="145">
        <f t="shared" ref="B78:B141" si="11">EDATE(B77,1)</f>
        <v>44713</v>
      </c>
      <c r="C78" s="142">
        <v>1362325.8273514211</v>
      </c>
      <c r="D78" s="138">
        <f>IF(ISNUMBER($F78),VLOOKUP($J78,'Table 1'!$B$13:$C$32,2,FALSE)/12*1000*Study_MW,"")</f>
        <v>0</v>
      </c>
      <c r="E78" s="138">
        <f t="shared" ref="E78:E141" si="12">C78+D78</f>
        <v>1362325.8273514211</v>
      </c>
      <c r="F78" s="142">
        <v>61200</v>
      </c>
      <c r="G78" s="143">
        <f t="shared" ref="G78:G141" si="13">IF(ISNUMBER($F78),E78/$F78,"")</f>
        <v>22.260225937114726</v>
      </c>
      <c r="I78" s="144">
        <f t="shared" si="10"/>
        <v>71</v>
      </c>
      <c r="J78" s="140">
        <f t="shared" ref="J78:J141" si="14">YEAR(B78)</f>
        <v>2022</v>
      </c>
      <c r="K78" s="140"/>
    </row>
    <row r="79" spans="2:11" hidden="1" outlineLevel="1" x14ac:dyDescent="0.2">
      <c r="B79" s="145">
        <f t="shared" si="11"/>
        <v>44743</v>
      </c>
      <c r="C79" s="142">
        <v>2032541.2281623483</v>
      </c>
      <c r="D79" s="138">
        <f>IF(ISNUMBER($F79),VLOOKUP($J79,'Table 1'!$B$13:$C$32,2,FALSE)/12*1000*Study_MW,"")</f>
        <v>0</v>
      </c>
      <c r="E79" s="138">
        <f t="shared" si="12"/>
        <v>2032541.2281623483</v>
      </c>
      <c r="F79" s="142">
        <v>63240</v>
      </c>
      <c r="G79" s="143">
        <f t="shared" si="13"/>
        <v>32.140120622428022</v>
      </c>
      <c r="I79" s="144">
        <f t="shared" si="10"/>
        <v>72</v>
      </c>
      <c r="J79" s="140">
        <f t="shared" si="14"/>
        <v>2022</v>
      </c>
      <c r="K79" s="140"/>
    </row>
    <row r="80" spans="2:11" hidden="1" outlineLevel="1" x14ac:dyDescent="0.2">
      <c r="B80" s="145">
        <f t="shared" si="11"/>
        <v>44774</v>
      </c>
      <c r="C80" s="142">
        <v>1922508.7965897024</v>
      </c>
      <c r="D80" s="138">
        <f>IF(ISNUMBER($F80),VLOOKUP($J80,'Table 1'!$B$13:$C$32,2,FALSE)/12*1000*Study_MW,"")</f>
        <v>0</v>
      </c>
      <c r="E80" s="138">
        <f t="shared" si="12"/>
        <v>1922508.7965897024</v>
      </c>
      <c r="F80" s="142">
        <v>63240</v>
      </c>
      <c r="G80" s="143">
        <f t="shared" si="13"/>
        <v>30.400202349615785</v>
      </c>
      <c r="I80" s="144">
        <f t="shared" si="10"/>
        <v>73</v>
      </c>
      <c r="J80" s="140">
        <f t="shared" si="14"/>
        <v>2022</v>
      </c>
      <c r="K80" s="140"/>
    </row>
    <row r="81" spans="2:11" hidden="1" outlineLevel="1" x14ac:dyDescent="0.2">
      <c r="B81" s="145">
        <f t="shared" si="11"/>
        <v>44805</v>
      </c>
      <c r="C81" s="142">
        <v>1577800.8569777608</v>
      </c>
      <c r="D81" s="138">
        <f>IF(ISNUMBER($F81),VLOOKUP($J81,'Table 1'!$B$13:$C$32,2,FALSE)/12*1000*Study_MW,"")</f>
        <v>0</v>
      </c>
      <c r="E81" s="138">
        <f t="shared" si="12"/>
        <v>1577800.8569777608</v>
      </c>
      <c r="F81" s="142">
        <v>61200</v>
      </c>
      <c r="G81" s="143">
        <f t="shared" si="13"/>
        <v>25.781059754538575</v>
      </c>
      <c r="I81" s="144">
        <f t="shared" si="10"/>
        <v>74</v>
      </c>
      <c r="J81" s="140">
        <f t="shared" si="14"/>
        <v>2022</v>
      </c>
      <c r="K81" s="140"/>
    </row>
    <row r="82" spans="2:11" hidden="1" outlineLevel="1" x14ac:dyDescent="0.2">
      <c r="B82" s="145">
        <f t="shared" si="11"/>
        <v>44835</v>
      </c>
      <c r="C82" s="142">
        <v>1713947.7760730982</v>
      </c>
      <c r="D82" s="138">
        <f>IF(ISNUMBER($F82),VLOOKUP($J82,'Table 1'!$B$13:$C$32,2,FALSE)/12*1000*Study_MW,"")</f>
        <v>0</v>
      </c>
      <c r="E82" s="138">
        <f t="shared" si="12"/>
        <v>1713947.7760730982</v>
      </c>
      <c r="F82" s="142">
        <v>63240</v>
      </c>
      <c r="G82" s="143">
        <f t="shared" si="13"/>
        <v>27.102273498942097</v>
      </c>
      <c r="I82" s="144">
        <f t="shared" si="10"/>
        <v>75</v>
      </c>
      <c r="J82" s="140">
        <f t="shared" si="14"/>
        <v>2022</v>
      </c>
      <c r="K82" s="140"/>
    </row>
    <row r="83" spans="2:11" hidden="1" outlineLevel="1" x14ac:dyDescent="0.2">
      <c r="B83" s="145">
        <f t="shared" si="11"/>
        <v>44866</v>
      </c>
      <c r="C83" s="142">
        <v>1730020.6947839856</v>
      </c>
      <c r="D83" s="138">
        <f>IF(ISNUMBER($F83),VLOOKUP($J83,'Table 1'!$B$13:$C$32,2,FALSE)/12*1000*Study_MW,"")</f>
        <v>0</v>
      </c>
      <c r="E83" s="138">
        <f t="shared" si="12"/>
        <v>1730020.6947839856</v>
      </c>
      <c r="F83" s="142">
        <v>61200</v>
      </c>
      <c r="G83" s="143">
        <f t="shared" si="13"/>
        <v>28.268312006274275</v>
      </c>
      <c r="I83" s="144">
        <f t="shared" si="10"/>
        <v>76</v>
      </c>
      <c r="J83" s="140">
        <f t="shared" si="14"/>
        <v>2022</v>
      </c>
      <c r="K83" s="140"/>
    </row>
    <row r="84" spans="2:11" hidden="1" outlineLevel="1" x14ac:dyDescent="0.2">
      <c r="B84" s="149">
        <f t="shared" si="11"/>
        <v>44896</v>
      </c>
      <c r="C84" s="146">
        <v>1647961.5763524771</v>
      </c>
      <c r="D84" s="147">
        <f>IF(ISNUMBER($F84),VLOOKUP($J84,'Table 1'!$B$13:$C$32,2,FALSE)/12*1000*Study_MW,"")</f>
        <v>0</v>
      </c>
      <c r="E84" s="147">
        <f t="shared" si="12"/>
        <v>1647961.5763524771</v>
      </c>
      <c r="F84" s="146">
        <v>63240</v>
      </c>
      <c r="G84" s="148">
        <f t="shared" si="13"/>
        <v>26.058848455921524</v>
      </c>
      <c r="I84" s="131">
        <f t="shared" si="10"/>
        <v>77</v>
      </c>
      <c r="J84" s="140">
        <f t="shared" si="14"/>
        <v>2022</v>
      </c>
      <c r="K84" s="140"/>
    </row>
    <row r="85" spans="2:11" hidden="1" outlineLevel="1" x14ac:dyDescent="0.2">
      <c r="B85" s="141">
        <f t="shared" si="11"/>
        <v>44927</v>
      </c>
      <c r="C85" s="136">
        <v>1965695.2310579717</v>
      </c>
      <c r="D85" s="137">
        <f>IF(ISNUMBER($F85),VLOOKUP($J85,'Table 1'!$B$13:$C$32,2,FALSE)/12*1000*Study_MW,"")</f>
        <v>0</v>
      </c>
      <c r="E85" s="137">
        <f t="shared" si="12"/>
        <v>1965695.2310579717</v>
      </c>
      <c r="F85" s="136">
        <v>63240</v>
      </c>
      <c r="G85" s="139">
        <f t="shared" si="13"/>
        <v>31.083099795350595</v>
      </c>
      <c r="I85" s="127">
        <f>I73+13</f>
        <v>79</v>
      </c>
      <c r="J85" s="140">
        <f t="shared" si="14"/>
        <v>2023</v>
      </c>
      <c r="K85" s="140"/>
    </row>
    <row r="86" spans="2:11" hidden="1" outlineLevel="1" x14ac:dyDescent="0.2">
      <c r="B86" s="145">
        <f t="shared" si="11"/>
        <v>44958</v>
      </c>
      <c r="C86" s="142">
        <v>1623805.5378238261</v>
      </c>
      <c r="D86" s="138">
        <f>IF(ISNUMBER($F86),VLOOKUP($J86,'Table 1'!$B$13:$C$32,2,FALSE)/12*1000*Study_MW,"")</f>
        <v>0</v>
      </c>
      <c r="E86" s="138">
        <f t="shared" si="12"/>
        <v>1623805.5378238261</v>
      </c>
      <c r="F86" s="142">
        <v>57120</v>
      </c>
      <c r="G86" s="143">
        <f t="shared" si="13"/>
        <v>28.427968099156619</v>
      </c>
      <c r="I86" s="144">
        <f t="shared" si="10"/>
        <v>80</v>
      </c>
      <c r="J86" s="140">
        <f t="shared" si="14"/>
        <v>2023</v>
      </c>
      <c r="K86" s="140"/>
    </row>
    <row r="87" spans="2:11" hidden="1" outlineLevel="1" x14ac:dyDescent="0.2">
      <c r="B87" s="145">
        <f t="shared" si="11"/>
        <v>44986</v>
      </c>
      <c r="C87" s="142">
        <v>1777792.5080083907</v>
      </c>
      <c r="D87" s="138">
        <f>IF(ISNUMBER($F87),VLOOKUP($J87,'Table 1'!$B$13:$C$32,2,FALSE)/12*1000*Study_MW,"")</f>
        <v>0</v>
      </c>
      <c r="E87" s="138">
        <f t="shared" si="12"/>
        <v>1777792.5080083907</v>
      </c>
      <c r="F87" s="142">
        <v>63240</v>
      </c>
      <c r="G87" s="143">
        <f t="shared" si="13"/>
        <v>28.111835990012501</v>
      </c>
      <c r="I87" s="144">
        <f t="shared" si="10"/>
        <v>81</v>
      </c>
      <c r="J87" s="140">
        <f t="shared" si="14"/>
        <v>2023</v>
      </c>
      <c r="K87" s="140"/>
    </row>
    <row r="88" spans="2:11" hidden="1" outlineLevel="1" x14ac:dyDescent="0.2">
      <c r="B88" s="145">
        <f t="shared" si="11"/>
        <v>45017</v>
      </c>
      <c r="C88" s="142">
        <v>1601470.3470467925</v>
      </c>
      <c r="D88" s="138">
        <f>IF(ISNUMBER($F88),VLOOKUP($J88,'Table 1'!$B$13:$C$32,2,FALSE)/12*1000*Study_MW,"")</f>
        <v>0</v>
      </c>
      <c r="E88" s="138">
        <f t="shared" si="12"/>
        <v>1601470.3470467925</v>
      </c>
      <c r="F88" s="142">
        <v>61200</v>
      </c>
      <c r="G88" s="143">
        <f t="shared" si="13"/>
        <v>26.167816128215563</v>
      </c>
      <c r="I88" s="144">
        <f t="shared" si="10"/>
        <v>82</v>
      </c>
      <c r="J88" s="140">
        <f t="shared" si="14"/>
        <v>2023</v>
      </c>
      <c r="K88" s="140"/>
    </row>
    <row r="89" spans="2:11" hidden="1" outlineLevel="1" x14ac:dyDescent="0.2">
      <c r="B89" s="145">
        <f t="shared" si="11"/>
        <v>45047</v>
      </c>
      <c r="C89" s="142">
        <v>1537544.4809623659</v>
      </c>
      <c r="D89" s="138">
        <f>IF(ISNUMBER($F89),VLOOKUP($J89,'Table 1'!$B$13:$C$32,2,FALSE)/12*1000*Study_MW,"")</f>
        <v>0</v>
      </c>
      <c r="E89" s="138">
        <f t="shared" si="12"/>
        <v>1537544.4809623659</v>
      </c>
      <c r="F89" s="142">
        <v>63240</v>
      </c>
      <c r="G89" s="143">
        <f t="shared" si="13"/>
        <v>24.312847580050061</v>
      </c>
      <c r="I89" s="144">
        <f t="shared" si="10"/>
        <v>83</v>
      </c>
      <c r="J89" s="140">
        <f t="shared" si="14"/>
        <v>2023</v>
      </c>
      <c r="K89" s="140"/>
    </row>
    <row r="90" spans="2:11" hidden="1" outlineLevel="1" x14ac:dyDescent="0.2">
      <c r="B90" s="145">
        <f t="shared" si="11"/>
        <v>45078</v>
      </c>
      <c r="C90" s="142">
        <v>1531906.70653826</v>
      </c>
      <c r="D90" s="138">
        <f>IF(ISNUMBER($F90),VLOOKUP($J90,'Table 1'!$B$13:$C$32,2,FALSE)/12*1000*Study_MW,"")</f>
        <v>0</v>
      </c>
      <c r="E90" s="138">
        <f t="shared" si="12"/>
        <v>1531906.70653826</v>
      </c>
      <c r="F90" s="142">
        <v>61200</v>
      </c>
      <c r="G90" s="143">
        <f t="shared" si="13"/>
        <v>25.031155335592484</v>
      </c>
      <c r="I90" s="144">
        <f t="shared" ref="I90:I96" si="15">I78+13</f>
        <v>84</v>
      </c>
      <c r="J90" s="140">
        <f t="shared" si="14"/>
        <v>2023</v>
      </c>
      <c r="K90" s="140"/>
    </row>
    <row r="91" spans="2:11" hidden="1" outlineLevel="1" x14ac:dyDescent="0.2">
      <c r="B91" s="145">
        <f t="shared" si="11"/>
        <v>45108</v>
      </c>
      <c r="C91" s="142">
        <v>2162392.7406865358</v>
      </c>
      <c r="D91" s="138">
        <f>IF(ISNUMBER($F91),VLOOKUP($J91,'Table 1'!$B$13:$C$32,2,FALSE)/12*1000*Study_MW,"")</f>
        <v>0</v>
      </c>
      <c r="E91" s="138">
        <f t="shared" si="12"/>
        <v>2162392.7406865358</v>
      </c>
      <c r="F91" s="142">
        <v>63240</v>
      </c>
      <c r="G91" s="143">
        <f t="shared" si="13"/>
        <v>34.193433597193795</v>
      </c>
      <c r="I91" s="144">
        <f t="shared" si="15"/>
        <v>85</v>
      </c>
      <c r="J91" s="140">
        <f t="shared" si="14"/>
        <v>2023</v>
      </c>
      <c r="K91" s="140"/>
    </row>
    <row r="92" spans="2:11" hidden="1" outlineLevel="1" x14ac:dyDescent="0.2">
      <c r="B92" s="145">
        <f t="shared" si="11"/>
        <v>45139</v>
      </c>
      <c r="C92" s="142">
        <v>2122400.0279098451</v>
      </c>
      <c r="D92" s="138">
        <f>IF(ISNUMBER($F92),VLOOKUP($J92,'Table 1'!$B$13:$C$32,2,FALSE)/12*1000*Study_MW,"")</f>
        <v>0</v>
      </c>
      <c r="E92" s="138">
        <f t="shared" si="12"/>
        <v>2122400.0279098451</v>
      </c>
      <c r="F92" s="142">
        <v>63240</v>
      </c>
      <c r="G92" s="143">
        <f t="shared" si="13"/>
        <v>33.561037759485217</v>
      </c>
      <c r="I92" s="144">
        <f t="shared" si="15"/>
        <v>86</v>
      </c>
      <c r="J92" s="140">
        <f t="shared" si="14"/>
        <v>2023</v>
      </c>
      <c r="K92" s="140"/>
    </row>
    <row r="93" spans="2:11" hidden="1" outlineLevel="1" x14ac:dyDescent="0.2">
      <c r="B93" s="145">
        <f t="shared" si="11"/>
        <v>45170</v>
      </c>
      <c r="C93" s="142">
        <v>1765469.6000501812</v>
      </c>
      <c r="D93" s="138">
        <f>IF(ISNUMBER($F93),VLOOKUP($J93,'Table 1'!$B$13:$C$32,2,FALSE)/12*1000*Study_MW,"")</f>
        <v>0</v>
      </c>
      <c r="E93" s="138">
        <f t="shared" si="12"/>
        <v>1765469.6000501812</v>
      </c>
      <c r="F93" s="142">
        <v>61200</v>
      </c>
      <c r="G93" s="143">
        <f t="shared" si="13"/>
        <v>28.847542484480083</v>
      </c>
      <c r="I93" s="144">
        <f t="shared" si="15"/>
        <v>87</v>
      </c>
      <c r="J93" s="140">
        <f t="shared" si="14"/>
        <v>2023</v>
      </c>
      <c r="K93" s="140"/>
    </row>
    <row r="94" spans="2:11" hidden="1" outlineLevel="1" x14ac:dyDescent="0.2">
      <c r="B94" s="145">
        <f t="shared" si="11"/>
        <v>45200</v>
      </c>
      <c r="C94" s="142">
        <v>1709421.8386783898</v>
      </c>
      <c r="D94" s="138">
        <f>IF(ISNUMBER($F94),VLOOKUP($J94,'Table 1'!$B$13:$C$32,2,FALSE)/12*1000*Study_MW,"")</f>
        <v>0</v>
      </c>
      <c r="E94" s="138">
        <f t="shared" si="12"/>
        <v>1709421.8386783898</v>
      </c>
      <c r="F94" s="142">
        <v>63240</v>
      </c>
      <c r="G94" s="143">
        <f t="shared" si="13"/>
        <v>27.030705861454614</v>
      </c>
      <c r="I94" s="144">
        <f t="shared" si="15"/>
        <v>88</v>
      </c>
      <c r="J94" s="140">
        <f t="shared" si="14"/>
        <v>2023</v>
      </c>
      <c r="K94" s="140"/>
    </row>
    <row r="95" spans="2:11" hidden="1" outlineLevel="1" x14ac:dyDescent="0.2">
      <c r="B95" s="145">
        <f t="shared" si="11"/>
        <v>45231</v>
      </c>
      <c r="C95" s="142">
        <v>1836175.0984365344</v>
      </c>
      <c r="D95" s="138">
        <f>IF(ISNUMBER($F95),VLOOKUP($J95,'Table 1'!$B$13:$C$32,2,FALSE)/12*1000*Study_MW,"")</f>
        <v>0</v>
      </c>
      <c r="E95" s="138">
        <f t="shared" si="12"/>
        <v>1836175.0984365344</v>
      </c>
      <c r="F95" s="142">
        <v>61200</v>
      </c>
      <c r="G95" s="143">
        <f t="shared" si="13"/>
        <v>30.002861085564287</v>
      </c>
      <c r="I95" s="144">
        <f t="shared" si="15"/>
        <v>89</v>
      </c>
      <c r="J95" s="140">
        <f t="shared" si="14"/>
        <v>2023</v>
      </c>
      <c r="K95" s="140"/>
    </row>
    <row r="96" spans="2:11" hidden="1" outlineLevel="1" x14ac:dyDescent="0.2">
      <c r="B96" s="149">
        <f t="shared" si="11"/>
        <v>45261</v>
      </c>
      <c r="C96" s="146">
        <v>1818151.5262837708</v>
      </c>
      <c r="D96" s="147">
        <f>IF(ISNUMBER($F96),VLOOKUP($J96,'Table 1'!$B$13:$C$32,2,FALSE)/12*1000*Study_MW,"")</f>
        <v>0</v>
      </c>
      <c r="E96" s="147">
        <f t="shared" si="12"/>
        <v>1818151.5262837708</v>
      </c>
      <c r="F96" s="146">
        <v>63240</v>
      </c>
      <c r="G96" s="148">
        <f t="shared" si="13"/>
        <v>28.750024134784486</v>
      </c>
      <c r="I96" s="131">
        <f t="shared" si="15"/>
        <v>90</v>
      </c>
      <c r="J96" s="140">
        <f t="shared" si="14"/>
        <v>2023</v>
      </c>
      <c r="K96" s="140"/>
    </row>
    <row r="97" spans="2:11" hidden="1" outlineLevel="1" x14ac:dyDescent="0.2">
      <c r="B97" s="141">
        <f t="shared" si="11"/>
        <v>45292</v>
      </c>
      <c r="C97" s="136">
        <v>1887656.7159172595</v>
      </c>
      <c r="D97" s="137">
        <f>IF(ISNUMBER($F97),VLOOKUP($J97,'Table 1'!$B$13:$C$32,2,FALSE)/12*1000*Study_MW,"")</f>
        <v>0</v>
      </c>
      <c r="E97" s="137">
        <f t="shared" si="12"/>
        <v>1887656.7159172595</v>
      </c>
      <c r="F97" s="136">
        <v>63240</v>
      </c>
      <c r="G97" s="139">
        <f t="shared" si="13"/>
        <v>29.849094179589809</v>
      </c>
      <c r="I97" s="127">
        <f>I85+13</f>
        <v>92</v>
      </c>
      <c r="J97" s="140">
        <f t="shared" si="14"/>
        <v>2024</v>
      </c>
      <c r="K97" s="140"/>
    </row>
    <row r="98" spans="2:11" hidden="1" outlineLevel="1" x14ac:dyDescent="0.2">
      <c r="B98" s="145">
        <f t="shared" si="11"/>
        <v>45323</v>
      </c>
      <c r="C98" s="142">
        <v>1672911.59151721</v>
      </c>
      <c r="D98" s="138">
        <f>IF(ISNUMBER($F98),VLOOKUP($J98,'Table 1'!$B$13:$C$32,2,FALSE)/12*1000*Study_MW,"")</f>
        <v>0</v>
      </c>
      <c r="E98" s="138">
        <f t="shared" si="12"/>
        <v>1672911.59151721</v>
      </c>
      <c r="F98" s="142">
        <v>59160</v>
      </c>
      <c r="G98" s="143">
        <f t="shared" si="13"/>
        <v>28.27774833531457</v>
      </c>
      <c r="I98" s="144">
        <f t="shared" ref="I98:I120" si="16">I86+13</f>
        <v>93</v>
      </c>
      <c r="J98" s="140">
        <f t="shared" si="14"/>
        <v>2024</v>
      </c>
      <c r="K98" s="140"/>
    </row>
    <row r="99" spans="2:11" hidden="1" outlineLevel="1" x14ac:dyDescent="0.2">
      <c r="B99" s="145">
        <f t="shared" si="11"/>
        <v>45352</v>
      </c>
      <c r="C99" s="142">
        <v>1769995.6062647402</v>
      </c>
      <c r="D99" s="138">
        <f>IF(ISNUMBER($F99),VLOOKUP($J99,'Table 1'!$B$13:$C$32,2,FALSE)/12*1000*Study_MW,"")</f>
        <v>0</v>
      </c>
      <c r="E99" s="138">
        <f t="shared" si="12"/>
        <v>1769995.6062647402</v>
      </c>
      <c r="F99" s="142">
        <v>63240</v>
      </c>
      <c r="G99" s="143">
        <f t="shared" si="13"/>
        <v>27.988545323604367</v>
      </c>
      <c r="I99" s="144">
        <f t="shared" si="16"/>
        <v>94</v>
      </c>
      <c r="J99" s="140">
        <f t="shared" si="14"/>
        <v>2024</v>
      </c>
      <c r="K99" s="140"/>
    </row>
    <row r="100" spans="2:11" hidden="1" outlineLevel="1" x14ac:dyDescent="0.2">
      <c r="B100" s="145">
        <f t="shared" si="11"/>
        <v>45383</v>
      </c>
      <c r="C100" s="142">
        <v>1683581.886544615</v>
      </c>
      <c r="D100" s="138">
        <f>IF(ISNUMBER($F100),VLOOKUP($J100,'Table 1'!$B$13:$C$32,2,FALSE)/12*1000*Study_MW,"")</f>
        <v>0</v>
      </c>
      <c r="E100" s="138">
        <f t="shared" si="12"/>
        <v>1683581.886544615</v>
      </c>
      <c r="F100" s="142">
        <v>61200</v>
      </c>
      <c r="G100" s="143">
        <f t="shared" si="13"/>
        <v>27.50950795007541</v>
      </c>
      <c r="I100" s="144">
        <f t="shared" si="16"/>
        <v>95</v>
      </c>
      <c r="J100" s="140">
        <f t="shared" si="14"/>
        <v>2024</v>
      </c>
      <c r="K100" s="140"/>
    </row>
    <row r="101" spans="2:11" hidden="1" outlineLevel="1" x14ac:dyDescent="0.2">
      <c r="B101" s="145">
        <f t="shared" si="11"/>
        <v>45413</v>
      </c>
      <c r="C101" s="142">
        <v>1692996.9871245772</v>
      </c>
      <c r="D101" s="138">
        <f>IF(ISNUMBER($F101),VLOOKUP($J101,'Table 1'!$B$13:$C$32,2,FALSE)/12*1000*Study_MW,"")</f>
        <v>0</v>
      </c>
      <c r="E101" s="138">
        <f t="shared" si="12"/>
        <v>1692996.9871245772</v>
      </c>
      <c r="F101" s="142">
        <v>63240</v>
      </c>
      <c r="G101" s="143">
        <f t="shared" si="13"/>
        <v>26.770983351116023</v>
      </c>
      <c r="I101" s="144">
        <f t="shared" si="16"/>
        <v>96</v>
      </c>
      <c r="J101" s="140">
        <f t="shared" si="14"/>
        <v>2024</v>
      </c>
      <c r="K101" s="140"/>
    </row>
    <row r="102" spans="2:11" hidden="1" outlineLevel="1" x14ac:dyDescent="0.2">
      <c r="B102" s="145">
        <f t="shared" si="11"/>
        <v>45444</v>
      </c>
      <c r="C102" s="142">
        <v>1721903.3594030142</v>
      </c>
      <c r="D102" s="138">
        <f>IF(ISNUMBER($F102),VLOOKUP($J102,'Table 1'!$B$13:$C$32,2,FALSE)/12*1000*Study_MW,"")</f>
        <v>0</v>
      </c>
      <c r="E102" s="138">
        <f t="shared" si="12"/>
        <v>1721903.3594030142</v>
      </c>
      <c r="F102" s="142">
        <v>61200</v>
      </c>
      <c r="G102" s="143">
        <f t="shared" si="13"/>
        <v>28.135675807238794</v>
      </c>
      <c r="I102" s="144">
        <f t="shared" si="16"/>
        <v>97</v>
      </c>
      <c r="J102" s="140">
        <f t="shared" si="14"/>
        <v>2024</v>
      </c>
      <c r="K102" s="140"/>
    </row>
    <row r="103" spans="2:11" hidden="1" outlineLevel="1" x14ac:dyDescent="0.2">
      <c r="B103" s="145">
        <f t="shared" si="11"/>
        <v>45474</v>
      </c>
      <c r="C103" s="142">
        <v>2346753.7873648107</v>
      </c>
      <c r="D103" s="138">
        <f>IF(ISNUMBER($F103),VLOOKUP($J103,'Table 1'!$B$13:$C$32,2,FALSE)/12*1000*Study_MW,"")</f>
        <v>0</v>
      </c>
      <c r="E103" s="138">
        <f t="shared" si="12"/>
        <v>2346753.7873648107</v>
      </c>
      <c r="F103" s="142">
        <v>63240</v>
      </c>
      <c r="G103" s="143">
        <f t="shared" si="13"/>
        <v>37.108693664845205</v>
      </c>
      <c r="I103" s="144">
        <f t="shared" si="16"/>
        <v>98</v>
      </c>
      <c r="J103" s="140">
        <f t="shared" si="14"/>
        <v>2024</v>
      </c>
      <c r="K103" s="140"/>
    </row>
    <row r="104" spans="2:11" hidden="1" outlineLevel="1" x14ac:dyDescent="0.2">
      <c r="B104" s="145">
        <f t="shared" si="11"/>
        <v>45505</v>
      </c>
      <c r="C104" s="142">
        <v>2229415.4869000912</v>
      </c>
      <c r="D104" s="138">
        <f>IF(ISNUMBER($F104),VLOOKUP($J104,'Table 1'!$B$13:$C$32,2,FALSE)/12*1000*Study_MW,"")</f>
        <v>0</v>
      </c>
      <c r="E104" s="138">
        <f t="shared" si="12"/>
        <v>2229415.4869000912</v>
      </c>
      <c r="F104" s="142">
        <v>63240</v>
      </c>
      <c r="G104" s="143">
        <f t="shared" si="13"/>
        <v>35.253249318470765</v>
      </c>
      <c r="I104" s="144">
        <f t="shared" si="16"/>
        <v>99</v>
      </c>
      <c r="J104" s="140">
        <f t="shared" si="14"/>
        <v>2024</v>
      </c>
      <c r="K104" s="140"/>
    </row>
    <row r="105" spans="2:11" hidden="1" outlineLevel="1" x14ac:dyDescent="0.2">
      <c r="B105" s="145">
        <f t="shared" si="11"/>
        <v>45536</v>
      </c>
      <c r="C105" s="142">
        <v>1836877.6155125201</v>
      </c>
      <c r="D105" s="138">
        <f>IF(ISNUMBER($F105),VLOOKUP($J105,'Table 1'!$B$13:$C$32,2,FALSE)/12*1000*Study_MW,"")</f>
        <v>0</v>
      </c>
      <c r="E105" s="138">
        <f t="shared" si="12"/>
        <v>1836877.6155125201</v>
      </c>
      <c r="F105" s="142">
        <v>61200</v>
      </c>
      <c r="G105" s="143">
        <f t="shared" si="13"/>
        <v>30.014340122753595</v>
      </c>
      <c r="I105" s="144">
        <f t="shared" si="16"/>
        <v>100</v>
      </c>
      <c r="J105" s="140">
        <f t="shared" si="14"/>
        <v>2024</v>
      </c>
      <c r="K105" s="140"/>
    </row>
    <row r="106" spans="2:11" hidden="1" outlineLevel="1" x14ac:dyDescent="0.2">
      <c r="B106" s="145">
        <f t="shared" si="11"/>
        <v>45566</v>
      </c>
      <c r="C106" s="142">
        <v>1878003.4767088294</v>
      </c>
      <c r="D106" s="138">
        <f>IF(ISNUMBER($F106),VLOOKUP($J106,'Table 1'!$B$13:$C$32,2,FALSE)/12*1000*Study_MW,"")</f>
        <v>0</v>
      </c>
      <c r="E106" s="138">
        <f t="shared" si="12"/>
        <v>1878003.4767088294</v>
      </c>
      <c r="F106" s="142">
        <v>63240</v>
      </c>
      <c r="G106" s="143">
        <f t="shared" si="13"/>
        <v>29.696449663327474</v>
      </c>
      <c r="I106" s="144">
        <f t="shared" si="16"/>
        <v>101</v>
      </c>
      <c r="J106" s="140">
        <f t="shared" si="14"/>
        <v>2024</v>
      </c>
      <c r="K106" s="140"/>
    </row>
    <row r="107" spans="2:11" hidden="1" outlineLevel="1" x14ac:dyDescent="0.2">
      <c r="B107" s="145">
        <f t="shared" si="11"/>
        <v>45597</v>
      </c>
      <c r="C107" s="142">
        <v>2012487.7354698777</v>
      </c>
      <c r="D107" s="138">
        <f>IF(ISNUMBER($F107),VLOOKUP($J107,'Table 1'!$B$13:$C$32,2,FALSE)/12*1000*Study_MW,"")</f>
        <v>0</v>
      </c>
      <c r="E107" s="138">
        <f t="shared" si="12"/>
        <v>2012487.7354698777</v>
      </c>
      <c r="F107" s="142">
        <v>61200</v>
      </c>
      <c r="G107" s="143">
        <f t="shared" si="13"/>
        <v>32.883786527285586</v>
      </c>
      <c r="I107" s="144">
        <f t="shared" si="16"/>
        <v>102</v>
      </c>
      <c r="J107" s="140">
        <f t="shared" si="14"/>
        <v>2024</v>
      </c>
      <c r="K107" s="140"/>
    </row>
    <row r="108" spans="2:11" hidden="1" outlineLevel="1" x14ac:dyDescent="0.2">
      <c r="B108" s="149">
        <f t="shared" si="11"/>
        <v>45627</v>
      </c>
      <c r="C108" s="146">
        <v>1966328.5381692946</v>
      </c>
      <c r="D108" s="147">
        <f>IF(ISNUMBER($F108),VLOOKUP($J108,'Table 1'!$B$13:$C$32,2,FALSE)/12*1000*Study_MW,"")</f>
        <v>0</v>
      </c>
      <c r="E108" s="147">
        <f t="shared" si="12"/>
        <v>1966328.5381692946</v>
      </c>
      <c r="F108" s="146">
        <v>63240</v>
      </c>
      <c r="G108" s="148">
        <f t="shared" si="13"/>
        <v>31.093114139299409</v>
      </c>
      <c r="I108" s="131">
        <f t="shared" si="16"/>
        <v>103</v>
      </c>
      <c r="J108" s="140">
        <f t="shared" si="14"/>
        <v>2024</v>
      </c>
      <c r="K108" s="140"/>
    </row>
    <row r="109" spans="2:11" hidden="1" outlineLevel="1" x14ac:dyDescent="0.2">
      <c r="B109" s="141">
        <f t="shared" si="11"/>
        <v>45658</v>
      </c>
      <c r="C109" s="136">
        <v>2042211.42040959</v>
      </c>
      <c r="D109" s="137">
        <f>IF(ISNUMBER($F109),VLOOKUP($J109,'Table 1'!$B$13:$C$32,2,FALSE)/12*1000*Study_MW,"")</f>
        <v>0</v>
      </c>
      <c r="E109" s="137">
        <f t="shared" si="12"/>
        <v>2042211.42040959</v>
      </c>
      <c r="F109" s="136">
        <v>63240</v>
      </c>
      <c r="G109" s="139">
        <f t="shared" si="13"/>
        <v>32.293033213307872</v>
      </c>
      <c r="I109" s="127">
        <f>I97+13</f>
        <v>105</v>
      </c>
      <c r="J109" s="140">
        <f t="shared" si="14"/>
        <v>2025</v>
      </c>
      <c r="K109" s="140"/>
    </row>
    <row r="110" spans="2:11" hidden="1" outlineLevel="1" x14ac:dyDescent="0.2">
      <c r="B110" s="145">
        <f t="shared" si="11"/>
        <v>45689</v>
      </c>
      <c r="C110" s="142">
        <v>1799203.8746803105</v>
      </c>
      <c r="D110" s="138">
        <f>IF(ISNUMBER($F110),VLOOKUP($J110,'Table 1'!$B$13:$C$32,2,FALSE)/12*1000*Study_MW,"")</f>
        <v>0</v>
      </c>
      <c r="E110" s="138">
        <f t="shared" si="12"/>
        <v>1799203.8746803105</v>
      </c>
      <c r="F110" s="142">
        <v>57120</v>
      </c>
      <c r="G110" s="143">
        <f t="shared" si="13"/>
        <v>31.498667273814959</v>
      </c>
      <c r="I110" s="144">
        <f t="shared" si="16"/>
        <v>106</v>
      </c>
      <c r="J110" s="140">
        <f t="shared" si="14"/>
        <v>2025</v>
      </c>
      <c r="K110" s="140"/>
    </row>
    <row r="111" spans="2:11" hidden="1" outlineLevel="1" x14ac:dyDescent="0.2">
      <c r="B111" s="145">
        <f t="shared" si="11"/>
        <v>45717</v>
      </c>
      <c r="C111" s="142">
        <v>1914687.2788373828</v>
      </c>
      <c r="D111" s="138">
        <f>IF(ISNUMBER($F111),VLOOKUP($J111,'Table 1'!$B$13:$C$32,2,FALSE)/12*1000*Study_MW,"")</f>
        <v>0</v>
      </c>
      <c r="E111" s="138">
        <f t="shared" si="12"/>
        <v>1914687.2788373828</v>
      </c>
      <c r="F111" s="142">
        <v>63240</v>
      </c>
      <c r="G111" s="143">
        <f t="shared" si="13"/>
        <v>30.276522435758743</v>
      </c>
      <c r="I111" s="144">
        <f t="shared" si="16"/>
        <v>107</v>
      </c>
      <c r="J111" s="140">
        <f t="shared" si="14"/>
        <v>2025</v>
      </c>
      <c r="K111" s="140"/>
    </row>
    <row r="112" spans="2:11" hidden="1" outlineLevel="1" x14ac:dyDescent="0.2">
      <c r="B112" s="145">
        <f t="shared" si="11"/>
        <v>45748</v>
      </c>
      <c r="C112" s="142">
        <v>1764068.0054147243</v>
      </c>
      <c r="D112" s="138">
        <f>IF(ISNUMBER($F112),VLOOKUP($J112,'Table 1'!$B$13:$C$32,2,FALSE)/12*1000*Study_MW,"")</f>
        <v>0</v>
      </c>
      <c r="E112" s="138">
        <f t="shared" si="12"/>
        <v>1764068.0054147243</v>
      </c>
      <c r="F112" s="142">
        <v>61200</v>
      </c>
      <c r="G112" s="143">
        <f t="shared" si="13"/>
        <v>28.824640611351704</v>
      </c>
      <c r="I112" s="144">
        <f t="shared" si="16"/>
        <v>108</v>
      </c>
      <c r="J112" s="140">
        <f t="shared" si="14"/>
        <v>2025</v>
      </c>
      <c r="K112" s="140"/>
    </row>
    <row r="113" spans="2:11" hidden="1" outlineLevel="1" x14ac:dyDescent="0.2">
      <c r="B113" s="145">
        <f t="shared" si="11"/>
        <v>45778</v>
      </c>
      <c r="C113" s="142">
        <v>1771748.6617837846</v>
      </c>
      <c r="D113" s="138">
        <f>IF(ISNUMBER($F113),VLOOKUP($J113,'Table 1'!$B$13:$C$32,2,FALSE)/12*1000*Study_MW,"")</f>
        <v>0</v>
      </c>
      <c r="E113" s="138">
        <f t="shared" si="12"/>
        <v>1771748.6617837846</v>
      </c>
      <c r="F113" s="142">
        <v>63240</v>
      </c>
      <c r="G113" s="143">
        <f t="shared" si="13"/>
        <v>28.016265999111077</v>
      </c>
      <c r="I113" s="144">
        <f t="shared" si="16"/>
        <v>109</v>
      </c>
      <c r="J113" s="140">
        <f t="shared" si="14"/>
        <v>2025</v>
      </c>
      <c r="K113" s="140"/>
    </row>
    <row r="114" spans="2:11" hidden="1" outlineLevel="1" x14ac:dyDescent="0.2">
      <c r="B114" s="145">
        <f t="shared" si="11"/>
        <v>45809</v>
      </c>
      <c r="C114" s="142">
        <v>1793904.5102354288</v>
      </c>
      <c r="D114" s="138">
        <f>IF(ISNUMBER($F114),VLOOKUP($J114,'Table 1'!$B$13:$C$32,2,FALSE)/12*1000*Study_MW,"")</f>
        <v>0</v>
      </c>
      <c r="E114" s="138">
        <f t="shared" si="12"/>
        <v>1793904.5102354288</v>
      </c>
      <c r="F114" s="142">
        <v>61200</v>
      </c>
      <c r="G114" s="143">
        <f t="shared" si="13"/>
        <v>29.312165199925307</v>
      </c>
      <c r="I114" s="144">
        <f t="shared" si="16"/>
        <v>110</v>
      </c>
      <c r="J114" s="140">
        <f t="shared" si="14"/>
        <v>2025</v>
      </c>
      <c r="K114" s="140"/>
    </row>
    <row r="115" spans="2:11" hidden="1" outlineLevel="1" x14ac:dyDescent="0.2">
      <c r="B115" s="145">
        <f t="shared" si="11"/>
        <v>45839</v>
      </c>
      <c r="C115" s="142">
        <v>2482912.4787361622</v>
      </c>
      <c r="D115" s="138">
        <f>IF(ISNUMBER($F115),VLOOKUP($J115,'Table 1'!$B$13:$C$32,2,FALSE)/12*1000*Study_MW,"")</f>
        <v>0</v>
      </c>
      <c r="E115" s="138">
        <f t="shared" si="12"/>
        <v>2482912.4787361622</v>
      </c>
      <c r="F115" s="142">
        <v>63240</v>
      </c>
      <c r="G115" s="143">
        <f t="shared" si="13"/>
        <v>39.261740650476945</v>
      </c>
      <c r="I115" s="144">
        <f t="shared" si="16"/>
        <v>111</v>
      </c>
      <c r="J115" s="140">
        <f t="shared" si="14"/>
        <v>2025</v>
      </c>
      <c r="K115" s="140"/>
    </row>
    <row r="116" spans="2:11" hidden="1" outlineLevel="1" x14ac:dyDescent="0.2">
      <c r="B116" s="145">
        <f t="shared" si="11"/>
        <v>45870</v>
      </c>
      <c r="C116" s="142">
        <v>2396333.2364273965</v>
      </c>
      <c r="D116" s="138">
        <f>IF(ISNUMBER($F116),VLOOKUP($J116,'Table 1'!$B$13:$C$32,2,FALSE)/12*1000*Study_MW,"")</f>
        <v>0</v>
      </c>
      <c r="E116" s="138">
        <f t="shared" si="12"/>
        <v>2396333.2364273965</v>
      </c>
      <c r="F116" s="142">
        <v>63240</v>
      </c>
      <c r="G116" s="143">
        <f t="shared" si="13"/>
        <v>37.892682422950607</v>
      </c>
      <c r="I116" s="144">
        <f t="shared" si="16"/>
        <v>112</v>
      </c>
      <c r="J116" s="140">
        <f t="shared" si="14"/>
        <v>2025</v>
      </c>
      <c r="K116" s="140"/>
    </row>
    <row r="117" spans="2:11" hidden="1" outlineLevel="1" x14ac:dyDescent="0.2">
      <c r="B117" s="145">
        <f t="shared" si="11"/>
        <v>45901</v>
      </c>
      <c r="C117" s="142">
        <v>1932386.3965381384</v>
      </c>
      <c r="D117" s="138">
        <f>IF(ISNUMBER($F117),VLOOKUP($J117,'Table 1'!$B$13:$C$32,2,FALSE)/12*1000*Study_MW,"")</f>
        <v>0</v>
      </c>
      <c r="E117" s="138">
        <f t="shared" si="12"/>
        <v>1932386.3965381384</v>
      </c>
      <c r="F117" s="142">
        <v>61200</v>
      </c>
      <c r="G117" s="143">
        <f t="shared" si="13"/>
        <v>31.574941119904221</v>
      </c>
      <c r="I117" s="144">
        <f t="shared" si="16"/>
        <v>113</v>
      </c>
      <c r="J117" s="140">
        <f t="shared" si="14"/>
        <v>2025</v>
      </c>
      <c r="K117" s="140"/>
    </row>
    <row r="118" spans="2:11" hidden="1" outlineLevel="1" x14ac:dyDescent="0.2">
      <c r="B118" s="145">
        <f t="shared" si="11"/>
        <v>45931</v>
      </c>
      <c r="C118" s="142">
        <v>2044506.03855896</v>
      </c>
      <c r="D118" s="138">
        <f>IF(ISNUMBER($F118),VLOOKUP($J118,'Table 1'!$B$13:$C$32,2,FALSE)/12*1000*Study_MW,"")</f>
        <v>0</v>
      </c>
      <c r="E118" s="138">
        <f t="shared" si="12"/>
        <v>2044506.03855896</v>
      </c>
      <c r="F118" s="142">
        <v>63240</v>
      </c>
      <c r="G118" s="143">
        <f t="shared" si="13"/>
        <v>32.329317497769765</v>
      </c>
      <c r="I118" s="144">
        <f t="shared" si="16"/>
        <v>114</v>
      </c>
      <c r="J118" s="140">
        <f t="shared" si="14"/>
        <v>2025</v>
      </c>
      <c r="K118" s="140"/>
    </row>
    <row r="119" spans="2:11" hidden="1" outlineLevel="1" x14ac:dyDescent="0.2">
      <c r="B119" s="145">
        <f t="shared" si="11"/>
        <v>45962</v>
      </c>
      <c r="C119" s="142">
        <v>2090350.719524622</v>
      </c>
      <c r="D119" s="138">
        <f>IF(ISNUMBER($F119),VLOOKUP($J119,'Table 1'!$B$13:$C$32,2,FALSE)/12*1000*Study_MW,"")</f>
        <v>0</v>
      </c>
      <c r="E119" s="138">
        <f t="shared" si="12"/>
        <v>2090350.719524622</v>
      </c>
      <c r="F119" s="142">
        <v>61200</v>
      </c>
      <c r="G119" s="143">
        <f t="shared" si="13"/>
        <v>34.156057508572253</v>
      </c>
      <c r="I119" s="144">
        <f t="shared" si="16"/>
        <v>115</v>
      </c>
      <c r="J119" s="140">
        <f t="shared" si="14"/>
        <v>2025</v>
      </c>
      <c r="K119" s="140"/>
    </row>
    <row r="120" spans="2:11" hidden="1" outlineLevel="1" x14ac:dyDescent="0.2">
      <c r="B120" s="149">
        <f t="shared" si="11"/>
        <v>45992</v>
      </c>
      <c r="C120" s="146">
        <v>2157609.3994554877</v>
      </c>
      <c r="D120" s="147">
        <f>IF(ISNUMBER($F120),VLOOKUP($J120,'Table 1'!$B$13:$C$32,2,FALSE)/12*1000*Study_MW,"")</f>
        <v>0</v>
      </c>
      <c r="E120" s="147">
        <f t="shared" si="12"/>
        <v>2157609.3994554877</v>
      </c>
      <c r="F120" s="146">
        <v>63240</v>
      </c>
      <c r="G120" s="148">
        <f t="shared" si="13"/>
        <v>34.11779569031448</v>
      </c>
      <c r="I120" s="131">
        <f t="shared" si="16"/>
        <v>116</v>
      </c>
      <c r="J120" s="140">
        <f t="shared" si="14"/>
        <v>2025</v>
      </c>
      <c r="K120" s="140"/>
    </row>
    <row r="121" spans="2:11" hidden="1" outlineLevel="1" x14ac:dyDescent="0.2">
      <c r="B121" s="141">
        <f t="shared" si="11"/>
        <v>46023</v>
      </c>
      <c r="C121" s="136">
        <v>2067516.2117980719</v>
      </c>
      <c r="D121" s="137">
        <f>IF(ISNUMBER($F121),VLOOKUP($J121,'Table 1'!$B$13:$C$32,2,FALSE)/12*1000*Study_MW,"")</f>
        <v>0</v>
      </c>
      <c r="E121" s="137">
        <f t="shared" si="12"/>
        <v>2067516.2117980719</v>
      </c>
      <c r="F121" s="136">
        <v>63240</v>
      </c>
      <c r="G121" s="139">
        <f t="shared" si="13"/>
        <v>32.693172229571026</v>
      </c>
      <c r="I121" s="127">
        <f>I109+13</f>
        <v>118</v>
      </c>
      <c r="J121" s="140">
        <f t="shared" si="14"/>
        <v>2026</v>
      </c>
      <c r="K121" s="140"/>
    </row>
    <row r="122" spans="2:11" hidden="1" outlineLevel="1" x14ac:dyDescent="0.2">
      <c r="B122" s="145">
        <f t="shared" si="11"/>
        <v>46054</v>
      </c>
      <c r="C122" s="142">
        <v>1936593.0263491273</v>
      </c>
      <c r="D122" s="138">
        <f>IF(ISNUMBER($F122),VLOOKUP($J122,'Table 1'!$B$13:$C$32,2,FALSE)/12*1000*Study_MW,"")</f>
        <v>0</v>
      </c>
      <c r="E122" s="138">
        <f t="shared" si="12"/>
        <v>1936593.0263491273</v>
      </c>
      <c r="F122" s="142">
        <v>57120</v>
      </c>
      <c r="G122" s="143">
        <f t="shared" si="13"/>
        <v>33.903939536924497</v>
      </c>
      <c r="I122" s="144">
        <f t="shared" ref="I122:I132" si="17">I110+13</f>
        <v>119</v>
      </c>
      <c r="J122" s="140">
        <f t="shared" si="14"/>
        <v>2026</v>
      </c>
      <c r="K122" s="140"/>
    </row>
    <row r="123" spans="2:11" hidden="1" outlineLevel="1" x14ac:dyDescent="0.2">
      <c r="B123" s="145">
        <f t="shared" si="11"/>
        <v>46082</v>
      </c>
      <c r="C123" s="142">
        <v>1928297.0908934474</v>
      </c>
      <c r="D123" s="138">
        <f>IF(ISNUMBER($F123),VLOOKUP($J123,'Table 1'!$B$13:$C$32,2,FALSE)/12*1000*Study_MW,"")</f>
        <v>0</v>
      </c>
      <c r="E123" s="138">
        <f t="shared" si="12"/>
        <v>1928297.0908934474</v>
      </c>
      <c r="F123" s="142">
        <v>63240</v>
      </c>
      <c r="G123" s="143">
        <f t="shared" si="13"/>
        <v>30.49173135505135</v>
      </c>
      <c r="I123" s="144">
        <f t="shared" si="17"/>
        <v>120</v>
      </c>
      <c r="J123" s="140">
        <f t="shared" si="14"/>
        <v>2026</v>
      </c>
      <c r="K123" s="140"/>
    </row>
    <row r="124" spans="2:11" hidden="1" outlineLevel="1" x14ac:dyDescent="0.2">
      <c r="B124" s="145">
        <f t="shared" si="11"/>
        <v>46113</v>
      </c>
      <c r="C124" s="142">
        <v>1809510.5950880349</v>
      </c>
      <c r="D124" s="138">
        <f>IF(ISNUMBER($F124),VLOOKUP($J124,'Table 1'!$B$13:$C$32,2,FALSE)/12*1000*Study_MW,"")</f>
        <v>0</v>
      </c>
      <c r="E124" s="138">
        <f t="shared" si="12"/>
        <v>1809510.5950880349</v>
      </c>
      <c r="F124" s="142">
        <v>61200</v>
      </c>
      <c r="G124" s="143">
        <f t="shared" si="13"/>
        <v>29.567166586405797</v>
      </c>
      <c r="I124" s="144">
        <f t="shared" si="17"/>
        <v>121</v>
      </c>
      <c r="J124" s="140">
        <f t="shared" si="14"/>
        <v>2026</v>
      </c>
      <c r="K124" s="140"/>
    </row>
    <row r="125" spans="2:11" hidden="1" outlineLevel="1" x14ac:dyDescent="0.2">
      <c r="B125" s="145">
        <f t="shared" si="11"/>
        <v>46143</v>
      </c>
      <c r="C125" s="142">
        <v>1780676.0863620639</v>
      </c>
      <c r="D125" s="138">
        <f>IF(ISNUMBER($F125),VLOOKUP($J125,'Table 1'!$B$13:$C$32,2,FALSE)/12*1000*Study_MW,"")</f>
        <v>0</v>
      </c>
      <c r="E125" s="138">
        <f t="shared" si="12"/>
        <v>1780676.0863620639</v>
      </c>
      <c r="F125" s="142">
        <v>63240</v>
      </c>
      <c r="G125" s="143">
        <f t="shared" si="13"/>
        <v>28.157433370684121</v>
      </c>
      <c r="I125" s="144">
        <f t="shared" si="17"/>
        <v>122</v>
      </c>
      <c r="J125" s="140">
        <f t="shared" si="14"/>
        <v>2026</v>
      </c>
      <c r="K125" s="140"/>
    </row>
    <row r="126" spans="2:11" hidden="1" outlineLevel="1" x14ac:dyDescent="0.2">
      <c r="B126" s="145">
        <f t="shared" si="11"/>
        <v>46174</v>
      </c>
      <c r="C126" s="142">
        <v>1796855.4415876865</v>
      </c>
      <c r="D126" s="138">
        <f>IF(ISNUMBER($F126),VLOOKUP($J126,'Table 1'!$B$13:$C$32,2,FALSE)/12*1000*Study_MW,"")</f>
        <v>0</v>
      </c>
      <c r="E126" s="138">
        <f t="shared" si="12"/>
        <v>1796855.4415876865</v>
      </c>
      <c r="F126" s="142">
        <v>61200</v>
      </c>
      <c r="G126" s="143">
        <f t="shared" si="13"/>
        <v>29.360383032478538</v>
      </c>
      <c r="I126" s="144">
        <f t="shared" si="17"/>
        <v>123</v>
      </c>
      <c r="J126" s="140">
        <f t="shared" si="14"/>
        <v>2026</v>
      </c>
      <c r="K126" s="140"/>
    </row>
    <row r="127" spans="2:11" hidden="1" outlineLevel="1" x14ac:dyDescent="0.2">
      <c r="B127" s="145">
        <f t="shared" si="11"/>
        <v>46204</v>
      </c>
      <c r="C127" s="142">
        <v>2578805.1226945221</v>
      </c>
      <c r="D127" s="138">
        <f>IF(ISNUMBER($F127),VLOOKUP($J127,'Table 1'!$B$13:$C$32,2,FALSE)/12*1000*Study_MW,"")</f>
        <v>0</v>
      </c>
      <c r="E127" s="138">
        <f t="shared" si="12"/>
        <v>2578805.1226945221</v>
      </c>
      <c r="F127" s="142">
        <v>63240</v>
      </c>
      <c r="G127" s="143">
        <f t="shared" si="13"/>
        <v>40.778069618825462</v>
      </c>
      <c r="I127" s="144">
        <f t="shared" si="17"/>
        <v>124</v>
      </c>
      <c r="J127" s="140">
        <f t="shared" si="14"/>
        <v>2026</v>
      </c>
      <c r="K127" s="140"/>
    </row>
    <row r="128" spans="2:11" hidden="1" outlineLevel="1" x14ac:dyDescent="0.2">
      <c r="B128" s="145">
        <f t="shared" si="11"/>
        <v>46235</v>
      </c>
      <c r="C128" s="142">
        <v>2480452.5158816278</v>
      </c>
      <c r="D128" s="138">
        <f>IF(ISNUMBER($F128),VLOOKUP($J128,'Table 1'!$B$13:$C$32,2,FALSE)/12*1000*Study_MW,"")</f>
        <v>0</v>
      </c>
      <c r="E128" s="138">
        <f t="shared" si="12"/>
        <v>2480452.5158816278</v>
      </c>
      <c r="F128" s="142">
        <v>63240</v>
      </c>
      <c r="G128" s="143">
        <f t="shared" si="13"/>
        <v>39.222841807109866</v>
      </c>
      <c r="I128" s="144">
        <f t="shared" si="17"/>
        <v>125</v>
      </c>
      <c r="J128" s="140">
        <f t="shared" si="14"/>
        <v>2026</v>
      </c>
      <c r="K128" s="140"/>
    </row>
    <row r="129" spans="2:11" hidden="1" outlineLevel="1" x14ac:dyDescent="0.2">
      <c r="B129" s="145">
        <f t="shared" si="11"/>
        <v>46266</v>
      </c>
      <c r="C129" s="142">
        <v>2076439.0148173273</v>
      </c>
      <c r="D129" s="138">
        <f>IF(ISNUMBER($F129),VLOOKUP($J129,'Table 1'!$B$13:$C$32,2,FALSE)/12*1000*Study_MW,"")</f>
        <v>0</v>
      </c>
      <c r="E129" s="138">
        <f t="shared" si="12"/>
        <v>2076439.0148173273</v>
      </c>
      <c r="F129" s="142">
        <v>61200</v>
      </c>
      <c r="G129" s="143">
        <f t="shared" si="13"/>
        <v>33.928742072178551</v>
      </c>
      <c r="I129" s="144">
        <f t="shared" si="17"/>
        <v>126</v>
      </c>
      <c r="J129" s="140">
        <f t="shared" si="14"/>
        <v>2026</v>
      </c>
      <c r="K129" s="140"/>
    </row>
    <row r="130" spans="2:11" hidden="1" outlineLevel="1" x14ac:dyDescent="0.2">
      <c r="B130" s="145">
        <f t="shared" si="11"/>
        <v>46296</v>
      </c>
      <c r="C130" s="142">
        <v>2066626.20803985</v>
      </c>
      <c r="D130" s="138">
        <f>IF(ISNUMBER($F130),VLOOKUP($J130,'Table 1'!$B$13:$C$32,2,FALSE)/12*1000*Study_MW,"")</f>
        <v>0</v>
      </c>
      <c r="E130" s="138">
        <f t="shared" si="12"/>
        <v>2066626.20803985</v>
      </c>
      <c r="F130" s="142">
        <v>63240</v>
      </c>
      <c r="G130" s="143">
        <f t="shared" si="13"/>
        <v>32.679098798859108</v>
      </c>
      <c r="I130" s="144">
        <f t="shared" si="17"/>
        <v>127</v>
      </c>
      <c r="J130" s="140">
        <f t="shared" si="14"/>
        <v>2026</v>
      </c>
      <c r="K130" s="140"/>
    </row>
    <row r="131" spans="2:11" hidden="1" outlineLevel="1" x14ac:dyDescent="0.2">
      <c r="B131" s="145">
        <f t="shared" si="11"/>
        <v>46327</v>
      </c>
      <c r="C131" s="142">
        <v>2181130.7182467878</v>
      </c>
      <c r="D131" s="138">
        <f>IF(ISNUMBER($F131),VLOOKUP($J131,'Table 1'!$B$13:$C$32,2,FALSE)/12*1000*Study_MW,"")</f>
        <v>0</v>
      </c>
      <c r="E131" s="138">
        <f t="shared" si="12"/>
        <v>2181130.7182467878</v>
      </c>
      <c r="F131" s="142">
        <v>61200</v>
      </c>
      <c r="G131" s="143">
        <f t="shared" si="13"/>
        <v>35.639390821025941</v>
      </c>
      <c r="I131" s="144">
        <f t="shared" si="17"/>
        <v>128</v>
      </c>
      <c r="J131" s="140">
        <f t="shared" si="14"/>
        <v>2026</v>
      </c>
      <c r="K131" s="140"/>
    </row>
    <row r="132" spans="2:11" hidden="1" outlineLevel="1" x14ac:dyDescent="0.2">
      <c r="B132" s="149">
        <f t="shared" si="11"/>
        <v>46357</v>
      </c>
      <c r="C132" s="146">
        <v>2248523.4555444121</v>
      </c>
      <c r="D132" s="147">
        <f>IF(ISNUMBER($F132),VLOOKUP($J132,'Table 1'!$B$13:$C$32,2,FALSE)/12*1000*Study_MW,"")</f>
        <v>0</v>
      </c>
      <c r="E132" s="147">
        <f t="shared" si="12"/>
        <v>2248523.4555444121</v>
      </c>
      <c r="F132" s="146">
        <v>63240</v>
      </c>
      <c r="G132" s="148">
        <f t="shared" si="13"/>
        <v>35.555399360284824</v>
      </c>
      <c r="I132" s="131">
        <f t="shared" si="17"/>
        <v>129</v>
      </c>
      <c r="J132" s="140">
        <f t="shared" si="14"/>
        <v>2026</v>
      </c>
      <c r="K132" s="140"/>
    </row>
    <row r="133" spans="2:11" hidden="1" outlineLevel="1" x14ac:dyDescent="0.2">
      <c r="B133" s="141">
        <f t="shared" si="11"/>
        <v>46388</v>
      </c>
      <c r="C133" s="136">
        <v>2210481.8999620676</v>
      </c>
      <c r="D133" s="137">
        <f>IF(ISNUMBER($F133),VLOOKUP($J133,'Table 1'!$B$13:$C$32,2,FALSE)/12*1000*Study_MW,"")</f>
        <v>0</v>
      </c>
      <c r="E133" s="137">
        <f t="shared" si="12"/>
        <v>2210481.8999620676</v>
      </c>
      <c r="F133" s="136">
        <v>63240</v>
      </c>
      <c r="G133" s="139">
        <f t="shared" si="13"/>
        <v>34.953856735643065</v>
      </c>
      <c r="I133" s="127">
        <f>I13</f>
        <v>1</v>
      </c>
      <c r="J133" s="140">
        <f t="shared" si="14"/>
        <v>2027</v>
      </c>
      <c r="K133" s="140"/>
    </row>
    <row r="134" spans="2:11" hidden="1" outlineLevel="1" x14ac:dyDescent="0.2">
      <c r="B134" s="145">
        <f t="shared" si="11"/>
        <v>46419</v>
      </c>
      <c r="C134" s="142">
        <v>1932979.9252530038</v>
      </c>
      <c r="D134" s="138">
        <f>IF(ISNUMBER($F134),VLOOKUP($J134,'Table 1'!$B$13:$C$32,2,FALSE)/12*1000*Study_MW,"")</f>
        <v>0</v>
      </c>
      <c r="E134" s="138">
        <f t="shared" si="12"/>
        <v>1932979.9252530038</v>
      </c>
      <c r="F134" s="142">
        <v>57120</v>
      </c>
      <c r="G134" s="143">
        <f t="shared" si="13"/>
        <v>33.84068496591393</v>
      </c>
      <c r="I134" s="144">
        <f t="shared" ref="I134:I197" si="18">I14</f>
        <v>2</v>
      </c>
      <c r="J134" s="140">
        <f t="shared" si="14"/>
        <v>2027</v>
      </c>
      <c r="K134" s="140"/>
    </row>
    <row r="135" spans="2:11" hidden="1" outlineLevel="1" x14ac:dyDescent="0.2">
      <c r="B135" s="145">
        <f t="shared" si="11"/>
        <v>46447</v>
      </c>
      <c r="C135" s="142">
        <v>2052162.2270710766</v>
      </c>
      <c r="D135" s="138">
        <f>IF(ISNUMBER($F135),VLOOKUP($J135,'Table 1'!$B$13:$C$32,2,FALSE)/12*1000*Study_MW,"")</f>
        <v>0</v>
      </c>
      <c r="E135" s="138">
        <f t="shared" si="12"/>
        <v>2052162.2270710766</v>
      </c>
      <c r="F135" s="142">
        <v>63240</v>
      </c>
      <c r="G135" s="143">
        <f t="shared" si="13"/>
        <v>32.4503830972656</v>
      </c>
      <c r="I135" s="144">
        <f t="shared" si="18"/>
        <v>3</v>
      </c>
      <c r="J135" s="140">
        <f t="shared" si="14"/>
        <v>2027</v>
      </c>
      <c r="K135" s="140"/>
    </row>
    <row r="136" spans="2:11" hidden="1" outlineLevel="1" x14ac:dyDescent="0.2">
      <c r="B136" s="145">
        <f t="shared" si="11"/>
        <v>46478</v>
      </c>
      <c r="C136" s="142">
        <v>1902249.5584854484</v>
      </c>
      <c r="D136" s="138">
        <f>IF(ISNUMBER($F136),VLOOKUP($J136,'Table 1'!$B$13:$C$32,2,FALSE)/12*1000*Study_MW,"")</f>
        <v>0</v>
      </c>
      <c r="E136" s="138">
        <f t="shared" si="12"/>
        <v>1902249.5584854484</v>
      </c>
      <c r="F136" s="142">
        <v>61200</v>
      </c>
      <c r="G136" s="143">
        <f t="shared" si="13"/>
        <v>31.082509125579222</v>
      </c>
      <c r="I136" s="144">
        <f t="shared" si="18"/>
        <v>4</v>
      </c>
      <c r="J136" s="140">
        <f t="shared" si="14"/>
        <v>2027</v>
      </c>
      <c r="K136" s="140"/>
    </row>
    <row r="137" spans="2:11" hidden="1" outlineLevel="1" x14ac:dyDescent="0.2">
      <c r="B137" s="145">
        <f t="shared" si="11"/>
        <v>46508</v>
      </c>
      <c r="C137" s="142">
        <v>1839033.6152773499</v>
      </c>
      <c r="D137" s="138">
        <f>IF(ISNUMBER($F137),VLOOKUP($J137,'Table 1'!$B$13:$C$32,2,FALSE)/12*1000*Study_MW,"")</f>
        <v>0</v>
      </c>
      <c r="E137" s="138">
        <f t="shared" si="12"/>
        <v>1839033.6152773499</v>
      </c>
      <c r="F137" s="142">
        <v>63240</v>
      </c>
      <c r="G137" s="143">
        <f t="shared" si="13"/>
        <v>29.080227945562143</v>
      </c>
      <c r="I137" s="144">
        <f t="shared" si="18"/>
        <v>5</v>
      </c>
      <c r="J137" s="140">
        <f t="shared" si="14"/>
        <v>2027</v>
      </c>
      <c r="K137" s="140"/>
    </row>
    <row r="138" spans="2:11" hidden="1" outlineLevel="1" x14ac:dyDescent="0.2">
      <c r="B138" s="145">
        <f t="shared" si="11"/>
        <v>46539</v>
      </c>
      <c r="C138" s="142">
        <v>1926033.79212901</v>
      </c>
      <c r="D138" s="138">
        <f>IF(ISNUMBER($F138),VLOOKUP($J138,'Table 1'!$B$13:$C$32,2,FALSE)/12*1000*Study_MW,"")</f>
        <v>0</v>
      </c>
      <c r="E138" s="138">
        <f t="shared" si="12"/>
        <v>1926033.79212901</v>
      </c>
      <c r="F138" s="142">
        <v>61200</v>
      </c>
      <c r="G138" s="143">
        <f t="shared" si="13"/>
        <v>31.471140394264868</v>
      </c>
      <c r="I138" s="144">
        <f t="shared" si="18"/>
        <v>6</v>
      </c>
      <c r="J138" s="140">
        <f t="shared" si="14"/>
        <v>2027</v>
      </c>
      <c r="K138" s="140"/>
    </row>
    <row r="139" spans="2:11" hidden="1" outlineLevel="1" x14ac:dyDescent="0.2">
      <c r="B139" s="145">
        <f t="shared" si="11"/>
        <v>46569</v>
      </c>
      <c r="C139" s="142">
        <v>2777214.7776687741</v>
      </c>
      <c r="D139" s="138">
        <f>IF(ISNUMBER($F139),VLOOKUP($J139,'Table 1'!$B$13:$C$32,2,FALSE)/12*1000*Study_MW,"")</f>
        <v>0</v>
      </c>
      <c r="E139" s="138">
        <f t="shared" si="12"/>
        <v>2777214.7776687741</v>
      </c>
      <c r="F139" s="142">
        <v>63240</v>
      </c>
      <c r="G139" s="143">
        <f t="shared" si="13"/>
        <v>43.915477192738365</v>
      </c>
      <c r="I139" s="144">
        <f t="shared" si="18"/>
        <v>7</v>
      </c>
      <c r="J139" s="140">
        <f t="shared" si="14"/>
        <v>2027</v>
      </c>
      <c r="K139" s="140"/>
    </row>
    <row r="140" spans="2:11" hidden="1" outlineLevel="1" x14ac:dyDescent="0.2">
      <c r="B140" s="145">
        <f t="shared" si="11"/>
        <v>46600</v>
      </c>
      <c r="C140" s="142">
        <v>2694285.9939758182</v>
      </c>
      <c r="D140" s="138">
        <f>IF(ISNUMBER($F140),VLOOKUP($J140,'Table 1'!$B$13:$C$32,2,FALSE)/12*1000*Study_MW,"")</f>
        <v>0</v>
      </c>
      <c r="E140" s="138">
        <f t="shared" si="12"/>
        <v>2694285.9939758182</v>
      </c>
      <c r="F140" s="142">
        <v>63240</v>
      </c>
      <c r="G140" s="143">
        <f t="shared" si="13"/>
        <v>42.604142852242539</v>
      </c>
      <c r="I140" s="144">
        <f t="shared" si="18"/>
        <v>8</v>
      </c>
      <c r="J140" s="140">
        <f t="shared" si="14"/>
        <v>2027</v>
      </c>
      <c r="K140" s="140"/>
    </row>
    <row r="141" spans="2:11" hidden="1" outlineLevel="1" x14ac:dyDescent="0.2">
      <c r="B141" s="145">
        <f t="shared" si="11"/>
        <v>46631</v>
      </c>
      <c r="C141" s="142">
        <v>2135157.0252525508</v>
      </c>
      <c r="D141" s="138">
        <f>IF(ISNUMBER($F141),VLOOKUP($J141,'Table 1'!$B$13:$C$32,2,FALSE)/12*1000*Study_MW,"")</f>
        <v>0</v>
      </c>
      <c r="E141" s="138">
        <f t="shared" si="12"/>
        <v>2135157.0252525508</v>
      </c>
      <c r="F141" s="142">
        <v>61200</v>
      </c>
      <c r="G141" s="143">
        <f t="shared" si="13"/>
        <v>34.888186687133185</v>
      </c>
      <c r="I141" s="144">
        <f t="shared" si="18"/>
        <v>9</v>
      </c>
      <c r="J141" s="140">
        <f t="shared" si="14"/>
        <v>2027</v>
      </c>
      <c r="K141" s="140"/>
    </row>
    <row r="142" spans="2:11" hidden="1" outlineLevel="1" x14ac:dyDescent="0.2">
      <c r="B142" s="145">
        <f t="shared" ref="B142:B205" si="19">EDATE(B141,1)</f>
        <v>46661</v>
      </c>
      <c r="C142" s="142">
        <v>2262813.6797017455</v>
      </c>
      <c r="D142" s="138">
        <f>IF(ISNUMBER($F142),VLOOKUP($J142,'Table 1'!$B$13:$C$32,2,FALSE)/12*1000*Study_MW,"")</f>
        <v>0</v>
      </c>
      <c r="E142" s="138">
        <f t="shared" ref="E142:E205" si="20">C142+D142</f>
        <v>2262813.6797017455</v>
      </c>
      <c r="F142" s="142">
        <v>63240</v>
      </c>
      <c r="G142" s="143">
        <f t="shared" ref="G142:G205" si="21">IF(ISNUMBER($F142),E142/$F142,"")</f>
        <v>35.781367484214826</v>
      </c>
      <c r="I142" s="144">
        <f t="shared" si="18"/>
        <v>10</v>
      </c>
      <c r="J142" s="140">
        <f t="shared" ref="J142:J205" si="22">YEAR(B142)</f>
        <v>2027</v>
      </c>
      <c r="K142" s="140"/>
    </row>
    <row r="143" spans="2:11" hidden="1" outlineLevel="1" x14ac:dyDescent="0.2">
      <c r="B143" s="145">
        <f t="shared" si="19"/>
        <v>46692</v>
      </c>
      <c r="C143" s="142">
        <v>2356542.7171161175</v>
      </c>
      <c r="D143" s="138">
        <f>IF(ISNUMBER($F143),VLOOKUP($J143,'Table 1'!$B$13:$C$32,2,FALSE)/12*1000*Study_MW,"")</f>
        <v>0</v>
      </c>
      <c r="E143" s="138">
        <f t="shared" si="20"/>
        <v>2356542.7171161175</v>
      </c>
      <c r="F143" s="142">
        <v>61200</v>
      </c>
      <c r="G143" s="143">
        <f t="shared" si="21"/>
        <v>38.505599952877738</v>
      </c>
      <c r="I143" s="144">
        <f t="shared" si="18"/>
        <v>11</v>
      </c>
      <c r="J143" s="140">
        <f t="shared" si="22"/>
        <v>2027</v>
      </c>
      <c r="K143" s="140"/>
    </row>
    <row r="144" spans="2:11" hidden="1" outlineLevel="1" x14ac:dyDescent="0.2">
      <c r="B144" s="149">
        <f t="shared" si="19"/>
        <v>46722</v>
      </c>
      <c r="C144" s="146">
        <v>2517732.313287735</v>
      </c>
      <c r="D144" s="147">
        <f>IF(ISNUMBER($F144),VLOOKUP($J144,'Table 1'!$B$13:$C$32,2,FALSE)/12*1000*Study_MW,"")</f>
        <v>0</v>
      </c>
      <c r="E144" s="147">
        <f t="shared" si="20"/>
        <v>2517732.313287735</v>
      </c>
      <c r="F144" s="146">
        <v>63240</v>
      </c>
      <c r="G144" s="148">
        <f t="shared" si="21"/>
        <v>39.812338919793405</v>
      </c>
      <c r="I144" s="131">
        <f t="shared" si="18"/>
        <v>12</v>
      </c>
      <c r="J144" s="140">
        <f t="shared" si="22"/>
        <v>2027</v>
      </c>
      <c r="K144" s="140"/>
    </row>
    <row r="145" spans="2:11" hidden="1" outlineLevel="1" x14ac:dyDescent="0.2">
      <c r="B145" s="141">
        <f t="shared" si="19"/>
        <v>46753</v>
      </c>
      <c r="C145" s="136">
        <v>2507827.6256525815</v>
      </c>
      <c r="D145" s="137">
        <f>IF(ISNUMBER($F145),VLOOKUP($J145,'Table 1'!$B$13:$C$32,2,FALSE)/12*1000*Study_MW,"")</f>
        <v>0</v>
      </c>
      <c r="E145" s="137">
        <f t="shared" si="20"/>
        <v>2507827.6256525815</v>
      </c>
      <c r="F145" s="136">
        <v>63240</v>
      </c>
      <c r="G145" s="139">
        <f t="shared" si="21"/>
        <v>39.655718305701797</v>
      </c>
      <c r="I145" s="127">
        <f>I25</f>
        <v>14</v>
      </c>
      <c r="J145" s="140">
        <f t="shared" si="22"/>
        <v>2028</v>
      </c>
      <c r="K145" s="140"/>
    </row>
    <row r="146" spans="2:11" hidden="1" outlineLevel="1" x14ac:dyDescent="0.2">
      <c r="B146" s="145">
        <f t="shared" si="19"/>
        <v>46784</v>
      </c>
      <c r="C146" s="142">
        <v>2366766.3911173046</v>
      </c>
      <c r="D146" s="138">
        <f>IF(ISNUMBER($F146),VLOOKUP($J146,'Table 1'!$B$13:$C$32,2,FALSE)/12*1000*Study_MW,"")</f>
        <v>0</v>
      </c>
      <c r="E146" s="138">
        <f t="shared" si="20"/>
        <v>2366766.3911173046</v>
      </c>
      <c r="F146" s="142">
        <v>59160</v>
      </c>
      <c r="G146" s="143">
        <f t="shared" si="21"/>
        <v>40.006193223754302</v>
      </c>
      <c r="I146" s="144">
        <f t="shared" si="18"/>
        <v>15</v>
      </c>
      <c r="J146" s="140">
        <f t="shared" si="22"/>
        <v>2028</v>
      </c>
      <c r="K146" s="140"/>
    </row>
    <row r="147" spans="2:11" hidden="1" outlineLevel="1" x14ac:dyDescent="0.2">
      <c r="B147" s="145">
        <f t="shared" si="19"/>
        <v>46813</v>
      </c>
      <c r="C147" s="142">
        <v>2285198.6022568047</v>
      </c>
      <c r="D147" s="138">
        <f>IF(ISNUMBER($F147),VLOOKUP($J147,'Table 1'!$B$13:$C$32,2,FALSE)/12*1000*Study_MW,"")</f>
        <v>0</v>
      </c>
      <c r="E147" s="138">
        <f t="shared" si="20"/>
        <v>2285198.6022568047</v>
      </c>
      <c r="F147" s="142">
        <v>63240</v>
      </c>
      <c r="G147" s="143">
        <f t="shared" si="21"/>
        <v>36.135335266552886</v>
      </c>
      <c r="I147" s="144">
        <f t="shared" si="18"/>
        <v>16</v>
      </c>
      <c r="J147" s="140">
        <f t="shared" si="22"/>
        <v>2028</v>
      </c>
      <c r="K147" s="140"/>
    </row>
    <row r="148" spans="2:11" hidden="1" outlineLevel="1" x14ac:dyDescent="0.2">
      <c r="B148" s="145">
        <f t="shared" si="19"/>
        <v>46844</v>
      </c>
      <c r="C148" s="142">
        <v>2109254.5327906609</v>
      </c>
      <c r="D148" s="138">
        <f>IF(ISNUMBER($F148),VLOOKUP($J148,'Table 1'!$B$13:$C$32,2,FALSE)/12*1000*Study_MW,"")</f>
        <v>0</v>
      </c>
      <c r="E148" s="138">
        <f t="shared" si="20"/>
        <v>2109254.5327906609</v>
      </c>
      <c r="F148" s="142">
        <v>61200</v>
      </c>
      <c r="G148" s="143">
        <f t="shared" si="21"/>
        <v>34.464943346252632</v>
      </c>
      <c r="I148" s="144">
        <f t="shared" si="18"/>
        <v>17</v>
      </c>
      <c r="J148" s="140">
        <f t="shared" si="22"/>
        <v>2028</v>
      </c>
      <c r="K148" s="140"/>
    </row>
    <row r="149" spans="2:11" hidden="1" outlineLevel="1" x14ac:dyDescent="0.2">
      <c r="B149" s="145">
        <f t="shared" si="19"/>
        <v>46874</v>
      </c>
      <c r="C149" s="142">
        <v>2176046.1674889326</v>
      </c>
      <c r="D149" s="138">
        <f>IF(ISNUMBER($F149),VLOOKUP($J149,'Table 1'!$B$13:$C$32,2,FALSE)/12*1000*Study_MW,"")</f>
        <v>0</v>
      </c>
      <c r="E149" s="138">
        <f t="shared" si="20"/>
        <v>2176046.1674889326</v>
      </c>
      <c r="F149" s="142">
        <v>63240</v>
      </c>
      <c r="G149" s="143">
        <f t="shared" si="21"/>
        <v>34.409332186732016</v>
      </c>
      <c r="I149" s="144">
        <f t="shared" si="18"/>
        <v>18</v>
      </c>
      <c r="J149" s="140">
        <f t="shared" si="22"/>
        <v>2028</v>
      </c>
      <c r="K149" s="140"/>
    </row>
    <row r="150" spans="2:11" hidden="1" outlineLevel="1" x14ac:dyDescent="0.2">
      <c r="B150" s="145">
        <f t="shared" si="19"/>
        <v>46905</v>
      </c>
      <c r="C150" s="142">
        <v>2283187.2725969851</v>
      </c>
      <c r="D150" s="138">
        <f>IF(ISNUMBER($F150),VLOOKUP($J150,'Table 1'!$B$13:$C$32,2,FALSE)/12*1000*Study_MW,"")</f>
        <v>0</v>
      </c>
      <c r="E150" s="138">
        <f t="shared" si="20"/>
        <v>2283187.2725969851</v>
      </c>
      <c r="F150" s="142">
        <v>61200</v>
      </c>
      <c r="G150" s="143">
        <f t="shared" si="21"/>
        <v>37.306981578382107</v>
      </c>
      <c r="I150" s="144">
        <f t="shared" si="18"/>
        <v>19</v>
      </c>
      <c r="J150" s="140">
        <f t="shared" si="22"/>
        <v>2028</v>
      </c>
      <c r="K150" s="140"/>
    </row>
    <row r="151" spans="2:11" hidden="1" outlineLevel="1" x14ac:dyDescent="0.2">
      <c r="B151" s="145">
        <f t="shared" si="19"/>
        <v>46935</v>
      </c>
      <c r="C151" s="142">
        <v>3256742.8349118531</v>
      </c>
      <c r="D151" s="138">
        <f>IF(ISNUMBER($F151),VLOOKUP($J151,'Table 1'!$B$13:$C$32,2,FALSE)/12*1000*Study_MW,"")</f>
        <v>0</v>
      </c>
      <c r="E151" s="138">
        <f t="shared" si="20"/>
        <v>3256742.8349118531</v>
      </c>
      <c r="F151" s="142">
        <v>63240</v>
      </c>
      <c r="G151" s="143">
        <f t="shared" si="21"/>
        <v>51.498147294621333</v>
      </c>
      <c r="I151" s="144">
        <f t="shared" si="18"/>
        <v>20</v>
      </c>
      <c r="J151" s="140">
        <f t="shared" si="22"/>
        <v>2028</v>
      </c>
      <c r="K151" s="140"/>
    </row>
    <row r="152" spans="2:11" hidden="1" outlineLevel="1" x14ac:dyDescent="0.2">
      <c r="B152" s="145">
        <f t="shared" si="19"/>
        <v>46966</v>
      </c>
      <c r="C152" s="142">
        <v>3214242.8860480487</v>
      </c>
      <c r="D152" s="138">
        <f>IF(ISNUMBER($F152),VLOOKUP($J152,'Table 1'!$B$13:$C$32,2,FALSE)/12*1000*Study_MW,"")</f>
        <v>0</v>
      </c>
      <c r="E152" s="138">
        <f t="shared" si="20"/>
        <v>3214242.8860480487</v>
      </c>
      <c r="F152" s="142">
        <v>63240</v>
      </c>
      <c r="G152" s="143">
        <f t="shared" si="21"/>
        <v>50.826105092473888</v>
      </c>
      <c r="I152" s="144">
        <f t="shared" si="18"/>
        <v>21</v>
      </c>
      <c r="J152" s="140">
        <f t="shared" si="22"/>
        <v>2028</v>
      </c>
      <c r="K152" s="140"/>
    </row>
    <row r="153" spans="2:11" hidden="1" outlineLevel="1" x14ac:dyDescent="0.2">
      <c r="B153" s="145">
        <f t="shared" si="19"/>
        <v>46997</v>
      </c>
      <c r="C153" s="142">
        <v>2808835.9485292733</v>
      </c>
      <c r="D153" s="138">
        <f>IF(ISNUMBER($F153),VLOOKUP($J153,'Table 1'!$B$13:$C$32,2,FALSE)/12*1000*Study_MW,"")</f>
        <v>0</v>
      </c>
      <c r="E153" s="138">
        <f t="shared" si="20"/>
        <v>2808835.9485292733</v>
      </c>
      <c r="F153" s="142">
        <v>61200</v>
      </c>
      <c r="G153" s="143">
        <f t="shared" si="21"/>
        <v>45.896012230870475</v>
      </c>
      <c r="I153" s="144">
        <f t="shared" si="18"/>
        <v>22</v>
      </c>
      <c r="J153" s="140">
        <f t="shared" si="22"/>
        <v>2028</v>
      </c>
      <c r="K153" s="140"/>
    </row>
    <row r="154" spans="2:11" hidden="1" outlineLevel="1" x14ac:dyDescent="0.2">
      <c r="B154" s="145">
        <f t="shared" si="19"/>
        <v>47027</v>
      </c>
      <c r="C154" s="142">
        <v>2719589.1739462018</v>
      </c>
      <c r="D154" s="138">
        <f>IF(ISNUMBER($F154),VLOOKUP($J154,'Table 1'!$B$13:$C$32,2,FALSE)/12*1000*Study_MW,"")</f>
        <v>0</v>
      </c>
      <c r="E154" s="138">
        <f t="shared" si="20"/>
        <v>2719589.1739462018</v>
      </c>
      <c r="F154" s="142">
        <v>63240</v>
      </c>
      <c r="G154" s="143">
        <f t="shared" si="21"/>
        <v>43.004256387511099</v>
      </c>
      <c r="I154" s="144">
        <f t="shared" si="18"/>
        <v>23</v>
      </c>
      <c r="J154" s="140">
        <f t="shared" si="22"/>
        <v>2028</v>
      </c>
      <c r="K154" s="140"/>
    </row>
    <row r="155" spans="2:11" hidden="1" outlineLevel="1" x14ac:dyDescent="0.2">
      <c r="B155" s="145">
        <f t="shared" si="19"/>
        <v>47058</v>
      </c>
      <c r="C155" s="142">
        <v>2546195.9328125119</v>
      </c>
      <c r="D155" s="138">
        <f>IF(ISNUMBER($F155),VLOOKUP($J155,'Table 1'!$B$13:$C$32,2,FALSE)/12*1000*Study_MW,"")</f>
        <v>0</v>
      </c>
      <c r="E155" s="138">
        <f t="shared" si="20"/>
        <v>2546195.9328125119</v>
      </c>
      <c r="F155" s="142">
        <v>61200</v>
      </c>
      <c r="G155" s="143">
        <f t="shared" si="21"/>
        <v>41.604508706086797</v>
      </c>
      <c r="I155" s="144">
        <f t="shared" si="18"/>
        <v>24</v>
      </c>
      <c r="J155" s="140">
        <f t="shared" si="22"/>
        <v>2028</v>
      </c>
      <c r="K155" s="140"/>
    </row>
    <row r="156" spans="2:11" hidden="1" outlineLevel="1" x14ac:dyDescent="0.2">
      <c r="B156" s="149">
        <f t="shared" si="19"/>
        <v>47088</v>
      </c>
      <c r="C156" s="146">
        <v>2752698.7779143453</v>
      </c>
      <c r="D156" s="147">
        <f>IF(ISNUMBER($F156),VLOOKUP($J156,'Table 1'!$B$13:$C$32,2,FALSE)/12*1000*Study_MW,"")</f>
        <v>0</v>
      </c>
      <c r="E156" s="147">
        <f t="shared" si="20"/>
        <v>2752698.7779143453</v>
      </c>
      <c r="F156" s="146">
        <v>63240</v>
      </c>
      <c r="G156" s="148">
        <f t="shared" si="21"/>
        <v>43.52781116246593</v>
      </c>
      <c r="I156" s="131">
        <f t="shared" si="18"/>
        <v>25</v>
      </c>
      <c r="J156" s="140">
        <f t="shared" si="22"/>
        <v>2028</v>
      </c>
      <c r="K156" s="140"/>
    </row>
    <row r="157" spans="2:11" hidden="1" outlineLevel="1" x14ac:dyDescent="0.2">
      <c r="B157" s="141">
        <f t="shared" si="19"/>
        <v>47119</v>
      </c>
      <c r="C157" s="136">
        <v>2604018.5924069881</v>
      </c>
      <c r="D157" s="137">
        <f>IF(ISNUMBER($F157),VLOOKUP($J157,'Table 1'!$B$13:$C$32,2,FALSE)/12*1000*Study_MW,"")</f>
        <v>0</v>
      </c>
      <c r="E157" s="137">
        <f t="shared" si="20"/>
        <v>2604018.5924069881</v>
      </c>
      <c r="F157" s="136">
        <v>63240</v>
      </c>
      <c r="G157" s="139">
        <f t="shared" si="21"/>
        <v>41.176764585815754</v>
      </c>
      <c r="I157" s="127">
        <f>I37</f>
        <v>27</v>
      </c>
      <c r="J157" s="140">
        <f t="shared" si="22"/>
        <v>2029</v>
      </c>
      <c r="K157" s="140"/>
    </row>
    <row r="158" spans="2:11" hidden="1" outlineLevel="1" x14ac:dyDescent="0.2">
      <c r="B158" s="145">
        <f t="shared" si="19"/>
        <v>47150</v>
      </c>
      <c r="C158" s="142">
        <v>2455971.4453411102</v>
      </c>
      <c r="D158" s="138">
        <f>IF(ISNUMBER($F158),VLOOKUP($J158,'Table 1'!$B$13:$C$32,2,FALSE)/12*1000*Study_MW,"")</f>
        <v>0</v>
      </c>
      <c r="E158" s="138">
        <f t="shared" si="20"/>
        <v>2455971.4453411102</v>
      </c>
      <c r="F158" s="142">
        <v>57120</v>
      </c>
      <c r="G158" s="143">
        <f t="shared" si="21"/>
        <v>42.996698973058649</v>
      </c>
      <c r="I158" s="144">
        <f t="shared" si="18"/>
        <v>28</v>
      </c>
      <c r="J158" s="140">
        <f t="shared" si="22"/>
        <v>2029</v>
      </c>
      <c r="K158" s="140"/>
    </row>
    <row r="159" spans="2:11" hidden="1" outlineLevel="1" x14ac:dyDescent="0.2">
      <c r="B159" s="145">
        <f t="shared" si="19"/>
        <v>47178</v>
      </c>
      <c r="C159" s="142">
        <v>2509443.2491651177</v>
      </c>
      <c r="D159" s="138">
        <f>IF(ISNUMBER($F159),VLOOKUP($J159,'Table 1'!$B$13:$C$32,2,FALSE)/12*1000*Study_MW,"")</f>
        <v>0</v>
      </c>
      <c r="E159" s="138">
        <f t="shared" si="20"/>
        <v>2509443.2491651177</v>
      </c>
      <c r="F159" s="142">
        <v>63240</v>
      </c>
      <c r="G159" s="143">
        <f t="shared" si="21"/>
        <v>39.681265799574916</v>
      </c>
      <c r="I159" s="144">
        <f t="shared" si="18"/>
        <v>29</v>
      </c>
      <c r="J159" s="140">
        <f t="shared" si="22"/>
        <v>2029</v>
      </c>
      <c r="K159" s="140"/>
    </row>
    <row r="160" spans="2:11" hidden="1" outlineLevel="1" x14ac:dyDescent="0.2">
      <c r="B160" s="145">
        <f t="shared" si="19"/>
        <v>47209</v>
      </c>
      <c r="C160" s="142">
        <v>2283029.8538232148</v>
      </c>
      <c r="D160" s="138">
        <f>IF(ISNUMBER($F160),VLOOKUP($J160,'Table 1'!$B$13:$C$32,2,FALSE)/12*1000*Study_MW,"")</f>
        <v>0</v>
      </c>
      <c r="E160" s="138">
        <f t="shared" si="20"/>
        <v>2283029.8538232148</v>
      </c>
      <c r="F160" s="142">
        <v>61200</v>
      </c>
      <c r="G160" s="143">
        <f t="shared" si="21"/>
        <v>37.304409376196318</v>
      </c>
      <c r="I160" s="144">
        <f t="shared" si="18"/>
        <v>30</v>
      </c>
      <c r="J160" s="140">
        <f t="shared" si="22"/>
        <v>2029</v>
      </c>
      <c r="K160" s="140"/>
    </row>
    <row r="161" spans="2:11" hidden="1" outlineLevel="1" x14ac:dyDescent="0.2">
      <c r="B161" s="145">
        <f t="shared" si="19"/>
        <v>47239</v>
      </c>
      <c r="C161" s="142">
        <v>2308612.738345474</v>
      </c>
      <c r="D161" s="138">
        <f>IF(ISNUMBER($F161),VLOOKUP($J161,'Table 1'!$B$13:$C$32,2,FALSE)/12*1000*Study_MW,"")</f>
        <v>0</v>
      </c>
      <c r="E161" s="138">
        <f t="shared" si="20"/>
        <v>2308612.738345474</v>
      </c>
      <c r="F161" s="142">
        <v>63240</v>
      </c>
      <c r="G161" s="143">
        <f t="shared" si="21"/>
        <v>36.505577772698828</v>
      </c>
      <c r="I161" s="144">
        <f t="shared" si="18"/>
        <v>31</v>
      </c>
      <c r="J161" s="140">
        <f t="shared" si="22"/>
        <v>2029</v>
      </c>
      <c r="K161" s="140"/>
    </row>
    <row r="162" spans="2:11" hidden="1" outlineLevel="1" x14ac:dyDescent="0.2">
      <c r="B162" s="145">
        <f t="shared" si="19"/>
        <v>47270</v>
      </c>
      <c r="C162" s="142">
        <v>2477558.405187875</v>
      </c>
      <c r="D162" s="138">
        <f>IF(ISNUMBER($F162),VLOOKUP($J162,'Table 1'!$B$13:$C$32,2,FALSE)/12*1000*Study_MW,"")</f>
        <v>0</v>
      </c>
      <c r="E162" s="138">
        <f t="shared" si="20"/>
        <v>2477558.405187875</v>
      </c>
      <c r="F162" s="142">
        <v>61200</v>
      </c>
      <c r="G162" s="143">
        <f t="shared" si="21"/>
        <v>40.482980476926066</v>
      </c>
      <c r="I162" s="144">
        <f t="shared" si="18"/>
        <v>32</v>
      </c>
      <c r="J162" s="140">
        <f t="shared" si="22"/>
        <v>2029</v>
      </c>
      <c r="K162" s="140"/>
    </row>
    <row r="163" spans="2:11" hidden="1" outlineLevel="1" x14ac:dyDescent="0.2">
      <c r="B163" s="145">
        <f t="shared" si="19"/>
        <v>47300</v>
      </c>
      <c r="C163" s="142">
        <v>3392229.7938354611</v>
      </c>
      <c r="D163" s="138">
        <f>IF(ISNUMBER($F163),VLOOKUP($J163,'Table 1'!$B$13:$C$32,2,FALSE)/12*1000*Study_MW,"")</f>
        <v>0</v>
      </c>
      <c r="E163" s="138">
        <f t="shared" si="20"/>
        <v>3392229.7938354611</v>
      </c>
      <c r="F163" s="142">
        <v>63240</v>
      </c>
      <c r="G163" s="143">
        <f t="shared" si="21"/>
        <v>53.640572325038917</v>
      </c>
      <c r="I163" s="144">
        <f t="shared" si="18"/>
        <v>33</v>
      </c>
      <c r="J163" s="140">
        <f t="shared" si="22"/>
        <v>2029</v>
      </c>
      <c r="K163" s="140"/>
    </row>
    <row r="164" spans="2:11" hidden="1" outlineLevel="1" x14ac:dyDescent="0.2">
      <c r="B164" s="145">
        <f t="shared" si="19"/>
        <v>47331</v>
      </c>
      <c r="C164" s="142">
        <v>3341803.3168911338</v>
      </c>
      <c r="D164" s="138">
        <f>IF(ISNUMBER($F164),VLOOKUP($J164,'Table 1'!$B$13:$C$32,2,FALSE)/12*1000*Study_MW,"")</f>
        <v>0</v>
      </c>
      <c r="E164" s="138">
        <f t="shared" si="20"/>
        <v>3341803.3168911338</v>
      </c>
      <c r="F164" s="142">
        <v>63240</v>
      </c>
      <c r="G164" s="143">
        <f t="shared" si="21"/>
        <v>52.843189704160878</v>
      </c>
      <c r="I164" s="144">
        <f t="shared" si="18"/>
        <v>34</v>
      </c>
      <c r="J164" s="140">
        <f t="shared" si="22"/>
        <v>2029</v>
      </c>
      <c r="K164" s="140"/>
    </row>
    <row r="165" spans="2:11" hidden="1" outlineLevel="1" x14ac:dyDescent="0.2">
      <c r="B165" s="145">
        <f t="shared" si="19"/>
        <v>47362</v>
      </c>
      <c r="C165" s="142">
        <v>2888751.5777100325</v>
      </c>
      <c r="D165" s="138">
        <f>IF(ISNUMBER($F165),VLOOKUP($J165,'Table 1'!$B$13:$C$32,2,FALSE)/12*1000*Study_MW,"")</f>
        <v>0</v>
      </c>
      <c r="E165" s="138">
        <f t="shared" si="20"/>
        <v>2888751.5777100325</v>
      </c>
      <c r="F165" s="142">
        <v>61200</v>
      </c>
      <c r="G165" s="143">
        <f t="shared" si="21"/>
        <v>47.201823165196608</v>
      </c>
      <c r="I165" s="144">
        <f t="shared" si="18"/>
        <v>35</v>
      </c>
      <c r="J165" s="140">
        <f t="shared" si="22"/>
        <v>2029</v>
      </c>
      <c r="K165" s="140"/>
    </row>
    <row r="166" spans="2:11" hidden="1" outlineLevel="1" x14ac:dyDescent="0.2">
      <c r="B166" s="145">
        <f t="shared" si="19"/>
        <v>47392</v>
      </c>
      <c r="C166" s="142">
        <v>2653386.4729337394</v>
      </c>
      <c r="D166" s="138">
        <f>IF(ISNUMBER($F166),VLOOKUP($J166,'Table 1'!$B$13:$C$32,2,FALSE)/12*1000*Study_MW,"")</f>
        <v>0</v>
      </c>
      <c r="E166" s="138">
        <f t="shared" si="20"/>
        <v>2653386.4729337394</v>
      </c>
      <c r="F166" s="142">
        <v>63240</v>
      </c>
      <c r="G166" s="143">
        <f t="shared" si="21"/>
        <v>41.957407857902268</v>
      </c>
      <c r="I166" s="144">
        <f t="shared" si="18"/>
        <v>36</v>
      </c>
      <c r="J166" s="140">
        <f t="shared" si="22"/>
        <v>2029</v>
      </c>
      <c r="K166" s="140"/>
    </row>
    <row r="167" spans="2:11" hidden="1" outlineLevel="1" x14ac:dyDescent="0.2">
      <c r="B167" s="145">
        <f t="shared" si="19"/>
        <v>47423</v>
      </c>
      <c r="C167" s="142">
        <v>2699412.0817767084</v>
      </c>
      <c r="D167" s="138">
        <f>IF(ISNUMBER($F167),VLOOKUP($J167,'Table 1'!$B$13:$C$32,2,FALSE)/12*1000*Study_MW,"")</f>
        <v>0</v>
      </c>
      <c r="E167" s="138">
        <f t="shared" si="20"/>
        <v>2699412.0817767084</v>
      </c>
      <c r="F167" s="142">
        <v>61200</v>
      </c>
      <c r="G167" s="143">
        <f t="shared" si="21"/>
        <v>44.108040551907003</v>
      </c>
      <c r="I167" s="144">
        <f t="shared" si="18"/>
        <v>37</v>
      </c>
      <c r="J167" s="140">
        <f t="shared" si="22"/>
        <v>2029</v>
      </c>
      <c r="K167" s="140"/>
    </row>
    <row r="168" spans="2:11" hidden="1" outlineLevel="1" x14ac:dyDescent="0.2">
      <c r="B168" s="149">
        <f t="shared" si="19"/>
        <v>47453</v>
      </c>
      <c r="C168" s="146">
        <v>2835074.4672959447</v>
      </c>
      <c r="D168" s="147">
        <f>IF(ISNUMBER($F168),VLOOKUP($J168,'Table 1'!$B$13:$C$32,2,FALSE)/12*1000*Study_MW,"")</f>
        <v>0</v>
      </c>
      <c r="E168" s="147">
        <f t="shared" si="20"/>
        <v>2835074.4672959447</v>
      </c>
      <c r="F168" s="146">
        <v>63240</v>
      </c>
      <c r="G168" s="148">
        <f t="shared" si="21"/>
        <v>44.830399546109184</v>
      </c>
      <c r="I168" s="131">
        <f t="shared" si="18"/>
        <v>38</v>
      </c>
      <c r="J168" s="140">
        <f t="shared" si="22"/>
        <v>2029</v>
      </c>
      <c r="K168" s="140"/>
    </row>
    <row r="169" spans="2:11" hidden="1" outlineLevel="1" x14ac:dyDescent="0.2">
      <c r="B169" s="141">
        <f t="shared" si="19"/>
        <v>47484</v>
      </c>
      <c r="C169" s="136">
        <v>2101816.4233925045</v>
      </c>
      <c r="D169" s="137">
        <f>IF(ISNUMBER($F169),VLOOKUP($J169,'Table 1'!$B$13:$C$32,2,FALSE)/12*1000*Study_MW,"")</f>
        <v>1270750.0000000002</v>
      </c>
      <c r="E169" s="137">
        <f t="shared" si="20"/>
        <v>3372566.4233925045</v>
      </c>
      <c r="F169" s="136">
        <v>63240</v>
      </c>
      <c r="G169" s="139">
        <f t="shared" si="21"/>
        <v>53.329639838591149</v>
      </c>
      <c r="I169" s="127">
        <f>I49</f>
        <v>40</v>
      </c>
      <c r="J169" s="140">
        <f t="shared" si="22"/>
        <v>2030</v>
      </c>
      <c r="K169" s="140"/>
    </row>
    <row r="170" spans="2:11" hidden="1" outlineLevel="1" x14ac:dyDescent="0.2">
      <c r="B170" s="145">
        <f t="shared" si="19"/>
        <v>47515</v>
      </c>
      <c r="C170" s="142">
        <v>1897786.2225946486</v>
      </c>
      <c r="D170" s="138">
        <f>IF(ISNUMBER($F170),VLOOKUP($J170,'Table 1'!$B$13:$C$32,2,FALSE)/12*1000*Study_MW,"")</f>
        <v>1270750.0000000002</v>
      </c>
      <c r="E170" s="138">
        <f t="shared" si="20"/>
        <v>3168536.2225946486</v>
      </c>
      <c r="F170" s="142">
        <v>57120</v>
      </c>
      <c r="G170" s="143">
        <f t="shared" si="21"/>
        <v>55.471572524416118</v>
      </c>
      <c r="I170" s="144">
        <f t="shared" si="18"/>
        <v>41</v>
      </c>
      <c r="J170" s="140">
        <f t="shared" si="22"/>
        <v>2030</v>
      </c>
      <c r="K170" s="140"/>
    </row>
    <row r="171" spans="2:11" hidden="1" outlineLevel="1" x14ac:dyDescent="0.2">
      <c r="B171" s="145">
        <f t="shared" si="19"/>
        <v>47543</v>
      </c>
      <c r="C171" s="142">
        <v>2170654.0233184099</v>
      </c>
      <c r="D171" s="138">
        <f>IF(ISNUMBER($F171),VLOOKUP($J171,'Table 1'!$B$13:$C$32,2,FALSE)/12*1000*Study_MW,"")</f>
        <v>1270750.0000000002</v>
      </c>
      <c r="E171" s="138">
        <f t="shared" si="20"/>
        <v>3441404.0233184099</v>
      </c>
      <c r="F171" s="142">
        <v>63240</v>
      </c>
      <c r="G171" s="143">
        <f t="shared" si="21"/>
        <v>54.418153436407493</v>
      </c>
      <c r="I171" s="144">
        <f t="shared" si="18"/>
        <v>42</v>
      </c>
      <c r="J171" s="140">
        <f t="shared" si="22"/>
        <v>2030</v>
      </c>
      <c r="K171" s="140"/>
    </row>
    <row r="172" spans="2:11" hidden="1" outlineLevel="1" x14ac:dyDescent="0.2">
      <c r="B172" s="145">
        <f t="shared" si="19"/>
        <v>47574</v>
      </c>
      <c r="C172" s="142">
        <v>2047609.7415755689</v>
      </c>
      <c r="D172" s="138">
        <f>IF(ISNUMBER($F172),VLOOKUP($J172,'Table 1'!$B$13:$C$32,2,FALSE)/12*1000*Study_MW,"")</f>
        <v>1270750.0000000002</v>
      </c>
      <c r="E172" s="138">
        <f t="shared" si="20"/>
        <v>3318359.7415755689</v>
      </c>
      <c r="F172" s="142">
        <v>61200</v>
      </c>
      <c r="G172" s="143">
        <f t="shared" si="21"/>
        <v>54.221564404829557</v>
      </c>
      <c r="I172" s="144">
        <f t="shared" si="18"/>
        <v>43</v>
      </c>
      <c r="J172" s="140">
        <f t="shared" si="22"/>
        <v>2030</v>
      </c>
      <c r="K172" s="140"/>
    </row>
    <row r="173" spans="2:11" hidden="1" outlineLevel="1" x14ac:dyDescent="0.2">
      <c r="B173" s="145">
        <f t="shared" si="19"/>
        <v>47604</v>
      </c>
      <c r="C173" s="142">
        <v>2131186.2374605536</v>
      </c>
      <c r="D173" s="138">
        <f>IF(ISNUMBER($F173),VLOOKUP($J173,'Table 1'!$B$13:$C$32,2,FALSE)/12*1000*Study_MW,"")</f>
        <v>1270750.0000000002</v>
      </c>
      <c r="E173" s="138">
        <f t="shared" si="20"/>
        <v>3401936.2374605536</v>
      </c>
      <c r="F173" s="142">
        <v>63240</v>
      </c>
      <c r="G173" s="143">
        <f t="shared" si="21"/>
        <v>53.794058150862647</v>
      </c>
      <c r="I173" s="144">
        <f t="shared" si="18"/>
        <v>44</v>
      </c>
      <c r="J173" s="140">
        <f t="shared" si="22"/>
        <v>2030</v>
      </c>
      <c r="K173" s="140"/>
    </row>
    <row r="174" spans="2:11" hidden="1" outlineLevel="1" x14ac:dyDescent="0.2">
      <c r="B174" s="145">
        <f t="shared" si="19"/>
        <v>47635</v>
      </c>
      <c r="C174" s="142">
        <v>2049224.7903964818</v>
      </c>
      <c r="D174" s="138">
        <f>IF(ISNUMBER($F174),VLOOKUP($J174,'Table 1'!$B$13:$C$32,2,FALSE)/12*1000*Study_MW,"")</f>
        <v>1270750.0000000002</v>
      </c>
      <c r="E174" s="138">
        <f t="shared" si="20"/>
        <v>3319974.7903964818</v>
      </c>
      <c r="F174" s="142">
        <v>61200</v>
      </c>
      <c r="G174" s="143">
        <f t="shared" si="21"/>
        <v>54.247954091445777</v>
      </c>
      <c r="I174" s="144">
        <f t="shared" si="18"/>
        <v>45</v>
      </c>
      <c r="J174" s="140">
        <f t="shared" si="22"/>
        <v>2030</v>
      </c>
      <c r="K174" s="140"/>
    </row>
    <row r="175" spans="2:11" hidden="1" outlineLevel="1" x14ac:dyDescent="0.2">
      <c r="B175" s="145">
        <f t="shared" si="19"/>
        <v>47665</v>
      </c>
      <c r="C175" s="142">
        <v>2128351.5391393304</v>
      </c>
      <c r="D175" s="138">
        <f>IF(ISNUMBER($F175),VLOOKUP($J175,'Table 1'!$B$13:$C$32,2,FALSE)/12*1000*Study_MW,"")</f>
        <v>1270750.0000000002</v>
      </c>
      <c r="E175" s="138">
        <f t="shared" si="20"/>
        <v>3399101.5391393304</v>
      </c>
      <c r="F175" s="142">
        <v>63240</v>
      </c>
      <c r="G175" s="143">
        <f t="shared" si="21"/>
        <v>53.749233699230395</v>
      </c>
      <c r="I175" s="144">
        <f t="shared" si="18"/>
        <v>46</v>
      </c>
      <c r="J175" s="140">
        <f t="shared" si="22"/>
        <v>2030</v>
      </c>
      <c r="K175" s="140"/>
    </row>
    <row r="176" spans="2:11" hidden="1" outlineLevel="1" x14ac:dyDescent="0.2">
      <c r="B176" s="145">
        <f t="shared" si="19"/>
        <v>47696</v>
      </c>
      <c r="C176" s="142">
        <v>2175574.9241263568</v>
      </c>
      <c r="D176" s="138">
        <f>IF(ISNUMBER($F176),VLOOKUP($J176,'Table 1'!$B$13:$C$32,2,FALSE)/12*1000*Study_MW,"")</f>
        <v>1270750.0000000002</v>
      </c>
      <c r="E176" s="138">
        <f t="shared" si="20"/>
        <v>3446324.9241263568</v>
      </c>
      <c r="F176" s="142">
        <v>63240</v>
      </c>
      <c r="G176" s="143">
        <f t="shared" si="21"/>
        <v>54.495966542162506</v>
      </c>
      <c r="I176" s="144">
        <f t="shared" si="18"/>
        <v>47</v>
      </c>
      <c r="J176" s="140">
        <f t="shared" si="22"/>
        <v>2030</v>
      </c>
      <c r="K176" s="140"/>
    </row>
    <row r="177" spans="2:11" hidden="1" outlineLevel="1" x14ac:dyDescent="0.2">
      <c r="B177" s="145">
        <f t="shared" si="19"/>
        <v>47727</v>
      </c>
      <c r="C177" s="142">
        <v>2157511.7652978003</v>
      </c>
      <c r="D177" s="138">
        <f>IF(ISNUMBER($F177),VLOOKUP($J177,'Table 1'!$B$13:$C$32,2,FALSE)/12*1000*Study_MW,"")</f>
        <v>1270750.0000000002</v>
      </c>
      <c r="E177" s="138">
        <f t="shared" si="20"/>
        <v>3428261.7652978003</v>
      </c>
      <c r="F177" s="142">
        <v>61200</v>
      </c>
      <c r="G177" s="143">
        <f t="shared" si="21"/>
        <v>56.017349106173207</v>
      </c>
      <c r="I177" s="144">
        <f t="shared" si="18"/>
        <v>48</v>
      </c>
      <c r="J177" s="140">
        <f t="shared" si="22"/>
        <v>2030</v>
      </c>
      <c r="K177" s="140"/>
    </row>
    <row r="178" spans="2:11" hidden="1" outlineLevel="1" x14ac:dyDescent="0.2">
      <c r="B178" s="145">
        <f t="shared" si="19"/>
        <v>47757</v>
      </c>
      <c r="C178" s="142">
        <v>2215625.0400827527</v>
      </c>
      <c r="D178" s="138">
        <f>IF(ISNUMBER($F178),VLOOKUP($J178,'Table 1'!$B$13:$C$32,2,FALSE)/12*1000*Study_MW,"")</f>
        <v>1270750.0000000002</v>
      </c>
      <c r="E178" s="138">
        <f t="shared" si="20"/>
        <v>3486375.0400827527</v>
      </c>
      <c r="F178" s="142">
        <v>63240</v>
      </c>
      <c r="G178" s="143">
        <f t="shared" si="21"/>
        <v>55.12927008353499</v>
      </c>
      <c r="I178" s="144">
        <f t="shared" si="18"/>
        <v>49</v>
      </c>
      <c r="J178" s="140">
        <f t="shared" si="22"/>
        <v>2030</v>
      </c>
      <c r="K178" s="140"/>
    </row>
    <row r="179" spans="2:11" hidden="1" outlineLevel="1" x14ac:dyDescent="0.2">
      <c r="B179" s="145">
        <f t="shared" si="19"/>
        <v>47788</v>
      </c>
      <c r="C179" s="142">
        <v>2154767.9335564673</v>
      </c>
      <c r="D179" s="138">
        <f>IF(ISNUMBER($F179),VLOOKUP($J179,'Table 1'!$B$13:$C$32,2,FALSE)/12*1000*Study_MW,"")</f>
        <v>1270750.0000000002</v>
      </c>
      <c r="E179" s="138">
        <f t="shared" si="20"/>
        <v>3425517.9335564673</v>
      </c>
      <c r="F179" s="142">
        <v>61200</v>
      </c>
      <c r="G179" s="143">
        <f t="shared" si="21"/>
        <v>55.97251525419064</v>
      </c>
      <c r="I179" s="144">
        <f t="shared" si="18"/>
        <v>50</v>
      </c>
      <c r="J179" s="140">
        <f t="shared" si="22"/>
        <v>2030</v>
      </c>
      <c r="K179" s="140"/>
    </row>
    <row r="180" spans="2:11" hidden="1" outlineLevel="1" x14ac:dyDescent="0.2">
      <c r="B180" s="149">
        <f t="shared" si="19"/>
        <v>47818</v>
      </c>
      <c r="C180" s="146">
        <v>2187834.4965600073</v>
      </c>
      <c r="D180" s="147">
        <f>IF(ISNUMBER($F180),VLOOKUP($J180,'Table 1'!$B$13:$C$32,2,FALSE)/12*1000*Study_MW,"")</f>
        <v>1270750.0000000002</v>
      </c>
      <c r="E180" s="147">
        <f t="shared" si="20"/>
        <v>3458584.4965600073</v>
      </c>
      <c r="F180" s="146">
        <v>63240</v>
      </c>
      <c r="G180" s="148">
        <f t="shared" si="21"/>
        <v>54.689824423782532</v>
      </c>
      <c r="I180" s="131">
        <f t="shared" si="18"/>
        <v>51</v>
      </c>
      <c r="J180" s="140">
        <f t="shared" si="22"/>
        <v>2030</v>
      </c>
      <c r="K180" s="140"/>
    </row>
    <row r="181" spans="2:11" hidden="1" outlineLevel="1" x14ac:dyDescent="0.2">
      <c r="B181" s="141">
        <f t="shared" si="19"/>
        <v>47849</v>
      </c>
      <c r="C181" s="136">
        <v>2273454.3298695683</v>
      </c>
      <c r="D181" s="137">
        <f>IF(ISNUMBER($F181),VLOOKUP($J181,'Table 1'!$B$13:$C$32,2,FALSE)/12*1000*Study_MW,"")</f>
        <v>1299750</v>
      </c>
      <c r="E181" s="137">
        <f t="shared" si="20"/>
        <v>3573204.3298695683</v>
      </c>
      <c r="F181" s="136">
        <v>63240</v>
      </c>
      <c r="G181" s="139">
        <f t="shared" si="21"/>
        <v>56.502282256002033</v>
      </c>
      <c r="I181" s="127">
        <f>I61</f>
        <v>53</v>
      </c>
      <c r="J181" s="140">
        <f t="shared" si="22"/>
        <v>2031</v>
      </c>
      <c r="K181" s="140"/>
    </row>
    <row r="182" spans="2:11" hidden="1" outlineLevel="1" x14ac:dyDescent="0.2">
      <c r="B182" s="145">
        <f t="shared" si="19"/>
        <v>47880</v>
      </c>
      <c r="C182" s="142">
        <v>2081774.7627872825</v>
      </c>
      <c r="D182" s="138">
        <f>IF(ISNUMBER($F182),VLOOKUP($J182,'Table 1'!$B$13:$C$32,2,FALSE)/12*1000*Study_MW,"")</f>
        <v>1299750</v>
      </c>
      <c r="E182" s="138">
        <f t="shared" si="20"/>
        <v>3381524.7627872825</v>
      </c>
      <c r="F182" s="142">
        <v>57120</v>
      </c>
      <c r="G182" s="143">
        <f t="shared" si="21"/>
        <v>59.200363494175114</v>
      </c>
      <c r="I182" s="144">
        <f t="shared" si="18"/>
        <v>54</v>
      </c>
      <c r="J182" s="140">
        <f t="shared" si="22"/>
        <v>2031</v>
      </c>
      <c r="K182" s="140"/>
    </row>
    <row r="183" spans="2:11" hidden="1" outlineLevel="1" x14ac:dyDescent="0.2">
      <c r="B183" s="145">
        <f t="shared" si="19"/>
        <v>47908</v>
      </c>
      <c r="C183" s="142">
        <v>2348414.5331543982</v>
      </c>
      <c r="D183" s="138">
        <f>IF(ISNUMBER($F183),VLOOKUP($J183,'Table 1'!$B$13:$C$32,2,FALSE)/12*1000*Study_MW,"")</f>
        <v>1299750</v>
      </c>
      <c r="E183" s="138">
        <f t="shared" si="20"/>
        <v>3648164.5331543982</v>
      </c>
      <c r="F183" s="142">
        <v>63240</v>
      </c>
      <c r="G183" s="143">
        <f t="shared" si="21"/>
        <v>57.687611213700158</v>
      </c>
      <c r="I183" s="144">
        <f t="shared" si="18"/>
        <v>55</v>
      </c>
      <c r="J183" s="140">
        <f t="shared" si="22"/>
        <v>2031</v>
      </c>
      <c r="K183" s="140"/>
    </row>
    <row r="184" spans="2:11" hidden="1" outlineLevel="1" x14ac:dyDescent="0.2">
      <c r="B184" s="145">
        <f t="shared" si="19"/>
        <v>47939</v>
      </c>
      <c r="C184" s="142">
        <v>2284709.7618310153</v>
      </c>
      <c r="D184" s="138">
        <f>IF(ISNUMBER($F184),VLOOKUP($J184,'Table 1'!$B$13:$C$32,2,FALSE)/12*1000*Study_MW,"")</f>
        <v>1299750</v>
      </c>
      <c r="E184" s="138">
        <f t="shared" si="20"/>
        <v>3584459.7618310153</v>
      </c>
      <c r="F184" s="142">
        <v>61200</v>
      </c>
      <c r="G184" s="143">
        <f t="shared" si="21"/>
        <v>58.569603951487181</v>
      </c>
      <c r="I184" s="144">
        <f t="shared" si="18"/>
        <v>56</v>
      </c>
      <c r="J184" s="140">
        <f t="shared" si="22"/>
        <v>2031</v>
      </c>
      <c r="K184" s="140"/>
    </row>
    <row r="185" spans="2:11" hidden="1" outlineLevel="1" x14ac:dyDescent="0.2">
      <c r="B185" s="145">
        <f t="shared" si="19"/>
        <v>47969</v>
      </c>
      <c r="C185" s="142">
        <v>2297680.5052479804</v>
      </c>
      <c r="D185" s="138">
        <f>IF(ISNUMBER($F185),VLOOKUP($J185,'Table 1'!$B$13:$C$32,2,FALSE)/12*1000*Study_MW,"")</f>
        <v>1299750</v>
      </c>
      <c r="E185" s="138">
        <f t="shared" si="20"/>
        <v>3597430.5052479804</v>
      </c>
      <c r="F185" s="142">
        <v>63240</v>
      </c>
      <c r="G185" s="143">
        <f t="shared" si="21"/>
        <v>56.885365358127459</v>
      </c>
      <c r="I185" s="144">
        <f t="shared" si="18"/>
        <v>57</v>
      </c>
      <c r="J185" s="140">
        <f t="shared" si="22"/>
        <v>2031</v>
      </c>
      <c r="K185" s="140"/>
    </row>
    <row r="186" spans="2:11" hidden="1" outlineLevel="1" x14ac:dyDescent="0.2">
      <c r="B186" s="145">
        <f t="shared" si="19"/>
        <v>48000</v>
      </c>
      <c r="C186" s="142">
        <v>2223449.058200568</v>
      </c>
      <c r="D186" s="138">
        <f>IF(ISNUMBER($F186),VLOOKUP($J186,'Table 1'!$B$13:$C$32,2,FALSE)/12*1000*Study_MW,"")</f>
        <v>1299750</v>
      </c>
      <c r="E186" s="138">
        <f t="shared" si="20"/>
        <v>3523199.058200568</v>
      </c>
      <c r="F186" s="142">
        <v>61200</v>
      </c>
      <c r="G186" s="143">
        <f t="shared" si="21"/>
        <v>57.568612062100783</v>
      </c>
      <c r="I186" s="144">
        <f t="shared" si="18"/>
        <v>58</v>
      </c>
      <c r="J186" s="140">
        <f t="shared" si="22"/>
        <v>2031</v>
      </c>
      <c r="K186" s="140"/>
    </row>
    <row r="187" spans="2:11" hidden="1" outlineLevel="1" x14ac:dyDescent="0.2">
      <c r="B187" s="145">
        <f t="shared" si="19"/>
        <v>48030</v>
      </c>
      <c r="C187" s="142">
        <v>2325115.1801523566</v>
      </c>
      <c r="D187" s="138">
        <f>IF(ISNUMBER($F187),VLOOKUP($J187,'Table 1'!$B$13:$C$32,2,FALSE)/12*1000*Study_MW,"")</f>
        <v>1299750</v>
      </c>
      <c r="E187" s="138">
        <f t="shared" si="20"/>
        <v>3624865.1801523566</v>
      </c>
      <c r="F187" s="142">
        <v>63240</v>
      </c>
      <c r="G187" s="143">
        <f t="shared" si="21"/>
        <v>57.319183746874707</v>
      </c>
      <c r="I187" s="144">
        <f t="shared" si="18"/>
        <v>59</v>
      </c>
      <c r="J187" s="140">
        <f t="shared" si="22"/>
        <v>2031</v>
      </c>
      <c r="K187" s="140"/>
    </row>
    <row r="188" spans="2:11" hidden="1" outlineLevel="1" x14ac:dyDescent="0.2">
      <c r="B188" s="145">
        <f t="shared" si="19"/>
        <v>48061</v>
      </c>
      <c r="C188" s="142">
        <v>2353774.3095574081</v>
      </c>
      <c r="D188" s="138">
        <f>IF(ISNUMBER($F188),VLOOKUP($J188,'Table 1'!$B$13:$C$32,2,FALSE)/12*1000*Study_MW,"")</f>
        <v>1299750</v>
      </c>
      <c r="E188" s="138">
        <f t="shared" si="20"/>
        <v>3653524.3095574081</v>
      </c>
      <c r="F188" s="142">
        <v>63240</v>
      </c>
      <c r="G188" s="143">
        <f t="shared" si="21"/>
        <v>57.772364161249335</v>
      </c>
      <c r="I188" s="144">
        <f t="shared" si="18"/>
        <v>60</v>
      </c>
      <c r="J188" s="140">
        <f t="shared" si="22"/>
        <v>2031</v>
      </c>
      <c r="K188" s="140"/>
    </row>
    <row r="189" spans="2:11" hidden="1" outlineLevel="1" x14ac:dyDescent="0.2">
      <c r="B189" s="145">
        <f t="shared" si="19"/>
        <v>48092</v>
      </c>
      <c r="C189" s="142">
        <v>2341039.6741379499</v>
      </c>
      <c r="D189" s="138">
        <f>IF(ISNUMBER($F189),VLOOKUP($J189,'Table 1'!$B$13:$C$32,2,FALSE)/12*1000*Study_MW,"")</f>
        <v>1299750</v>
      </c>
      <c r="E189" s="138">
        <f t="shared" si="20"/>
        <v>3640789.6741379499</v>
      </c>
      <c r="F189" s="142">
        <v>61200</v>
      </c>
      <c r="G189" s="143">
        <f t="shared" si="21"/>
        <v>59.490027355195259</v>
      </c>
      <c r="I189" s="144">
        <f t="shared" si="18"/>
        <v>61</v>
      </c>
      <c r="J189" s="140">
        <f t="shared" si="22"/>
        <v>2031</v>
      </c>
      <c r="K189" s="140"/>
    </row>
    <row r="190" spans="2:11" hidden="1" outlineLevel="1" x14ac:dyDescent="0.2">
      <c r="B190" s="145">
        <f t="shared" si="19"/>
        <v>48122</v>
      </c>
      <c r="C190" s="142">
        <v>2409963.0278152823</v>
      </c>
      <c r="D190" s="138">
        <f>IF(ISNUMBER($F190),VLOOKUP($J190,'Table 1'!$B$13:$C$32,2,FALSE)/12*1000*Study_MW,"")</f>
        <v>1299750</v>
      </c>
      <c r="E190" s="138">
        <f t="shared" si="20"/>
        <v>3709713.0278152823</v>
      </c>
      <c r="F190" s="142">
        <v>63240</v>
      </c>
      <c r="G190" s="143">
        <f t="shared" si="21"/>
        <v>58.660863817445957</v>
      </c>
      <c r="I190" s="144">
        <f t="shared" si="18"/>
        <v>62</v>
      </c>
      <c r="J190" s="140">
        <f t="shared" si="22"/>
        <v>2031</v>
      </c>
      <c r="K190" s="140"/>
    </row>
    <row r="191" spans="2:11" hidden="1" outlineLevel="1" x14ac:dyDescent="0.2">
      <c r="B191" s="145">
        <f t="shared" si="19"/>
        <v>48153</v>
      </c>
      <c r="C191" s="142">
        <v>2279958.0472435951</v>
      </c>
      <c r="D191" s="138">
        <f>IF(ISNUMBER($F191),VLOOKUP($J191,'Table 1'!$B$13:$C$32,2,FALSE)/12*1000*Study_MW,"")</f>
        <v>1299750</v>
      </c>
      <c r="E191" s="138">
        <f t="shared" si="20"/>
        <v>3579708.0472435951</v>
      </c>
      <c r="F191" s="142">
        <v>61200</v>
      </c>
      <c r="G191" s="143">
        <f t="shared" si="21"/>
        <v>58.491961556267896</v>
      </c>
      <c r="I191" s="144">
        <f t="shared" si="18"/>
        <v>63</v>
      </c>
      <c r="J191" s="140">
        <f t="shared" si="22"/>
        <v>2031</v>
      </c>
      <c r="K191" s="140"/>
    </row>
    <row r="192" spans="2:11" hidden="1" outlineLevel="1" x14ac:dyDescent="0.2">
      <c r="B192" s="149">
        <f t="shared" si="19"/>
        <v>48183</v>
      </c>
      <c r="C192" s="146">
        <v>2298884.3889594674</v>
      </c>
      <c r="D192" s="147">
        <f>IF(ISNUMBER($F192),VLOOKUP($J192,'Table 1'!$B$13:$C$32,2,FALSE)/12*1000*Study_MW,"")</f>
        <v>1299750</v>
      </c>
      <c r="E192" s="147">
        <f t="shared" si="20"/>
        <v>3598634.3889594674</v>
      </c>
      <c r="F192" s="146">
        <v>63240</v>
      </c>
      <c r="G192" s="148">
        <f t="shared" si="21"/>
        <v>56.90440210245837</v>
      </c>
      <c r="I192" s="131">
        <f t="shared" si="18"/>
        <v>64</v>
      </c>
      <c r="J192" s="140">
        <f t="shared" si="22"/>
        <v>2031</v>
      </c>
      <c r="K192" s="140"/>
    </row>
    <row r="193" spans="2:11" hidden="1" outlineLevel="1" x14ac:dyDescent="0.2">
      <c r="B193" s="141">
        <f t="shared" si="19"/>
        <v>48214</v>
      </c>
      <c r="C193" s="136">
        <v>2384685.3294355869</v>
      </c>
      <c r="D193" s="137">
        <f>IF(ISNUMBER($F193),VLOOKUP($J193,'Table 1'!$B$13:$C$32,2,FALSE)/12*1000*Study_MW,"")</f>
        <v>1329916.6666666665</v>
      </c>
      <c r="E193" s="137">
        <f t="shared" si="20"/>
        <v>3714601.9961022534</v>
      </c>
      <c r="F193" s="136">
        <v>63240</v>
      </c>
      <c r="G193" s="139">
        <f t="shared" si="21"/>
        <v>58.73817198137656</v>
      </c>
      <c r="I193" s="127">
        <f>I73</f>
        <v>66</v>
      </c>
      <c r="J193" s="140">
        <f t="shared" si="22"/>
        <v>2032</v>
      </c>
      <c r="K193" s="140"/>
    </row>
    <row r="194" spans="2:11" hidden="1" outlineLevel="1" x14ac:dyDescent="0.2">
      <c r="B194" s="145">
        <f t="shared" si="19"/>
        <v>48245</v>
      </c>
      <c r="C194" s="142">
        <v>2212496.5402616262</v>
      </c>
      <c r="D194" s="138">
        <f>IF(ISNUMBER($F194),VLOOKUP($J194,'Table 1'!$B$13:$C$32,2,FALSE)/12*1000*Study_MW,"")</f>
        <v>1329916.6666666665</v>
      </c>
      <c r="E194" s="138">
        <f t="shared" si="20"/>
        <v>3542413.2069282928</v>
      </c>
      <c r="F194" s="142">
        <v>59160</v>
      </c>
      <c r="G194" s="143">
        <f t="shared" si="21"/>
        <v>59.87851938688798</v>
      </c>
      <c r="I194" s="144">
        <f t="shared" si="18"/>
        <v>67</v>
      </c>
      <c r="J194" s="140">
        <f t="shared" si="22"/>
        <v>2032</v>
      </c>
      <c r="K194" s="140"/>
    </row>
    <row r="195" spans="2:11" hidden="1" outlineLevel="1" x14ac:dyDescent="0.2">
      <c r="B195" s="145">
        <f t="shared" si="19"/>
        <v>48274</v>
      </c>
      <c r="C195" s="142">
        <v>2389160.75364241</v>
      </c>
      <c r="D195" s="138">
        <f>IF(ISNUMBER($F195),VLOOKUP($J195,'Table 1'!$B$13:$C$32,2,FALSE)/12*1000*Study_MW,"")</f>
        <v>1329916.6666666665</v>
      </c>
      <c r="E195" s="138">
        <f t="shared" si="20"/>
        <v>3719077.4203090766</v>
      </c>
      <c r="F195" s="142">
        <v>63240</v>
      </c>
      <c r="G195" s="143">
        <f t="shared" si="21"/>
        <v>58.808940865102414</v>
      </c>
      <c r="I195" s="144">
        <f t="shared" si="18"/>
        <v>68</v>
      </c>
      <c r="J195" s="140">
        <f t="shared" si="22"/>
        <v>2032</v>
      </c>
      <c r="K195" s="140"/>
    </row>
    <row r="196" spans="2:11" hidden="1" outlineLevel="1" x14ac:dyDescent="0.2">
      <c r="B196" s="145">
        <f t="shared" si="19"/>
        <v>48305</v>
      </c>
      <c r="C196" s="142">
        <v>2355002.2776694298</v>
      </c>
      <c r="D196" s="138">
        <f>IF(ISNUMBER($F196),VLOOKUP($J196,'Table 1'!$B$13:$C$32,2,FALSE)/12*1000*Study_MW,"")</f>
        <v>1329916.6666666665</v>
      </c>
      <c r="E196" s="138">
        <f t="shared" si="20"/>
        <v>3684918.9443360963</v>
      </c>
      <c r="F196" s="142">
        <v>61200</v>
      </c>
      <c r="G196" s="143">
        <f t="shared" si="21"/>
        <v>60.211093861700917</v>
      </c>
      <c r="I196" s="144">
        <f t="shared" si="18"/>
        <v>69</v>
      </c>
      <c r="J196" s="140">
        <f t="shared" si="22"/>
        <v>2032</v>
      </c>
      <c r="K196" s="140"/>
    </row>
    <row r="197" spans="2:11" hidden="1" outlineLevel="1" x14ac:dyDescent="0.2">
      <c r="B197" s="145">
        <f t="shared" si="19"/>
        <v>48335</v>
      </c>
      <c r="C197" s="142">
        <v>2332393.2911987901</v>
      </c>
      <c r="D197" s="138">
        <f>IF(ISNUMBER($F197),VLOOKUP($J197,'Table 1'!$B$13:$C$32,2,FALSE)/12*1000*Study_MW,"")</f>
        <v>1329916.6666666665</v>
      </c>
      <c r="E197" s="138">
        <f t="shared" si="20"/>
        <v>3662309.9578654566</v>
      </c>
      <c r="F197" s="142">
        <v>63240</v>
      </c>
      <c r="G197" s="143">
        <f t="shared" si="21"/>
        <v>57.911289656316519</v>
      </c>
      <c r="I197" s="144">
        <f t="shared" si="18"/>
        <v>70</v>
      </c>
      <c r="J197" s="140">
        <f t="shared" si="22"/>
        <v>2032</v>
      </c>
      <c r="K197" s="140"/>
    </row>
    <row r="198" spans="2:11" hidden="1" outlineLevel="1" x14ac:dyDescent="0.2">
      <c r="B198" s="145">
        <f t="shared" si="19"/>
        <v>48366</v>
      </c>
      <c r="C198" s="142">
        <v>2252478.9201953709</v>
      </c>
      <c r="D198" s="138">
        <f>IF(ISNUMBER($F198),VLOOKUP($J198,'Table 1'!$B$13:$C$32,2,FALSE)/12*1000*Study_MW,"")</f>
        <v>1329916.6666666665</v>
      </c>
      <c r="E198" s="138">
        <f t="shared" si="20"/>
        <v>3582395.5868620374</v>
      </c>
      <c r="F198" s="142">
        <v>61200</v>
      </c>
      <c r="G198" s="143">
        <f t="shared" si="21"/>
        <v>58.535875602320871</v>
      </c>
      <c r="I198" s="144">
        <f t="shared" ref="I198:I204" si="23">I78</f>
        <v>71</v>
      </c>
      <c r="J198" s="140">
        <f t="shared" si="22"/>
        <v>2032</v>
      </c>
      <c r="K198" s="140"/>
    </row>
    <row r="199" spans="2:11" hidden="1" outlineLevel="1" x14ac:dyDescent="0.2">
      <c r="B199" s="145">
        <f t="shared" si="19"/>
        <v>48396</v>
      </c>
      <c r="C199" s="142">
        <v>2326412.4822718799</v>
      </c>
      <c r="D199" s="138">
        <f>IF(ISNUMBER($F199),VLOOKUP($J199,'Table 1'!$B$13:$C$32,2,FALSE)/12*1000*Study_MW,"")</f>
        <v>1329916.6666666665</v>
      </c>
      <c r="E199" s="138">
        <f t="shared" si="20"/>
        <v>3656329.1489385464</v>
      </c>
      <c r="F199" s="142">
        <v>63240</v>
      </c>
      <c r="G199" s="143">
        <f t="shared" si="21"/>
        <v>57.816716460128816</v>
      </c>
      <c r="I199" s="144">
        <f t="shared" si="23"/>
        <v>72</v>
      </c>
      <c r="J199" s="140">
        <f t="shared" si="22"/>
        <v>2032</v>
      </c>
      <c r="K199" s="140"/>
    </row>
    <row r="200" spans="2:11" hidden="1" outlineLevel="1" x14ac:dyDescent="0.2">
      <c r="B200" s="145">
        <f t="shared" si="19"/>
        <v>48427</v>
      </c>
      <c r="C200" s="142">
        <v>2387840.429128617</v>
      </c>
      <c r="D200" s="138">
        <f>IF(ISNUMBER($F200),VLOOKUP($J200,'Table 1'!$B$13:$C$32,2,FALSE)/12*1000*Study_MW,"")</f>
        <v>1329916.6666666665</v>
      </c>
      <c r="E200" s="138">
        <f t="shared" si="20"/>
        <v>3717757.0957952836</v>
      </c>
      <c r="F200" s="142">
        <v>63240</v>
      </c>
      <c r="G200" s="143">
        <f t="shared" si="21"/>
        <v>58.78806286836312</v>
      </c>
      <c r="I200" s="144">
        <f t="shared" si="23"/>
        <v>73</v>
      </c>
      <c r="J200" s="140">
        <f t="shared" si="22"/>
        <v>2032</v>
      </c>
      <c r="K200" s="140"/>
    </row>
    <row r="201" spans="2:11" hidden="1" outlineLevel="1" x14ac:dyDescent="0.2">
      <c r="B201" s="145">
        <f t="shared" si="19"/>
        <v>48458</v>
      </c>
      <c r="C201" s="142">
        <v>2347336.2442504764</v>
      </c>
      <c r="D201" s="138">
        <f>IF(ISNUMBER($F201),VLOOKUP($J201,'Table 1'!$B$13:$C$32,2,FALSE)/12*1000*Study_MW,"")</f>
        <v>1329916.6666666665</v>
      </c>
      <c r="E201" s="138">
        <f t="shared" si="20"/>
        <v>3677252.9109171429</v>
      </c>
      <c r="F201" s="142">
        <v>61200</v>
      </c>
      <c r="G201" s="143">
        <f t="shared" si="21"/>
        <v>60.085831877731096</v>
      </c>
      <c r="I201" s="144">
        <f t="shared" si="23"/>
        <v>74</v>
      </c>
      <c r="J201" s="140">
        <f t="shared" si="22"/>
        <v>2032</v>
      </c>
      <c r="K201" s="140"/>
    </row>
    <row r="202" spans="2:11" hidden="1" outlineLevel="1" x14ac:dyDescent="0.2">
      <c r="B202" s="145">
        <f t="shared" si="19"/>
        <v>48488</v>
      </c>
      <c r="C202" s="142">
        <v>2396201.8569524884</v>
      </c>
      <c r="D202" s="138">
        <f>IF(ISNUMBER($F202),VLOOKUP($J202,'Table 1'!$B$13:$C$32,2,FALSE)/12*1000*Study_MW,"")</f>
        <v>1329916.6666666665</v>
      </c>
      <c r="E202" s="138">
        <f t="shared" si="20"/>
        <v>3726118.5236191549</v>
      </c>
      <c r="F202" s="142">
        <v>63240</v>
      </c>
      <c r="G202" s="143">
        <f t="shared" si="21"/>
        <v>58.920280259632428</v>
      </c>
      <c r="I202" s="144">
        <f t="shared" si="23"/>
        <v>75</v>
      </c>
      <c r="J202" s="140">
        <f t="shared" si="22"/>
        <v>2032</v>
      </c>
      <c r="K202" s="140"/>
    </row>
    <row r="203" spans="2:11" hidden="1" outlineLevel="1" x14ac:dyDescent="0.2">
      <c r="B203" s="145">
        <f t="shared" si="19"/>
        <v>48519</v>
      </c>
      <c r="C203" s="142">
        <v>2280943.0917771161</v>
      </c>
      <c r="D203" s="138">
        <f>IF(ISNUMBER($F203),VLOOKUP($J203,'Table 1'!$B$13:$C$32,2,FALSE)/12*1000*Study_MW,"")</f>
        <v>1329916.6666666665</v>
      </c>
      <c r="E203" s="138">
        <f t="shared" si="20"/>
        <v>3610859.7584437826</v>
      </c>
      <c r="F203" s="142">
        <v>61200</v>
      </c>
      <c r="G203" s="143">
        <f t="shared" si="21"/>
        <v>59.000976445159843</v>
      </c>
      <c r="I203" s="144">
        <f t="shared" si="23"/>
        <v>76</v>
      </c>
      <c r="J203" s="140">
        <f t="shared" si="22"/>
        <v>2032</v>
      </c>
      <c r="K203" s="140"/>
    </row>
    <row r="204" spans="2:11" hidden="1" outlineLevel="1" x14ac:dyDescent="0.2">
      <c r="B204" s="149">
        <f t="shared" si="19"/>
        <v>48549</v>
      </c>
      <c r="C204" s="146">
        <v>2303086.7215099931</v>
      </c>
      <c r="D204" s="147">
        <f>IF(ISNUMBER($F204),VLOOKUP($J204,'Table 1'!$B$13:$C$32,2,FALSE)/12*1000*Study_MW,"")</f>
        <v>1329916.6666666665</v>
      </c>
      <c r="E204" s="147">
        <f t="shared" si="20"/>
        <v>3633003.3881766596</v>
      </c>
      <c r="F204" s="146">
        <v>63240</v>
      </c>
      <c r="G204" s="148">
        <f t="shared" si="21"/>
        <v>57.447871413293164</v>
      </c>
      <c r="I204" s="131">
        <f t="shared" si="23"/>
        <v>77</v>
      </c>
      <c r="J204" s="140">
        <f t="shared" si="22"/>
        <v>2032</v>
      </c>
      <c r="K204" s="140"/>
    </row>
    <row r="205" spans="2:11" hidden="1" outlineLevel="1" x14ac:dyDescent="0.2">
      <c r="B205" s="141">
        <f t="shared" si="19"/>
        <v>48580</v>
      </c>
      <c r="C205" s="136">
        <v>2420003.1306720376</v>
      </c>
      <c r="D205" s="137">
        <f>IF(ISNUMBER($F205),VLOOKUP($J205,'Table 1'!$B$13:$C$32,2,FALSE)/12*1000*Study_MW,"")</f>
        <v>1360666.6666666667</v>
      </c>
      <c r="E205" s="137">
        <f t="shared" si="20"/>
        <v>3780669.7973387046</v>
      </c>
      <c r="F205" s="136">
        <v>63240</v>
      </c>
      <c r="G205" s="139">
        <f t="shared" si="21"/>
        <v>59.782887370947257</v>
      </c>
      <c r="I205" s="127">
        <f>I85</f>
        <v>79</v>
      </c>
      <c r="J205" s="140">
        <f t="shared" si="22"/>
        <v>2033</v>
      </c>
      <c r="K205" s="140"/>
    </row>
    <row r="206" spans="2:11" hidden="1" outlineLevel="1" x14ac:dyDescent="0.2">
      <c r="B206" s="145">
        <f t="shared" ref="B206:B264" si="24">EDATE(B205,1)</f>
        <v>48611</v>
      </c>
      <c r="C206" s="142">
        <v>2208672.3748823404</v>
      </c>
      <c r="D206" s="138">
        <f>IF(ISNUMBER($F206),VLOOKUP($J206,'Table 1'!$B$13:$C$32,2,FALSE)/12*1000*Study_MW,"")</f>
        <v>1360666.6666666667</v>
      </c>
      <c r="E206" s="138">
        <f t="shared" ref="E206:E252" si="25">C206+D206</f>
        <v>3569339.0415490074</v>
      </c>
      <c r="F206" s="142">
        <v>57120</v>
      </c>
      <c r="G206" s="143">
        <f t="shared" ref="G206:G264" si="26">IF(ISNUMBER($F206),E206/$F206,"")</f>
        <v>62.488428598547046</v>
      </c>
      <c r="I206" s="144">
        <f t="shared" ref="I206:I228" si="27">I86</f>
        <v>80</v>
      </c>
      <c r="J206" s="140">
        <f t="shared" ref="J206:J264" si="28">YEAR(B206)</f>
        <v>2033</v>
      </c>
      <c r="K206" s="140"/>
    </row>
    <row r="207" spans="2:11" hidden="1" outlineLevel="1" x14ac:dyDescent="0.2">
      <c r="B207" s="145">
        <f t="shared" si="24"/>
        <v>48639</v>
      </c>
      <c r="C207" s="142">
        <v>2455556.7560591996</v>
      </c>
      <c r="D207" s="138">
        <f>IF(ISNUMBER($F207),VLOOKUP($J207,'Table 1'!$B$13:$C$32,2,FALSE)/12*1000*Study_MW,"")</f>
        <v>1360666.6666666667</v>
      </c>
      <c r="E207" s="138">
        <f t="shared" si="25"/>
        <v>3816223.4227258665</v>
      </c>
      <c r="F207" s="142">
        <v>63240</v>
      </c>
      <c r="G207" s="143">
        <f t="shared" si="26"/>
        <v>60.345088910908707</v>
      </c>
      <c r="I207" s="144">
        <f t="shared" si="27"/>
        <v>81</v>
      </c>
      <c r="J207" s="140">
        <f t="shared" si="28"/>
        <v>2033</v>
      </c>
      <c r="K207" s="140"/>
    </row>
    <row r="208" spans="2:11" hidden="1" outlineLevel="1" x14ac:dyDescent="0.2">
      <c r="B208" s="145">
        <f t="shared" si="24"/>
        <v>48670</v>
      </c>
      <c r="C208" s="142">
        <v>2407583.5147272944</v>
      </c>
      <c r="D208" s="138">
        <f>IF(ISNUMBER($F208),VLOOKUP($J208,'Table 1'!$B$13:$C$32,2,FALSE)/12*1000*Study_MW,"")</f>
        <v>1360666.6666666667</v>
      </c>
      <c r="E208" s="138">
        <f t="shared" si="25"/>
        <v>3768250.1813939614</v>
      </c>
      <c r="F208" s="142">
        <v>61200</v>
      </c>
      <c r="G208" s="143">
        <f t="shared" si="26"/>
        <v>61.572715382254273</v>
      </c>
      <c r="I208" s="144">
        <f t="shared" si="27"/>
        <v>82</v>
      </c>
      <c r="J208" s="140">
        <f t="shared" si="28"/>
        <v>2033</v>
      </c>
      <c r="K208" s="140"/>
    </row>
    <row r="209" spans="2:11" hidden="1" outlineLevel="1" x14ac:dyDescent="0.2">
      <c r="B209" s="145">
        <f t="shared" si="24"/>
        <v>48700</v>
      </c>
      <c r="C209" s="142">
        <v>2365836.4157992601</v>
      </c>
      <c r="D209" s="138">
        <f>IF(ISNUMBER($F209),VLOOKUP($J209,'Table 1'!$B$13:$C$32,2,FALSE)/12*1000*Study_MW,"")</f>
        <v>1360666.6666666667</v>
      </c>
      <c r="E209" s="138">
        <f t="shared" si="25"/>
        <v>3726503.0824659271</v>
      </c>
      <c r="F209" s="142">
        <v>63240</v>
      </c>
      <c r="G209" s="143">
        <f t="shared" si="26"/>
        <v>58.926361202813524</v>
      </c>
      <c r="I209" s="144">
        <f t="shared" si="27"/>
        <v>83</v>
      </c>
      <c r="J209" s="140">
        <f t="shared" si="28"/>
        <v>2033</v>
      </c>
      <c r="K209" s="140"/>
    </row>
    <row r="210" spans="2:11" hidden="1" outlineLevel="1" x14ac:dyDescent="0.2">
      <c r="B210" s="145">
        <f t="shared" si="24"/>
        <v>48731</v>
      </c>
      <c r="C210" s="142">
        <v>2285294.2483844757</v>
      </c>
      <c r="D210" s="138">
        <f>IF(ISNUMBER($F210),VLOOKUP($J210,'Table 1'!$B$13:$C$32,2,FALSE)/12*1000*Study_MW,"")</f>
        <v>1360666.6666666667</v>
      </c>
      <c r="E210" s="138">
        <f t="shared" si="25"/>
        <v>3645960.9150511427</v>
      </c>
      <c r="F210" s="142">
        <v>61200</v>
      </c>
      <c r="G210" s="143">
        <f t="shared" si="26"/>
        <v>59.574524755737627</v>
      </c>
      <c r="I210" s="144">
        <f t="shared" si="27"/>
        <v>84</v>
      </c>
      <c r="J210" s="140">
        <f t="shared" si="28"/>
        <v>2033</v>
      </c>
      <c r="K210" s="140"/>
    </row>
    <row r="211" spans="2:11" hidden="1" outlineLevel="1" x14ac:dyDescent="0.2">
      <c r="B211" s="145">
        <f t="shared" si="24"/>
        <v>48761</v>
      </c>
      <c r="C211" s="142">
        <v>2383654.917578727</v>
      </c>
      <c r="D211" s="138">
        <f>IF(ISNUMBER($F211),VLOOKUP($J211,'Table 1'!$B$13:$C$32,2,FALSE)/12*1000*Study_MW,"")</f>
        <v>1360666.6666666667</v>
      </c>
      <c r="E211" s="138">
        <f t="shared" si="25"/>
        <v>3744321.584245394</v>
      </c>
      <c r="F211" s="142">
        <v>63240</v>
      </c>
      <c r="G211" s="143">
        <f t="shared" si="26"/>
        <v>59.208121193001169</v>
      </c>
      <c r="I211" s="144">
        <f t="shared" si="27"/>
        <v>85</v>
      </c>
      <c r="J211" s="140">
        <f t="shared" si="28"/>
        <v>2033</v>
      </c>
      <c r="K211" s="140"/>
    </row>
    <row r="212" spans="2:11" hidden="1" outlineLevel="1" x14ac:dyDescent="0.2">
      <c r="B212" s="145">
        <f t="shared" si="24"/>
        <v>48792</v>
      </c>
      <c r="C212" s="142">
        <v>2457439.4318033159</v>
      </c>
      <c r="D212" s="138">
        <f>IF(ISNUMBER($F212),VLOOKUP($J212,'Table 1'!$B$13:$C$32,2,FALSE)/12*1000*Study_MW,"")</f>
        <v>1360666.6666666667</v>
      </c>
      <c r="E212" s="138">
        <f t="shared" si="25"/>
        <v>3818106.0984699829</v>
      </c>
      <c r="F212" s="142">
        <v>63240</v>
      </c>
      <c r="G212" s="143">
        <f t="shared" si="26"/>
        <v>60.374859242093343</v>
      </c>
      <c r="I212" s="144">
        <f t="shared" si="27"/>
        <v>86</v>
      </c>
      <c r="J212" s="140">
        <f t="shared" si="28"/>
        <v>2033</v>
      </c>
      <c r="K212" s="140"/>
    </row>
    <row r="213" spans="2:11" hidden="1" outlineLevel="1" x14ac:dyDescent="0.2">
      <c r="B213" s="145">
        <f t="shared" si="24"/>
        <v>48823</v>
      </c>
      <c r="C213" s="142">
        <v>2440803.9582909644</v>
      </c>
      <c r="D213" s="138">
        <f>IF(ISNUMBER($F213),VLOOKUP($J213,'Table 1'!$B$13:$C$32,2,FALSE)/12*1000*Study_MW,"")</f>
        <v>1360666.6666666667</v>
      </c>
      <c r="E213" s="138">
        <f t="shared" si="25"/>
        <v>3801470.6249576313</v>
      </c>
      <c r="F213" s="142">
        <v>61200</v>
      </c>
      <c r="G213" s="143">
        <f t="shared" si="26"/>
        <v>62.115533087542993</v>
      </c>
      <c r="I213" s="144">
        <f t="shared" si="27"/>
        <v>87</v>
      </c>
      <c r="J213" s="140">
        <f t="shared" si="28"/>
        <v>2033</v>
      </c>
      <c r="K213" s="140"/>
    </row>
    <row r="214" spans="2:11" hidden="1" outlineLevel="1" x14ac:dyDescent="0.2">
      <c r="B214" s="145">
        <f t="shared" si="24"/>
        <v>48853</v>
      </c>
      <c r="C214" s="142">
        <v>2506027.7791292667</v>
      </c>
      <c r="D214" s="138">
        <f>IF(ISNUMBER($F214),VLOOKUP($J214,'Table 1'!$B$13:$C$32,2,FALSE)/12*1000*Study_MW,"")</f>
        <v>1360666.6666666667</v>
      </c>
      <c r="E214" s="138">
        <f t="shared" si="25"/>
        <v>3866694.4457959337</v>
      </c>
      <c r="F214" s="142">
        <v>63240</v>
      </c>
      <c r="G214" s="143">
        <f t="shared" si="26"/>
        <v>61.143175929726972</v>
      </c>
      <c r="I214" s="144">
        <f t="shared" si="27"/>
        <v>88</v>
      </c>
      <c r="J214" s="140">
        <f t="shared" si="28"/>
        <v>2033</v>
      </c>
      <c r="K214" s="140"/>
    </row>
    <row r="215" spans="2:11" hidden="1" outlineLevel="1" x14ac:dyDescent="0.2">
      <c r="B215" s="145">
        <f t="shared" si="24"/>
        <v>48884</v>
      </c>
      <c r="C215" s="142">
        <v>2407267.9801856279</v>
      </c>
      <c r="D215" s="138">
        <f>IF(ISNUMBER($F215),VLOOKUP($J215,'Table 1'!$B$13:$C$32,2,FALSE)/12*1000*Study_MW,"")</f>
        <v>1360666.6666666667</v>
      </c>
      <c r="E215" s="138">
        <f t="shared" si="25"/>
        <v>3767934.6468522949</v>
      </c>
      <c r="F215" s="142">
        <v>61200</v>
      </c>
      <c r="G215" s="143">
        <f t="shared" si="26"/>
        <v>61.56755958908979</v>
      </c>
      <c r="I215" s="144">
        <f t="shared" si="27"/>
        <v>89</v>
      </c>
      <c r="J215" s="140">
        <f t="shared" si="28"/>
        <v>2033</v>
      </c>
      <c r="K215" s="140"/>
    </row>
    <row r="216" spans="2:11" hidden="1" outlineLevel="1" x14ac:dyDescent="0.2">
      <c r="B216" s="149">
        <f t="shared" si="24"/>
        <v>48914</v>
      </c>
      <c r="C216" s="146">
        <v>2455461.1756483316</v>
      </c>
      <c r="D216" s="147">
        <f>IF(ISNUMBER($F216),VLOOKUP($J216,'Table 1'!$B$13:$C$32,2,FALSE)/12*1000*Study_MW,"")</f>
        <v>1360666.6666666667</v>
      </c>
      <c r="E216" s="147">
        <f t="shared" si="25"/>
        <v>3816127.8423149986</v>
      </c>
      <c r="F216" s="146">
        <v>63240</v>
      </c>
      <c r="G216" s="148">
        <f t="shared" si="26"/>
        <v>60.343577519212502</v>
      </c>
      <c r="I216" s="131">
        <f t="shared" si="27"/>
        <v>90</v>
      </c>
      <c r="J216" s="140">
        <f t="shared" si="28"/>
        <v>2033</v>
      </c>
      <c r="K216" s="140"/>
    </row>
    <row r="217" spans="2:11" hidden="1" outlineLevel="1" x14ac:dyDescent="0.2">
      <c r="B217" s="141">
        <f t="shared" si="24"/>
        <v>48945</v>
      </c>
      <c r="C217" s="136">
        <v>2628650.4346952736</v>
      </c>
      <c r="D217" s="137">
        <f>IF(ISNUMBER($F217),VLOOKUP($J217,'Table 1'!$B$13:$C$32,2,FALSE)/12*1000*Study_MW,"")</f>
        <v>1392000</v>
      </c>
      <c r="E217" s="137">
        <f t="shared" si="25"/>
        <v>4020650.4346952736</v>
      </c>
      <c r="F217" s="136">
        <v>63240</v>
      </c>
      <c r="G217" s="139">
        <f t="shared" si="26"/>
        <v>63.577647607452143</v>
      </c>
      <c r="I217" s="127">
        <f>I97</f>
        <v>92</v>
      </c>
      <c r="J217" s="140">
        <f t="shared" si="28"/>
        <v>2034</v>
      </c>
      <c r="K217" s="140"/>
    </row>
    <row r="218" spans="2:11" hidden="1" outlineLevel="1" x14ac:dyDescent="0.2">
      <c r="B218" s="145">
        <f t="shared" si="24"/>
        <v>48976</v>
      </c>
      <c r="C218" s="142">
        <v>2373190.4535994232</v>
      </c>
      <c r="D218" s="138">
        <f>IF(ISNUMBER($F218),VLOOKUP($J218,'Table 1'!$B$13:$C$32,2,FALSE)/12*1000*Study_MW,"")</f>
        <v>1392000</v>
      </c>
      <c r="E218" s="138">
        <f t="shared" si="25"/>
        <v>3765190.4535994232</v>
      </c>
      <c r="F218" s="142">
        <v>57120</v>
      </c>
      <c r="G218" s="143">
        <f t="shared" si="26"/>
        <v>65.917199817917066</v>
      </c>
      <c r="I218" s="144">
        <f t="shared" si="27"/>
        <v>93</v>
      </c>
      <c r="J218" s="140">
        <f t="shared" si="28"/>
        <v>2034</v>
      </c>
      <c r="K218" s="140"/>
    </row>
    <row r="219" spans="2:11" hidden="1" outlineLevel="1" x14ac:dyDescent="0.2">
      <c r="B219" s="145">
        <f t="shared" si="24"/>
        <v>49004</v>
      </c>
      <c r="C219" s="142">
        <v>2633658.6583691835</v>
      </c>
      <c r="D219" s="138">
        <f>IF(ISNUMBER($F219),VLOOKUP($J219,'Table 1'!$B$13:$C$32,2,FALSE)/12*1000*Study_MW,"")</f>
        <v>1392000</v>
      </c>
      <c r="E219" s="138">
        <f t="shared" si="25"/>
        <v>4025658.6583691835</v>
      </c>
      <c r="F219" s="142">
        <v>63240</v>
      </c>
      <c r="G219" s="143">
        <f t="shared" si="26"/>
        <v>63.656841530189496</v>
      </c>
      <c r="I219" s="144">
        <f t="shared" si="27"/>
        <v>94</v>
      </c>
      <c r="J219" s="140">
        <f t="shared" si="28"/>
        <v>2034</v>
      </c>
      <c r="K219" s="140"/>
    </row>
    <row r="220" spans="2:11" hidden="1" outlineLevel="1" x14ac:dyDescent="0.2">
      <c r="B220" s="145">
        <f t="shared" si="24"/>
        <v>49035</v>
      </c>
      <c r="C220" s="142">
        <v>2540384.9780654311</v>
      </c>
      <c r="D220" s="138">
        <f>IF(ISNUMBER($F220),VLOOKUP($J220,'Table 1'!$B$13:$C$32,2,FALSE)/12*1000*Study_MW,"")</f>
        <v>1392000</v>
      </c>
      <c r="E220" s="138">
        <f t="shared" si="25"/>
        <v>3932384.9780654311</v>
      </c>
      <c r="F220" s="142">
        <v>61200</v>
      </c>
      <c r="G220" s="143">
        <f t="shared" si="26"/>
        <v>64.254656504337106</v>
      </c>
      <c r="I220" s="144">
        <f t="shared" si="27"/>
        <v>95</v>
      </c>
      <c r="J220" s="140">
        <f t="shared" si="28"/>
        <v>2034</v>
      </c>
      <c r="K220" s="140"/>
    </row>
    <row r="221" spans="2:11" hidden="1" outlineLevel="1" x14ac:dyDescent="0.2">
      <c r="B221" s="145">
        <f t="shared" si="24"/>
        <v>49065</v>
      </c>
      <c r="C221" s="142">
        <v>2560132.5907973647</v>
      </c>
      <c r="D221" s="138">
        <f>IF(ISNUMBER($F221),VLOOKUP($J221,'Table 1'!$B$13:$C$32,2,FALSE)/12*1000*Study_MW,"")</f>
        <v>1392000</v>
      </c>
      <c r="E221" s="138">
        <f t="shared" si="25"/>
        <v>3952132.5907973647</v>
      </c>
      <c r="F221" s="142">
        <v>63240</v>
      </c>
      <c r="G221" s="143">
        <f t="shared" si="26"/>
        <v>62.494190240312534</v>
      </c>
      <c r="I221" s="144">
        <f t="shared" si="27"/>
        <v>96</v>
      </c>
      <c r="J221" s="140">
        <f t="shared" si="28"/>
        <v>2034</v>
      </c>
      <c r="K221" s="140"/>
    </row>
    <row r="222" spans="2:11" hidden="1" outlineLevel="1" x14ac:dyDescent="0.2">
      <c r="B222" s="145">
        <f t="shared" si="24"/>
        <v>49096</v>
      </c>
      <c r="C222" s="142">
        <v>2420169.7614090443</v>
      </c>
      <c r="D222" s="138">
        <f>IF(ISNUMBER($F222),VLOOKUP($J222,'Table 1'!$B$13:$C$32,2,FALSE)/12*1000*Study_MW,"")</f>
        <v>1392000</v>
      </c>
      <c r="E222" s="138">
        <f t="shared" si="25"/>
        <v>3812169.7614090443</v>
      </c>
      <c r="F222" s="142">
        <v>61200</v>
      </c>
      <c r="G222" s="143">
        <f t="shared" si="26"/>
        <v>62.290355578579153</v>
      </c>
      <c r="I222" s="144">
        <f t="shared" si="27"/>
        <v>97</v>
      </c>
      <c r="J222" s="140">
        <f t="shared" si="28"/>
        <v>2034</v>
      </c>
      <c r="K222" s="140"/>
    </row>
    <row r="223" spans="2:11" hidden="1" outlineLevel="1" x14ac:dyDescent="0.2">
      <c r="B223" s="145">
        <f t="shared" si="24"/>
        <v>49126</v>
      </c>
      <c r="C223" s="142">
        <v>2506374.1419595778</v>
      </c>
      <c r="D223" s="138">
        <f>IF(ISNUMBER($F223),VLOOKUP($J223,'Table 1'!$B$13:$C$32,2,FALSE)/12*1000*Study_MW,"")</f>
        <v>1392000</v>
      </c>
      <c r="E223" s="138">
        <f t="shared" si="25"/>
        <v>3898374.1419595778</v>
      </c>
      <c r="F223" s="142">
        <v>63240</v>
      </c>
      <c r="G223" s="143">
        <f t="shared" si="26"/>
        <v>61.644119891833931</v>
      </c>
      <c r="I223" s="144">
        <f t="shared" si="27"/>
        <v>98</v>
      </c>
      <c r="J223" s="140">
        <f t="shared" si="28"/>
        <v>2034</v>
      </c>
      <c r="K223" s="140"/>
    </row>
    <row r="224" spans="2:11" hidden="1" outlineLevel="1" x14ac:dyDescent="0.2">
      <c r="B224" s="145">
        <f t="shared" si="24"/>
        <v>49157</v>
      </c>
      <c r="C224" s="142">
        <v>2571291.8189803064</v>
      </c>
      <c r="D224" s="138">
        <f>IF(ISNUMBER($F224),VLOOKUP($J224,'Table 1'!$B$13:$C$32,2,FALSE)/12*1000*Study_MW,"")</f>
        <v>1392000</v>
      </c>
      <c r="E224" s="138">
        <f t="shared" si="25"/>
        <v>3963291.8189803064</v>
      </c>
      <c r="F224" s="142">
        <v>63240</v>
      </c>
      <c r="G224" s="143">
        <f t="shared" si="26"/>
        <v>62.670648623977016</v>
      </c>
      <c r="I224" s="144">
        <f t="shared" si="27"/>
        <v>99</v>
      </c>
      <c r="J224" s="140">
        <f t="shared" si="28"/>
        <v>2034</v>
      </c>
      <c r="K224" s="140"/>
    </row>
    <row r="225" spans="2:11" hidden="1" outlineLevel="1" x14ac:dyDescent="0.2">
      <c r="B225" s="145">
        <f t="shared" si="24"/>
        <v>49188</v>
      </c>
      <c r="C225" s="142">
        <v>2542797.1195147038</v>
      </c>
      <c r="D225" s="138">
        <f>IF(ISNUMBER($F225),VLOOKUP($J225,'Table 1'!$B$13:$C$32,2,FALSE)/12*1000*Study_MW,"")</f>
        <v>1392000</v>
      </c>
      <c r="E225" s="138">
        <f t="shared" si="25"/>
        <v>3934797.1195147038</v>
      </c>
      <c r="F225" s="142">
        <v>61200</v>
      </c>
      <c r="G225" s="143">
        <f t="shared" si="26"/>
        <v>64.294070580305615</v>
      </c>
      <c r="I225" s="144">
        <f t="shared" si="27"/>
        <v>100</v>
      </c>
      <c r="J225" s="140">
        <f t="shared" si="28"/>
        <v>2034</v>
      </c>
      <c r="K225" s="140"/>
    </row>
    <row r="226" spans="2:11" hidden="1" outlineLevel="1" x14ac:dyDescent="0.2">
      <c r="B226" s="145">
        <f t="shared" si="24"/>
        <v>49218</v>
      </c>
      <c r="C226" s="142">
        <v>2586231.8044274747</v>
      </c>
      <c r="D226" s="138">
        <f>IF(ISNUMBER($F226),VLOOKUP($J226,'Table 1'!$B$13:$C$32,2,FALSE)/12*1000*Study_MW,"")</f>
        <v>1392000</v>
      </c>
      <c r="E226" s="138">
        <f t="shared" si="25"/>
        <v>3978231.8044274747</v>
      </c>
      <c r="F226" s="142">
        <v>63240</v>
      </c>
      <c r="G226" s="143">
        <f t="shared" si="26"/>
        <v>62.906891278106812</v>
      </c>
      <c r="I226" s="144">
        <f t="shared" si="27"/>
        <v>101</v>
      </c>
      <c r="J226" s="140">
        <f t="shared" si="28"/>
        <v>2034</v>
      </c>
      <c r="K226" s="140"/>
    </row>
    <row r="227" spans="2:11" hidden="1" outlineLevel="1" x14ac:dyDescent="0.2">
      <c r="B227" s="145">
        <f t="shared" si="24"/>
        <v>49249</v>
      </c>
      <c r="C227" s="142">
        <v>2449611.9475081265</v>
      </c>
      <c r="D227" s="138">
        <f>IF(ISNUMBER($F227),VLOOKUP($J227,'Table 1'!$B$13:$C$32,2,FALSE)/12*1000*Study_MW,"")</f>
        <v>1392000</v>
      </c>
      <c r="E227" s="138">
        <f t="shared" si="25"/>
        <v>3841611.9475081265</v>
      </c>
      <c r="F227" s="142">
        <v>61200</v>
      </c>
      <c r="G227" s="143">
        <f t="shared" si="26"/>
        <v>62.771437050786382</v>
      </c>
      <c r="I227" s="144">
        <f t="shared" si="27"/>
        <v>102</v>
      </c>
      <c r="J227" s="140">
        <f t="shared" si="28"/>
        <v>2034</v>
      </c>
      <c r="K227" s="140"/>
    </row>
    <row r="228" spans="2:11" hidden="1" outlineLevel="1" x14ac:dyDescent="0.2">
      <c r="B228" s="149">
        <f t="shared" si="24"/>
        <v>49279</v>
      </c>
      <c r="C228" s="146">
        <v>2511197.1115534008</v>
      </c>
      <c r="D228" s="147">
        <f>IF(ISNUMBER($F228),VLOOKUP($J228,'Table 1'!$B$13:$C$32,2,FALSE)/12*1000*Study_MW,"")</f>
        <v>1392000</v>
      </c>
      <c r="E228" s="147">
        <f t="shared" si="25"/>
        <v>3903197.1115534008</v>
      </c>
      <c r="F228" s="146">
        <v>63240</v>
      </c>
      <c r="G228" s="148">
        <f t="shared" si="26"/>
        <v>61.720384433165727</v>
      </c>
      <c r="I228" s="131">
        <f t="shared" si="27"/>
        <v>103</v>
      </c>
      <c r="J228" s="140">
        <f t="shared" si="28"/>
        <v>2034</v>
      </c>
      <c r="K228" s="140"/>
    </row>
    <row r="229" spans="2:11" hidden="1" outlineLevel="1" x14ac:dyDescent="0.2">
      <c r="B229" s="141">
        <f t="shared" si="24"/>
        <v>49310</v>
      </c>
      <c r="C229" s="136">
        <v>2583773.5499936044</v>
      </c>
      <c r="D229" s="137">
        <f>IF(ISNUMBER($F229),VLOOKUP($J229,'Table 1'!$B$13:$C$32,2,FALSE)/12*1000*Study_MW,"")</f>
        <v>1423916.6666666667</v>
      </c>
      <c r="E229" s="137">
        <f t="shared" si="25"/>
        <v>4007690.2166602714</v>
      </c>
      <c r="F229" s="136">
        <v>63240</v>
      </c>
      <c r="G229" s="139">
        <f t="shared" si="26"/>
        <v>63.372710573375578</v>
      </c>
      <c r="I229" s="127">
        <f>I109</f>
        <v>105</v>
      </c>
      <c r="J229" s="140">
        <f t="shared" si="28"/>
        <v>2035</v>
      </c>
      <c r="K229" s="140"/>
    </row>
    <row r="230" spans="2:11" hidden="1" outlineLevel="1" x14ac:dyDescent="0.2">
      <c r="B230" s="145">
        <f t="shared" si="24"/>
        <v>49341</v>
      </c>
      <c r="C230" s="142">
        <v>2369324.0754330456</v>
      </c>
      <c r="D230" s="138">
        <f>IF(ISNUMBER($F230),VLOOKUP($J230,'Table 1'!$B$13:$C$32,2,FALSE)/12*1000*Study_MW,"")</f>
        <v>1423916.6666666667</v>
      </c>
      <c r="E230" s="138">
        <f t="shared" si="25"/>
        <v>3793240.7420997126</v>
      </c>
      <c r="F230" s="142">
        <v>57120</v>
      </c>
      <c r="G230" s="143">
        <f t="shared" si="26"/>
        <v>66.408276297263882</v>
      </c>
      <c r="I230" s="144">
        <f t="shared" ref="I230:I252" si="29">I110</f>
        <v>106</v>
      </c>
      <c r="J230" s="140">
        <f t="shared" si="28"/>
        <v>2035</v>
      </c>
      <c r="K230" s="140"/>
    </row>
    <row r="231" spans="2:11" hidden="1" outlineLevel="1" x14ac:dyDescent="0.2">
      <c r="B231" s="145">
        <f t="shared" si="24"/>
        <v>49369</v>
      </c>
      <c r="C231" s="142">
        <v>2639728.1503152847</v>
      </c>
      <c r="D231" s="138">
        <f>IF(ISNUMBER($F231),VLOOKUP($J231,'Table 1'!$B$13:$C$32,2,FALSE)/12*1000*Study_MW,"")</f>
        <v>1423916.6666666667</v>
      </c>
      <c r="E231" s="138">
        <f t="shared" si="25"/>
        <v>4063644.8169819517</v>
      </c>
      <c r="F231" s="142">
        <v>63240</v>
      </c>
      <c r="G231" s="143">
        <f t="shared" si="26"/>
        <v>64.257508174920176</v>
      </c>
      <c r="I231" s="144">
        <f t="shared" si="29"/>
        <v>107</v>
      </c>
      <c r="J231" s="140">
        <f t="shared" si="28"/>
        <v>2035</v>
      </c>
      <c r="K231" s="140"/>
    </row>
    <row r="232" spans="2:11" hidden="1" outlineLevel="1" x14ac:dyDescent="0.2">
      <c r="B232" s="145">
        <f t="shared" si="24"/>
        <v>49400</v>
      </c>
      <c r="C232" s="142">
        <v>2474128.8640527427</v>
      </c>
      <c r="D232" s="138">
        <f>IF(ISNUMBER($F232),VLOOKUP($J232,'Table 1'!$B$13:$C$32,2,FALSE)/12*1000*Study_MW,"")</f>
        <v>1423916.6666666667</v>
      </c>
      <c r="E232" s="138">
        <f t="shared" si="25"/>
        <v>3898045.5307194097</v>
      </c>
      <c r="F232" s="142">
        <v>61200</v>
      </c>
      <c r="G232" s="143">
        <f t="shared" si="26"/>
        <v>63.693554423519764</v>
      </c>
      <c r="I232" s="144">
        <f t="shared" si="29"/>
        <v>108</v>
      </c>
      <c r="J232" s="140">
        <f t="shared" si="28"/>
        <v>2035</v>
      </c>
      <c r="K232" s="140"/>
    </row>
    <row r="233" spans="2:11" hidden="1" outlineLevel="1" x14ac:dyDescent="0.2">
      <c r="B233" s="145">
        <f t="shared" si="24"/>
        <v>49430</v>
      </c>
      <c r="C233" s="142">
        <v>2595749.8272702098</v>
      </c>
      <c r="D233" s="138">
        <f>IF(ISNUMBER($F233),VLOOKUP($J233,'Table 1'!$B$13:$C$32,2,FALSE)/12*1000*Study_MW,"")</f>
        <v>1423916.6666666667</v>
      </c>
      <c r="E233" s="138">
        <f t="shared" si="25"/>
        <v>4019666.4939368768</v>
      </c>
      <c r="F233" s="142">
        <v>63240</v>
      </c>
      <c r="G233" s="143">
        <f t="shared" si="26"/>
        <v>63.56208877193037</v>
      </c>
      <c r="I233" s="144">
        <f t="shared" si="29"/>
        <v>109</v>
      </c>
      <c r="J233" s="140">
        <f t="shared" si="28"/>
        <v>2035</v>
      </c>
      <c r="K233" s="140"/>
    </row>
    <row r="234" spans="2:11" hidden="1" outlineLevel="1" x14ac:dyDescent="0.2">
      <c r="B234" s="145">
        <f t="shared" si="24"/>
        <v>49461</v>
      </c>
      <c r="C234" s="142">
        <v>2485647.96070683</v>
      </c>
      <c r="D234" s="138">
        <f>IF(ISNUMBER($F234),VLOOKUP($J234,'Table 1'!$B$13:$C$32,2,FALSE)/12*1000*Study_MW,"")</f>
        <v>1423916.6666666667</v>
      </c>
      <c r="E234" s="138">
        <f t="shared" si="25"/>
        <v>3909564.627373497</v>
      </c>
      <c r="F234" s="142">
        <v>61200</v>
      </c>
      <c r="G234" s="143">
        <f t="shared" si="26"/>
        <v>63.881774957083287</v>
      </c>
      <c r="I234" s="144">
        <f t="shared" si="29"/>
        <v>110</v>
      </c>
      <c r="J234" s="140">
        <f t="shared" si="28"/>
        <v>2035</v>
      </c>
      <c r="K234" s="140"/>
    </row>
    <row r="235" spans="2:11" hidden="1" outlineLevel="1" x14ac:dyDescent="0.2">
      <c r="B235" s="145">
        <f t="shared" si="24"/>
        <v>49491</v>
      </c>
      <c r="C235" s="142">
        <v>2598641.6371219754</v>
      </c>
      <c r="D235" s="138">
        <f>IF(ISNUMBER($F235),VLOOKUP($J235,'Table 1'!$B$13:$C$32,2,FALSE)/12*1000*Study_MW,"")</f>
        <v>1423916.6666666667</v>
      </c>
      <c r="E235" s="138">
        <f t="shared" si="25"/>
        <v>4022558.3037886424</v>
      </c>
      <c r="F235" s="142">
        <v>63240</v>
      </c>
      <c r="G235" s="143">
        <f t="shared" si="26"/>
        <v>63.607816315443429</v>
      </c>
      <c r="I235" s="144">
        <f t="shared" si="29"/>
        <v>111</v>
      </c>
      <c r="J235" s="140">
        <f t="shared" si="28"/>
        <v>2035</v>
      </c>
      <c r="K235" s="140"/>
    </row>
    <row r="236" spans="2:11" hidden="1" outlineLevel="1" x14ac:dyDescent="0.2">
      <c r="B236" s="145">
        <f t="shared" si="24"/>
        <v>49522</v>
      </c>
      <c r="C236" s="142">
        <v>2662936.1584166884</v>
      </c>
      <c r="D236" s="138">
        <f>IF(ISNUMBER($F236),VLOOKUP($J236,'Table 1'!$B$13:$C$32,2,FALSE)/12*1000*Study_MW,"")</f>
        <v>1423916.6666666667</v>
      </c>
      <c r="E236" s="138">
        <f t="shared" si="25"/>
        <v>4086852.8250833554</v>
      </c>
      <c r="F236" s="142">
        <v>63240</v>
      </c>
      <c r="G236" s="143">
        <f t="shared" si="26"/>
        <v>64.624491225227004</v>
      </c>
      <c r="I236" s="144">
        <f t="shared" si="29"/>
        <v>112</v>
      </c>
      <c r="J236" s="140">
        <f t="shared" si="28"/>
        <v>2035</v>
      </c>
      <c r="K236" s="140"/>
    </row>
    <row r="237" spans="2:11" hidden="1" outlineLevel="1" x14ac:dyDescent="0.2">
      <c r="B237" s="145">
        <f t="shared" si="24"/>
        <v>49553</v>
      </c>
      <c r="C237" s="142">
        <v>2618958.2855242789</v>
      </c>
      <c r="D237" s="138">
        <f>IF(ISNUMBER($F237),VLOOKUP($J237,'Table 1'!$B$13:$C$32,2,FALSE)/12*1000*Study_MW,"")</f>
        <v>1423916.6666666667</v>
      </c>
      <c r="E237" s="138">
        <f t="shared" si="25"/>
        <v>4042874.9521909459</v>
      </c>
      <c r="F237" s="142">
        <v>61200</v>
      </c>
      <c r="G237" s="143">
        <f t="shared" si="26"/>
        <v>66.060048238414154</v>
      </c>
      <c r="I237" s="144">
        <f t="shared" si="29"/>
        <v>113</v>
      </c>
      <c r="J237" s="140">
        <f t="shared" si="28"/>
        <v>2035</v>
      </c>
      <c r="K237" s="140"/>
    </row>
    <row r="238" spans="2:11" hidden="1" outlineLevel="1" x14ac:dyDescent="0.2">
      <c r="B238" s="145">
        <f t="shared" si="24"/>
        <v>49583</v>
      </c>
      <c r="C238" s="142">
        <v>2635104.8125986457</v>
      </c>
      <c r="D238" s="138">
        <f>IF(ISNUMBER($F238),VLOOKUP($J238,'Table 1'!$B$13:$C$32,2,FALSE)/12*1000*Study_MW,"")</f>
        <v>1423916.6666666667</v>
      </c>
      <c r="E238" s="138">
        <f t="shared" si="25"/>
        <v>4059021.4792653127</v>
      </c>
      <c r="F238" s="142">
        <v>63240</v>
      </c>
      <c r="G238" s="143">
        <f t="shared" si="26"/>
        <v>64.184400367889197</v>
      </c>
      <c r="I238" s="144">
        <f t="shared" si="29"/>
        <v>114</v>
      </c>
      <c r="J238" s="140">
        <f t="shared" si="28"/>
        <v>2035</v>
      </c>
      <c r="K238" s="140"/>
    </row>
    <row r="239" spans="2:11" hidden="1" outlineLevel="1" x14ac:dyDescent="0.2">
      <c r="B239" s="145">
        <f t="shared" si="24"/>
        <v>49614</v>
      </c>
      <c r="C239" s="142">
        <v>2548826.5079481006</v>
      </c>
      <c r="D239" s="138">
        <f>IF(ISNUMBER($F239),VLOOKUP($J239,'Table 1'!$B$13:$C$32,2,FALSE)/12*1000*Study_MW,"")</f>
        <v>1423916.6666666667</v>
      </c>
      <c r="E239" s="138">
        <f t="shared" si="25"/>
        <v>3972743.1746147675</v>
      </c>
      <c r="F239" s="142">
        <v>61200</v>
      </c>
      <c r="G239" s="143">
        <f t="shared" si="26"/>
        <v>64.91410416037202</v>
      </c>
      <c r="I239" s="144">
        <f t="shared" si="29"/>
        <v>115</v>
      </c>
      <c r="J239" s="140">
        <f t="shared" si="28"/>
        <v>2035</v>
      </c>
      <c r="K239" s="140"/>
    </row>
    <row r="240" spans="2:11" hidden="1" outlineLevel="1" x14ac:dyDescent="0.2">
      <c r="B240" s="149">
        <f t="shared" si="24"/>
        <v>49644</v>
      </c>
      <c r="C240" s="146">
        <v>2629840.5199053288</v>
      </c>
      <c r="D240" s="147">
        <f>IF(ISNUMBER($F240),VLOOKUP($J240,'Table 1'!$B$13:$C$32,2,FALSE)/12*1000*Study_MW,"")</f>
        <v>1423916.6666666667</v>
      </c>
      <c r="E240" s="147">
        <f t="shared" si="25"/>
        <v>4053757.1865719957</v>
      </c>
      <c r="F240" s="146">
        <v>63240</v>
      </c>
      <c r="G240" s="148">
        <f t="shared" si="26"/>
        <v>64.101157282922131</v>
      </c>
      <c r="I240" s="131">
        <f t="shared" si="29"/>
        <v>116</v>
      </c>
      <c r="J240" s="140">
        <f t="shared" si="28"/>
        <v>2035</v>
      </c>
      <c r="K240" s="140"/>
    </row>
    <row r="241" spans="2:11" collapsed="1" x14ac:dyDescent="0.2">
      <c r="B241" s="141">
        <f t="shared" si="24"/>
        <v>49675</v>
      </c>
      <c r="C241" s="136">
        <v>2898182.5451910198</v>
      </c>
      <c r="D241" s="137">
        <f>IF(ISNUMBER($F241),VLOOKUP($J241,'Table 1'!$B$13:$C$32,2,FALSE)/12*1000*Study_MW,"")</f>
        <v>1456416.6666666665</v>
      </c>
      <c r="E241" s="137">
        <f t="shared" si="25"/>
        <v>4354599.2118576858</v>
      </c>
      <c r="F241" s="136">
        <v>63240</v>
      </c>
      <c r="G241" s="139">
        <f t="shared" si="26"/>
        <v>68.858305057838166</v>
      </c>
      <c r="I241" s="127">
        <f>I121</f>
        <v>118</v>
      </c>
      <c r="J241" s="140">
        <f t="shared" si="28"/>
        <v>2036</v>
      </c>
      <c r="K241" s="140"/>
    </row>
    <row r="242" spans="2:11" hidden="1" outlineLevel="1" x14ac:dyDescent="0.2">
      <c r="B242" s="145">
        <f t="shared" si="24"/>
        <v>49706</v>
      </c>
      <c r="C242" s="142">
        <v>2516980.4072584808</v>
      </c>
      <c r="D242" s="138">
        <f>IF(ISNUMBER($F242),VLOOKUP($J242,'Table 1'!$B$13:$C$32,2,FALSE)/12*1000*Study_MW,"")</f>
        <v>1456416.6666666665</v>
      </c>
      <c r="E242" s="138">
        <f t="shared" si="25"/>
        <v>3973397.0739251473</v>
      </c>
      <c r="F242" s="142">
        <v>59160</v>
      </c>
      <c r="G242" s="143">
        <f t="shared" si="26"/>
        <v>67.163574609958545</v>
      </c>
      <c r="I242" s="144">
        <f t="shared" si="29"/>
        <v>119</v>
      </c>
      <c r="J242" s="140">
        <f t="shared" si="28"/>
        <v>2036</v>
      </c>
      <c r="K242" s="140"/>
    </row>
    <row r="243" spans="2:11" hidden="1" outlineLevel="1" x14ac:dyDescent="0.2">
      <c r="B243" s="145">
        <f t="shared" si="24"/>
        <v>49735</v>
      </c>
      <c r="C243" s="142">
        <v>2697441.3003115356</v>
      </c>
      <c r="D243" s="138">
        <f>IF(ISNUMBER($F243),VLOOKUP($J243,'Table 1'!$B$13:$C$32,2,FALSE)/12*1000*Study_MW,"")</f>
        <v>1456416.6666666665</v>
      </c>
      <c r="E243" s="138">
        <f t="shared" si="25"/>
        <v>4153857.9669782021</v>
      </c>
      <c r="F243" s="142">
        <v>63240</v>
      </c>
      <c r="G243" s="143">
        <f t="shared" si="26"/>
        <v>65.684028573342857</v>
      </c>
      <c r="I243" s="144">
        <f t="shared" si="29"/>
        <v>120</v>
      </c>
      <c r="J243" s="140">
        <f t="shared" si="28"/>
        <v>2036</v>
      </c>
      <c r="K243" s="140"/>
    </row>
    <row r="244" spans="2:11" hidden="1" outlineLevel="1" x14ac:dyDescent="0.2">
      <c r="B244" s="145">
        <f t="shared" si="24"/>
        <v>49766</v>
      </c>
      <c r="C244" s="142">
        <v>2560095.2098253369</v>
      </c>
      <c r="D244" s="138">
        <f>IF(ISNUMBER($F244),VLOOKUP($J244,'Table 1'!$B$13:$C$32,2,FALSE)/12*1000*Study_MW,"")</f>
        <v>1456416.6666666665</v>
      </c>
      <c r="E244" s="138">
        <f t="shared" si="25"/>
        <v>4016511.8764920034</v>
      </c>
      <c r="F244" s="142">
        <v>61200</v>
      </c>
      <c r="G244" s="143">
        <f t="shared" si="26"/>
        <v>65.629279027647115</v>
      </c>
      <c r="I244" s="144">
        <f t="shared" si="29"/>
        <v>121</v>
      </c>
      <c r="J244" s="140">
        <f t="shared" si="28"/>
        <v>2036</v>
      </c>
      <c r="K244" s="140"/>
    </row>
    <row r="245" spans="2:11" hidden="1" outlineLevel="1" x14ac:dyDescent="0.2">
      <c r="B245" s="145">
        <f t="shared" si="24"/>
        <v>49796</v>
      </c>
      <c r="C245" s="142">
        <v>2656108.5536209643</v>
      </c>
      <c r="D245" s="138">
        <f>IF(ISNUMBER($F245),VLOOKUP($J245,'Table 1'!$B$13:$C$32,2,FALSE)/12*1000*Study_MW,"")</f>
        <v>1456416.6666666665</v>
      </c>
      <c r="E245" s="138">
        <f t="shared" si="25"/>
        <v>4112525.2202876308</v>
      </c>
      <c r="F245" s="142">
        <v>63240</v>
      </c>
      <c r="G245" s="143">
        <f t="shared" si="26"/>
        <v>65.03044307855204</v>
      </c>
      <c r="I245" s="144">
        <f t="shared" si="29"/>
        <v>122</v>
      </c>
      <c r="J245" s="140">
        <f t="shared" si="28"/>
        <v>2036</v>
      </c>
      <c r="K245" s="140"/>
    </row>
    <row r="246" spans="2:11" hidden="1" outlineLevel="1" x14ac:dyDescent="0.2">
      <c r="B246" s="145">
        <f t="shared" si="24"/>
        <v>49827</v>
      </c>
      <c r="C246" s="142">
        <v>2534536.4743216336</v>
      </c>
      <c r="D246" s="138">
        <f>IF(ISNUMBER($F246),VLOOKUP($J246,'Table 1'!$B$13:$C$32,2,FALSE)/12*1000*Study_MW,"")</f>
        <v>1456416.6666666665</v>
      </c>
      <c r="E246" s="138">
        <f t="shared" si="25"/>
        <v>3990953.1409883001</v>
      </c>
      <c r="F246" s="142">
        <v>61200</v>
      </c>
      <c r="G246" s="143">
        <f t="shared" si="26"/>
        <v>65.21165263052778</v>
      </c>
      <c r="I246" s="144">
        <f t="shared" si="29"/>
        <v>123</v>
      </c>
      <c r="J246" s="140">
        <f t="shared" si="28"/>
        <v>2036</v>
      </c>
      <c r="K246" s="140"/>
    </row>
    <row r="247" spans="2:11" hidden="1" outlineLevel="1" x14ac:dyDescent="0.2">
      <c r="B247" s="145">
        <f t="shared" si="24"/>
        <v>49857</v>
      </c>
      <c r="C247" s="142">
        <v>2655802.9447215497</v>
      </c>
      <c r="D247" s="138">
        <f>IF(ISNUMBER($F247),VLOOKUP($J247,'Table 1'!$B$13:$C$32,2,FALSE)/12*1000*Study_MW,"")</f>
        <v>1456416.6666666665</v>
      </c>
      <c r="E247" s="138">
        <f t="shared" si="25"/>
        <v>4112219.6113882163</v>
      </c>
      <c r="F247" s="142">
        <v>63240</v>
      </c>
      <c r="G247" s="143">
        <f t="shared" si="26"/>
        <v>65.025610553260847</v>
      </c>
      <c r="I247" s="144">
        <f t="shared" si="29"/>
        <v>124</v>
      </c>
      <c r="J247" s="140">
        <f t="shared" si="28"/>
        <v>2036</v>
      </c>
      <c r="K247" s="140"/>
    </row>
    <row r="248" spans="2:11" hidden="1" outlineLevel="1" x14ac:dyDescent="0.2">
      <c r="B248" s="145">
        <f t="shared" si="24"/>
        <v>49888</v>
      </c>
      <c r="C248" s="142">
        <v>2749167.9359711111</v>
      </c>
      <c r="D248" s="138">
        <f>IF(ISNUMBER($F248),VLOOKUP($J248,'Table 1'!$B$13:$C$32,2,FALSE)/12*1000*Study_MW,"")</f>
        <v>1456416.6666666665</v>
      </c>
      <c r="E248" s="138">
        <f t="shared" si="25"/>
        <v>4205584.6026377771</v>
      </c>
      <c r="F248" s="142">
        <v>63240</v>
      </c>
      <c r="G248" s="143">
        <f t="shared" si="26"/>
        <v>66.501970313690336</v>
      </c>
      <c r="I248" s="144">
        <f t="shared" si="29"/>
        <v>125</v>
      </c>
      <c r="J248" s="140">
        <f t="shared" si="28"/>
        <v>2036</v>
      </c>
      <c r="K248" s="140"/>
    </row>
    <row r="249" spans="2:11" hidden="1" outlineLevel="1" x14ac:dyDescent="0.2">
      <c r="B249" s="145">
        <f t="shared" si="24"/>
        <v>49919</v>
      </c>
      <c r="C249" s="142">
        <v>2688075.4660122693</v>
      </c>
      <c r="D249" s="138">
        <f>IF(ISNUMBER($F249),VLOOKUP($J249,'Table 1'!$B$13:$C$32,2,FALSE)/12*1000*Study_MW,"")</f>
        <v>1456416.6666666665</v>
      </c>
      <c r="E249" s="138">
        <f t="shared" si="25"/>
        <v>4144492.1326789358</v>
      </c>
      <c r="F249" s="142">
        <v>61200</v>
      </c>
      <c r="G249" s="143">
        <f t="shared" si="26"/>
        <v>67.72045968429633</v>
      </c>
      <c r="I249" s="144">
        <f t="shared" si="29"/>
        <v>126</v>
      </c>
      <c r="J249" s="140">
        <f t="shared" si="28"/>
        <v>2036</v>
      </c>
      <c r="K249" s="140"/>
    </row>
    <row r="250" spans="2:11" hidden="1" outlineLevel="1" x14ac:dyDescent="0.2">
      <c r="B250" s="145">
        <f t="shared" si="24"/>
        <v>49949</v>
      </c>
      <c r="C250" s="142">
        <v>2714684.1860173345</v>
      </c>
      <c r="D250" s="138">
        <f>IF(ISNUMBER($F250),VLOOKUP($J250,'Table 1'!$B$13:$C$32,2,FALSE)/12*1000*Study_MW,"")</f>
        <v>1456416.6666666665</v>
      </c>
      <c r="E250" s="138">
        <f t="shared" si="25"/>
        <v>4171100.852684001</v>
      </c>
      <c r="F250" s="142">
        <v>63240</v>
      </c>
      <c r="G250" s="143">
        <f t="shared" si="26"/>
        <v>65.956686475079081</v>
      </c>
      <c r="I250" s="144">
        <f t="shared" si="29"/>
        <v>127</v>
      </c>
      <c r="J250" s="140">
        <f t="shared" si="28"/>
        <v>2036</v>
      </c>
      <c r="K250" s="140"/>
    </row>
    <row r="251" spans="2:11" hidden="1" outlineLevel="1" x14ac:dyDescent="0.2">
      <c r="B251" s="145">
        <f t="shared" si="24"/>
        <v>49980</v>
      </c>
      <c r="C251" s="142">
        <v>2651577.8749308586</v>
      </c>
      <c r="D251" s="138">
        <f>IF(ISNUMBER($F251),VLOOKUP($J251,'Table 1'!$B$13:$C$32,2,FALSE)/12*1000*Study_MW,"")</f>
        <v>1456416.6666666665</v>
      </c>
      <c r="E251" s="138">
        <f t="shared" si="25"/>
        <v>4107994.5415975251</v>
      </c>
      <c r="F251" s="142">
        <v>61200</v>
      </c>
      <c r="G251" s="143">
        <f t="shared" si="26"/>
        <v>67.124093816953021</v>
      </c>
      <c r="I251" s="144">
        <f t="shared" si="29"/>
        <v>128</v>
      </c>
      <c r="J251" s="140">
        <f t="shared" si="28"/>
        <v>2036</v>
      </c>
      <c r="K251" s="140"/>
    </row>
    <row r="252" spans="2:11" collapsed="1" x14ac:dyDescent="0.2">
      <c r="B252" s="149">
        <f t="shared" si="24"/>
        <v>50010</v>
      </c>
      <c r="C252" s="146">
        <v>2698242.9432966709</v>
      </c>
      <c r="D252" s="147">
        <f>IF(ISNUMBER($F252),VLOOKUP($J252,'Table 1'!$B$13:$C$32,2,FALSE)/12*1000*Study_MW,"")</f>
        <v>1456416.6666666665</v>
      </c>
      <c r="E252" s="147">
        <f t="shared" si="25"/>
        <v>4154659.6099633374</v>
      </c>
      <c r="F252" s="146">
        <v>63240</v>
      </c>
      <c r="G252" s="148">
        <f t="shared" si="26"/>
        <v>65.696704774878839</v>
      </c>
      <c r="I252" s="131">
        <f t="shared" si="29"/>
        <v>129</v>
      </c>
      <c r="J252" s="140">
        <f t="shared" si="28"/>
        <v>2036</v>
      </c>
      <c r="K252" s="140"/>
    </row>
    <row r="253" spans="2:11" hidden="1" x14ac:dyDescent="0.2">
      <c r="B253" s="199">
        <f t="shared" si="24"/>
        <v>50041</v>
      </c>
      <c r="C253" s="150" t="str">
        <f>IF(C13="",IFERROR(C241*(C241/C193)^(1/4),C241*1.019),"")</f>
        <v/>
      </c>
      <c r="D253" s="151" t="str">
        <f>IF(ISNUMBER($F253),D241*(1+'Table 3 423 (Wyo)'!$D$87),"")</f>
        <v/>
      </c>
      <c r="E253" s="151" t="str">
        <f>IF(ISNUMBER($F253),C253+D253,"")</f>
        <v/>
      </c>
      <c r="F253" s="150" t="str">
        <f>IF(F13="",AVERAGE(F241,F229,F217,F205),"")</f>
        <v/>
      </c>
      <c r="G253" s="152" t="str">
        <f t="shared" si="26"/>
        <v/>
      </c>
      <c r="I253" s="127"/>
      <c r="J253" s="140">
        <f t="shared" si="28"/>
        <v>2037</v>
      </c>
      <c r="K253" s="140"/>
    </row>
    <row r="254" spans="2:11" hidden="1" outlineLevel="1" x14ac:dyDescent="0.2">
      <c r="B254" s="200">
        <f t="shared" si="24"/>
        <v>50072</v>
      </c>
      <c r="C254" s="153" t="str">
        <f t="shared" ref="C254:C263" si="30">IF(C14="",IFERROR(C242*(C242/C194)^(1/4),C242*1.019),"")</f>
        <v/>
      </c>
      <c r="D254" s="154" t="str">
        <f>IF(ISNUMBER($F254),D242*(1+'Table 3 423 (Wyo)'!$D$87),"")</f>
        <v/>
      </c>
      <c r="E254" s="154" t="str">
        <f t="shared" ref="E254:E264" si="31">IF(ISNUMBER($F254),C254+D254,"")</f>
        <v/>
      </c>
      <c r="F254" s="153" t="str">
        <f t="shared" ref="F254:F264" si="32">IF(F14="",AVERAGE(F242,F230,F218,F206),"")</f>
        <v/>
      </c>
      <c r="G254" s="155" t="str">
        <f t="shared" si="26"/>
        <v/>
      </c>
      <c r="I254" s="144"/>
      <c r="J254" s="140">
        <f t="shared" si="28"/>
        <v>2037</v>
      </c>
      <c r="K254" s="140"/>
    </row>
    <row r="255" spans="2:11" hidden="1" outlineLevel="1" x14ac:dyDescent="0.2">
      <c r="B255" s="200">
        <f t="shared" si="24"/>
        <v>50100</v>
      </c>
      <c r="C255" s="153" t="str">
        <f t="shared" si="30"/>
        <v/>
      </c>
      <c r="D255" s="154" t="str">
        <f>IF(ISNUMBER($F255),D243*(1+'Table 3 423 (Wyo)'!$D$87),"")</f>
        <v/>
      </c>
      <c r="E255" s="154" t="str">
        <f t="shared" si="31"/>
        <v/>
      </c>
      <c r="F255" s="153" t="str">
        <f t="shared" si="32"/>
        <v/>
      </c>
      <c r="G255" s="155" t="str">
        <f t="shared" si="26"/>
        <v/>
      </c>
      <c r="I255" s="144"/>
      <c r="J255" s="140">
        <f t="shared" si="28"/>
        <v>2037</v>
      </c>
      <c r="K255" s="140"/>
    </row>
    <row r="256" spans="2:11" hidden="1" outlineLevel="1" x14ac:dyDescent="0.2">
      <c r="B256" s="200">
        <f t="shared" si="24"/>
        <v>50131</v>
      </c>
      <c r="C256" s="153" t="str">
        <f t="shared" si="30"/>
        <v/>
      </c>
      <c r="D256" s="154" t="str">
        <f>IF(ISNUMBER($F256),D244*(1+'Table 3 423 (Wyo)'!$D$87),"")</f>
        <v/>
      </c>
      <c r="E256" s="154" t="str">
        <f t="shared" si="31"/>
        <v/>
      </c>
      <c r="F256" s="153" t="str">
        <f t="shared" si="32"/>
        <v/>
      </c>
      <c r="G256" s="155" t="str">
        <f t="shared" si="26"/>
        <v/>
      </c>
      <c r="I256" s="144"/>
      <c r="J256" s="140">
        <f t="shared" si="28"/>
        <v>2037</v>
      </c>
      <c r="K256" s="140"/>
    </row>
    <row r="257" spans="2:11" hidden="1" outlineLevel="1" x14ac:dyDescent="0.2">
      <c r="B257" s="200">
        <f t="shared" si="24"/>
        <v>50161</v>
      </c>
      <c r="C257" s="153" t="str">
        <f t="shared" si="30"/>
        <v/>
      </c>
      <c r="D257" s="154" t="str">
        <f>IF(ISNUMBER($F257),D245*(1+'Table 3 423 (Wyo)'!$D$87),"")</f>
        <v/>
      </c>
      <c r="E257" s="154" t="str">
        <f t="shared" si="31"/>
        <v/>
      </c>
      <c r="F257" s="153" t="str">
        <f t="shared" si="32"/>
        <v/>
      </c>
      <c r="G257" s="155" t="str">
        <f t="shared" si="26"/>
        <v/>
      </c>
      <c r="I257" s="144"/>
      <c r="J257" s="140">
        <f t="shared" si="28"/>
        <v>2037</v>
      </c>
      <c r="K257" s="140"/>
    </row>
    <row r="258" spans="2:11" hidden="1" outlineLevel="1" x14ac:dyDescent="0.2">
      <c r="B258" s="200">
        <f t="shared" si="24"/>
        <v>50192</v>
      </c>
      <c r="C258" s="153" t="str">
        <f t="shared" si="30"/>
        <v/>
      </c>
      <c r="D258" s="154" t="str">
        <f>IF(ISNUMBER($F258),D246*(1+'Table 3 423 (Wyo)'!$D$87),"")</f>
        <v/>
      </c>
      <c r="E258" s="154" t="str">
        <f t="shared" si="31"/>
        <v/>
      </c>
      <c r="F258" s="153" t="str">
        <f t="shared" si="32"/>
        <v/>
      </c>
      <c r="G258" s="155" t="str">
        <f t="shared" si="26"/>
        <v/>
      </c>
      <c r="I258" s="144"/>
      <c r="J258" s="140">
        <f t="shared" si="28"/>
        <v>2037</v>
      </c>
      <c r="K258" s="140"/>
    </row>
    <row r="259" spans="2:11" hidden="1" outlineLevel="1" x14ac:dyDescent="0.2">
      <c r="B259" s="200">
        <f t="shared" si="24"/>
        <v>50222</v>
      </c>
      <c r="C259" s="153" t="str">
        <f t="shared" si="30"/>
        <v/>
      </c>
      <c r="D259" s="154" t="str">
        <f>IF(ISNUMBER($F259),D247*(1+'Table 3 423 (Wyo)'!$D$87),"")</f>
        <v/>
      </c>
      <c r="E259" s="154" t="str">
        <f t="shared" si="31"/>
        <v/>
      </c>
      <c r="F259" s="153" t="str">
        <f t="shared" si="32"/>
        <v/>
      </c>
      <c r="G259" s="155" t="str">
        <f t="shared" si="26"/>
        <v/>
      </c>
      <c r="I259" s="144"/>
      <c r="J259" s="140">
        <f t="shared" si="28"/>
        <v>2037</v>
      </c>
      <c r="K259" s="140"/>
    </row>
    <row r="260" spans="2:11" hidden="1" outlineLevel="1" x14ac:dyDescent="0.2">
      <c r="B260" s="200">
        <f t="shared" si="24"/>
        <v>50253</v>
      </c>
      <c r="C260" s="153" t="str">
        <f t="shared" si="30"/>
        <v/>
      </c>
      <c r="D260" s="154" t="str">
        <f>IF(ISNUMBER($F260),D248*(1+'Table 3 423 (Wyo)'!$D$87),"")</f>
        <v/>
      </c>
      <c r="E260" s="154" t="str">
        <f t="shared" si="31"/>
        <v/>
      </c>
      <c r="F260" s="153" t="str">
        <f t="shared" si="32"/>
        <v/>
      </c>
      <c r="G260" s="155" t="str">
        <f t="shared" si="26"/>
        <v/>
      </c>
      <c r="I260" s="144"/>
      <c r="J260" s="140">
        <f t="shared" si="28"/>
        <v>2037</v>
      </c>
      <c r="K260" s="140"/>
    </row>
    <row r="261" spans="2:11" hidden="1" outlineLevel="1" x14ac:dyDescent="0.2">
      <c r="B261" s="200">
        <f t="shared" si="24"/>
        <v>50284</v>
      </c>
      <c r="C261" s="153" t="str">
        <f t="shared" si="30"/>
        <v/>
      </c>
      <c r="D261" s="154" t="str">
        <f>IF(ISNUMBER($F261),D249*(1+'Table 3 423 (Wyo)'!$D$87),"")</f>
        <v/>
      </c>
      <c r="E261" s="154" t="str">
        <f t="shared" si="31"/>
        <v/>
      </c>
      <c r="F261" s="153" t="str">
        <f t="shared" si="32"/>
        <v/>
      </c>
      <c r="G261" s="155" t="str">
        <f t="shared" si="26"/>
        <v/>
      </c>
      <c r="I261" s="144"/>
      <c r="J261" s="140">
        <f t="shared" si="28"/>
        <v>2037</v>
      </c>
      <c r="K261" s="140"/>
    </row>
    <row r="262" spans="2:11" hidden="1" outlineLevel="1" x14ac:dyDescent="0.2">
      <c r="B262" s="200">
        <f t="shared" si="24"/>
        <v>50314</v>
      </c>
      <c r="C262" s="153" t="str">
        <f t="shared" si="30"/>
        <v/>
      </c>
      <c r="D262" s="154" t="str">
        <f>IF(ISNUMBER($F262),D250*(1+'Table 3 423 (Wyo)'!$D$87),"")</f>
        <v/>
      </c>
      <c r="E262" s="154" t="str">
        <f t="shared" si="31"/>
        <v/>
      </c>
      <c r="F262" s="153" t="str">
        <f t="shared" si="32"/>
        <v/>
      </c>
      <c r="G262" s="155" t="str">
        <f t="shared" si="26"/>
        <v/>
      </c>
      <c r="I262" s="144"/>
      <c r="J262" s="140">
        <f t="shared" si="28"/>
        <v>2037</v>
      </c>
      <c r="K262" s="140"/>
    </row>
    <row r="263" spans="2:11" hidden="1" outlineLevel="1" x14ac:dyDescent="0.2">
      <c r="B263" s="200">
        <f t="shared" si="24"/>
        <v>50345</v>
      </c>
      <c r="C263" s="153" t="str">
        <f t="shared" si="30"/>
        <v/>
      </c>
      <c r="D263" s="154" t="str">
        <f>IF(ISNUMBER($F263),D251*(1+'Table 3 423 (Wyo)'!$D$87),"")</f>
        <v/>
      </c>
      <c r="E263" s="154" t="str">
        <f t="shared" si="31"/>
        <v/>
      </c>
      <c r="F263" s="153" t="str">
        <f t="shared" si="32"/>
        <v/>
      </c>
      <c r="G263" s="155" t="str">
        <f t="shared" si="26"/>
        <v/>
      </c>
      <c r="I263" s="144"/>
      <c r="J263" s="140">
        <f t="shared" si="28"/>
        <v>2037</v>
      </c>
      <c r="K263" s="140"/>
    </row>
    <row r="264" spans="2:11" hidden="1" collapsed="1" x14ac:dyDescent="0.2">
      <c r="B264" s="201">
        <f t="shared" si="24"/>
        <v>50375</v>
      </c>
      <c r="C264" s="156" t="str">
        <f>IF(C24="",C252+(C252-C240),"")</f>
        <v/>
      </c>
      <c r="D264" s="157" t="str">
        <f>IF(ISNUMBER($F264),D252*(1+'Table 3 423 (Wyo)'!$D$87),"")</f>
        <v/>
      </c>
      <c r="E264" s="157" t="str">
        <f t="shared" si="31"/>
        <v/>
      </c>
      <c r="F264" s="156" t="str">
        <f t="shared" si="32"/>
        <v/>
      </c>
      <c r="G264" s="158" t="str">
        <f t="shared" si="26"/>
        <v/>
      </c>
      <c r="I264" s="131"/>
      <c r="J264" s="140">
        <f t="shared" si="28"/>
        <v>2037</v>
      </c>
      <c r="K264" s="140"/>
    </row>
    <row r="265" spans="2:11" hidden="1" x14ac:dyDescent="0.2">
      <c r="B265" s="159"/>
      <c r="K265" s="140"/>
    </row>
    <row r="266" spans="2:11" hidden="1" x14ac:dyDescent="0.2">
      <c r="B266" s="122" t="str">
        <f>"Note: Energy Dollars in "&amp;YEAR(B253)&amp;" are "&amp;YEAR(B241)&amp;" x ("&amp;YEAR(B241)&amp;" / "&amp;YEAR(B193)&amp;" ) ^ (1/4)"</f>
        <v>Note: Energy Dollars in 2037 are 2036 x (2036 / 2032 ) ^ (1/4)</v>
      </c>
    </row>
  </sheetData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38</vt:i4>
      </vt:variant>
    </vt:vector>
  </HeadingPairs>
  <TitlesOfParts>
    <vt:vector size="47" baseType="lpstr">
      <vt:lpstr>Appendix B</vt:lpstr>
      <vt:lpstr>Table 1</vt:lpstr>
      <vt:lpstr>Table 2</vt:lpstr>
      <vt:lpstr>Table 3 423 (Wyo)</vt:lpstr>
      <vt:lpstr>Table 3 423 (UT)</vt:lpstr>
      <vt:lpstr>Table 3 313</vt:lpstr>
      <vt:lpstr>Table 3 635</vt:lpstr>
      <vt:lpstr>Table 4</vt:lpstr>
      <vt:lpstr>Table 5</vt:lpstr>
      <vt:lpstr>'Appendix B'!_313_CCCT_Wyo</vt:lpstr>
      <vt:lpstr>_313_CCCT_Wyo</vt:lpstr>
      <vt:lpstr>'Appendix B'!_423_CCCT_Clvr1</vt:lpstr>
      <vt:lpstr>_423_CCCT_Clvr1</vt:lpstr>
      <vt:lpstr>'Appendix B'!_423_CCCT_Clvr2</vt:lpstr>
      <vt:lpstr>_423_CCCT_Clvr2</vt:lpstr>
      <vt:lpstr>'Appendix B'!_423_CCCT_WyoNE</vt:lpstr>
      <vt:lpstr>_423_CCCT_WyoNE</vt:lpstr>
      <vt:lpstr>'Appendix B'!_635_CCCT_UTN1</vt:lpstr>
      <vt:lpstr>_635_CCCT_UTN1</vt:lpstr>
      <vt:lpstr>'Appendix B'!_635_CCCT_UTN2</vt:lpstr>
      <vt:lpstr>_635_CCCT_UTN2</vt:lpstr>
      <vt:lpstr>'Appendix B'!_Percent_Last_CCCT</vt:lpstr>
      <vt:lpstr>_Percent_Last_CCCT</vt:lpstr>
      <vt:lpstr>'Appendix B'!Discount_Rate</vt:lpstr>
      <vt:lpstr>Discount_Rate</vt:lpstr>
      <vt:lpstr>'Appendix B'!Print_Area</vt:lpstr>
      <vt:lpstr>'Table 1'!Print_Area</vt:lpstr>
      <vt:lpstr>'Table 2'!Print_Area</vt:lpstr>
      <vt:lpstr>'Table 3 313'!Print_Area</vt:lpstr>
      <vt:lpstr>'Table 3 423 (UT)'!Print_Area</vt:lpstr>
      <vt:lpstr>'Table 3 423 (Wyo)'!Print_Area</vt:lpstr>
      <vt:lpstr>'Table 3 635'!Print_Area</vt:lpstr>
      <vt:lpstr>'Table 4'!Print_Area</vt:lpstr>
      <vt:lpstr>'Table 5'!Print_Area</vt:lpstr>
      <vt:lpstr>'Table 2'!Print_Titles</vt:lpstr>
      <vt:lpstr>'Table 3 313'!Print_Titles</vt:lpstr>
      <vt:lpstr>'Table 3 423 (UT)'!Print_Titles</vt:lpstr>
      <vt:lpstr>'Table 3 423 (Wyo)'!Print_Titles</vt:lpstr>
      <vt:lpstr>'Table 3 635'!Print_Titles</vt:lpstr>
      <vt:lpstr>'Appendix B'!Study_Cap_Adj</vt:lpstr>
      <vt:lpstr>Study_Cap_Adj</vt:lpstr>
      <vt:lpstr>'Appendix B'!Study_CF</vt:lpstr>
      <vt:lpstr>Study_CF</vt:lpstr>
      <vt:lpstr>'Appendix B'!Study_MW</vt:lpstr>
      <vt:lpstr>Study_MW</vt:lpstr>
      <vt:lpstr>'Appendix B'!Study_Name</vt:lpstr>
      <vt:lpstr>Study_Name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laurieharris</cp:lastModifiedBy>
  <cp:lastPrinted>2015-12-01T17:52:07Z</cp:lastPrinted>
  <dcterms:created xsi:type="dcterms:W3CDTF">2001-03-19T15:45:46Z</dcterms:created>
  <dcterms:modified xsi:type="dcterms:W3CDTF">2015-12-02T18:03:00Z</dcterms:modified>
</cp:coreProperties>
</file>