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6\"/>
    </mc:Choice>
  </mc:AlternateContent>
  <bookViews>
    <workbookView xWindow="-15" yWindow="-15" windowWidth="12225" windowHeight="9795"/>
  </bookViews>
  <sheets>
    <sheet name="Incremental" sheetId="6" r:id="rId1"/>
    <sheet name="Total" sheetId="5" r:id="rId2"/>
    <sheet name="Energy" sheetId="12" r:id="rId3"/>
    <sheet name="Capacity" sheetId="10" r:id="rId4"/>
  </sheets>
  <definedNames>
    <definedName name="_Order1" hidden="1">255</definedName>
    <definedName name="_Order2" hidden="1">0</definedName>
    <definedName name="Discount_Rate">Total!$B$41</definedName>
    <definedName name="_xlnm.Print_Area" localSheetId="3">Capacity!$A$1:$H$38</definedName>
    <definedName name="_xlnm.Print_Area" localSheetId="2">Energy!$A$1:$J$38</definedName>
    <definedName name="_xlnm.Print_Area" localSheetId="0">Incremental!$A$1:$J$37</definedName>
    <definedName name="_xlnm.Print_Area" localSheetId="1">Total!$A$1:$J$37</definedName>
    <definedName name="Study_CF">#REF!</definedName>
    <definedName name="Study_MW">#REF!</definedName>
    <definedName name="Study_Name">#REF!</definedName>
  </definedNames>
  <calcPr calcId="152511" calcOnSave="0"/>
</workbook>
</file>

<file path=xl/calcChain.xml><?xml version="1.0" encoding="utf-8"?>
<calcChain xmlns="http://schemas.openxmlformats.org/spreadsheetml/2006/main">
  <c r="H7" i="6" l="1"/>
  <c r="C29" i="12" l="1"/>
  <c r="D8" i="10" l="1"/>
  <c r="C8" i="10"/>
  <c r="B35" i="10" l="1"/>
  <c r="C7" i="12" l="1"/>
  <c r="C7" i="5"/>
  <c r="B4" i="10" l="1"/>
  <c r="H8" i="6" l="1"/>
  <c r="G8" i="6"/>
  <c r="G7" i="6"/>
  <c r="H8" i="5" l="1"/>
  <c r="H7" i="5"/>
  <c r="I8" i="5"/>
  <c r="I7" i="5"/>
  <c r="E8" i="6" l="1"/>
  <c r="E7" i="6"/>
  <c r="F8" i="6" l="1"/>
  <c r="D8" i="6"/>
  <c r="F7" i="6"/>
  <c r="D7" i="6"/>
  <c r="C8" i="6" l="1"/>
  <c r="C7" i="6"/>
  <c r="G8" i="5" l="1"/>
  <c r="F8" i="5"/>
  <c r="G7" i="5"/>
  <c r="F7" i="5"/>
  <c r="B1" i="12" l="1"/>
  <c r="B3" i="12"/>
  <c r="C8" i="12"/>
  <c r="B10" i="12"/>
  <c r="B35" i="12"/>
  <c r="B41" i="12"/>
  <c r="B31" i="12" l="1"/>
  <c r="B11" i="12"/>
  <c r="B12" i="12" l="1"/>
  <c r="B13" i="12" l="1"/>
  <c r="B14" i="12" l="1"/>
  <c r="B15" i="12" l="1"/>
  <c r="B16" i="12" l="1"/>
  <c r="B17" i="12" l="1"/>
  <c r="B18" i="12" l="1"/>
  <c r="B19" i="12" l="1"/>
  <c r="G8" i="10"/>
  <c r="B20" i="12" l="1"/>
  <c r="B36" i="5"/>
  <c r="B37" i="12" l="1"/>
  <c r="B21" i="12"/>
  <c r="B22" i="12" l="1"/>
  <c r="B40" i="10"/>
  <c r="B23" i="12" l="1"/>
  <c r="B1" i="10"/>
  <c r="B3" i="10"/>
  <c r="B10" i="10"/>
  <c r="B31" i="10"/>
  <c r="G10" i="10" l="1"/>
  <c r="F10" i="10"/>
  <c r="B24" i="12"/>
  <c r="B11" i="10"/>
  <c r="I10" i="5" l="1"/>
  <c r="H10" i="5"/>
  <c r="G10" i="5"/>
  <c r="F10" i="5"/>
  <c r="E10" i="5"/>
  <c r="D10" i="5"/>
  <c r="G11" i="10"/>
  <c r="F11" i="10"/>
  <c r="C11" i="5" s="1"/>
  <c r="C10" i="5"/>
  <c r="B25" i="12"/>
  <c r="B12" i="10"/>
  <c r="F11" i="5" l="1"/>
  <c r="E11" i="5"/>
  <c r="D11" i="5"/>
  <c r="G11" i="5"/>
  <c r="I11" i="5"/>
  <c r="H11" i="5"/>
  <c r="G12" i="10"/>
  <c r="F12" i="10"/>
  <c r="C12" i="5" s="1"/>
  <c r="B26" i="12"/>
  <c r="B13" i="10"/>
  <c r="H12" i="5" l="1"/>
  <c r="G12" i="5"/>
  <c r="F12" i="5"/>
  <c r="E12" i="5"/>
  <c r="I12" i="5"/>
  <c r="D12" i="5"/>
  <c r="G13" i="10"/>
  <c r="F13" i="10"/>
  <c r="C13" i="5" s="1"/>
  <c r="B27" i="12"/>
  <c r="B14" i="10"/>
  <c r="G14" i="10" l="1"/>
  <c r="F14" i="10"/>
  <c r="D13" i="5"/>
  <c r="H13" i="5"/>
  <c r="F13" i="5"/>
  <c r="G13" i="5"/>
  <c r="I13" i="5"/>
  <c r="E13" i="5"/>
  <c r="B28" i="12"/>
  <c r="B15" i="10"/>
  <c r="G15" i="10" l="1"/>
  <c r="F15" i="10"/>
  <c r="C15" i="5" s="1"/>
  <c r="C14" i="5"/>
  <c r="G14" i="5"/>
  <c r="F14" i="5"/>
  <c r="E14" i="5"/>
  <c r="D14" i="5"/>
  <c r="I14" i="5"/>
  <c r="H14" i="5"/>
  <c r="B29" i="12"/>
  <c r="B16" i="10"/>
  <c r="G16" i="10" l="1"/>
  <c r="F16" i="10"/>
  <c r="H15" i="5"/>
  <c r="I15" i="5"/>
  <c r="G15" i="5"/>
  <c r="F15" i="5"/>
  <c r="E15" i="5"/>
  <c r="D15" i="5"/>
  <c r="B32" i="12"/>
  <c r="B17" i="10"/>
  <c r="G17" i="10" l="1"/>
  <c r="F17" i="10"/>
  <c r="C17" i="5" s="1"/>
  <c r="C16" i="5"/>
  <c r="E16" i="5"/>
  <c r="D16" i="5"/>
  <c r="I16" i="5"/>
  <c r="H16" i="5"/>
  <c r="G16" i="5"/>
  <c r="F16" i="5"/>
  <c r="C32" i="12"/>
  <c r="B18" i="10"/>
  <c r="G18" i="10" l="1"/>
  <c r="F18" i="10"/>
  <c r="C18" i="5" s="1"/>
  <c r="H17" i="5"/>
  <c r="I17" i="5"/>
  <c r="G17" i="5"/>
  <c r="F17" i="5"/>
  <c r="E17" i="5"/>
  <c r="D17" i="5"/>
  <c r="B19" i="10"/>
  <c r="G19" i="10" l="1"/>
  <c r="F19" i="10"/>
  <c r="C19" i="5" s="1"/>
  <c r="I18" i="5"/>
  <c r="H18" i="5"/>
  <c r="G18" i="5"/>
  <c r="F18" i="5"/>
  <c r="E18" i="5"/>
  <c r="D18" i="5"/>
  <c r="B20" i="10"/>
  <c r="G20" i="10" l="1"/>
  <c r="F20" i="10"/>
  <c r="C20" i="5" s="1"/>
  <c r="F19" i="5"/>
  <c r="E19" i="5"/>
  <c r="D19" i="5"/>
  <c r="H19" i="5"/>
  <c r="G19" i="5"/>
  <c r="I19" i="5"/>
  <c r="B21" i="10"/>
  <c r="G21" i="10" l="1"/>
  <c r="F21" i="10"/>
  <c r="C21" i="5" s="1"/>
  <c r="H20" i="5"/>
  <c r="G20" i="5"/>
  <c r="F20" i="5"/>
  <c r="E20" i="5"/>
  <c r="I20" i="5"/>
  <c r="D20" i="5"/>
  <c r="B22" i="10"/>
  <c r="G22" i="10" l="1"/>
  <c r="F22" i="10"/>
  <c r="C22" i="5" s="1"/>
  <c r="D21" i="5"/>
  <c r="H21" i="5"/>
  <c r="I21" i="5"/>
  <c r="G21" i="5"/>
  <c r="E21" i="5"/>
  <c r="F21" i="5"/>
  <c r="B23" i="10"/>
  <c r="G23" i="10" l="1"/>
  <c r="F23" i="10"/>
  <c r="C23" i="5" s="1"/>
  <c r="G22" i="5"/>
  <c r="F22" i="5"/>
  <c r="E22" i="5"/>
  <c r="D22" i="5"/>
  <c r="I22" i="5"/>
  <c r="H22" i="5"/>
  <c r="B24" i="10"/>
  <c r="G24" i="10" l="1"/>
  <c r="F24" i="10"/>
  <c r="C24" i="5" s="1"/>
  <c r="H23" i="5"/>
  <c r="I23" i="5"/>
  <c r="G23" i="5"/>
  <c r="F23" i="5"/>
  <c r="E23" i="5"/>
  <c r="D23" i="5"/>
  <c r="B25" i="10"/>
  <c r="G25" i="10" l="1"/>
  <c r="F25" i="10"/>
  <c r="C25" i="5" s="1"/>
  <c r="E24" i="5"/>
  <c r="D24" i="5"/>
  <c r="I24" i="5"/>
  <c r="F24" i="5"/>
  <c r="H24" i="5"/>
  <c r="G24" i="5"/>
  <c r="B26" i="10"/>
  <c r="G26" i="10" l="1"/>
  <c r="F26" i="10"/>
  <c r="C26" i="5" s="1"/>
  <c r="H25" i="5"/>
  <c r="I25" i="5"/>
  <c r="G25" i="5"/>
  <c r="F25" i="5"/>
  <c r="E25" i="5"/>
  <c r="D25" i="5"/>
  <c r="B27" i="10"/>
  <c r="G27" i="10" l="1"/>
  <c r="F27" i="10"/>
  <c r="C27" i="5" s="1"/>
  <c r="I26" i="5"/>
  <c r="H26" i="5"/>
  <c r="G26" i="5"/>
  <c r="D26" i="5"/>
  <c r="F26" i="5"/>
  <c r="E26" i="5"/>
  <c r="B28" i="10"/>
  <c r="G28" i="10" l="1"/>
  <c r="F28" i="10"/>
  <c r="C28" i="5" s="1"/>
  <c r="F27" i="5"/>
  <c r="E27" i="5"/>
  <c r="D27" i="5"/>
  <c r="I27" i="5"/>
  <c r="H27" i="5"/>
  <c r="G27" i="5"/>
  <c r="B29" i="10"/>
  <c r="G29" i="10" l="1"/>
  <c r="F29" i="10"/>
  <c r="H28" i="5"/>
  <c r="G28" i="5"/>
  <c r="F28" i="5"/>
  <c r="E28" i="5"/>
  <c r="I28" i="5"/>
  <c r="D28" i="5"/>
  <c r="D32" i="10"/>
  <c r="B32" i="10"/>
  <c r="C29" i="5" l="1"/>
  <c r="C32" i="5" s="1"/>
  <c r="F32" i="10"/>
  <c r="D29" i="5"/>
  <c r="D32" i="5" s="1"/>
  <c r="I29" i="5"/>
  <c r="I32" i="5" s="1"/>
  <c r="E29" i="5"/>
  <c r="F29" i="5"/>
  <c r="H29" i="5"/>
  <c r="G29" i="5"/>
  <c r="G32" i="10"/>
  <c r="B31" i="5"/>
  <c r="B36" i="6" l="1"/>
  <c r="B37" i="6"/>
  <c r="B34" i="6"/>
  <c r="E8" i="5" l="1"/>
  <c r="D8" i="5"/>
  <c r="E7" i="5"/>
  <c r="D7" i="5"/>
  <c r="B41" i="6" l="1"/>
  <c r="B31" i="6" l="1"/>
  <c r="B10" i="6" l="1"/>
  <c r="B11" i="5"/>
  <c r="B3" i="6"/>
  <c r="B1" i="6"/>
  <c r="B11" i="6" l="1"/>
  <c r="B12" i="5"/>
  <c r="B13" i="5" l="1"/>
  <c r="F8" i="10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2" i="6" s="1"/>
  <c r="B14" i="5" l="1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C32" i="10"/>
  <c r="B23" i="5" l="1"/>
  <c r="B24" i="5" l="1"/>
  <c r="B25" i="5" l="1"/>
  <c r="B26" i="5" l="1"/>
  <c r="B27" i="5" l="1"/>
  <c r="B28" i="5" l="1"/>
  <c r="B29" i="5" l="1"/>
  <c r="B32" i="5" l="1"/>
  <c r="B35" i="5" l="1"/>
  <c r="B35" i="6" l="1"/>
  <c r="B36" i="12"/>
  <c r="C28" i="6" l="1"/>
  <c r="C27" i="6" l="1"/>
  <c r="C26" i="6"/>
  <c r="D28" i="6"/>
  <c r="C18" i="6" l="1"/>
  <c r="C11" i="6"/>
  <c r="C21" i="6"/>
  <c r="C16" i="6"/>
  <c r="D26" i="6"/>
  <c r="C17" i="6"/>
  <c r="D27" i="6"/>
  <c r="C22" i="6"/>
  <c r="C14" i="6"/>
  <c r="C19" i="6"/>
  <c r="C13" i="6"/>
  <c r="C24" i="6"/>
  <c r="C23" i="6"/>
  <c r="C25" i="6"/>
  <c r="C20" i="6"/>
  <c r="C15" i="6"/>
  <c r="C12" i="6"/>
  <c r="E28" i="6"/>
  <c r="D32" i="12" l="1"/>
  <c r="C29" i="6"/>
  <c r="E32" i="12"/>
  <c r="F28" i="6"/>
  <c r="D25" i="6"/>
  <c r="D19" i="6"/>
  <c r="D15" i="6"/>
  <c r="D24" i="6"/>
  <c r="D22" i="6"/>
  <c r="D17" i="6"/>
  <c r="D16" i="6"/>
  <c r="D11" i="6"/>
  <c r="D23" i="6"/>
  <c r="E26" i="6"/>
  <c r="D21" i="6"/>
  <c r="D12" i="6"/>
  <c r="D20" i="6"/>
  <c r="D13" i="6"/>
  <c r="D14" i="6"/>
  <c r="E27" i="6"/>
  <c r="D18" i="6"/>
  <c r="C10" i="6"/>
  <c r="C32" i="6" l="1"/>
  <c r="F27" i="6"/>
  <c r="E13" i="6"/>
  <c r="E12" i="6"/>
  <c r="F26" i="6"/>
  <c r="E11" i="6"/>
  <c r="E17" i="6"/>
  <c r="E24" i="6"/>
  <c r="E19" i="6"/>
  <c r="G28" i="6"/>
  <c r="H28" i="6"/>
  <c r="E18" i="6"/>
  <c r="E14" i="6"/>
  <c r="D29" i="6"/>
  <c r="E20" i="6"/>
  <c r="E21" i="6"/>
  <c r="E23" i="6"/>
  <c r="E16" i="6"/>
  <c r="E22" i="6"/>
  <c r="E15" i="6"/>
  <c r="E25" i="6"/>
  <c r="D10" i="6"/>
  <c r="F15" i="6" l="1"/>
  <c r="F21" i="6"/>
  <c r="F17" i="6"/>
  <c r="F13" i="6"/>
  <c r="E32" i="5"/>
  <c r="D32" i="6" s="1"/>
  <c r="E29" i="6"/>
  <c r="F32" i="12"/>
  <c r="F23" i="6"/>
  <c r="F20" i="6"/>
  <c r="F24" i="6"/>
  <c r="F11" i="6"/>
  <c r="F19" i="6"/>
  <c r="F16" i="6"/>
  <c r="F18" i="6"/>
  <c r="G26" i="6"/>
  <c r="H26" i="6"/>
  <c r="F25" i="6"/>
  <c r="F22" i="6"/>
  <c r="F14" i="6"/>
  <c r="F12" i="6"/>
  <c r="G27" i="6"/>
  <c r="H27" i="6"/>
  <c r="G32" i="12"/>
  <c r="E10" i="6"/>
  <c r="F32" i="5" l="1"/>
  <c r="E32" i="6" s="1"/>
  <c r="G14" i="6"/>
  <c r="H14" i="6"/>
  <c r="G18" i="6"/>
  <c r="H18" i="6"/>
  <c r="G19" i="6"/>
  <c r="H19" i="6"/>
  <c r="G23" i="6"/>
  <c r="H23" i="6"/>
  <c r="G20" i="6"/>
  <c r="H20" i="6"/>
  <c r="G12" i="6"/>
  <c r="H12" i="6"/>
  <c r="G22" i="6"/>
  <c r="H22" i="6"/>
  <c r="G16" i="6"/>
  <c r="H16" i="6"/>
  <c r="G11" i="6"/>
  <c r="H11" i="6"/>
  <c r="H32" i="5"/>
  <c r="H32" i="6" s="1"/>
  <c r="F29" i="6"/>
  <c r="G13" i="6"/>
  <c r="H13" i="6"/>
  <c r="G21" i="6"/>
  <c r="H21" i="6"/>
  <c r="G25" i="6"/>
  <c r="H25" i="6"/>
  <c r="G24" i="6"/>
  <c r="H24" i="6"/>
  <c r="G17" i="6"/>
  <c r="H17" i="6"/>
  <c r="G15" i="6"/>
  <c r="H15" i="6"/>
  <c r="F10" i="6"/>
  <c r="G10" i="6"/>
  <c r="H10" i="6"/>
  <c r="G29" i="6" l="1"/>
  <c r="H29" i="6"/>
  <c r="G32" i="5"/>
  <c r="F32" i="6" s="1"/>
  <c r="G32" i="6" l="1"/>
  <c r="I32" i="6" s="1"/>
  <c r="I24" i="6"/>
  <c r="I32" i="12"/>
  <c r="I25" i="6" l="1"/>
  <c r="I11" i="6"/>
  <c r="I14" i="6"/>
  <c r="I17" i="6"/>
  <c r="I28" i="6"/>
  <c r="I18" i="6"/>
  <c r="I29" i="6"/>
  <c r="H32" i="12"/>
  <c r="I22" i="6"/>
  <c r="I19" i="6"/>
  <c r="I26" i="6" l="1"/>
  <c r="I20" i="6"/>
  <c r="I13" i="6"/>
  <c r="I12" i="6"/>
  <c r="I23" i="6"/>
  <c r="I21" i="6"/>
  <c r="I16" i="6"/>
  <c r="I27" i="6"/>
  <c r="I15" i="6"/>
  <c r="I10" i="6" l="1"/>
</calcChain>
</file>

<file path=xl/sharedStrings.xml><?xml version="1.0" encoding="utf-8"?>
<sst xmlns="http://schemas.openxmlformats.org/spreadsheetml/2006/main" count="41" uniqueCount="35">
  <si>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</si>
  <si>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</si>
  <si>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</si>
  <si>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</si>
  <si>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</si>
  <si>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</si>
  <si>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</si>
  <si>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</si>
  <si>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</si>
  <si>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</si>
  <si>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</si>
  <si>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</si>
  <si>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</si>
  <si>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</si>
  <si>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</si>
  <si>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(x)  Extrapolated</t>
  </si>
  <si>
    <t>Discount Rate - 2013 IRP Page 164</t>
  </si>
  <si>
    <t>Update</t>
  </si>
  <si>
    <t>Generic</t>
  </si>
  <si>
    <t>Queue</t>
  </si>
  <si>
    <t>Discount Rate - 2015 IRP Page 141</t>
  </si>
  <si>
    <t>Impact</t>
  </si>
  <si>
    <t>Forecast</t>
  </si>
  <si>
    <t>2015.Q2</t>
  </si>
  <si>
    <t>OFPC</t>
  </si>
  <si>
    <t>2015.Q3</t>
  </si>
  <si>
    <t>QFs Not</t>
  </si>
  <si>
    <t>Extended</t>
  </si>
  <si>
    <t>Coal</t>
  </si>
  <si>
    <t>1509</t>
  </si>
  <si>
    <t>QF</t>
  </si>
  <si>
    <t>Transmission</t>
  </si>
  <si>
    <t>Rights</t>
  </si>
  <si>
    <t>(3)  Capacity costs reflect  2030 - Dave Johnston - 313 MW - CCCT Dry "F", 1x1 - East Side Resource (5,050')</t>
  </si>
  <si>
    <t>(4)  Capacity costs reflect  2030 - Utah - 423 MW - CCCT Dry "J", Adv 1x1 - East Side Resource (5,050')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</si>
</sst>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* #,##0.00_);[Red]_(&quot;$&quot;* \(#,##0.00\);_(&quot;$&quot;* &quot;-&quot;?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  <numFmt numFmtId="171" formatCode="&quot;$&quot;###0;[Red]\(&quot;$&quot;###0\)"/>
    <numFmt numFmtId="172" formatCode="0.0"/>
    <numFmt numFmtId="173" formatCode="0.0%"/>
    <numFmt numFmtId="174" formatCode="&quot;$&quot;#,##0.00_)\x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8" fillId="0" borderId="0" applyFont="0" applyFill="0" applyBorder="0" applyProtection="0">
      <alignment horizontal="right"/>
    </xf>
    <xf numFmtId="172" fontId="9" fillId="0" borderId="0" applyNumberFormat="0" applyFill="0" applyBorder="0" applyAlignment="0" applyProtection="0"/>
    <xf numFmtId="0" fontId="2" fillId="0" borderId="6" applyNumberFormat="0" applyBorder="0" applyAlignment="0"/>
    <xf numFmtId="173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65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5" fontId="4" fillId="0" borderId="0" xfId="4" applyFont="1" applyAlignment="1"/>
    <xf numFmtId="169" fontId="4" fillId="0" borderId="0" xfId="4" applyNumberFormat="1" applyFont="1" applyAlignment="1">
      <alignment horizontal="center"/>
    </xf>
    <xf numFmtId="169" fontId="4" fillId="0" borderId="0" xfId="3" applyNumberFormat="1" applyFont="1"/>
    <xf numFmtId="169" fontId="4" fillId="0" borderId="0" xfId="4" applyNumberFormat="1" applyFont="1"/>
    <xf numFmtId="166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/>
    <xf numFmtId="168" fontId="4" fillId="0" borderId="0" xfId="0" applyNumberFormat="1" applyFont="1" applyFill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165" fontId="3" fillId="0" borderId="2" xfId="4" applyFont="1" applyBorder="1" applyAlignment="1">
      <alignment horizontal="center" wrapText="1"/>
    </xf>
    <xf numFmtId="168" fontId="4" fillId="0" borderId="0" xfId="0" quotePrefix="1" applyNumberFormat="1" applyFont="1" applyAlignment="1">
      <alignment horizontal="center"/>
    </xf>
    <xf numFmtId="43" fontId="4" fillId="0" borderId="0" xfId="17" applyFont="1"/>
    <xf numFmtId="174" fontId="4" fillId="0" borderId="0" xfId="0" applyNumberFormat="1" applyFont="1" applyFill="1" applyBorder="1" applyAlignment="1">
      <alignment horizontal="center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L41"/>
  <sheetViews>
    <sheetView showGridLines="0" tabSelected="1" zoomScale="70" zoomScaleNormal="70" workbookViewId="0">
      <pane xSplit="2" ySplit="9" topLeftCell="C10" activePane="bottomRight" state="frozen"/>
      <selection activeCell="G29" sqref="G29"/>
      <selection pane="topRight" activeCell="G29" sqref="G29"/>
      <selection pane="bottomLeft" activeCell="G29" sqref="G29"/>
      <selection pane="bottomRight" activeCell="C7" sqref="C7"/>
    </sheetView>
  </sheetViews>
  <sheetFormatPr defaultRowHeight="15" x14ac:dyDescent="0.2"/>
  <cols>
    <col min="1" max="1" width="1.85546875" style="1" customWidth="1"/>
    <col min="2" max="2" width="13.7109375" style="1" customWidth="1"/>
    <col min="3" max="9" width="17.7109375" style="1" customWidth="1"/>
    <col min="10" max="10" width="2.28515625" style="1" customWidth="1"/>
    <col min="11" max="11" width="9.140625" style="1"/>
    <col min="12" max="12" width="10.85546875" style="1" bestFit="1" customWidth="1"/>
    <col min="13" max="16384" width="9.140625" style="1"/>
  </cols>
  <sheetData>
    <row r="1" spans="2:12" ht="15.75" x14ac:dyDescent="0.25">
      <c r="B1" s="6" t="str">
        <f>Total!B1</f>
        <v>Appendix C</v>
      </c>
      <c r="C1" s="6"/>
      <c r="D1" s="6"/>
      <c r="E1" s="6"/>
      <c r="F1" s="6"/>
      <c r="G1" s="6"/>
      <c r="H1" s="6"/>
      <c r="I1" s="6"/>
    </row>
    <row r="2" spans="2:12" ht="8.25" customHeight="1" x14ac:dyDescent="0.25">
      <c r="B2" s="6"/>
      <c r="C2" s="6"/>
      <c r="D2" s="6"/>
      <c r="E2" s="6"/>
      <c r="F2" s="6"/>
      <c r="G2" s="6"/>
      <c r="H2" s="6"/>
      <c r="I2" s="6"/>
    </row>
    <row r="3" spans="2:12" ht="15.75" x14ac:dyDescent="0.25">
      <c r="B3" s="6" t="str">
        <f>Total!B3</f>
        <v>Utah Quarterly Compliance Filing</v>
      </c>
      <c r="C3" s="6"/>
      <c r="D3" s="6"/>
      <c r="E3" s="6"/>
      <c r="F3" s="6"/>
      <c r="G3" s="6"/>
      <c r="H3" s="6"/>
      <c r="I3" s="6"/>
    </row>
    <row r="4" spans="2:12" ht="15.75" x14ac:dyDescent="0.25">
      <c r="B4" s="6" t="str">
        <f>Capacity!$B$4</f>
        <v>Step Study between 2015.Q3 and 2015.Q2 Compliance Filing</v>
      </c>
      <c r="C4" s="6"/>
      <c r="D4" s="6"/>
      <c r="E4" s="6"/>
      <c r="F4" s="6"/>
      <c r="G4" s="6"/>
      <c r="H4" s="6"/>
      <c r="I4" s="6"/>
    </row>
    <row r="5" spans="2:12" ht="15.75" x14ac:dyDescent="0.25">
      <c r="B5" s="6" t="s">
        <v>13</v>
      </c>
      <c r="C5" s="6"/>
      <c r="D5" s="6"/>
      <c r="E5" s="6"/>
      <c r="F5" s="6"/>
      <c r="G5" s="6"/>
      <c r="H5" s="6"/>
      <c r="I5" s="6"/>
    </row>
    <row r="6" spans="2:12" x14ac:dyDescent="0.2">
      <c r="C6" s="9"/>
      <c r="D6" s="9"/>
      <c r="E6" s="9"/>
      <c r="F6" s="9"/>
      <c r="G6" s="9"/>
      <c r="H6" s="9"/>
      <c r="I6" s="9"/>
    </row>
    <row r="7" spans="2:12" s="4" customFormat="1" ht="15.75" x14ac:dyDescent="0.25">
      <c r="B7" s="14"/>
      <c r="C7" s="11" t="str">
        <f>Energy!D7</f>
        <v>QFs Not</v>
      </c>
      <c r="D7" s="11" t="str">
        <f>Energy!E7</f>
        <v>Coal</v>
      </c>
      <c r="E7" s="11" t="str">
        <f>Energy!F7</f>
        <v>1509</v>
      </c>
      <c r="F7" s="11" t="str">
        <f>Energy!G7</f>
        <v>Generic</v>
      </c>
      <c r="G7" s="11" t="str">
        <f>Energy!H7</f>
        <v>QF</v>
      </c>
      <c r="H7" s="11" t="str">
        <f>Energy!I7</f>
        <v>Transmission</v>
      </c>
      <c r="I7" s="11" t="s">
        <v>6</v>
      </c>
      <c r="J7" s="1"/>
    </row>
    <row r="8" spans="2:12" s="4" customFormat="1" ht="15.75" x14ac:dyDescent="0.25">
      <c r="B8" s="15" t="s">
        <v>0</v>
      </c>
      <c r="C8" s="12" t="str">
        <f>Energy!D8</f>
        <v>Extended</v>
      </c>
      <c r="D8" s="12" t="str">
        <f>Energy!E8</f>
        <v>Forecast</v>
      </c>
      <c r="E8" s="12" t="str">
        <f>Energy!F8</f>
        <v>OFPC</v>
      </c>
      <c r="F8" s="12" t="str">
        <f>Energy!G8</f>
        <v>Update</v>
      </c>
      <c r="G8" s="12" t="str">
        <f>Energy!H8</f>
        <v>Queue</v>
      </c>
      <c r="H8" s="12" t="str">
        <f>Energy!I8</f>
        <v>Rights</v>
      </c>
      <c r="I8" s="12" t="s">
        <v>21</v>
      </c>
      <c r="J8" s="1"/>
    </row>
    <row r="9" spans="2:12" ht="4.5" customHeight="1" x14ac:dyDescent="0.2"/>
    <row r="10" spans="2:12" ht="15.75" x14ac:dyDescent="0.25">
      <c r="B10" s="3">
        <f>Total!B10</f>
        <v>2017</v>
      </c>
      <c r="C10" s="57">
        <f>Total!D10-Total!C10</f>
        <v>1.0000000000001563E-2</v>
      </c>
      <c r="D10" s="57">
        <f>Total!E10-Total!D10</f>
        <v>-2.6699999999999982</v>
      </c>
      <c r="E10" s="57">
        <f>Total!F10-Total!E10</f>
        <v>-0.42000000000000171</v>
      </c>
      <c r="F10" s="57">
        <f>Total!G10-Total!F10</f>
        <v>3.9999999999999147E-2</v>
      </c>
      <c r="G10" s="57">
        <f>Total!H10-Total!G10</f>
        <v>1.3399999999999999</v>
      </c>
      <c r="H10" s="57">
        <f>Total!I10-Total!H10</f>
        <v>1.0000000000001563E-2</v>
      </c>
      <c r="I10" s="57">
        <f t="shared" ref="I10" ca="1" si="0">SUM(OFFSET($C10,0,0,1,COLUMN(I10)-3))</f>
        <v>-1.6899999999999977</v>
      </c>
      <c r="J10" s="58"/>
      <c r="L10" s="23"/>
    </row>
    <row r="11" spans="2:12" ht="15.75" x14ac:dyDescent="0.25">
      <c r="B11" s="3">
        <f t="shared" ref="B11:B29" si="1">B10+1</f>
        <v>2018</v>
      </c>
      <c r="C11" s="57">
        <f>Total!D11-Total!C11</f>
        <v>0.16999999999999815</v>
      </c>
      <c r="D11" s="57">
        <f>Total!E11-Total!D11</f>
        <v>-1.6099999999999994</v>
      </c>
      <c r="E11" s="57">
        <f>Total!F11-Total!E11</f>
        <v>-2.59</v>
      </c>
      <c r="F11" s="57">
        <f>Total!G11-Total!F11</f>
        <v>-3.9999999999999147E-2</v>
      </c>
      <c r="G11" s="57">
        <f>Total!H11-Total!G11</f>
        <v>3.1899999999999977</v>
      </c>
      <c r="H11" s="57">
        <f>Total!I11-Total!H11</f>
        <v>-2.9999999999997584E-2</v>
      </c>
      <c r="I11" s="57">
        <f ca="1">SUM(OFFSET($C11,0,0,1,COLUMN(I11)-3))</f>
        <v>-0.91000000000000014</v>
      </c>
      <c r="J11" s="58"/>
      <c r="L11" s="23"/>
    </row>
    <row r="12" spans="2:12" ht="15.75" x14ac:dyDescent="0.25">
      <c r="B12" s="3">
        <f t="shared" si="1"/>
        <v>2019</v>
      </c>
      <c r="C12" s="57">
        <f>Total!D12-Total!C12</f>
        <v>0.25</v>
      </c>
      <c r="D12" s="57">
        <f>Total!E12-Total!D12</f>
        <v>-1.620000000000001</v>
      </c>
      <c r="E12" s="57">
        <f>Total!F12-Total!E12</f>
        <v>-1.7199999999999989</v>
      </c>
      <c r="F12" s="57">
        <f>Total!G12-Total!F12</f>
        <v>0.58999999999999986</v>
      </c>
      <c r="G12" s="57">
        <f>Total!H12-Total!G12</f>
        <v>1.8599999999999994</v>
      </c>
      <c r="H12" s="57">
        <f>Total!I12-Total!H12</f>
        <v>-0.12999999999999901</v>
      </c>
      <c r="I12" s="57">
        <f t="shared" ref="I12:I29" ca="1" si="2">SUM(OFFSET($C12,0,0,1,COLUMN(I12)-3))</f>
        <v>-0.76999999999999957</v>
      </c>
      <c r="J12" s="58"/>
      <c r="L12" s="23"/>
    </row>
    <row r="13" spans="2:12" ht="15.75" x14ac:dyDescent="0.25">
      <c r="B13" s="3">
        <f t="shared" si="1"/>
        <v>2020</v>
      </c>
      <c r="C13" s="57">
        <f>Total!D13-Total!C13</f>
        <v>0.30999999999999872</v>
      </c>
      <c r="D13" s="57">
        <f>Total!E13-Total!D13</f>
        <v>-1.6499999999999986</v>
      </c>
      <c r="E13" s="57">
        <f>Total!F13-Total!E13</f>
        <v>-0.66000000000000014</v>
      </c>
      <c r="F13" s="57">
        <f>Total!G13-Total!F13</f>
        <v>-0.55999999999999872</v>
      </c>
      <c r="G13" s="57">
        <f>Total!H13-Total!G13</f>
        <v>1.889999999999997</v>
      </c>
      <c r="H13" s="57">
        <f>Total!I13-Total!H13</f>
        <v>0.20000000000000284</v>
      </c>
      <c r="I13" s="57">
        <f t="shared" ca="1" si="2"/>
        <v>-0.46999999999999886</v>
      </c>
      <c r="J13" s="58"/>
      <c r="L13" s="23"/>
    </row>
    <row r="14" spans="2:12" ht="15.75" x14ac:dyDescent="0.25">
      <c r="B14" s="3">
        <f t="shared" si="1"/>
        <v>2021</v>
      </c>
      <c r="C14" s="57">
        <f>Total!D14-Total!C14</f>
        <v>0.30999999999999872</v>
      </c>
      <c r="D14" s="57">
        <f>Total!E14-Total!D14</f>
        <v>-1.5500000000000007</v>
      </c>
      <c r="E14" s="57">
        <f>Total!F14-Total!E14</f>
        <v>-1.9699999999999989</v>
      </c>
      <c r="F14" s="57">
        <f>Total!G14-Total!F14</f>
        <v>7.9999999999998295E-2</v>
      </c>
      <c r="G14" s="57">
        <f>Total!H14-Total!G14</f>
        <v>2.4800000000000004</v>
      </c>
      <c r="H14" s="57">
        <f>Total!I14-Total!H14</f>
        <v>0.20000000000000284</v>
      </c>
      <c r="I14" s="57">
        <f t="shared" ca="1" si="2"/>
        <v>-0.44999999999999929</v>
      </c>
      <c r="J14" s="58"/>
      <c r="L14" s="23"/>
    </row>
    <row r="15" spans="2:12" ht="15.75" x14ac:dyDescent="0.25">
      <c r="B15" s="3">
        <f t="shared" si="1"/>
        <v>2022</v>
      </c>
      <c r="C15" s="57">
        <f>Total!D15-Total!C15</f>
        <v>0.60000000000000142</v>
      </c>
      <c r="D15" s="57">
        <f>Total!E15-Total!D15</f>
        <v>-0.31000000000000227</v>
      </c>
      <c r="E15" s="57">
        <f>Total!F15-Total!E15</f>
        <v>-2.4499999999999993</v>
      </c>
      <c r="F15" s="57">
        <f>Total!G15-Total!F15</f>
        <v>0.14999999999999858</v>
      </c>
      <c r="G15" s="57">
        <f>Total!H15-Total!G15</f>
        <v>1.9100000000000001</v>
      </c>
      <c r="H15" s="57">
        <f>Total!I15-Total!H15</f>
        <v>1.0000000000001563E-2</v>
      </c>
      <c r="I15" s="57">
        <f t="shared" ca="1" si="2"/>
        <v>-8.9999999999999858E-2</v>
      </c>
      <c r="J15" s="58"/>
      <c r="L15" s="23"/>
    </row>
    <row r="16" spans="2:12" ht="15.75" x14ac:dyDescent="0.25">
      <c r="B16" s="3">
        <f t="shared" si="1"/>
        <v>2023</v>
      </c>
      <c r="C16" s="57">
        <f>Total!D16-Total!C16</f>
        <v>0.33999999999999986</v>
      </c>
      <c r="D16" s="57">
        <f>Total!E16-Total!D16</f>
        <v>0.15000000000000213</v>
      </c>
      <c r="E16" s="57">
        <f>Total!F16-Total!E16</f>
        <v>-2.7600000000000016</v>
      </c>
      <c r="F16" s="57">
        <f>Total!G16-Total!F16</f>
        <v>0.26999999999999957</v>
      </c>
      <c r="G16" s="57">
        <f>Total!H16-Total!G16</f>
        <v>2.4800000000000004</v>
      </c>
      <c r="H16" s="57">
        <f>Total!I16-Total!H16</f>
        <v>-0.19000000000000128</v>
      </c>
      <c r="I16" s="57">
        <f t="shared" ca="1" si="2"/>
        <v>0.28999999999999915</v>
      </c>
      <c r="J16" s="58"/>
      <c r="L16" s="23"/>
    </row>
    <row r="17" spans="2:12" ht="15.75" x14ac:dyDescent="0.25">
      <c r="B17" s="3">
        <f t="shared" si="1"/>
        <v>2024</v>
      </c>
      <c r="C17" s="57">
        <f>Total!D17-Total!C17</f>
        <v>0.28000000000000114</v>
      </c>
      <c r="D17" s="57">
        <f>Total!E17-Total!D17</f>
        <v>-0.33000000000000185</v>
      </c>
      <c r="E17" s="57">
        <f>Total!F17-Total!E17</f>
        <v>-2.3200000000000003</v>
      </c>
      <c r="F17" s="57">
        <f>Total!G17-Total!F17</f>
        <v>0.52000000000000313</v>
      </c>
      <c r="G17" s="57">
        <f>Total!H17-Total!G17</f>
        <v>2.0499999999999972</v>
      </c>
      <c r="H17" s="57">
        <f>Total!I17-Total!H17</f>
        <v>0</v>
      </c>
      <c r="I17" s="57">
        <f t="shared" ca="1" si="2"/>
        <v>0.19999999999999929</v>
      </c>
      <c r="J17" s="58"/>
      <c r="L17" s="23"/>
    </row>
    <row r="18" spans="2:12" ht="15.75" x14ac:dyDescent="0.25">
      <c r="B18" s="3">
        <f t="shared" si="1"/>
        <v>2025</v>
      </c>
      <c r="C18" s="57">
        <f>Total!D18-Total!C18</f>
        <v>1.5199999999999996</v>
      </c>
      <c r="D18" s="57">
        <f>Total!E18-Total!D18</f>
        <v>-0.19000000000000128</v>
      </c>
      <c r="E18" s="57">
        <f>Total!F18-Total!E18</f>
        <v>-1.9100000000000001</v>
      </c>
      <c r="F18" s="57">
        <f>Total!G18-Total!F18</f>
        <v>0.28000000000000114</v>
      </c>
      <c r="G18" s="57">
        <f>Total!H18-Total!G18</f>
        <v>2.4099999999999966</v>
      </c>
      <c r="H18" s="57">
        <f>Total!I18-Total!H18</f>
        <v>1.0000000000005116E-2</v>
      </c>
      <c r="I18" s="57">
        <f t="shared" ca="1" si="2"/>
        <v>2.120000000000001</v>
      </c>
      <c r="J18" s="58"/>
      <c r="L18" s="23"/>
    </row>
    <row r="19" spans="2:12" ht="15.75" x14ac:dyDescent="0.25">
      <c r="B19" s="3">
        <f t="shared" si="1"/>
        <v>2026</v>
      </c>
      <c r="C19" s="57">
        <f>Total!D19-Total!C19</f>
        <v>1.2100000000000009</v>
      </c>
      <c r="D19" s="57">
        <f>Total!E19-Total!D19</f>
        <v>-0.16999999999999815</v>
      </c>
      <c r="E19" s="57">
        <f>Total!F19-Total!E19</f>
        <v>-0.30000000000000071</v>
      </c>
      <c r="F19" s="57">
        <f>Total!G19-Total!F19</f>
        <v>-0.35999999999999943</v>
      </c>
      <c r="G19" s="57">
        <f>Total!H19-Total!G19</f>
        <v>2.0899999999999963</v>
      </c>
      <c r="H19" s="57">
        <f>Total!I19-Total!H19</f>
        <v>0.14000000000000057</v>
      </c>
      <c r="I19" s="57">
        <f t="shared" ca="1" si="2"/>
        <v>2.6099999999999994</v>
      </c>
      <c r="J19" s="58"/>
      <c r="L19" s="23"/>
    </row>
    <row r="20" spans="2:12" ht="15.75" x14ac:dyDescent="0.25">
      <c r="B20" s="3">
        <f t="shared" si="1"/>
        <v>2027</v>
      </c>
      <c r="C20" s="57">
        <f>Total!D20-Total!C20</f>
        <v>1.2299999999999969</v>
      </c>
      <c r="D20" s="57">
        <f>Total!E20-Total!D20</f>
        <v>0.19000000000000483</v>
      </c>
      <c r="E20" s="57">
        <f>Total!F20-Total!E20</f>
        <v>-0.20000000000000284</v>
      </c>
      <c r="F20" s="57">
        <f>Total!G20-Total!F20</f>
        <v>-0.13000000000000256</v>
      </c>
      <c r="G20" s="57">
        <f>Total!H20-Total!G20</f>
        <v>2.8400000000000034</v>
      </c>
      <c r="H20" s="57">
        <f>Total!I20-Total!H20</f>
        <v>-9.0000000000003411E-2</v>
      </c>
      <c r="I20" s="57">
        <f t="shared" ca="1" si="2"/>
        <v>3.8399999999999963</v>
      </c>
      <c r="J20" s="58"/>
      <c r="L20" s="23"/>
    </row>
    <row r="21" spans="2:12" ht="15.75" x14ac:dyDescent="0.25">
      <c r="B21" s="3">
        <f t="shared" si="1"/>
        <v>2028</v>
      </c>
      <c r="C21" s="57">
        <f>Total!D21-Total!C21</f>
        <v>3.0200000000000031</v>
      </c>
      <c r="D21" s="57">
        <f>Total!E21-Total!D21</f>
        <v>-0.54999999999999716</v>
      </c>
      <c r="E21" s="57">
        <f>Total!F21-Total!E21</f>
        <v>-1.1200000000000045</v>
      </c>
      <c r="F21" s="57">
        <f>Total!G21-Total!F21</f>
        <v>0.45000000000000284</v>
      </c>
      <c r="G21" s="57">
        <f>Total!H21-Total!G21</f>
        <v>2.7299999999999969</v>
      </c>
      <c r="H21" s="57">
        <f>Total!I21-Total!H21</f>
        <v>-0.10000000000000142</v>
      </c>
      <c r="I21" s="57">
        <f t="shared" ca="1" si="2"/>
        <v>4.43</v>
      </c>
      <c r="J21" s="58"/>
      <c r="L21" s="23"/>
    </row>
    <row r="22" spans="2:12" ht="15.75" x14ac:dyDescent="0.25">
      <c r="B22" s="3">
        <f t="shared" si="1"/>
        <v>2029</v>
      </c>
      <c r="C22" s="57">
        <f>Total!D22-Total!C22</f>
        <v>2.6499999999999986</v>
      </c>
      <c r="D22" s="57">
        <f>Total!E22-Total!D22</f>
        <v>-0.32000000000000028</v>
      </c>
      <c r="E22" s="57">
        <f>Total!F22-Total!E22</f>
        <v>-0.63999999999999346</v>
      </c>
      <c r="F22" s="57">
        <f>Total!G22-Total!F22</f>
        <v>0</v>
      </c>
      <c r="G22" s="57">
        <f>Total!H22-Total!G22</f>
        <v>4.4799999999999969</v>
      </c>
      <c r="H22" s="57">
        <f>Total!I22-Total!H22</f>
        <v>-0.17000000000000171</v>
      </c>
      <c r="I22" s="57">
        <f t="shared" ca="1" si="2"/>
        <v>6</v>
      </c>
      <c r="J22" s="58"/>
      <c r="L22" s="23"/>
    </row>
    <row r="23" spans="2:12" ht="15.75" x14ac:dyDescent="0.25">
      <c r="B23" s="3">
        <f t="shared" si="1"/>
        <v>2030</v>
      </c>
      <c r="C23" s="57">
        <f>Total!D23-Total!C23</f>
        <v>-1.0799999999999983</v>
      </c>
      <c r="D23" s="57">
        <f>Total!E23-Total!D23</f>
        <v>-0.11999999999999744</v>
      </c>
      <c r="E23" s="57">
        <f>Total!F23-Total!E23</f>
        <v>7.9999999999998295E-2</v>
      </c>
      <c r="F23" s="57">
        <f>Total!G23-Total!F23</f>
        <v>3.0000000000001137E-2</v>
      </c>
      <c r="G23" s="57">
        <f>Total!H23-Total!G23</f>
        <v>0.26999999999999602</v>
      </c>
      <c r="H23" s="57">
        <f>Total!I23-Total!H23</f>
        <v>3.9999999999999147E-2</v>
      </c>
      <c r="I23" s="57">
        <f t="shared" ca="1" si="2"/>
        <v>-0.78000000000000114</v>
      </c>
      <c r="J23" s="58"/>
      <c r="L23" s="23"/>
    </row>
    <row r="24" spans="2:12" ht="15.75" x14ac:dyDescent="0.25">
      <c r="B24" s="3">
        <f t="shared" si="1"/>
        <v>2031</v>
      </c>
      <c r="C24" s="57">
        <f>Total!D24-Total!C24</f>
        <v>-0.17999999999999972</v>
      </c>
      <c r="D24" s="57">
        <f>Total!E24-Total!D24</f>
        <v>-0.20000000000000284</v>
      </c>
      <c r="E24" s="57">
        <f>Total!F24-Total!E24</f>
        <v>-9.9999999999980105E-3</v>
      </c>
      <c r="F24" s="57">
        <f>Total!G24-Total!F24</f>
        <v>7.0000000000000284E-2</v>
      </c>
      <c r="G24" s="57">
        <f>Total!H24-Total!G24</f>
        <v>0.4199999999999946</v>
      </c>
      <c r="H24" s="57">
        <f>Total!I24-Total!H24</f>
        <v>-9.9999999999980105E-3</v>
      </c>
      <c r="I24" s="57">
        <f t="shared" ca="1" si="2"/>
        <v>8.9999999999996305E-2</v>
      </c>
      <c r="J24" s="58"/>
      <c r="L24" s="23"/>
    </row>
    <row r="25" spans="2:12" ht="15.75" x14ac:dyDescent="0.25">
      <c r="B25" s="3">
        <f t="shared" si="1"/>
        <v>2032</v>
      </c>
      <c r="C25" s="57">
        <f>Total!D25-Total!C25</f>
        <v>-0.35999999999999943</v>
      </c>
      <c r="D25" s="57">
        <f>Total!E25-Total!D25</f>
        <v>-9.0000000000003411E-2</v>
      </c>
      <c r="E25" s="57">
        <f>Total!F25-Total!E25</f>
        <v>-5.9999999999995168E-2</v>
      </c>
      <c r="F25" s="57">
        <f>Total!G25-Total!F25</f>
        <v>0.1699999999999946</v>
      </c>
      <c r="G25" s="57">
        <f>Total!H25-Total!G25</f>
        <v>0.17000000000000171</v>
      </c>
      <c r="H25" s="57">
        <f>Total!I25-Total!H25</f>
        <v>0</v>
      </c>
      <c r="I25" s="57">
        <f t="shared" ca="1" si="2"/>
        <v>-0.17000000000000171</v>
      </c>
      <c r="J25" s="58"/>
      <c r="L25" s="23"/>
    </row>
    <row r="26" spans="2:12" ht="15.75" x14ac:dyDescent="0.25">
      <c r="B26" s="3">
        <f t="shared" si="1"/>
        <v>2033</v>
      </c>
      <c r="C26" s="57">
        <f>Total!D26-Total!C26</f>
        <v>-1.1000000000000014</v>
      </c>
      <c r="D26" s="57">
        <f>Total!E26-Total!D26</f>
        <v>-7.0000000000000284E-2</v>
      </c>
      <c r="E26" s="57">
        <f>Total!F26-Total!E26</f>
        <v>0.17999999999999972</v>
      </c>
      <c r="F26" s="57">
        <f>Total!G26-Total!F26</f>
        <v>0.17999999999999972</v>
      </c>
      <c r="G26" s="57">
        <f>Total!H26-Total!G26</f>
        <v>0.10000000000000142</v>
      </c>
      <c r="H26" s="57">
        <f>Total!I26-Total!H26</f>
        <v>7.0000000000000284E-2</v>
      </c>
      <c r="I26" s="57">
        <f t="shared" ca="1" si="2"/>
        <v>-0.64000000000000057</v>
      </c>
      <c r="J26" s="58"/>
      <c r="L26" s="23"/>
    </row>
    <row r="27" spans="2:12" ht="15.75" x14ac:dyDescent="0.25">
      <c r="B27" s="3">
        <f t="shared" si="1"/>
        <v>2034</v>
      </c>
      <c r="C27" s="57">
        <f>Total!D27-Total!C27</f>
        <v>-9.9999999999980105E-3</v>
      </c>
      <c r="D27" s="57">
        <f>Total!E27-Total!D27</f>
        <v>-0.11000000000000654</v>
      </c>
      <c r="E27" s="57">
        <f>Total!F27-Total!E27</f>
        <v>0.17999999999999972</v>
      </c>
      <c r="F27" s="57">
        <f>Total!G27-Total!F27</f>
        <v>-0.15999999999999659</v>
      </c>
      <c r="G27" s="57">
        <f>Total!H27-Total!G27</f>
        <v>0.60999999999999943</v>
      </c>
      <c r="H27" s="57">
        <f>Total!I27-Total!H27</f>
        <v>4.9999999999997158E-2</v>
      </c>
      <c r="I27" s="57">
        <f t="shared" ca="1" si="2"/>
        <v>0.55999999999999517</v>
      </c>
      <c r="J27" s="58"/>
      <c r="L27" s="23"/>
    </row>
    <row r="28" spans="2:12" ht="15.75" x14ac:dyDescent="0.25">
      <c r="B28" s="3">
        <f t="shared" si="1"/>
        <v>2035</v>
      </c>
      <c r="C28" s="57">
        <f>Total!D28-Total!C28</f>
        <v>7.000000000000739E-2</v>
      </c>
      <c r="D28" s="57">
        <f>Total!E28-Total!D28</f>
        <v>9.0000000000003411E-2</v>
      </c>
      <c r="E28" s="57">
        <f>Total!F28-Total!E28</f>
        <v>-0.63000000000000966</v>
      </c>
      <c r="F28" s="57">
        <f>Total!G28-Total!F28</f>
        <v>5.0000000000004263E-2</v>
      </c>
      <c r="G28" s="57">
        <f>Total!H28-Total!G28</f>
        <v>0.60000000000000142</v>
      </c>
      <c r="H28" s="57">
        <f>Total!I28-Total!H28</f>
        <v>-0.18999999999999773</v>
      </c>
      <c r="I28" s="57">
        <f t="shared" ca="1" si="2"/>
        <v>-9.9999999999909051E-3</v>
      </c>
      <c r="J28" s="58"/>
      <c r="L28" s="23"/>
    </row>
    <row r="29" spans="2:12" ht="15.75" x14ac:dyDescent="0.25">
      <c r="B29" s="3">
        <f t="shared" si="1"/>
        <v>2036</v>
      </c>
      <c r="C29" s="57">
        <f>Total!D29-Total!C29</f>
        <v>0.21999999999999886</v>
      </c>
      <c r="D29" s="57">
        <f>Total!E29-Total!D29</f>
        <v>0.15999999999999659</v>
      </c>
      <c r="E29" s="57">
        <f>Total!F29-Total!E29</f>
        <v>-0.85999999999999943</v>
      </c>
      <c r="F29" s="57">
        <f>Total!G29-Total!F29</f>
        <v>0</v>
      </c>
      <c r="G29" s="57">
        <f>Total!H29-Total!G29</f>
        <v>0.54999999999999716</v>
      </c>
      <c r="H29" s="57">
        <f>Total!I29-Total!H29</f>
        <v>2.0000000000010232E-2</v>
      </c>
      <c r="I29" s="57">
        <f t="shared" ca="1" si="2"/>
        <v>9.0000000000003411E-2</v>
      </c>
      <c r="J29" s="58"/>
      <c r="L29" s="23"/>
    </row>
    <row r="30" spans="2:12" x14ac:dyDescent="0.2">
      <c r="C30" s="58"/>
      <c r="D30" s="58"/>
      <c r="E30" s="58"/>
      <c r="F30" s="58"/>
      <c r="G30" s="58"/>
      <c r="H30" s="58"/>
      <c r="I30" s="58"/>
      <c r="J30" s="58"/>
    </row>
    <row r="31" spans="2:12" x14ac:dyDescent="0.2">
      <c r="B31" s="13" t="str">
        <f>Total!B31</f>
        <v>Nominal Levelized Payment at 6.660% Discount Rate (3)</v>
      </c>
      <c r="C31" s="59"/>
      <c r="D31" s="59"/>
      <c r="E31" s="59"/>
      <c r="F31" s="59"/>
      <c r="G31" s="59"/>
      <c r="H31" s="59"/>
      <c r="I31" s="59"/>
      <c r="J31" s="58"/>
    </row>
    <row r="32" spans="2:12" x14ac:dyDescent="0.2">
      <c r="B32" s="8" t="str">
        <f>B10&amp;" - "&amp;B29</f>
        <v>2017 - 2036</v>
      </c>
      <c r="C32" s="60">
        <f>Total!D32-Total!C32</f>
        <v>0.49000000000000199</v>
      </c>
      <c r="D32" s="60">
        <f>Total!E32-Total!D32</f>
        <v>-0.78999999999999915</v>
      </c>
      <c r="E32" s="60">
        <f>Total!F32-Total!E32</f>
        <v>-1.220000000000006</v>
      </c>
      <c r="F32" s="60">
        <f>Total!G32-Total!F32</f>
        <v>8.00000000000054E-2</v>
      </c>
      <c r="G32" s="60">
        <f>Total!H32-Total!G32</f>
        <v>1.9199999999999946</v>
      </c>
      <c r="H32" s="60">
        <f>Total!I32-Total!H32</f>
        <v>0</v>
      </c>
      <c r="I32" s="60">
        <f t="shared" ref="I32" ca="1" si="3">SUM(OFFSET($C32,0,0,1,COLUMN(I32)-3))</f>
        <v>0.47999999999999687</v>
      </c>
      <c r="J32" s="58"/>
    </row>
    <row r="33" spans="2:9" x14ac:dyDescent="0.2">
      <c r="C33" s="58"/>
      <c r="D33" s="58"/>
      <c r="E33" s="58"/>
      <c r="F33" s="58"/>
      <c r="G33" s="62"/>
      <c r="H33" s="62"/>
      <c r="I33" s="62"/>
    </row>
    <row r="34" spans="2:9" x14ac:dyDescent="0.2">
      <c r="B34" s="1" t="str">
        <f>Total!B34</f>
        <v>(1)   Studies are sequential.  The order of the studies would effect the price impact.</v>
      </c>
      <c r="C34" s="58"/>
      <c r="D34" s="58"/>
      <c r="E34" s="58"/>
      <c r="F34" s="58"/>
      <c r="G34" s="58"/>
      <c r="H34" s="58"/>
      <c r="I34" s="58"/>
    </row>
    <row r="35" spans="2:9" x14ac:dyDescent="0.2">
      <c r="B35" s="1" t="str">
        <f>Total!B35</f>
        <v>(2)   Official Forward Price Curve Dated September 2015</v>
      </c>
    </row>
    <row r="36" spans="2:9" x14ac:dyDescent="0.2">
      <c r="B36" s="1" t="str">
        <f>Total!B36</f>
        <v>(3)   Discount Rate - 2015 IRP Page 141</v>
      </c>
      <c r="C36" s="8"/>
    </row>
    <row r="37" spans="2:9" x14ac:dyDescent="0.2">
      <c r="B37" s="1" t="str">
        <f>Total!B37</f>
        <v xml:space="preserve">(4)   Capacity costs are allocated assuming an 85% capacity factor. </v>
      </c>
    </row>
    <row r="39" spans="2:9" hidden="1" x14ac:dyDescent="0.2"/>
    <row r="40" spans="2:9" hidden="1" x14ac:dyDescent="0.2">
      <c r="B40" s="19" t="s">
        <v>16</v>
      </c>
    </row>
    <row r="41" spans="2:9" hidden="1" x14ac:dyDescent="0.2">
      <c r="B41" s="42">
        <f>Discount_Rate</f>
        <v>6.6600000000000006E-2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R44"/>
  <sheetViews>
    <sheetView zoomScale="70" zoomScaleNormal="70" workbookViewId="0">
      <pane xSplit="2" ySplit="9" topLeftCell="C10" activePane="bottomRight" state="frozen"/>
      <selection activeCell="F20" sqref="F20"/>
      <selection pane="topRight" activeCell="F20" sqref="F20"/>
      <selection pane="bottomLeft" activeCell="F20" sqref="F20"/>
      <selection pane="bottomRight" activeCell="C10" sqref="C10"/>
    </sheetView>
  </sheetViews>
  <sheetFormatPr defaultRowHeight="15" x14ac:dyDescent="0.2"/>
  <cols>
    <col min="1" max="1" width="1.85546875" style="1" customWidth="1"/>
    <col min="2" max="2" width="13.7109375" style="1" customWidth="1"/>
    <col min="3" max="9" width="17.7109375" style="1" customWidth="1"/>
    <col min="10" max="10" width="2.42578125" style="1" customWidth="1"/>
    <col min="11" max="11" width="9.140625" style="1"/>
    <col min="12" max="12" width="10.28515625" style="1" bestFit="1" customWidth="1"/>
    <col min="13" max="16" width="9.140625" style="1"/>
    <col min="17" max="17" width="10.28515625" style="1" customWidth="1"/>
    <col min="18" max="16384" width="9.140625" style="1"/>
  </cols>
  <sheetData>
    <row r="1" spans="2:18" ht="15.75" x14ac:dyDescent="0.25">
      <c r="B1" s="6" t="s">
        <v>4</v>
      </c>
      <c r="C1" s="6"/>
      <c r="D1" s="6"/>
      <c r="E1" s="6"/>
      <c r="F1" s="6"/>
      <c r="G1" s="6"/>
      <c r="H1" s="6"/>
      <c r="I1" s="6"/>
    </row>
    <row r="2" spans="2:18" ht="8.25" customHeight="1" x14ac:dyDescent="0.25">
      <c r="B2" s="6"/>
      <c r="C2" s="6"/>
      <c r="D2" s="6"/>
      <c r="E2" s="6"/>
      <c r="F2" s="6"/>
      <c r="G2" s="6"/>
      <c r="H2" s="6"/>
      <c r="I2" s="6"/>
    </row>
    <row r="3" spans="2:18" ht="15.75" x14ac:dyDescent="0.25">
      <c r="B3" s="6" t="s">
        <v>1</v>
      </c>
      <c r="C3" s="6"/>
      <c r="D3" s="6"/>
      <c r="E3" s="6"/>
      <c r="F3" s="6"/>
      <c r="G3" s="6"/>
      <c r="H3" s="6"/>
      <c r="I3" s="6"/>
    </row>
    <row r="4" spans="2:18" ht="15.75" x14ac:dyDescent="0.25">
      <c r="B4" s="6" t="str">
        <f>Capacity!$B$4</f>
        <v>Step Study between 2015.Q3 and 2015.Q2 Compliance Filing</v>
      </c>
      <c r="C4" s="6"/>
      <c r="D4" s="6"/>
      <c r="E4" s="6"/>
      <c r="F4" s="6"/>
      <c r="G4" s="6"/>
      <c r="H4" s="6"/>
      <c r="I4" s="6"/>
    </row>
    <row r="5" spans="2:18" ht="15.75" x14ac:dyDescent="0.25">
      <c r="B5" s="6" t="s">
        <v>12</v>
      </c>
      <c r="C5" s="6"/>
      <c r="D5" s="6"/>
      <c r="E5" s="6"/>
      <c r="F5" s="6"/>
      <c r="G5" s="6"/>
      <c r="H5" s="6"/>
      <c r="I5" s="6"/>
    </row>
    <row r="6" spans="2:18" s="22" customFormat="1" ht="15.75" x14ac:dyDescent="0.25">
      <c r="B6" s="20"/>
      <c r="C6" s="20"/>
      <c r="D6" s="21"/>
      <c r="E6" s="20"/>
      <c r="F6" s="20"/>
      <c r="G6" s="20"/>
      <c r="H6" s="20"/>
      <c r="I6" s="20"/>
    </row>
    <row r="7" spans="2:18" ht="15.75" x14ac:dyDescent="0.25">
      <c r="B7" s="51"/>
      <c r="C7" s="52" t="str">
        <f>Capacity!J7</f>
        <v>2015.Q2</v>
      </c>
      <c r="D7" s="52" t="str">
        <f>Energy!D7</f>
        <v>QFs Not</v>
      </c>
      <c r="E7" s="52" t="str">
        <f>Energy!E7</f>
        <v>Coal</v>
      </c>
      <c r="F7" s="52" t="str">
        <f>Energy!F7</f>
        <v>1509</v>
      </c>
      <c r="G7" s="52" t="str">
        <f>Energy!G7</f>
        <v>Generic</v>
      </c>
      <c r="H7" s="52" t="str">
        <f>Energy!H7</f>
        <v>QF</v>
      </c>
      <c r="I7" s="52" t="str">
        <f>Energy!I7</f>
        <v>Transmission</v>
      </c>
    </row>
    <row r="8" spans="2:18" ht="15.75" x14ac:dyDescent="0.25">
      <c r="B8" s="7" t="s">
        <v>0</v>
      </c>
      <c r="C8" s="2" t="s">
        <v>8</v>
      </c>
      <c r="D8" s="2" t="str">
        <f>Energy!D8</f>
        <v>Extended</v>
      </c>
      <c r="E8" s="2" t="str">
        <f>Energy!E8</f>
        <v>Forecast</v>
      </c>
      <c r="F8" s="2" t="str">
        <f>Energy!F8</f>
        <v>OFPC</v>
      </c>
      <c r="G8" s="2" t="str">
        <f>Energy!G8</f>
        <v>Update</v>
      </c>
      <c r="H8" s="2" t="str">
        <f>Energy!H8</f>
        <v>Queue</v>
      </c>
      <c r="I8" s="2" t="str">
        <f>Energy!I8</f>
        <v>Rights</v>
      </c>
    </row>
    <row r="9" spans="2:18" ht="4.5" customHeight="1" x14ac:dyDescent="0.2"/>
    <row r="10" spans="2:18" ht="15.75" x14ac:dyDescent="0.25">
      <c r="B10" s="3">
        <v>2017</v>
      </c>
      <c r="C10" s="16">
        <f>ROUND(Capacity!$F10+Energy!C10,2)</f>
        <v>22.58</v>
      </c>
      <c r="D10" s="16">
        <f>ROUND(Capacity!$G10+Energy!D10,2)</f>
        <v>22.59</v>
      </c>
      <c r="E10" s="16">
        <f>ROUND(Capacity!$G10+Energy!E10,2)</f>
        <v>19.920000000000002</v>
      </c>
      <c r="F10" s="16">
        <f>ROUND(Capacity!$G10+Energy!F10,2)</f>
        <v>19.5</v>
      </c>
      <c r="G10" s="16">
        <f>ROUND(Capacity!$G10+Energy!G10,2)</f>
        <v>19.54</v>
      </c>
      <c r="H10" s="16">
        <f>ROUND(Capacity!$G10+Energy!H10,2)</f>
        <v>20.88</v>
      </c>
      <c r="I10" s="16">
        <f>ROUND(Capacity!$G10+Energy!I10,2)</f>
        <v>20.89</v>
      </c>
      <c r="K10" s="53"/>
      <c r="L10" s="63"/>
      <c r="M10" s="53"/>
      <c r="N10" s="53"/>
      <c r="O10" s="53"/>
      <c r="P10" s="53"/>
      <c r="Q10" s="53"/>
    </row>
    <row r="11" spans="2:18" ht="15.75" x14ac:dyDescent="0.25">
      <c r="B11" s="3">
        <f t="shared" ref="B11:B29" si="0">B10+1</f>
        <v>2018</v>
      </c>
      <c r="C11" s="16">
        <f>ROUND(Capacity!$F11+Energy!C11,2)</f>
        <v>23.44</v>
      </c>
      <c r="D11" s="16">
        <f>ROUND(Capacity!$G11+Energy!D11,2)</f>
        <v>23.61</v>
      </c>
      <c r="E11" s="16">
        <f>ROUND(Capacity!$G11+Energy!E11,2)</f>
        <v>22</v>
      </c>
      <c r="F11" s="16">
        <f>ROUND(Capacity!$G11+Energy!F11,2)</f>
        <v>19.41</v>
      </c>
      <c r="G11" s="16">
        <f>ROUND(Capacity!$G11+Energy!G11,2)</f>
        <v>19.37</v>
      </c>
      <c r="H11" s="16">
        <f>ROUND(Capacity!$G11+Energy!H11,2)</f>
        <v>22.56</v>
      </c>
      <c r="I11" s="16">
        <f>ROUND(Capacity!$G11+Energy!I11,2)</f>
        <v>22.53</v>
      </c>
      <c r="K11" s="53"/>
      <c r="L11" s="63"/>
      <c r="M11" s="53"/>
      <c r="N11" s="53"/>
      <c r="O11" s="53"/>
      <c r="P11" s="53"/>
      <c r="Q11" s="53"/>
    </row>
    <row r="12" spans="2:18" ht="15.75" x14ac:dyDescent="0.25">
      <c r="B12" s="3">
        <f t="shared" si="0"/>
        <v>2019</v>
      </c>
      <c r="C12" s="16">
        <f>ROUND(Capacity!$F12+Energy!C12,2)</f>
        <v>23.98</v>
      </c>
      <c r="D12" s="16">
        <f>ROUND(Capacity!$G12+Energy!D12,2)</f>
        <v>24.23</v>
      </c>
      <c r="E12" s="16">
        <f>ROUND(Capacity!$G12+Energy!E12,2)</f>
        <v>22.61</v>
      </c>
      <c r="F12" s="16">
        <f>ROUND(Capacity!$G12+Energy!F12,2)</f>
        <v>20.89</v>
      </c>
      <c r="G12" s="16">
        <f>ROUND(Capacity!$G12+Energy!G12,2)</f>
        <v>21.48</v>
      </c>
      <c r="H12" s="16">
        <f>ROUND(Capacity!$G12+Energy!H12,2)</f>
        <v>23.34</v>
      </c>
      <c r="I12" s="16">
        <f>ROUND(Capacity!$G12+Energy!I12,2)</f>
        <v>23.21</v>
      </c>
      <c r="K12" s="53"/>
      <c r="L12" s="63"/>
      <c r="M12" s="53"/>
      <c r="N12" s="53"/>
      <c r="O12" s="53"/>
      <c r="P12" s="53"/>
      <c r="Q12" s="53"/>
    </row>
    <row r="13" spans="2:18" ht="15.75" x14ac:dyDescent="0.25">
      <c r="B13" s="3">
        <f t="shared" si="0"/>
        <v>2020</v>
      </c>
      <c r="C13" s="16">
        <f>ROUND(Capacity!$F13+Energy!C13,2)</f>
        <v>24.32</v>
      </c>
      <c r="D13" s="16">
        <f>ROUND(Capacity!$G13+Energy!D13,2)</f>
        <v>24.63</v>
      </c>
      <c r="E13" s="16">
        <f>ROUND(Capacity!$G13+Energy!E13,2)</f>
        <v>22.98</v>
      </c>
      <c r="F13" s="16">
        <f>ROUND(Capacity!$G13+Energy!F13,2)</f>
        <v>22.32</v>
      </c>
      <c r="G13" s="16">
        <f>ROUND(Capacity!$G13+Energy!G13,2)</f>
        <v>21.76</v>
      </c>
      <c r="H13" s="16">
        <f>ROUND(Capacity!$G13+Energy!H13,2)</f>
        <v>23.65</v>
      </c>
      <c r="I13" s="16">
        <f>ROUND(Capacity!$G13+Energy!I13,2)</f>
        <v>23.85</v>
      </c>
      <c r="K13" s="53"/>
      <c r="L13" s="63"/>
      <c r="M13" s="53"/>
      <c r="N13" s="53"/>
      <c r="O13" s="53"/>
      <c r="P13" s="53"/>
      <c r="Q13" s="53"/>
      <c r="R13" s="5"/>
    </row>
    <row r="14" spans="2:18" ht="15.75" x14ac:dyDescent="0.25">
      <c r="B14" s="3">
        <f t="shared" si="0"/>
        <v>2021</v>
      </c>
      <c r="C14" s="16">
        <f>ROUND(Capacity!$F14+Energy!C14,2)</f>
        <v>25.46</v>
      </c>
      <c r="D14" s="16">
        <f>ROUND(Capacity!$G14+Energy!D14,2)</f>
        <v>25.77</v>
      </c>
      <c r="E14" s="16">
        <f>ROUND(Capacity!$G14+Energy!E14,2)</f>
        <v>24.22</v>
      </c>
      <c r="F14" s="16">
        <f>ROUND(Capacity!$G14+Energy!F14,2)</f>
        <v>22.25</v>
      </c>
      <c r="G14" s="16">
        <f>ROUND(Capacity!$G14+Energy!G14,2)</f>
        <v>22.33</v>
      </c>
      <c r="H14" s="16">
        <f>ROUND(Capacity!$G14+Energy!H14,2)</f>
        <v>24.81</v>
      </c>
      <c r="I14" s="16">
        <f>ROUND(Capacity!$G14+Energy!I14,2)</f>
        <v>25.01</v>
      </c>
      <c r="K14" s="53"/>
      <c r="L14" s="63"/>
      <c r="M14" s="53"/>
      <c r="N14" s="53"/>
      <c r="O14" s="53"/>
      <c r="P14" s="53"/>
      <c r="Q14" s="53"/>
    </row>
    <row r="15" spans="2:18" ht="15.75" x14ac:dyDescent="0.25">
      <c r="B15" s="3">
        <f t="shared" si="0"/>
        <v>2022</v>
      </c>
      <c r="C15" s="16">
        <f>ROUND(Capacity!$F15+Energy!C15,2)</f>
        <v>26.66</v>
      </c>
      <c r="D15" s="16">
        <f>ROUND(Capacity!$G15+Energy!D15,2)</f>
        <v>27.26</v>
      </c>
      <c r="E15" s="16">
        <f>ROUND(Capacity!$G15+Energy!E15,2)</f>
        <v>26.95</v>
      </c>
      <c r="F15" s="16">
        <f>ROUND(Capacity!$G15+Energy!F15,2)</f>
        <v>24.5</v>
      </c>
      <c r="G15" s="16">
        <f>ROUND(Capacity!$G15+Energy!G15,2)</f>
        <v>24.65</v>
      </c>
      <c r="H15" s="16">
        <f>ROUND(Capacity!$G15+Energy!H15,2)</f>
        <v>26.56</v>
      </c>
      <c r="I15" s="16">
        <f>ROUND(Capacity!$G15+Energy!I15,2)</f>
        <v>26.57</v>
      </c>
      <c r="K15" s="53"/>
      <c r="L15" s="63"/>
      <c r="M15" s="53"/>
      <c r="N15" s="53"/>
      <c r="O15" s="53"/>
      <c r="P15" s="53"/>
      <c r="Q15" s="53"/>
    </row>
    <row r="16" spans="2:18" ht="15.75" x14ac:dyDescent="0.25">
      <c r="B16" s="3">
        <f t="shared" si="0"/>
        <v>2023</v>
      </c>
      <c r="C16" s="16">
        <f>ROUND(Capacity!$F16+Energy!C16,2)</f>
        <v>28.52</v>
      </c>
      <c r="D16" s="16">
        <f>ROUND(Capacity!$G16+Energy!D16,2)</f>
        <v>28.86</v>
      </c>
      <c r="E16" s="16">
        <f>ROUND(Capacity!$G16+Energy!E16,2)</f>
        <v>29.01</v>
      </c>
      <c r="F16" s="16">
        <f>ROUND(Capacity!$G16+Energy!F16,2)</f>
        <v>26.25</v>
      </c>
      <c r="G16" s="16">
        <f>ROUND(Capacity!$G16+Energy!G16,2)</f>
        <v>26.52</v>
      </c>
      <c r="H16" s="16">
        <f>ROUND(Capacity!$G16+Energy!H16,2)</f>
        <v>29</v>
      </c>
      <c r="I16" s="16">
        <f>ROUND(Capacity!$G16+Energy!I16,2)</f>
        <v>28.81</v>
      </c>
      <c r="K16" s="53"/>
      <c r="L16" s="63"/>
      <c r="M16" s="53"/>
      <c r="N16" s="53"/>
      <c r="O16" s="53"/>
      <c r="P16" s="53"/>
      <c r="Q16" s="53"/>
    </row>
    <row r="17" spans="2:17" ht="15.75" x14ac:dyDescent="0.25">
      <c r="B17" s="3">
        <f t="shared" si="0"/>
        <v>2024</v>
      </c>
      <c r="C17" s="16">
        <f>ROUND(Capacity!$F17+Energy!C17,2)</f>
        <v>30.2</v>
      </c>
      <c r="D17" s="16">
        <f>ROUND(Capacity!$G17+Energy!D17,2)</f>
        <v>30.48</v>
      </c>
      <c r="E17" s="16">
        <f>ROUND(Capacity!$G17+Energy!E17,2)</f>
        <v>30.15</v>
      </c>
      <c r="F17" s="16">
        <f>ROUND(Capacity!$G17+Energy!F17,2)</f>
        <v>27.83</v>
      </c>
      <c r="G17" s="16">
        <f>ROUND(Capacity!$G17+Energy!G17,2)</f>
        <v>28.35</v>
      </c>
      <c r="H17" s="16">
        <f>ROUND(Capacity!$G17+Energy!H17,2)</f>
        <v>30.4</v>
      </c>
      <c r="I17" s="16">
        <f>ROUND(Capacity!$G17+Energy!I17,2)</f>
        <v>30.4</v>
      </c>
      <c r="K17" s="53"/>
      <c r="L17" s="63"/>
      <c r="M17" s="53"/>
      <c r="N17" s="53"/>
      <c r="O17" s="53"/>
      <c r="P17" s="53"/>
      <c r="Q17" s="53"/>
    </row>
    <row r="18" spans="2:17" ht="15.75" x14ac:dyDescent="0.25">
      <c r="B18" s="3">
        <f t="shared" si="0"/>
        <v>2025</v>
      </c>
      <c r="C18" s="16">
        <f>ROUND(Capacity!$F18+Energy!C18,2)</f>
        <v>30.37</v>
      </c>
      <c r="D18" s="16">
        <f>ROUND(Capacity!$G18+Energy!D18,2)</f>
        <v>31.89</v>
      </c>
      <c r="E18" s="16">
        <f>ROUND(Capacity!$G18+Energy!E18,2)</f>
        <v>31.7</v>
      </c>
      <c r="F18" s="16">
        <f>ROUND(Capacity!$G18+Energy!F18,2)</f>
        <v>29.79</v>
      </c>
      <c r="G18" s="16">
        <f>ROUND(Capacity!$G18+Energy!G18,2)</f>
        <v>30.07</v>
      </c>
      <c r="H18" s="16">
        <f>ROUND(Capacity!$G18+Energy!H18,2)</f>
        <v>32.479999999999997</v>
      </c>
      <c r="I18" s="16">
        <f>ROUND(Capacity!$G18+Energy!I18,2)</f>
        <v>32.49</v>
      </c>
      <c r="K18" s="53"/>
      <c r="L18" s="63"/>
      <c r="M18" s="53"/>
      <c r="N18" s="53"/>
      <c r="O18" s="53"/>
      <c r="P18" s="53"/>
      <c r="Q18" s="53"/>
    </row>
    <row r="19" spans="2:17" ht="15.75" x14ac:dyDescent="0.25">
      <c r="B19" s="3">
        <f t="shared" si="0"/>
        <v>2026</v>
      </c>
      <c r="C19" s="16">
        <f>ROUND(Capacity!$F19+Energy!C19,2)</f>
        <v>30.9</v>
      </c>
      <c r="D19" s="16">
        <f>ROUND(Capacity!$G19+Energy!D19,2)</f>
        <v>32.11</v>
      </c>
      <c r="E19" s="16">
        <f>ROUND(Capacity!$G19+Energy!E19,2)</f>
        <v>31.94</v>
      </c>
      <c r="F19" s="16">
        <f>ROUND(Capacity!$G19+Energy!F19,2)</f>
        <v>31.64</v>
      </c>
      <c r="G19" s="16">
        <f>ROUND(Capacity!$G19+Energy!G19,2)</f>
        <v>31.28</v>
      </c>
      <c r="H19" s="16">
        <f>ROUND(Capacity!$G19+Energy!H19,2)</f>
        <v>33.369999999999997</v>
      </c>
      <c r="I19" s="16">
        <f>ROUND(Capacity!$G19+Energy!I19,2)</f>
        <v>33.51</v>
      </c>
      <c r="K19" s="53"/>
      <c r="L19" s="63"/>
      <c r="M19" s="53"/>
      <c r="N19" s="53"/>
      <c r="O19" s="53"/>
      <c r="P19" s="53"/>
      <c r="Q19" s="53"/>
    </row>
    <row r="20" spans="2:17" ht="15.75" x14ac:dyDescent="0.25">
      <c r="B20" s="3">
        <f t="shared" si="0"/>
        <v>2027</v>
      </c>
      <c r="C20" s="16">
        <f>ROUND(Capacity!$F20+Energy!C20,2)</f>
        <v>31.89</v>
      </c>
      <c r="D20" s="16">
        <f>ROUND(Capacity!$G20+Energy!D20,2)</f>
        <v>33.119999999999997</v>
      </c>
      <c r="E20" s="16">
        <f>ROUND(Capacity!$G20+Energy!E20,2)</f>
        <v>33.31</v>
      </c>
      <c r="F20" s="16">
        <f>ROUND(Capacity!$G20+Energy!F20,2)</f>
        <v>33.11</v>
      </c>
      <c r="G20" s="16">
        <f>ROUND(Capacity!$G20+Energy!G20,2)</f>
        <v>32.979999999999997</v>
      </c>
      <c r="H20" s="16">
        <f>ROUND(Capacity!$G20+Energy!H20,2)</f>
        <v>35.82</v>
      </c>
      <c r="I20" s="16">
        <f>ROUND(Capacity!$G20+Energy!I20,2)</f>
        <v>35.729999999999997</v>
      </c>
      <c r="K20" s="53"/>
      <c r="L20" s="63"/>
      <c r="M20" s="53"/>
      <c r="N20" s="53"/>
      <c r="O20" s="53"/>
      <c r="P20" s="53"/>
      <c r="Q20" s="53"/>
    </row>
    <row r="21" spans="2:17" ht="15.75" x14ac:dyDescent="0.25">
      <c r="B21" s="3">
        <f t="shared" si="0"/>
        <v>2028</v>
      </c>
      <c r="C21" s="16">
        <f>ROUND(Capacity!$F21+Energy!C21,2)</f>
        <v>37.119999999999997</v>
      </c>
      <c r="D21" s="16">
        <f>ROUND(Capacity!$G21+Energy!D21,2)</f>
        <v>40.14</v>
      </c>
      <c r="E21" s="16">
        <f>ROUND(Capacity!$G21+Energy!E21,2)</f>
        <v>39.590000000000003</v>
      </c>
      <c r="F21" s="16">
        <f>ROUND(Capacity!$G21+Energy!F21,2)</f>
        <v>38.47</v>
      </c>
      <c r="G21" s="16">
        <f>ROUND(Capacity!$G21+Energy!G21,2)</f>
        <v>38.92</v>
      </c>
      <c r="H21" s="16">
        <f>ROUND(Capacity!$G21+Energy!H21,2)</f>
        <v>41.65</v>
      </c>
      <c r="I21" s="16">
        <f>ROUND(Capacity!$G21+Energy!I21,2)</f>
        <v>41.55</v>
      </c>
      <c r="K21" s="53"/>
      <c r="L21" s="63"/>
      <c r="M21" s="53"/>
      <c r="N21" s="53"/>
      <c r="O21" s="53"/>
      <c r="P21" s="53"/>
      <c r="Q21" s="53"/>
    </row>
    <row r="22" spans="2:17" ht="15.75" x14ac:dyDescent="0.25">
      <c r="B22" s="3">
        <f t="shared" si="0"/>
        <v>2029</v>
      </c>
      <c r="C22" s="16">
        <f>ROUND(Capacity!$F22+Energy!C22,2)</f>
        <v>37.58</v>
      </c>
      <c r="D22" s="16">
        <f>ROUND(Capacity!$G22+Energy!D22,2)</f>
        <v>40.229999999999997</v>
      </c>
      <c r="E22" s="16">
        <f>ROUND(Capacity!$G22+Energy!E22,2)</f>
        <v>39.909999999999997</v>
      </c>
      <c r="F22" s="16">
        <f>ROUND(Capacity!$G22+Energy!F22,2)</f>
        <v>39.270000000000003</v>
      </c>
      <c r="G22" s="16">
        <f>ROUND(Capacity!$G22+Energy!G22,2)</f>
        <v>39.270000000000003</v>
      </c>
      <c r="H22" s="16">
        <f>ROUND(Capacity!$G22+Energy!H22,2)</f>
        <v>43.75</v>
      </c>
      <c r="I22" s="16">
        <f>ROUND(Capacity!$G22+Energy!I22,2)</f>
        <v>43.58</v>
      </c>
      <c r="K22" s="53"/>
      <c r="L22" s="63"/>
      <c r="M22" s="53"/>
      <c r="N22" s="53"/>
      <c r="O22" s="53"/>
      <c r="P22" s="53"/>
      <c r="Q22" s="53"/>
    </row>
    <row r="23" spans="2:17" ht="15.75" x14ac:dyDescent="0.25">
      <c r="B23" s="3">
        <f t="shared" si="0"/>
        <v>2030</v>
      </c>
      <c r="C23" s="16">
        <f>ROUND(Capacity!$F23+Energy!C23,2)</f>
        <v>55.4</v>
      </c>
      <c r="D23" s="16">
        <f>ROUND(Capacity!$G23+Energy!D23,2)</f>
        <v>54.32</v>
      </c>
      <c r="E23" s="16">
        <f>ROUND(Capacity!$G23+Energy!E23,2)</f>
        <v>54.2</v>
      </c>
      <c r="F23" s="16">
        <f>ROUND(Capacity!$G23+Energy!F23,2)</f>
        <v>54.28</v>
      </c>
      <c r="G23" s="16">
        <f>ROUND(Capacity!$G23+Energy!G23,2)</f>
        <v>54.31</v>
      </c>
      <c r="H23" s="16">
        <f>ROUND(Capacity!$G23+Energy!H23,2)</f>
        <v>54.58</v>
      </c>
      <c r="I23" s="16">
        <f>ROUND(Capacity!$G23+Energy!I23,2)</f>
        <v>54.62</v>
      </c>
      <c r="K23" s="53"/>
      <c r="L23" s="63"/>
      <c r="M23" s="53"/>
      <c r="N23" s="53"/>
      <c r="O23" s="53"/>
      <c r="P23" s="53"/>
      <c r="Q23" s="53"/>
    </row>
    <row r="24" spans="2:17" ht="15.75" x14ac:dyDescent="0.25">
      <c r="B24" s="3">
        <f t="shared" si="0"/>
        <v>2031</v>
      </c>
      <c r="C24" s="16">
        <f>ROUND(Capacity!$F24+Energy!C24,2)</f>
        <v>57.81</v>
      </c>
      <c r="D24" s="16">
        <f>ROUND(Capacity!$G24+Energy!D24,2)</f>
        <v>57.63</v>
      </c>
      <c r="E24" s="16">
        <f>ROUND(Capacity!$G24+Energy!E24,2)</f>
        <v>57.43</v>
      </c>
      <c r="F24" s="16">
        <f>ROUND(Capacity!$G24+Energy!F24,2)</f>
        <v>57.42</v>
      </c>
      <c r="G24" s="16">
        <f>ROUND(Capacity!$G24+Energy!G24,2)</f>
        <v>57.49</v>
      </c>
      <c r="H24" s="16">
        <f>ROUND(Capacity!$G24+Energy!H24,2)</f>
        <v>57.91</v>
      </c>
      <c r="I24" s="16">
        <f>ROUND(Capacity!$G24+Energy!I24,2)</f>
        <v>57.9</v>
      </c>
      <c r="K24" s="53"/>
      <c r="L24" s="63"/>
      <c r="M24" s="53"/>
      <c r="N24" s="53"/>
      <c r="O24" s="53"/>
      <c r="P24" s="53"/>
      <c r="Q24" s="53"/>
    </row>
    <row r="25" spans="2:17" ht="15.75" x14ac:dyDescent="0.25">
      <c r="B25" s="3">
        <f t="shared" si="0"/>
        <v>2032</v>
      </c>
      <c r="C25" s="16">
        <f>ROUND(Capacity!$F25+Energy!C25,2)</f>
        <v>59</v>
      </c>
      <c r="D25" s="16">
        <f>ROUND(Capacity!$G25+Energy!D25,2)</f>
        <v>58.64</v>
      </c>
      <c r="E25" s="16">
        <f>ROUND(Capacity!$G25+Energy!E25,2)</f>
        <v>58.55</v>
      </c>
      <c r="F25" s="16">
        <f>ROUND(Capacity!$G25+Energy!F25,2)</f>
        <v>58.49</v>
      </c>
      <c r="G25" s="16">
        <f>ROUND(Capacity!$G25+Energy!G25,2)</f>
        <v>58.66</v>
      </c>
      <c r="H25" s="16">
        <f>ROUND(Capacity!$G25+Energy!H25,2)</f>
        <v>58.83</v>
      </c>
      <c r="I25" s="16">
        <f>ROUND(Capacity!$G25+Energy!I25,2)</f>
        <v>58.83</v>
      </c>
      <c r="K25" s="53"/>
      <c r="L25" s="63"/>
      <c r="M25" s="53"/>
      <c r="N25" s="53"/>
      <c r="O25" s="53"/>
      <c r="P25" s="53"/>
      <c r="Q25" s="53"/>
    </row>
    <row r="26" spans="2:17" ht="15.75" x14ac:dyDescent="0.25">
      <c r="B26" s="3">
        <f t="shared" si="0"/>
        <v>2033</v>
      </c>
      <c r="C26" s="16">
        <f>ROUND(Capacity!$F26+Energy!C26,2)</f>
        <v>61.24</v>
      </c>
      <c r="D26" s="16">
        <f>ROUND(Capacity!$G26+Energy!D26,2)</f>
        <v>60.14</v>
      </c>
      <c r="E26" s="16">
        <f>ROUND(Capacity!$G26+Energy!E26,2)</f>
        <v>60.07</v>
      </c>
      <c r="F26" s="16">
        <f>ROUND(Capacity!$G26+Energy!F26,2)</f>
        <v>60.25</v>
      </c>
      <c r="G26" s="16">
        <f>ROUND(Capacity!$G26+Energy!G26,2)</f>
        <v>60.43</v>
      </c>
      <c r="H26" s="16">
        <f>ROUND(Capacity!$G26+Energy!H26,2)</f>
        <v>60.53</v>
      </c>
      <c r="I26" s="16">
        <f>ROUND(Capacity!$G26+Energy!I26,2)</f>
        <v>60.6</v>
      </c>
      <c r="K26" s="53"/>
      <c r="L26" s="63"/>
      <c r="M26" s="53"/>
      <c r="N26" s="53"/>
      <c r="O26" s="53"/>
      <c r="P26" s="53"/>
      <c r="Q26" s="53"/>
    </row>
    <row r="27" spans="2:17" ht="15.75" x14ac:dyDescent="0.25">
      <c r="B27" s="3">
        <f t="shared" si="0"/>
        <v>2034</v>
      </c>
      <c r="C27" s="16">
        <f>ROUND(Capacity!$F27+Energy!C27,2)</f>
        <v>62.6</v>
      </c>
      <c r="D27" s="16">
        <f>ROUND(Capacity!$G27+Energy!D27,2)</f>
        <v>62.59</v>
      </c>
      <c r="E27" s="16">
        <f>ROUND(Capacity!$G27+Energy!E27,2)</f>
        <v>62.48</v>
      </c>
      <c r="F27" s="16">
        <f>ROUND(Capacity!$G27+Energy!F27,2)</f>
        <v>62.66</v>
      </c>
      <c r="G27" s="16">
        <f>ROUND(Capacity!$G27+Energy!G27,2)</f>
        <v>62.5</v>
      </c>
      <c r="H27" s="16">
        <f>ROUND(Capacity!$G27+Energy!H27,2)</f>
        <v>63.11</v>
      </c>
      <c r="I27" s="16">
        <f>ROUND(Capacity!$G27+Energy!I27,2)</f>
        <v>63.16</v>
      </c>
      <c r="K27" s="53"/>
      <c r="L27" s="63"/>
      <c r="M27" s="53"/>
      <c r="N27" s="53"/>
      <c r="O27" s="53"/>
      <c r="P27" s="53"/>
      <c r="Q27" s="53"/>
    </row>
    <row r="28" spans="2:17" ht="15.75" x14ac:dyDescent="0.25">
      <c r="B28" s="3">
        <f t="shared" si="0"/>
        <v>2035</v>
      </c>
      <c r="C28" s="16">
        <f>ROUND(Capacity!$F28+Energy!C28,2)</f>
        <v>64.38</v>
      </c>
      <c r="D28" s="16">
        <f>ROUND(Capacity!$G28+Energy!D28,2)</f>
        <v>64.45</v>
      </c>
      <c r="E28" s="16">
        <f>ROUND(Capacity!$G28+Energy!E28,2)</f>
        <v>64.540000000000006</v>
      </c>
      <c r="F28" s="16">
        <f>ROUND(Capacity!$G28+Energy!F28,2)</f>
        <v>63.91</v>
      </c>
      <c r="G28" s="16">
        <f>ROUND(Capacity!$G28+Energy!G28,2)</f>
        <v>63.96</v>
      </c>
      <c r="H28" s="16">
        <f>ROUND(Capacity!$G28+Energy!H28,2)</f>
        <v>64.56</v>
      </c>
      <c r="I28" s="16">
        <f>ROUND(Capacity!$G28+Energy!I28,2)</f>
        <v>64.37</v>
      </c>
      <c r="K28" s="53"/>
      <c r="L28" s="63"/>
      <c r="M28" s="53"/>
      <c r="N28" s="53"/>
      <c r="O28" s="53"/>
      <c r="P28" s="53"/>
      <c r="Q28" s="53"/>
    </row>
    <row r="29" spans="2:17" ht="15.75" x14ac:dyDescent="0.25">
      <c r="B29" s="3">
        <f t="shared" si="0"/>
        <v>2036</v>
      </c>
      <c r="C29" s="64">
        <f>ROUND(Capacity!$F29+Energy!C29,2)</f>
        <v>66.2</v>
      </c>
      <c r="D29" s="16">
        <f>ROUND(Capacity!$G29+Energy!D29,2)</f>
        <v>66.42</v>
      </c>
      <c r="E29" s="16">
        <f>ROUND(Capacity!$G29+Energy!E29,2)</f>
        <v>66.58</v>
      </c>
      <c r="F29" s="16">
        <f>ROUND(Capacity!$G29+Energy!F29,2)</f>
        <v>65.72</v>
      </c>
      <c r="G29" s="16">
        <f>ROUND(Capacity!$G29+Energy!G29,2)</f>
        <v>65.72</v>
      </c>
      <c r="H29" s="16">
        <f>ROUND(Capacity!$G29+Energy!H29,2)</f>
        <v>66.27</v>
      </c>
      <c r="I29" s="16">
        <f>ROUND(Capacity!$G29+Energy!I29,2)</f>
        <v>66.290000000000006</v>
      </c>
      <c r="K29" s="53"/>
      <c r="L29" s="63"/>
      <c r="M29" s="53"/>
      <c r="N29" s="53"/>
      <c r="O29" s="53"/>
      <c r="P29" s="53"/>
      <c r="Q29" s="53"/>
    </row>
    <row r="30" spans="2:17" x14ac:dyDescent="0.2">
      <c r="C30" s="17"/>
      <c r="D30" s="17"/>
      <c r="E30" s="17"/>
      <c r="F30" s="17"/>
      <c r="G30" s="17"/>
      <c r="H30" s="17"/>
      <c r="I30" s="17"/>
      <c r="K30" s="53"/>
      <c r="L30" s="53"/>
    </row>
    <row r="31" spans="2:17" x14ac:dyDescent="0.2">
      <c r="B31" s="4" t="str">
        <f>"Nominal Levelized Payment at "&amp;TEXT(Discount_Rate,"0.000%")&amp;" Discount Rate (3)"</f>
        <v>Nominal Levelized Payment at 6.660% Discount Rate (3)</v>
      </c>
      <c r="C31" s="17"/>
      <c r="D31" s="17"/>
      <c r="E31" s="17"/>
      <c r="F31" s="17"/>
      <c r="G31" s="17"/>
      <c r="H31" s="17"/>
      <c r="I31" s="17"/>
      <c r="K31" s="53"/>
      <c r="L31" s="53"/>
    </row>
    <row r="32" spans="2:17" x14ac:dyDescent="0.2">
      <c r="B32" s="8" t="str">
        <f>B10&amp;" - "&amp;B29</f>
        <v>2017 - 2036</v>
      </c>
      <c r="C32" s="18">
        <f t="shared" ref="C32:I32" si="1">ROUND(PMT(Discount_Rate,COUNT(C10:C29),-NPV(Discount_Rate,C10:C29)),2)</f>
        <v>34.75</v>
      </c>
      <c r="D32" s="18">
        <f>ROUND(PMT(Discount_Rate,COUNT(D10:D29),-NPV(Discount_Rate,D10:D29)),2)</f>
        <v>35.24</v>
      </c>
      <c r="E32" s="18">
        <f t="shared" si="1"/>
        <v>34.450000000000003</v>
      </c>
      <c r="F32" s="18">
        <f t="shared" si="1"/>
        <v>33.229999999999997</v>
      </c>
      <c r="G32" s="18">
        <f t="shared" si="1"/>
        <v>33.31</v>
      </c>
      <c r="H32" s="18">
        <f t="shared" si="1"/>
        <v>35.229999999999997</v>
      </c>
      <c r="I32" s="18">
        <f t="shared" si="1"/>
        <v>35.229999999999997</v>
      </c>
      <c r="K32" s="53"/>
      <c r="L32" s="63"/>
    </row>
    <row r="33" spans="2:12" x14ac:dyDescent="0.2">
      <c r="D33" s="10"/>
      <c r="E33" s="10"/>
      <c r="F33" s="10"/>
      <c r="G33" s="10"/>
      <c r="H33" s="10"/>
      <c r="I33" s="10"/>
      <c r="K33" s="53"/>
      <c r="L33" s="53"/>
    </row>
    <row r="34" spans="2:12" x14ac:dyDescent="0.2">
      <c r="B34" s="8" t="s">
        <v>5</v>
      </c>
      <c r="K34" s="53"/>
      <c r="L34" s="53"/>
    </row>
    <row r="35" spans="2:12" x14ac:dyDescent="0.2">
      <c r="B35" s="1" t="str">
        <f>"(2)   Official Forward Price Curve Dated "&amp;TEXT(B44,"MMMM YYYY")</f>
        <v>(2)   Official Forward Price Curve Dated September 2015</v>
      </c>
      <c r="K35" s="53"/>
      <c r="L35" s="53"/>
    </row>
    <row r="36" spans="2:12" x14ac:dyDescent="0.2">
      <c r="B36" s="1" t="str">
        <f>"(3)   "&amp;B40</f>
        <v>(3)   Discount Rate - 2015 IRP Page 141</v>
      </c>
    </row>
    <row r="37" spans="2:12" x14ac:dyDescent="0.2">
      <c r="B37" s="1" t="s">
        <v>11</v>
      </c>
    </row>
    <row r="38" spans="2:12" x14ac:dyDescent="0.2">
      <c r="B38" s="1" t="s">
        <v>15</v>
      </c>
    </row>
    <row r="39" spans="2:12" hidden="1" x14ac:dyDescent="0.2">
      <c r="B39" s="25"/>
    </row>
    <row r="40" spans="2:12" hidden="1" x14ac:dyDescent="0.2">
      <c r="B40" s="25" t="s">
        <v>20</v>
      </c>
      <c r="E40" s="23"/>
      <c r="F40" s="23"/>
      <c r="G40" s="23"/>
      <c r="H40" s="23"/>
      <c r="I40" s="23"/>
    </row>
    <row r="41" spans="2:12" hidden="1" x14ac:dyDescent="0.2">
      <c r="B41" s="24">
        <v>6.6600000000000006E-2</v>
      </c>
      <c r="E41" s="23"/>
      <c r="F41" s="23"/>
      <c r="G41" s="23"/>
      <c r="H41" s="23"/>
      <c r="I41" s="23"/>
    </row>
    <row r="42" spans="2:12" hidden="1" x14ac:dyDescent="0.2">
      <c r="D42" s="23"/>
      <c r="E42" s="23"/>
      <c r="F42" s="23"/>
      <c r="G42" s="23"/>
      <c r="H42" s="23"/>
      <c r="I42" s="23"/>
    </row>
    <row r="43" spans="2:12" hidden="1" x14ac:dyDescent="0.2">
      <c r="B43" s="1" t="s">
        <v>14</v>
      </c>
    </row>
    <row r="44" spans="2:12" hidden="1" x14ac:dyDescent="0.2">
      <c r="B44" s="26">
        <v>42277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I41"/>
  <sheetViews>
    <sheetView zoomScale="70" zoomScaleNormal="70" workbookViewId="0">
      <pane xSplit="2" ySplit="8" topLeftCell="C9" activePane="bottomRight" state="frozen"/>
      <selection activeCell="F20" sqref="F20"/>
      <selection pane="topRight" activeCell="F20" sqref="F20"/>
      <selection pane="bottomLeft" activeCell="F20" sqref="F20"/>
      <selection pane="bottomRight" activeCell="I8" sqref="I8"/>
    </sheetView>
  </sheetViews>
  <sheetFormatPr defaultRowHeight="15" x14ac:dyDescent="0.2"/>
  <cols>
    <col min="1" max="1" width="1.85546875" style="29" customWidth="1"/>
    <col min="2" max="2" width="13.7109375" style="29" customWidth="1"/>
    <col min="3" max="9" width="17.7109375" style="29" customWidth="1"/>
    <col min="10" max="10" width="2.28515625" style="29" customWidth="1"/>
    <col min="11" max="16384" width="9.140625" style="29"/>
  </cols>
  <sheetData>
    <row r="1" spans="2:9" ht="15.75" x14ac:dyDescent="0.25">
      <c r="B1" s="27" t="str">
        <f>Total!B1</f>
        <v>Appendix C</v>
      </c>
      <c r="C1" s="27"/>
      <c r="D1" s="27"/>
      <c r="E1" s="27"/>
      <c r="F1" s="27"/>
      <c r="G1" s="27"/>
      <c r="H1" s="27"/>
      <c r="I1" s="27"/>
    </row>
    <row r="2" spans="2:9" ht="8.25" customHeight="1" x14ac:dyDescent="0.25">
      <c r="B2" s="27"/>
      <c r="C2" s="27"/>
      <c r="D2" s="27"/>
      <c r="E2" s="27"/>
      <c r="F2" s="27"/>
      <c r="G2" s="27"/>
      <c r="H2" s="27"/>
      <c r="I2" s="27"/>
    </row>
    <row r="3" spans="2:9" ht="15.75" x14ac:dyDescent="0.25">
      <c r="B3" s="27" t="str">
        <f>Total!B3</f>
        <v>Utah Quarterly Compliance Filing</v>
      </c>
      <c r="C3" s="27"/>
      <c r="D3" s="27"/>
      <c r="E3" s="27"/>
      <c r="F3" s="27"/>
      <c r="G3" s="27"/>
      <c r="H3" s="27"/>
      <c r="I3" s="27"/>
    </row>
    <row r="4" spans="2:9" ht="15.75" x14ac:dyDescent="0.25">
      <c r="B4" s="27" t="str">
        <f>Capacity!$B$4</f>
        <v>Step Study between 2015.Q3 and 2015.Q2 Compliance Filing</v>
      </c>
      <c r="C4" s="27"/>
      <c r="D4" s="27"/>
      <c r="E4" s="27"/>
      <c r="F4" s="27"/>
      <c r="G4" s="27"/>
      <c r="H4" s="27"/>
      <c r="I4" s="27"/>
    </row>
    <row r="5" spans="2:9" ht="15.75" x14ac:dyDescent="0.25">
      <c r="B5" s="27" t="s">
        <v>7</v>
      </c>
      <c r="C5" s="27"/>
      <c r="D5" s="27"/>
      <c r="E5" s="27"/>
      <c r="F5" s="27"/>
      <c r="G5" s="27"/>
      <c r="H5" s="27"/>
      <c r="I5" s="27"/>
    </row>
    <row r="6" spans="2:9" ht="15.75" x14ac:dyDescent="0.25">
      <c r="B6" s="27"/>
      <c r="C6" s="56"/>
      <c r="D6" s="56"/>
      <c r="E6" s="56"/>
      <c r="F6" s="56"/>
      <c r="G6" s="56"/>
      <c r="H6" s="27"/>
      <c r="I6" s="27"/>
    </row>
    <row r="7" spans="2:9" ht="15.75" x14ac:dyDescent="0.25">
      <c r="B7" s="30"/>
      <c r="C7" s="49" t="str">
        <f>Capacity!J7</f>
        <v>2015.Q2</v>
      </c>
      <c r="D7" s="49" t="s">
        <v>26</v>
      </c>
      <c r="E7" s="49" t="s">
        <v>28</v>
      </c>
      <c r="F7" s="49" t="s">
        <v>29</v>
      </c>
      <c r="G7" s="55" t="s">
        <v>18</v>
      </c>
      <c r="H7" s="55" t="s">
        <v>30</v>
      </c>
      <c r="I7" s="55" t="s">
        <v>31</v>
      </c>
    </row>
    <row r="8" spans="2:9" ht="15.75" x14ac:dyDescent="0.25">
      <c r="B8" s="32" t="s">
        <v>0</v>
      </c>
      <c r="C8" s="48" t="str">
        <f>Total!C8</f>
        <v>As Filed</v>
      </c>
      <c r="D8" s="48" t="s">
        <v>27</v>
      </c>
      <c r="E8" s="48" t="s">
        <v>22</v>
      </c>
      <c r="F8" s="48" t="s">
        <v>24</v>
      </c>
      <c r="G8" s="54" t="s">
        <v>17</v>
      </c>
      <c r="H8" s="54" t="s">
        <v>19</v>
      </c>
      <c r="I8" s="54" t="s">
        <v>32</v>
      </c>
    </row>
    <row r="9" spans="2:9" ht="4.5" customHeight="1" x14ac:dyDescent="0.2"/>
    <row r="10" spans="2:9" ht="15.75" x14ac:dyDescent="0.25">
      <c r="B10" s="34">
        <f>Total!B10</f>
        <v>2017</v>
      </c>
      <c r="C10" s="47">
        <v>22.57609727566529</v>
      </c>
      <c r="D10" s="47">
        <v>22.586097275665292</v>
      </c>
      <c r="E10" s="47">
        <v>19.916097275665294</v>
      </c>
      <c r="F10" s="47">
        <v>19.496097275665292</v>
      </c>
      <c r="G10" s="47">
        <v>19.536097275665291</v>
      </c>
      <c r="H10" s="47">
        <v>20.876097275665291</v>
      </c>
      <c r="I10" s="47">
        <v>20.886745661951984</v>
      </c>
    </row>
    <row r="11" spans="2:9" ht="15.75" x14ac:dyDescent="0.25">
      <c r="B11" s="34">
        <f t="shared" ref="B11:B29" si="0">B10+1</f>
        <v>2018</v>
      </c>
      <c r="C11" s="47">
        <v>23.436815175667032</v>
      </c>
      <c r="D11" s="47">
        <v>23.606815175667034</v>
      </c>
      <c r="E11" s="47">
        <v>21.996815175667034</v>
      </c>
      <c r="F11" s="47">
        <v>19.406815175667035</v>
      </c>
      <c r="G11" s="47">
        <v>19.366815175667035</v>
      </c>
      <c r="H11" s="47">
        <v>22.556815175667037</v>
      </c>
      <c r="I11" s="47">
        <v>22.529364973503956</v>
      </c>
    </row>
    <row r="12" spans="2:9" ht="15.75" x14ac:dyDescent="0.25">
      <c r="B12" s="34">
        <f t="shared" si="0"/>
        <v>2019</v>
      </c>
      <c r="C12" s="47">
        <v>23.978892026074753</v>
      </c>
      <c r="D12" s="47">
        <v>24.228892026074753</v>
      </c>
      <c r="E12" s="47">
        <v>22.608892026074752</v>
      </c>
      <c r="F12" s="47">
        <v>20.888892026074753</v>
      </c>
      <c r="G12" s="47">
        <v>21.478892026074753</v>
      </c>
      <c r="H12" s="47">
        <v>23.338892026074753</v>
      </c>
      <c r="I12" s="47">
        <v>23.213827442943582</v>
      </c>
    </row>
    <row r="13" spans="2:9" ht="15.75" x14ac:dyDescent="0.25">
      <c r="B13" s="34">
        <f t="shared" si="0"/>
        <v>2020</v>
      </c>
      <c r="C13" s="47">
        <v>24.31997215454626</v>
      </c>
      <c r="D13" s="47">
        <v>24.629972154546259</v>
      </c>
      <c r="E13" s="47">
        <v>22.97997215454626</v>
      </c>
      <c r="F13" s="47">
        <v>22.31997215454626</v>
      </c>
      <c r="G13" s="47">
        <v>21.759972154546261</v>
      </c>
      <c r="H13" s="47">
        <v>23.649972154546262</v>
      </c>
      <c r="I13" s="47">
        <v>23.853672885771221</v>
      </c>
    </row>
    <row r="14" spans="2:9" ht="15.75" x14ac:dyDescent="0.25">
      <c r="B14" s="34">
        <f t="shared" si="0"/>
        <v>2021</v>
      </c>
      <c r="C14" s="47">
        <v>25.461550428121164</v>
      </c>
      <c r="D14" s="47">
        <v>25.771550428121163</v>
      </c>
      <c r="E14" s="47">
        <v>24.221550428121162</v>
      </c>
      <c r="F14" s="47">
        <v>22.251550428121163</v>
      </c>
      <c r="G14" s="47">
        <v>22.331550428121162</v>
      </c>
      <c r="H14" s="47">
        <v>24.811550428121162</v>
      </c>
      <c r="I14" s="47">
        <v>25.009555750229506</v>
      </c>
    </row>
    <row r="15" spans="2:9" ht="15.75" x14ac:dyDescent="0.25">
      <c r="B15" s="34">
        <f t="shared" si="0"/>
        <v>2022</v>
      </c>
      <c r="C15" s="47">
        <v>26.66395383576674</v>
      </c>
      <c r="D15" s="47">
        <v>27.263953835766742</v>
      </c>
      <c r="E15" s="47">
        <v>26.953953835766743</v>
      </c>
      <c r="F15" s="47">
        <v>24.503953835766744</v>
      </c>
      <c r="G15" s="47">
        <v>24.653953835766742</v>
      </c>
      <c r="H15" s="47">
        <v>26.563953835766743</v>
      </c>
      <c r="I15" s="47">
        <v>26.565037050540809</v>
      </c>
    </row>
    <row r="16" spans="2:9" ht="15.75" x14ac:dyDescent="0.25">
      <c r="B16" s="34">
        <f t="shared" si="0"/>
        <v>2023</v>
      </c>
      <c r="C16" s="47">
        <v>28.524563386297302</v>
      </c>
      <c r="D16" s="47">
        <v>28.864563386297302</v>
      </c>
      <c r="E16" s="47">
        <v>29.014563386297301</v>
      </c>
      <c r="F16" s="47">
        <v>26.254563386297299</v>
      </c>
      <c r="G16" s="47">
        <v>26.524563386297299</v>
      </c>
      <c r="H16" s="47">
        <v>29.004563386297299</v>
      </c>
      <c r="I16" s="47">
        <v>28.810399668368248</v>
      </c>
    </row>
    <row r="17" spans="2:9" ht="15.75" x14ac:dyDescent="0.25">
      <c r="B17" s="34">
        <f t="shared" si="0"/>
        <v>2024</v>
      </c>
      <c r="C17" s="47">
        <v>30.204890165638822</v>
      </c>
      <c r="D17" s="47">
        <v>30.484890165638824</v>
      </c>
      <c r="E17" s="47">
        <v>30.154890165638825</v>
      </c>
      <c r="F17" s="47">
        <v>27.834890165638825</v>
      </c>
      <c r="G17" s="47">
        <v>28.354890165638825</v>
      </c>
      <c r="H17" s="47">
        <v>30.404890165638825</v>
      </c>
      <c r="I17" s="47">
        <v>30.401420017520049</v>
      </c>
    </row>
    <row r="18" spans="2:9" ht="15.75" x14ac:dyDescent="0.25">
      <c r="B18" s="34">
        <f t="shared" si="0"/>
        <v>2025</v>
      </c>
      <c r="C18" s="47">
        <v>30.365801560887281</v>
      </c>
      <c r="D18" s="47">
        <v>31.88580156088728</v>
      </c>
      <c r="E18" s="47">
        <v>31.695801560887279</v>
      </c>
      <c r="F18" s="47">
        <v>29.785801560887279</v>
      </c>
      <c r="G18" s="47">
        <v>30.06580156088728</v>
      </c>
      <c r="H18" s="47">
        <v>32.475801560887277</v>
      </c>
      <c r="I18" s="47">
        <v>32.487157535636626</v>
      </c>
    </row>
    <row r="19" spans="2:9" ht="15.75" x14ac:dyDescent="0.25">
      <c r="B19" s="34">
        <f t="shared" si="0"/>
        <v>2026</v>
      </c>
      <c r="C19" s="47">
        <v>30.900543839570759</v>
      </c>
      <c r="D19" s="47">
        <v>32.110543839570759</v>
      </c>
      <c r="E19" s="47">
        <v>31.940543839570758</v>
      </c>
      <c r="F19" s="47">
        <v>31.640543839570757</v>
      </c>
      <c r="G19" s="47">
        <v>31.280543839570758</v>
      </c>
      <c r="H19" s="47">
        <v>33.370543839570757</v>
      </c>
      <c r="I19" s="47">
        <v>33.509823350060259</v>
      </c>
    </row>
    <row r="20" spans="2:9" ht="15.75" x14ac:dyDescent="0.25">
      <c r="B20" s="34">
        <f t="shared" si="0"/>
        <v>2027</v>
      </c>
      <c r="C20" s="47">
        <v>31.89457393225436</v>
      </c>
      <c r="D20" s="47">
        <v>33.124573932254357</v>
      </c>
      <c r="E20" s="47">
        <v>33.314573932254355</v>
      </c>
      <c r="F20" s="47">
        <v>33.114573932254352</v>
      </c>
      <c r="G20" s="47">
        <v>32.984573932254349</v>
      </c>
      <c r="H20" s="47">
        <v>35.824573932254353</v>
      </c>
      <c r="I20" s="47">
        <v>35.73286557691366</v>
      </c>
    </row>
    <row r="21" spans="2:9" ht="15.75" x14ac:dyDescent="0.25">
      <c r="B21" s="34">
        <f t="shared" si="0"/>
        <v>2028</v>
      </c>
      <c r="C21" s="47">
        <v>37.116877315416048</v>
      </c>
      <c r="D21" s="47">
        <v>40.136877315416051</v>
      </c>
      <c r="E21" s="47">
        <v>39.586877315416054</v>
      </c>
      <c r="F21" s="47">
        <v>38.466877315416056</v>
      </c>
      <c r="G21" s="47">
        <v>38.916877315416059</v>
      </c>
      <c r="H21" s="47">
        <v>41.646877315416056</v>
      </c>
      <c r="I21" s="47">
        <v>41.554959845898459</v>
      </c>
    </row>
    <row r="22" spans="2:9" ht="15.75" x14ac:dyDescent="0.25">
      <c r="B22" s="34">
        <f t="shared" si="0"/>
        <v>2029</v>
      </c>
      <c r="C22" s="47">
        <v>37.580955237094813</v>
      </c>
      <c r="D22" s="47">
        <v>40.230955237094811</v>
      </c>
      <c r="E22" s="47">
        <v>39.910955237094811</v>
      </c>
      <c r="F22" s="47">
        <v>39.27095523709481</v>
      </c>
      <c r="G22" s="47">
        <v>39.27095523709481</v>
      </c>
      <c r="H22" s="47">
        <v>43.750955237094814</v>
      </c>
      <c r="I22" s="47">
        <v>43.579477104172426</v>
      </c>
    </row>
    <row r="23" spans="2:9" ht="15.75" x14ac:dyDescent="0.25">
      <c r="B23" s="34">
        <f t="shared" si="0"/>
        <v>2030</v>
      </c>
      <c r="C23" s="47">
        <v>35.145631337116704</v>
      </c>
      <c r="D23" s="47">
        <v>33.842692846652028</v>
      </c>
      <c r="E23" s="47">
        <v>33.722692846652031</v>
      </c>
      <c r="F23" s="47">
        <v>33.802692846652029</v>
      </c>
      <c r="G23" s="47">
        <v>33.83269284665203</v>
      </c>
      <c r="H23" s="47">
        <v>34.102692846652033</v>
      </c>
      <c r="I23" s="47">
        <v>34.136390860088781</v>
      </c>
    </row>
    <row r="24" spans="2:9" ht="15.75" x14ac:dyDescent="0.25">
      <c r="B24" s="34">
        <f t="shared" si="0"/>
        <v>2031</v>
      </c>
      <c r="C24" s="47">
        <v>37.08237842080247</v>
      </c>
      <c r="D24" s="47">
        <v>36.680782933292399</v>
      </c>
      <c r="E24" s="47">
        <v>36.480782933292396</v>
      </c>
      <c r="F24" s="47">
        <v>36.470782933292398</v>
      </c>
      <c r="G24" s="47">
        <v>36.540782933292398</v>
      </c>
      <c r="H24" s="47">
        <v>36.9607829332924</v>
      </c>
      <c r="I24" s="47">
        <v>36.957147179994806</v>
      </c>
    </row>
    <row r="25" spans="2:9" ht="15.75" x14ac:dyDescent="0.25">
      <c r="B25" s="34">
        <f t="shared" si="0"/>
        <v>2032</v>
      </c>
      <c r="C25" s="47">
        <v>37.85768726038939</v>
      </c>
      <c r="D25" s="47">
        <v>37.270000557292853</v>
      </c>
      <c r="E25" s="47">
        <v>37.18000055729285</v>
      </c>
      <c r="F25" s="47">
        <v>37.120000557292848</v>
      </c>
      <c r="G25" s="47">
        <v>37.290000557292849</v>
      </c>
      <c r="H25" s="47">
        <v>37.460000557292851</v>
      </c>
      <c r="I25" s="47">
        <v>37.458515482569616</v>
      </c>
    </row>
    <row r="26" spans="2:9" ht="15.75" x14ac:dyDescent="0.25">
      <c r="B26" s="34">
        <f t="shared" si="0"/>
        <v>2033</v>
      </c>
      <c r="C26" s="47">
        <v>39.546222339810519</v>
      </c>
      <c r="D26" s="47">
        <v>38.209853819799775</v>
      </c>
      <c r="E26" s="47">
        <v>38.139853819799775</v>
      </c>
      <c r="F26" s="47">
        <v>38.319853819799775</v>
      </c>
      <c r="G26" s="47">
        <v>38.499853819799775</v>
      </c>
      <c r="H26" s="47">
        <v>38.599853819799776</v>
      </c>
      <c r="I26" s="47">
        <v>38.669910480373439</v>
      </c>
    </row>
    <row r="27" spans="2:9" ht="15.75" x14ac:dyDescent="0.25">
      <c r="B27" s="34">
        <f t="shared" si="0"/>
        <v>2034</v>
      </c>
      <c r="C27" s="47">
        <v>40.409840680091243</v>
      </c>
      <c r="D27" s="47">
        <v>40.158100148262079</v>
      </c>
      <c r="E27" s="47">
        <v>40.04810014826208</v>
      </c>
      <c r="F27" s="47">
        <v>40.228100148262079</v>
      </c>
      <c r="G27" s="47">
        <v>40.068100148262083</v>
      </c>
      <c r="H27" s="47">
        <v>40.678100148262082</v>
      </c>
      <c r="I27" s="47">
        <v>40.724800948045207</v>
      </c>
    </row>
    <row r="28" spans="2:9" ht="15.75" x14ac:dyDescent="0.25">
      <c r="B28" s="34">
        <f t="shared" si="0"/>
        <v>2035</v>
      </c>
      <c r="C28" s="47">
        <v>41.681540138088216</v>
      </c>
      <c r="D28" s="47">
        <v>41.504427594440621</v>
      </c>
      <c r="E28" s="47">
        <v>41.594427594440624</v>
      </c>
      <c r="F28" s="47">
        <v>40.964427594440622</v>
      </c>
      <c r="G28" s="47">
        <v>41.014427594440619</v>
      </c>
      <c r="H28" s="47">
        <v>41.61442759444062</v>
      </c>
      <c r="I28" s="47">
        <v>41.421792547956329</v>
      </c>
    </row>
    <row r="29" spans="2:9" ht="15.75" x14ac:dyDescent="0.25">
      <c r="B29" s="34">
        <f t="shared" si="0"/>
        <v>2036</v>
      </c>
      <c r="C29" s="64">
        <f>ROUND(C28*(C28/C25)^(1/3),2)</f>
        <v>43.04</v>
      </c>
      <c r="D29" s="47">
        <v>43.008205293046181</v>
      </c>
      <c r="E29" s="47">
        <v>43.168205293046178</v>
      </c>
      <c r="F29" s="47">
        <v>42.308205293046178</v>
      </c>
      <c r="G29" s="47">
        <v>42.308205293046178</v>
      </c>
      <c r="H29" s="47">
        <v>42.858205293046176</v>
      </c>
      <c r="I29" s="47">
        <v>42.886657991980783</v>
      </c>
    </row>
    <row r="30" spans="2:9" x14ac:dyDescent="0.2">
      <c r="C30" s="46"/>
      <c r="D30" s="46"/>
      <c r="E30" s="46"/>
      <c r="F30" s="46"/>
      <c r="G30" s="46"/>
      <c r="H30" s="46"/>
      <c r="I30" s="46"/>
    </row>
    <row r="31" spans="2:9" x14ac:dyDescent="0.2">
      <c r="B31" s="37" t="str">
        <f>"Nominal Levelized Payment at "&amp;TEXT($B$41,"0.00%")&amp;" Discount Rate (3)"</f>
        <v>Nominal Levelized Payment at 6.66% Discount Rate (3)</v>
      </c>
      <c r="C31" s="46"/>
      <c r="D31" s="46"/>
      <c r="E31" s="46"/>
      <c r="F31" s="46"/>
      <c r="G31" s="46"/>
      <c r="H31" s="46"/>
      <c r="I31" s="46"/>
    </row>
    <row r="32" spans="2:9" x14ac:dyDescent="0.2">
      <c r="B32" s="38" t="str">
        <f>B10&amp;" - "&amp;B29</f>
        <v>2017 - 2036</v>
      </c>
      <c r="C32" s="45">
        <f>ROUND(PMT($B$41,COUNT(C10:C29),-NPV($B$41,C10:C29)),2)</f>
        <v>30.07</v>
      </c>
      <c r="D32" s="45">
        <f t="shared" ref="D32:G32" si="1">ROUND(PMT($B$41,COUNT(D10:D29),-NPV($B$41,D10:D29)),2)</f>
        <v>30.51</v>
      </c>
      <c r="E32" s="45">
        <f t="shared" si="1"/>
        <v>29.72</v>
      </c>
      <c r="F32" s="45">
        <f t="shared" si="1"/>
        <v>28.5</v>
      </c>
      <c r="G32" s="45">
        <f t="shared" si="1"/>
        <v>28.59</v>
      </c>
      <c r="H32" s="45">
        <f t="shared" ref="H32:I32" si="2">ROUND(PMT($B$41,COUNT(H10:H29),-NPV($B$41,H10:H29)),2)</f>
        <v>30.51</v>
      </c>
      <c r="I32" s="45">
        <f t="shared" si="2"/>
        <v>30.5</v>
      </c>
    </row>
    <row r="33" spans="2:9" x14ac:dyDescent="0.2">
      <c r="B33" s="38"/>
      <c r="C33" s="36"/>
      <c r="D33" s="36"/>
      <c r="E33" s="36"/>
      <c r="F33" s="36"/>
      <c r="G33" s="36"/>
      <c r="H33" s="36"/>
      <c r="I33" s="36"/>
    </row>
    <row r="34" spans="2:9" x14ac:dyDescent="0.2">
      <c r="D34" s="44"/>
    </row>
    <row r="35" spans="2:9" x14ac:dyDescent="0.2">
      <c r="B35" s="38" t="str">
        <f>Total!B34</f>
        <v>(1)   Studies are sequential.  The order of the studies would effect the price impact.</v>
      </c>
    </row>
    <row r="36" spans="2:9" x14ac:dyDescent="0.2">
      <c r="B36" s="38" t="str">
        <f>Total!B35</f>
        <v>(2)   Official Forward Price Curve Dated September 2015</v>
      </c>
    </row>
    <row r="37" spans="2:9" x14ac:dyDescent="0.2">
      <c r="B37" s="38" t="str">
        <f>Total!B36</f>
        <v>(3)   Discount Rate - 2015 IRP Page 141</v>
      </c>
    </row>
    <row r="38" spans="2:9" x14ac:dyDescent="0.2">
      <c r="B38" s="29" t="s">
        <v>15</v>
      </c>
    </row>
    <row r="39" spans="2:9" hidden="1" x14ac:dyDescent="0.2"/>
    <row r="40" spans="2:9" hidden="1" x14ac:dyDescent="0.2">
      <c r="B40" s="40" t="s">
        <v>16</v>
      </c>
    </row>
    <row r="41" spans="2:9" hidden="1" x14ac:dyDescent="0.2">
      <c r="B41" s="43">
        <f>Discount_Rate</f>
        <v>6.6600000000000006E-2</v>
      </c>
    </row>
  </sheetData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J40"/>
  <sheetViews>
    <sheetView zoomScale="70" zoomScaleNormal="70" workbookViewId="0">
      <pane xSplit="2" ySplit="9" topLeftCell="C10" activePane="bottomRight" state="frozen"/>
      <selection activeCell="F20" sqref="F20"/>
      <selection pane="topRight" activeCell="F20" sqref="F20"/>
      <selection pane="bottomLeft" activeCell="F20" sqref="F20"/>
      <selection pane="bottomRight" activeCell="C10" sqref="C10"/>
    </sheetView>
  </sheetViews>
  <sheetFormatPr defaultRowHeight="15" x14ac:dyDescent="0.2"/>
  <cols>
    <col min="1" max="1" width="1.85546875" style="29" customWidth="1"/>
    <col min="2" max="2" width="13.85546875" style="29" customWidth="1"/>
    <col min="3" max="4" width="24.28515625" style="29" customWidth="1"/>
    <col min="5" max="5" width="1.140625" style="29" customWidth="1"/>
    <col min="6" max="7" width="27.28515625" style="29" customWidth="1"/>
    <col min="8" max="8" width="1.5703125" style="29" customWidth="1"/>
    <col min="9" max="9" width="9.140625" style="29"/>
    <col min="10" max="10" width="9.140625" style="29" hidden="1" customWidth="1"/>
    <col min="11" max="16384" width="9.140625" style="29"/>
  </cols>
  <sheetData>
    <row r="1" spans="2:10" ht="15.75" x14ac:dyDescent="0.25">
      <c r="B1" s="27" t="str">
        <f>Total!B1</f>
        <v>Appendix C</v>
      </c>
      <c r="C1" s="27"/>
      <c r="D1" s="27"/>
      <c r="E1" s="28"/>
      <c r="F1" s="27"/>
      <c r="G1" s="27"/>
      <c r="H1" s="28"/>
    </row>
    <row r="2" spans="2:10" ht="8.25" customHeight="1" x14ac:dyDescent="0.25">
      <c r="B2" s="27"/>
      <c r="C2" s="27"/>
      <c r="D2" s="27"/>
      <c r="E2" s="28"/>
      <c r="F2" s="27"/>
      <c r="G2" s="27"/>
      <c r="H2" s="28"/>
    </row>
    <row r="3" spans="2:10" ht="15.75" x14ac:dyDescent="0.25">
      <c r="B3" s="27" t="str">
        <f>Total!B3</f>
        <v>Utah Quarterly Compliance Filing</v>
      </c>
      <c r="C3" s="27"/>
      <c r="D3" s="27"/>
      <c r="E3" s="28"/>
      <c r="F3" s="27"/>
      <c r="G3" s="27"/>
      <c r="H3" s="28"/>
    </row>
    <row r="4" spans="2:10" ht="15.75" x14ac:dyDescent="0.25">
      <c r="B4" s="27" t="str">
        <f>"Step Study between "&amp;J8&amp;" and "&amp;J7&amp;" Compliance Filing"</f>
        <v>Step Study between 2015.Q3 and 2015.Q2 Compliance Filing</v>
      </c>
      <c r="C4" s="27"/>
      <c r="D4" s="27"/>
      <c r="E4" s="28"/>
      <c r="F4" s="27"/>
      <c r="G4" s="27"/>
      <c r="H4" s="28"/>
    </row>
    <row r="5" spans="2:10" ht="15.75" x14ac:dyDescent="0.25">
      <c r="B5" s="27" t="s">
        <v>10</v>
      </c>
      <c r="C5" s="27"/>
      <c r="D5" s="27"/>
      <c r="E5" s="28"/>
      <c r="F5" s="27"/>
      <c r="G5" s="27"/>
      <c r="H5" s="28"/>
    </row>
    <row r="6" spans="2:10" ht="15.75" x14ac:dyDescent="0.25">
      <c r="B6" s="27"/>
      <c r="C6" s="27"/>
      <c r="D6" s="27"/>
      <c r="F6" s="27"/>
      <c r="G6" s="27"/>
    </row>
    <row r="7" spans="2:10" ht="15.75" x14ac:dyDescent="0.25">
      <c r="B7" s="30"/>
      <c r="C7" s="31" t="s">
        <v>2</v>
      </c>
      <c r="D7" s="50"/>
      <c r="F7" s="31" t="s">
        <v>9</v>
      </c>
      <c r="G7" s="50"/>
      <c r="J7" s="33" t="s">
        <v>23</v>
      </c>
    </row>
    <row r="8" spans="2:10" ht="30.75" customHeight="1" x14ac:dyDescent="0.25">
      <c r="B8" s="32" t="s">
        <v>0</v>
      </c>
      <c r="C8" s="61" t="str">
        <f>J7&amp;" (3)"</f>
        <v>2015.Q2 (3)</v>
      </c>
      <c r="D8" s="61" t="str">
        <f>J8&amp;" (4)"</f>
        <v>2015.Q3 (4)</v>
      </c>
      <c r="F8" s="33" t="str">
        <f>C8</f>
        <v>2015.Q2 (3)</v>
      </c>
      <c r="G8" s="61" t="str">
        <f>D8</f>
        <v>2015.Q3 (4)</v>
      </c>
      <c r="J8" s="33" t="s">
        <v>25</v>
      </c>
    </row>
    <row r="9" spans="2:10" ht="4.5" customHeight="1" x14ac:dyDescent="0.2"/>
    <row r="10" spans="2:10" ht="15.75" x14ac:dyDescent="0.25">
      <c r="B10" s="34">
        <f>Total!B10</f>
        <v>2017</v>
      </c>
      <c r="C10" s="35">
        <v>0</v>
      </c>
      <c r="D10" s="35">
        <v>0</v>
      </c>
      <c r="F10" s="35">
        <f>C10*1000/(IF(MOD($B10,4)=0,8784,8760)*0.85)</f>
        <v>0</v>
      </c>
      <c r="G10" s="35">
        <f t="shared" ref="G10:G29" si="0">D10*1000/(IF(MOD($B10,4)=0,8784,8760)*0.85)</f>
        <v>0</v>
      </c>
    </row>
    <row r="11" spans="2:10" ht="15.75" x14ac:dyDescent="0.25">
      <c r="B11" s="34">
        <f t="shared" ref="B11:B29" si="1">B10+1</f>
        <v>2018</v>
      </c>
      <c r="C11" s="35">
        <v>0</v>
      </c>
      <c r="D11" s="35">
        <v>0</v>
      </c>
      <c r="F11" s="35">
        <f t="shared" ref="F11:F29" si="2">C11*1000/(IF(MOD($B11,4)=0,8784,8760)*0.85)</f>
        <v>0</v>
      </c>
      <c r="G11" s="35">
        <f t="shared" si="0"/>
        <v>0</v>
      </c>
    </row>
    <row r="12" spans="2:10" ht="15.75" x14ac:dyDescent="0.25">
      <c r="B12" s="34">
        <f t="shared" si="1"/>
        <v>2019</v>
      </c>
      <c r="C12" s="35">
        <v>0</v>
      </c>
      <c r="D12" s="35">
        <v>0</v>
      </c>
      <c r="F12" s="35">
        <f t="shared" si="2"/>
        <v>0</v>
      </c>
      <c r="G12" s="35">
        <f t="shared" si="0"/>
        <v>0</v>
      </c>
    </row>
    <row r="13" spans="2:10" ht="15.75" x14ac:dyDescent="0.25">
      <c r="B13" s="34">
        <f t="shared" si="1"/>
        <v>2020</v>
      </c>
      <c r="C13" s="35">
        <v>0</v>
      </c>
      <c r="D13" s="35">
        <v>0</v>
      </c>
      <c r="F13" s="35">
        <f t="shared" si="2"/>
        <v>0</v>
      </c>
      <c r="G13" s="35">
        <f t="shared" si="0"/>
        <v>0</v>
      </c>
    </row>
    <row r="14" spans="2:10" ht="15.75" x14ac:dyDescent="0.25">
      <c r="B14" s="34">
        <f t="shared" si="1"/>
        <v>2021</v>
      </c>
      <c r="C14" s="35">
        <v>0</v>
      </c>
      <c r="D14" s="35">
        <v>0</v>
      </c>
      <c r="F14" s="35">
        <f t="shared" si="2"/>
        <v>0</v>
      </c>
      <c r="G14" s="35">
        <f t="shared" si="0"/>
        <v>0</v>
      </c>
    </row>
    <row r="15" spans="2:10" ht="15.75" x14ac:dyDescent="0.25">
      <c r="B15" s="34">
        <f t="shared" si="1"/>
        <v>2022</v>
      </c>
      <c r="C15" s="35">
        <v>0</v>
      </c>
      <c r="D15" s="35">
        <v>0</v>
      </c>
      <c r="F15" s="35">
        <f t="shared" si="2"/>
        <v>0</v>
      </c>
      <c r="G15" s="35">
        <f t="shared" si="0"/>
        <v>0</v>
      </c>
    </row>
    <row r="16" spans="2:10" ht="15.75" x14ac:dyDescent="0.25">
      <c r="B16" s="34">
        <f t="shared" si="1"/>
        <v>2023</v>
      </c>
      <c r="C16" s="35">
        <v>0</v>
      </c>
      <c r="D16" s="35">
        <v>0</v>
      </c>
      <c r="F16" s="35">
        <f t="shared" si="2"/>
        <v>0</v>
      </c>
      <c r="G16" s="35">
        <f t="shared" si="0"/>
        <v>0</v>
      </c>
    </row>
    <row r="17" spans="2:7" ht="15.75" x14ac:dyDescent="0.25">
      <c r="B17" s="34">
        <f t="shared" si="1"/>
        <v>2024</v>
      </c>
      <c r="C17" s="35">
        <v>0</v>
      </c>
      <c r="D17" s="35">
        <v>0</v>
      </c>
      <c r="F17" s="35">
        <f t="shared" si="2"/>
        <v>0</v>
      </c>
      <c r="G17" s="35">
        <f t="shared" si="0"/>
        <v>0</v>
      </c>
    </row>
    <row r="18" spans="2:7" ht="15.75" x14ac:dyDescent="0.25">
      <c r="B18" s="34">
        <f t="shared" si="1"/>
        <v>2025</v>
      </c>
      <c r="C18" s="35">
        <v>0</v>
      </c>
      <c r="D18" s="35">
        <v>0</v>
      </c>
      <c r="F18" s="35">
        <f t="shared" si="2"/>
        <v>0</v>
      </c>
      <c r="G18" s="35">
        <f t="shared" si="0"/>
        <v>0</v>
      </c>
    </row>
    <row r="19" spans="2:7" ht="15.75" x14ac:dyDescent="0.25">
      <c r="B19" s="34">
        <f t="shared" si="1"/>
        <v>2026</v>
      </c>
      <c r="C19" s="35">
        <v>0</v>
      </c>
      <c r="D19" s="35">
        <v>0</v>
      </c>
      <c r="F19" s="35">
        <f t="shared" si="2"/>
        <v>0</v>
      </c>
      <c r="G19" s="35">
        <f t="shared" si="0"/>
        <v>0</v>
      </c>
    </row>
    <row r="20" spans="2:7" ht="15.75" x14ac:dyDescent="0.25">
      <c r="B20" s="34">
        <f t="shared" si="1"/>
        <v>2027</v>
      </c>
      <c r="C20" s="35">
        <v>0</v>
      </c>
      <c r="D20" s="35">
        <v>0</v>
      </c>
      <c r="F20" s="35">
        <f t="shared" si="2"/>
        <v>0</v>
      </c>
      <c r="G20" s="35">
        <f t="shared" si="0"/>
        <v>0</v>
      </c>
    </row>
    <row r="21" spans="2:7" ht="15.75" x14ac:dyDescent="0.25">
      <c r="B21" s="34">
        <f t="shared" si="1"/>
        <v>2028</v>
      </c>
      <c r="C21" s="35">
        <v>0</v>
      </c>
      <c r="D21" s="35">
        <v>0</v>
      </c>
      <c r="F21" s="35">
        <f t="shared" si="2"/>
        <v>0</v>
      </c>
      <c r="G21" s="35">
        <f t="shared" si="0"/>
        <v>0</v>
      </c>
    </row>
    <row r="22" spans="2:7" ht="15.75" x14ac:dyDescent="0.25">
      <c r="B22" s="34">
        <f t="shared" si="1"/>
        <v>2029</v>
      </c>
      <c r="C22" s="35">
        <v>0</v>
      </c>
      <c r="D22" s="35">
        <v>0</v>
      </c>
      <c r="F22" s="35">
        <f t="shared" si="2"/>
        <v>0</v>
      </c>
      <c r="G22" s="35">
        <f t="shared" si="0"/>
        <v>0</v>
      </c>
    </row>
    <row r="23" spans="2:7" ht="15.75" x14ac:dyDescent="0.25">
      <c r="B23" s="34">
        <f t="shared" si="1"/>
        <v>2030</v>
      </c>
      <c r="C23" s="35">
        <v>150.83000000000001</v>
      </c>
      <c r="D23" s="35">
        <v>152.49</v>
      </c>
      <c r="F23" s="35">
        <f t="shared" si="2"/>
        <v>20.256513564329843</v>
      </c>
      <c r="G23" s="35">
        <f t="shared" si="0"/>
        <v>20.479452054794521</v>
      </c>
    </row>
    <row r="24" spans="2:7" ht="15.75" x14ac:dyDescent="0.25">
      <c r="B24" s="34">
        <f t="shared" si="1"/>
        <v>2031</v>
      </c>
      <c r="C24" s="35">
        <v>154.32</v>
      </c>
      <c r="D24" s="35">
        <v>155.97</v>
      </c>
      <c r="F24" s="35">
        <f t="shared" si="2"/>
        <v>20.725221595487511</v>
      </c>
      <c r="G24" s="35">
        <f t="shared" si="0"/>
        <v>20.946817082997583</v>
      </c>
    </row>
    <row r="25" spans="2:7" ht="15.75" x14ac:dyDescent="0.25">
      <c r="B25" s="34">
        <f t="shared" si="1"/>
        <v>2032</v>
      </c>
      <c r="C25" s="35">
        <v>157.88999999999999</v>
      </c>
      <c r="D25" s="35">
        <v>159.59</v>
      </c>
      <c r="F25" s="35">
        <f t="shared" si="2"/>
        <v>21.146737383477983</v>
      </c>
      <c r="G25" s="35">
        <f t="shared" si="0"/>
        <v>21.374424086574521</v>
      </c>
    </row>
    <row r="26" spans="2:7" ht="15.75" x14ac:dyDescent="0.25">
      <c r="B26" s="34">
        <f t="shared" si="1"/>
        <v>2033</v>
      </c>
      <c r="C26" s="35">
        <v>161.52000000000001</v>
      </c>
      <c r="D26" s="35">
        <v>163.28</v>
      </c>
      <c r="F26" s="35">
        <f t="shared" si="2"/>
        <v>21.692183722804192</v>
      </c>
      <c r="G26" s="35">
        <f t="shared" si="0"/>
        <v>21.928552242814934</v>
      </c>
    </row>
    <row r="27" spans="2:7" ht="15.75" x14ac:dyDescent="0.25">
      <c r="B27" s="34">
        <f t="shared" si="1"/>
        <v>2034</v>
      </c>
      <c r="C27" s="35">
        <v>165.24</v>
      </c>
      <c r="D27" s="35">
        <v>167.04</v>
      </c>
      <c r="F27" s="35">
        <f t="shared" si="2"/>
        <v>22.19178082191781</v>
      </c>
      <c r="G27" s="35">
        <f t="shared" si="0"/>
        <v>22.433521353746979</v>
      </c>
    </row>
    <row r="28" spans="2:7" ht="15.75" x14ac:dyDescent="0.25">
      <c r="B28" s="34">
        <f t="shared" si="1"/>
        <v>2035</v>
      </c>
      <c r="C28" s="35">
        <v>169.03</v>
      </c>
      <c r="D28" s="35">
        <v>170.87</v>
      </c>
      <c r="F28" s="35">
        <f t="shared" si="2"/>
        <v>22.700778941713672</v>
      </c>
      <c r="G28" s="35">
        <f t="shared" si="0"/>
        <v>22.947891485361268</v>
      </c>
    </row>
    <row r="29" spans="2:7" ht="15.75" x14ac:dyDescent="0.25">
      <c r="B29" s="34">
        <f t="shared" si="1"/>
        <v>2036</v>
      </c>
      <c r="C29" s="35">
        <v>172.89</v>
      </c>
      <c r="D29" s="35">
        <v>174.77</v>
      </c>
      <c r="F29" s="35">
        <f t="shared" si="2"/>
        <v>23.155737704918035</v>
      </c>
      <c r="G29" s="35">
        <f t="shared" si="0"/>
        <v>23.407532411871852</v>
      </c>
    </row>
    <row r="30" spans="2:7" ht="15.75" x14ac:dyDescent="0.25">
      <c r="B30" s="34"/>
      <c r="C30" s="36"/>
      <c r="F30" s="36"/>
    </row>
    <row r="31" spans="2:7" x14ac:dyDescent="0.2">
      <c r="B31" s="37" t="str">
        <f>"Nominal Levelized Payment at "&amp;TEXT($B$40,"0.000%")&amp;" Discount Rate (2)"</f>
        <v>Nominal Levelized Payment at 6.660% Discount Rate (2)</v>
      </c>
      <c r="D31" s="37"/>
    </row>
    <row r="32" spans="2:7" x14ac:dyDescent="0.2">
      <c r="B32" s="38" t="str">
        <f>$B$10&amp;" - "&amp;B29</f>
        <v>2017 - 2036</v>
      </c>
      <c r="C32" s="39">
        <f>PMT($B$40,COUNT(C10:C29),-NPV($B$40,C10:C29))</f>
        <v>34.84584193215229</v>
      </c>
      <c r="D32" s="39">
        <f>PMT($B$40,COUNT(D10:D29),-NPV($B$40,D10:D29))</f>
        <v>35.224217886549155</v>
      </c>
      <c r="F32" s="39">
        <f>ROUND(PMT($B$40,COUNT(F10:F29),-NPV($B$40,F10:F29)),2)</f>
        <v>4.68</v>
      </c>
      <c r="G32" s="39">
        <f>ROUND(PMT($B$40,COUNT(G10:G29),-NPV($B$40,G10:G29)),2)</f>
        <v>4.7300000000000004</v>
      </c>
    </row>
    <row r="34" spans="2:6" x14ac:dyDescent="0.2">
      <c r="B34" s="29" t="s">
        <v>3</v>
      </c>
    </row>
    <row r="35" spans="2:6" s="1" customFormat="1" x14ac:dyDescent="0.2">
      <c r="B35" s="29" t="str">
        <f>"(2)   "&amp;Total!B40</f>
        <v>(2)   Discount Rate - 2015 IRP Page 141</v>
      </c>
      <c r="C35" s="29"/>
      <c r="D35" s="29"/>
      <c r="E35" s="29"/>
      <c r="F35" s="29"/>
    </row>
    <row r="36" spans="2:6" x14ac:dyDescent="0.2">
      <c r="B36" s="29" t="s">
        <v>33</v>
      </c>
    </row>
    <row r="37" spans="2:6" x14ac:dyDescent="0.2">
      <c r="B37" s="29" t="s">
        <v>34</v>
      </c>
    </row>
    <row r="39" spans="2:6" hidden="1" x14ac:dyDescent="0.2">
      <c r="B39" s="40" t="s">
        <v>16</v>
      </c>
    </row>
    <row r="40" spans="2:6" hidden="1" x14ac:dyDescent="0.2">
      <c r="B40" s="41">
        <f>Discount_Rate</f>
        <v>6.6600000000000006E-2</v>
      </c>
    </row>
  </sheetData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laurieharris</cp:lastModifiedBy>
  <cp:lastPrinted>2015-12-01T17:52:35Z</cp:lastPrinted>
  <dcterms:created xsi:type="dcterms:W3CDTF">2006-07-10T20:43:15Z</dcterms:created>
  <dcterms:modified xsi:type="dcterms:W3CDTF">2015-12-02T18:04:34Z</dcterms:modified>
</cp:coreProperties>
</file>