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0" yWindow="-15" windowWidth="12750" windowHeight="11880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Total!$B$41</definedName>
    <definedName name="_xlnm.Print_Area" localSheetId="3">Capacity!$A$1:$J$38</definedName>
    <definedName name="_xlnm.Print_Area" localSheetId="2">Energy!$A$1:$I$38</definedName>
    <definedName name="_xlnm.Print_Area" localSheetId="0">Incremental!$A$1:$I$37</definedName>
    <definedName name="_xlnm.Print_Area" localSheetId="1">Total!$A$1:$I$37</definedName>
    <definedName name="Study_CF">#REF!</definedName>
    <definedName name="Study_MW">#REF!</definedName>
    <definedName name="Study_Name">#REF!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B38" i="6" l="1"/>
  <c r="B38" i="5"/>
  <c r="E8" i="5" l="1"/>
  <c r="D8" i="5"/>
  <c r="C8" i="5"/>
  <c r="E7" i="5"/>
  <c r="D7" i="5"/>
  <c r="C7" i="5"/>
  <c r="E8" i="6"/>
  <c r="D8" i="6"/>
  <c r="C8" i="6"/>
  <c r="E7" i="6"/>
  <c r="D7" i="6"/>
  <c r="C7" i="6"/>
  <c r="B41" i="10" l="1"/>
  <c r="B31" i="10" s="1"/>
  <c r="E8" i="10"/>
  <c r="I8" i="10" s="1"/>
  <c r="H8" i="10"/>
  <c r="G8" i="10"/>
  <c r="B4" i="10"/>
  <c r="H10" i="10" l="1"/>
  <c r="B11" i="10"/>
  <c r="I10" i="10" l="1"/>
  <c r="I11" i="10"/>
  <c r="G11" i="10"/>
  <c r="B12" i="10"/>
  <c r="G10" i="10"/>
  <c r="I12" i="10" l="1"/>
  <c r="B13" i="10"/>
  <c r="H12" i="10"/>
  <c r="H11" i="10"/>
  <c r="F8" i="6"/>
  <c r="F7" i="6"/>
  <c r="G12" i="10" l="1"/>
  <c r="G13" i="10"/>
  <c r="B14" i="10"/>
  <c r="G8" i="6"/>
  <c r="G7" i="6"/>
  <c r="H13" i="10" l="1"/>
  <c r="I14" i="10"/>
  <c r="G14" i="10"/>
  <c r="B15" i="10"/>
  <c r="H14" i="10"/>
  <c r="I13" i="10"/>
  <c r="I15" i="10" l="1"/>
  <c r="B16" i="10"/>
  <c r="H15" i="10"/>
  <c r="H8" i="5"/>
  <c r="G8" i="5"/>
  <c r="H7" i="5"/>
  <c r="G7" i="5"/>
  <c r="G16" i="10" l="1"/>
  <c r="B17" i="10"/>
  <c r="G15" i="10"/>
  <c r="B1" i="12"/>
  <c r="B3" i="12"/>
  <c r="B10" i="12"/>
  <c r="B35" i="12"/>
  <c r="B41" i="12"/>
  <c r="I17" i="10" l="1"/>
  <c r="B18" i="10"/>
  <c r="H17" i="10"/>
  <c r="I16" i="10"/>
  <c r="H16" i="10"/>
  <c r="B31" i="12"/>
  <c r="B11" i="12"/>
  <c r="D11" i="12" l="1"/>
  <c r="D10" i="12"/>
  <c r="I18" i="10"/>
  <c r="G18" i="10"/>
  <c r="B19" i="10"/>
  <c r="H18" i="10"/>
  <c r="G17" i="10"/>
  <c r="B12" i="12"/>
  <c r="D12" i="12" l="1"/>
  <c r="F10" i="5"/>
  <c r="E10" i="5"/>
  <c r="E11" i="5"/>
  <c r="I19" i="10"/>
  <c r="G19" i="10"/>
  <c r="B20" i="10"/>
  <c r="H19" i="10"/>
  <c r="B13" i="12"/>
  <c r="D13" i="12" l="1"/>
  <c r="G10" i="5"/>
  <c r="E10" i="6"/>
  <c r="G11" i="5"/>
  <c r="F11" i="5"/>
  <c r="E12" i="5"/>
  <c r="I20" i="10"/>
  <c r="G20" i="10"/>
  <c r="B21" i="10"/>
  <c r="H20" i="10"/>
  <c r="B14" i="12"/>
  <c r="D14" i="12" l="1"/>
  <c r="E11" i="6"/>
  <c r="F11" i="6"/>
  <c r="F10" i="6"/>
  <c r="F12" i="5"/>
  <c r="G12" i="5"/>
  <c r="E13" i="5"/>
  <c r="I21" i="10"/>
  <c r="G21" i="10"/>
  <c r="B22" i="10"/>
  <c r="H21" i="10"/>
  <c r="B15" i="12"/>
  <c r="D15" i="12" l="1"/>
  <c r="G13" i="5"/>
  <c r="E12" i="6"/>
  <c r="F12" i="6"/>
  <c r="F13" i="5"/>
  <c r="E14" i="5"/>
  <c r="I22" i="10"/>
  <c r="G22" i="10"/>
  <c r="B23" i="10"/>
  <c r="H22" i="10"/>
  <c r="B16" i="12"/>
  <c r="D16" i="12" l="1"/>
  <c r="E13" i="6"/>
  <c r="F13" i="6"/>
  <c r="G14" i="5"/>
  <c r="F14" i="5"/>
  <c r="E15" i="5"/>
  <c r="I23" i="10"/>
  <c r="G23" i="10"/>
  <c r="B24" i="10"/>
  <c r="H23" i="10"/>
  <c r="B17" i="12"/>
  <c r="D17" i="12" l="1"/>
  <c r="I24" i="10"/>
  <c r="B32" i="10"/>
  <c r="F14" i="6"/>
  <c r="E14" i="6"/>
  <c r="F15" i="5"/>
  <c r="E16" i="5"/>
  <c r="G24" i="10"/>
  <c r="B25" i="10"/>
  <c r="H24" i="10"/>
  <c r="B18" i="12"/>
  <c r="D18" i="12" l="1"/>
  <c r="E15" i="6"/>
  <c r="G15" i="5"/>
  <c r="F16" i="5"/>
  <c r="G16" i="5"/>
  <c r="E17" i="5"/>
  <c r="I25" i="10"/>
  <c r="G25" i="10"/>
  <c r="B26" i="10"/>
  <c r="H25" i="10"/>
  <c r="B19" i="12"/>
  <c r="D19" i="12" l="1"/>
  <c r="E16" i="6"/>
  <c r="F16" i="6"/>
  <c r="F15" i="6"/>
  <c r="G17" i="5"/>
  <c r="F17" i="5"/>
  <c r="E18" i="5"/>
  <c r="I26" i="10"/>
  <c r="G26" i="10"/>
  <c r="B27" i="10"/>
  <c r="H26" i="10"/>
  <c r="B20" i="12"/>
  <c r="B36" i="5"/>
  <c r="D20" i="12" l="1"/>
  <c r="F17" i="6"/>
  <c r="E17" i="6"/>
  <c r="G18" i="5"/>
  <c r="F18" i="5"/>
  <c r="E19" i="5"/>
  <c r="I27" i="10"/>
  <c r="G27" i="10"/>
  <c r="B28" i="10"/>
  <c r="H27" i="10"/>
  <c r="B37" i="12"/>
  <c r="B21" i="12"/>
  <c r="D21" i="12" l="1"/>
  <c r="E18" i="6"/>
  <c r="F18" i="6"/>
  <c r="G19" i="5"/>
  <c r="F19" i="5"/>
  <c r="E20" i="5"/>
  <c r="I28" i="10"/>
  <c r="G28" i="10"/>
  <c r="B29" i="10"/>
  <c r="H28" i="10"/>
  <c r="B22" i="12"/>
  <c r="D22" i="12" l="1"/>
  <c r="F19" i="6"/>
  <c r="E19" i="6"/>
  <c r="F20" i="5"/>
  <c r="G20" i="5"/>
  <c r="E21" i="5"/>
  <c r="B23" i="12"/>
  <c r="C10" i="5"/>
  <c r="D10" i="5" s="1"/>
  <c r="D23" i="12" l="1"/>
  <c r="C10" i="6"/>
  <c r="D10" i="6"/>
  <c r="F20" i="6"/>
  <c r="E20" i="6"/>
  <c r="E22" i="5"/>
  <c r="G21" i="5"/>
  <c r="F21" i="5"/>
  <c r="G29" i="10"/>
  <c r="C32" i="10"/>
  <c r="H29" i="10"/>
  <c r="D32" i="10"/>
  <c r="I29" i="10"/>
  <c r="I32" i="10" s="1"/>
  <c r="E32" i="10"/>
  <c r="B24" i="12"/>
  <c r="B32" i="12" l="1"/>
  <c r="E21" i="6"/>
  <c r="F21" i="6"/>
  <c r="H32" i="12"/>
  <c r="H32" i="10"/>
  <c r="E23" i="5"/>
  <c r="G22" i="5"/>
  <c r="F22" i="5"/>
  <c r="G32" i="10"/>
  <c r="B25" i="12"/>
  <c r="D25" i="12" l="1"/>
  <c r="E24" i="5"/>
  <c r="E32" i="5" s="1"/>
  <c r="D24" i="12"/>
  <c r="D32" i="12" s="1"/>
  <c r="F22" i="6"/>
  <c r="E22" i="6"/>
  <c r="G23" i="5"/>
  <c r="F23" i="5"/>
  <c r="C12" i="5"/>
  <c r="D12" i="5" s="1"/>
  <c r="C11" i="5"/>
  <c r="D11" i="5" s="1"/>
  <c r="B26" i="12"/>
  <c r="D26" i="12" l="1"/>
  <c r="C11" i="6"/>
  <c r="D11" i="6"/>
  <c r="F24" i="5"/>
  <c r="F32" i="5" s="1"/>
  <c r="E32" i="12"/>
  <c r="C12" i="6"/>
  <c r="D12" i="6"/>
  <c r="F23" i="6"/>
  <c r="E23" i="6"/>
  <c r="E25" i="5"/>
  <c r="B27" i="12"/>
  <c r="D27" i="12" l="1"/>
  <c r="G32" i="12"/>
  <c r="F32" i="12"/>
  <c r="E24" i="6"/>
  <c r="E32" i="6"/>
  <c r="G25" i="5"/>
  <c r="F25" i="5"/>
  <c r="E26" i="5"/>
  <c r="C14" i="5"/>
  <c r="D14" i="5" s="1"/>
  <c r="C13" i="5"/>
  <c r="D13" i="5" s="1"/>
  <c r="B28" i="12"/>
  <c r="G24" i="5" l="1"/>
  <c r="D28" i="12"/>
  <c r="C13" i="6"/>
  <c r="D13" i="6"/>
  <c r="C14" i="6"/>
  <c r="D14" i="6"/>
  <c r="E25" i="6"/>
  <c r="F25" i="6"/>
  <c r="F24" i="6"/>
  <c r="G32" i="5"/>
  <c r="G26" i="5"/>
  <c r="F26" i="5"/>
  <c r="E27" i="5"/>
  <c r="C15" i="5"/>
  <c r="D15" i="5" s="1"/>
  <c r="B29" i="12"/>
  <c r="D29" i="12" l="1"/>
  <c r="C15" i="6"/>
  <c r="D15" i="6"/>
  <c r="F26" i="6"/>
  <c r="E26" i="6"/>
  <c r="F32" i="6"/>
  <c r="G27" i="5"/>
  <c r="F27" i="5"/>
  <c r="E28" i="5"/>
  <c r="E27" i="6" l="1"/>
  <c r="F27" i="6"/>
  <c r="E29" i="5"/>
  <c r="F28" i="5"/>
  <c r="G28" i="5"/>
  <c r="C16" i="5"/>
  <c r="D16" i="5" s="1"/>
  <c r="C17" i="5"/>
  <c r="D17" i="5" s="1"/>
  <c r="C32" i="12"/>
  <c r="C16" i="6" l="1"/>
  <c r="D16" i="6"/>
  <c r="C17" i="6"/>
  <c r="D17" i="6"/>
  <c r="F28" i="6"/>
  <c r="E28" i="6"/>
  <c r="G29" i="5"/>
  <c r="F29" i="5"/>
  <c r="C18" i="5"/>
  <c r="D18" i="5" s="1"/>
  <c r="C18" i="6" l="1"/>
  <c r="D18" i="6"/>
  <c r="E29" i="6"/>
  <c r="F29" i="6"/>
  <c r="C19" i="5"/>
  <c r="D19" i="5" s="1"/>
  <c r="C19" i="6" l="1"/>
  <c r="D19" i="6"/>
  <c r="C20" i="5"/>
  <c r="D20" i="5" s="1"/>
  <c r="C20" i="6" l="1"/>
  <c r="D20" i="6"/>
  <c r="C21" i="5"/>
  <c r="D21" i="5" s="1"/>
  <c r="C21" i="6" l="1"/>
  <c r="D21" i="6"/>
  <c r="C22" i="5"/>
  <c r="D22" i="5" s="1"/>
  <c r="C22" i="6" l="1"/>
  <c r="D22" i="6"/>
  <c r="C23" i="5"/>
  <c r="D23" i="5" s="1"/>
  <c r="C23" i="6" l="1"/>
  <c r="D23" i="6"/>
  <c r="C24" i="5"/>
  <c r="D24" i="5" s="1"/>
  <c r="C24" i="6" l="1"/>
  <c r="D24" i="6"/>
  <c r="D32" i="5"/>
  <c r="C25" i="5"/>
  <c r="D25" i="5" s="1"/>
  <c r="C25" i="6" l="1"/>
  <c r="D25" i="6"/>
  <c r="D32" i="6"/>
  <c r="C26" i="5"/>
  <c r="D26" i="5" s="1"/>
  <c r="C26" i="6" l="1"/>
  <c r="D26" i="6"/>
  <c r="C27" i="5"/>
  <c r="D27" i="5" s="1"/>
  <c r="C27" i="6" l="1"/>
  <c r="D27" i="6"/>
  <c r="C28" i="5"/>
  <c r="D28" i="5" s="1"/>
  <c r="C28" i="6" l="1"/>
  <c r="D28" i="6"/>
  <c r="C29" i="5"/>
  <c r="D29" i="5" s="1"/>
  <c r="B31" i="5"/>
  <c r="C29" i="6" l="1"/>
  <c r="D29" i="6"/>
  <c r="C32" i="5"/>
  <c r="C32" i="6" s="1"/>
  <c r="B36" i="6"/>
  <c r="B37" i="6"/>
  <c r="B34" i="6"/>
  <c r="F8" i="5" l="1"/>
  <c r="F7" i="5"/>
  <c r="B41" i="6" l="1"/>
  <c r="B31" i="6" l="1"/>
  <c r="B10" i="6" l="1"/>
  <c r="B11" i="5"/>
  <c r="B3" i="6"/>
  <c r="B1" i="6"/>
  <c r="B11" i="6" l="1"/>
  <c r="B12" i="5"/>
  <c r="B13" i="5" l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l="1"/>
  <c r="B26" i="6" s="1"/>
  <c r="B27" i="6" s="1"/>
  <c r="B28" i="6" s="1"/>
  <c r="B29" i="6" s="1"/>
  <c r="B32" i="6"/>
  <c r="B14" i="5"/>
  <c r="B4" i="12"/>
  <c r="B4" i="6"/>
  <c r="B4" i="5"/>
  <c r="B15" i="5" l="1"/>
  <c r="B16" i="5" l="1"/>
  <c r="B17" i="5" l="1"/>
  <c r="B18" i="5" l="1"/>
  <c r="B19" i="5" l="1"/>
  <c r="B20" i="5" l="1"/>
  <c r="B21" i="5" l="1"/>
  <c r="B22" i="5" l="1"/>
  <c r="B23" i="5" l="1"/>
  <c r="B24" i="5" l="1"/>
  <c r="B32" i="5" s="1"/>
  <c r="B25" i="5" l="1"/>
  <c r="B26" i="5" l="1"/>
  <c r="B27" i="5" l="1"/>
  <c r="B28" i="5" l="1"/>
  <c r="B29" i="5" l="1"/>
  <c r="B35" i="5" l="1"/>
  <c r="B35" i="6" l="1"/>
  <c r="B36" i="12"/>
  <c r="H10" i="5" l="1"/>
  <c r="G10" i="6" s="1"/>
  <c r="H11" i="5"/>
  <c r="G11" i="6" s="1"/>
  <c r="H12" i="5" l="1"/>
  <c r="G12" i="6" s="1"/>
  <c r="H11" i="6" l="1"/>
  <c r="H13" i="5"/>
  <c r="G13" i="6" s="1"/>
  <c r="H10" i="6" l="1"/>
  <c r="H14" i="5"/>
  <c r="G14" i="6" s="1"/>
  <c r="H12" i="6"/>
  <c r="H13" i="6" l="1"/>
  <c r="H15" i="5"/>
  <c r="G15" i="6" s="1"/>
  <c r="H14" i="6" l="1"/>
  <c r="H17" i="5" l="1"/>
  <c r="G17" i="6" s="1"/>
  <c r="H15" i="6"/>
  <c r="H16" i="5"/>
  <c r="G16" i="6" s="1"/>
  <c r="H18" i="5" l="1"/>
  <c r="G18" i="6" s="1"/>
  <c r="H16" i="6" l="1"/>
  <c r="H17" i="6"/>
  <c r="H19" i="5"/>
  <c r="G19" i="6" s="1"/>
  <c r="H18" i="6" l="1"/>
  <c r="H19" i="6" l="1"/>
  <c r="H20" i="5"/>
  <c r="G20" i="6" s="1"/>
  <c r="H20" i="6" l="1"/>
  <c r="H22" i="5" l="1"/>
  <c r="G22" i="6" s="1"/>
  <c r="H25" i="5"/>
  <c r="G25" i="6" s="1"/>
  <c r="H23" i="5"/>
  <c r="G23" i="6" s="1"/>
  <c r="H26" i="5"/>
  <c r="G26" i="6" s="1"/>
  <c r="H24" i="5"/>
  <c r="G24" i="6" s="1"/>
  <c r="H28" i="5"/>
  <c r="G28" i="6" s="1"/>
  <c r="H21" i="5"/>
  <c r="G21" i="6" s="1"/>
  <c r="H27" i="5"/>
  <c r="G27" i="6" s="1"/>
  <c r="H32" i="5" l="1"/>
  <c r="G32" i="6" s="1"/>
  <c r="H29" i="5"/>
  <c r="G29" i="6" s="1"/>
  <c r="H25" i="6" l="1"/>
  <c r="H23" i="6"/>
  <c r="H21" i="6"/>
  <c r="H26" i="6"/>
  <c r="H28" i="6"/>
  <c r="H27" i="6"/>
  <c r="H24" i="6"/>
  <c r="H22" i="6"/>
  <c r="H29" i="6" l="1"/>
  <c r="H32" i="6" l="1"/>
</calcChain>
</file>

<file path=xl/sharedStrings.xml><?xml version="1.0" encoding="utf-8"?>
<sst xmlns="http://schemas.openxmlformats.org/spreadsheetml/2006/main" count="46" uniqueCount="37">
  <si>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</si>
  <si>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</si>
  <si>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</si>
  <si>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</si>
  <si>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</si>
  <si>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</si>
  <si>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</si>
  <si>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</si>
  <si>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</si>
  <si>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</si>
  <si>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</si>
  <si>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</si>
  <si>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</si>
  <si>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</si>
  <si>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</si>
  <si>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Update</t>
  </si>
  <si>
    <t>Generic</t>
  </si>
  <si>
    <t>Discount Rate - 2015 IRP Page 141</t>
  </si>
  <si>
    <t>Impact</t>
  </si>
  <si>
    <t>Forecast</t>
  </si>
  <si>
    <t>OFPC</t>
  </si>
  <si>
    <t>2015.Q3</t>
  </si>
  <si>
    <t>2015.Q4</t>
  </si>
  <si>
    <t>Load</t>
  </si>
  <si>
    <t>1512</t>
  </si>
  <si>
    <t>QF</t>
  </si>
  <si>
    <t>Queue</t>
  </si>
  <si>
    <t>15 Year</t>
  </si>
  <si>
    <t>Contract</t>
  </si>
  <si>
    <t>(5)  20-Year Nominal Levelized Payment (2017-2036)</t>
  </si>
  <si>
    <t>(4)  20-Year Nominal Levelized Payment (2017-2036)</t>
  </si>
  <si>
    <t>(2)   Discount Rate - 2015 IRP Page 141</t>
  </si>
  <si>
    <t>2015.Q3 (3)</t>
  </si>
  <si>
    <t>1512 OFPC (3)</t>
  </si>
  <si>
    <t>(4)  Capacity costs reflect  2028 - Dave Johnston - 423 MW - CCCT Dry "J", Adv 1x1 - East Side Resource (5,050')</t>
  </si>
  <si>
    <t xml:space="preserve">      Capacity costs reflect  2030 - Utah - 423 MW - CCCT Dry "J", Adv 1x1 - East Side Resource (5,050')</t>
  </si>
  <si>
    <t>(3)  Capacity costs reflect  2030 - Utah - 423 MW - CCCT Dry "J", Adv 1x1 - East Side Resource (5,050')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</si>
</sst>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&quot;$&quot;\ #,##0.00_);[Red]_(&quot;$&quot;\ \(#,##0.00\);_(\ &quot;-&quot;?_);_(@_)"/>
    <numFmt numFmtId="168" formatCode="0.000%"/>
    <numFmt numFmtId="169" formatCode="_(* #,##0.000_);[Red]_(* \(#,##0.000\);_(* &quot;-&quot;_);_(@_)"/>
    <numFmt numFmtId="170" formatCode="&quot;$&quot;###0;[Red]\(&quot;$&quot;###0\)"/>
    <numFmt numFmtId="171" formatCode="0.0"/>
    <numFmt numFmtId="172" formatCode="0.0%"/>
    <numFmt numFmtId="173" formatCode="_(&quot;$&quot;\ #,##0.00_);_(&quot;$&quot;\ \(#,##0.00\);_(\ &quot;-&quot;?_);_(@_)"/>
    <numFmt numFmtId="174" formatCode="&quot;$&quot;#,##0.00\ \(\5\)"/>
    <numFmt numFmtId="175" formatCode="&quot;$&quot;#,##0.00\ \(\4\)"/>
    <numFmt numFmtId="176" formatCode="&quot;$&quot;#,##0.00_ \(\5\)"/>
    <numFmt numFmtId="177" formatCode="&quot;$&quot;#,##0.00_);[Red]\(&quot;$&quot;#,##0.00\)\ \(\5\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2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Protection="0">
      <alignment horizontal="right"/>
    </xf>
    <xf numFmtId="171" fontId="9" fillId="0" borderId="0" applyNumberFormat="0" applyFill="0" applyBorder="0" applyAlignment="0" applyProtection="0"/>
    <xf numFmtId="0" fontId="2" fillId="0" borderId="6" applyNumberFormat="0" applyBorder="0" applyAlignment="0"/>
    <xf numFmtId="172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71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9" fontId="4" fillId="0" borderId="0" xfId="0" applyNumberFormat="1" applyFont="1"/>
    <xf numFmtId="168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8" fontId="4" fillId="0" borderId="0" xfId="4" applyNumberFormat="1" applyFont="1" applyAlignment="1">
      <alignment horizontal="center"/>
    </xf>
    <xf numFmtId="168" fontId="4" fillId="0" borderId="0" xfId="3" applyNumberFormat="1" applyFont="1"/>
    <xf numFmtId="168" fontId="4" fillId="0" borderId="0" xfId="4" applyNumberFormat="1" applyFont="1"/>
    <xf numFmtId="166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/>
    <xf numFmtId="167" fontId="4" fillId="0" borderId="0" xfId="0" applyNumberFormat="1" applyFont="1" applyFill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5" fontId="3" fillId="0" borderId="2" xfId="4" applyFont="1" applyBorder="1" applyAlignment="1">
      <alignment horizontal="center" wrapText="1"/>
    </xf>
    <xf numFmtId="167" fontId="4" fillId="0" borderId="0" xfId="0" quotePrefix="1" applyNumberFormat="1" applyFont="1" applyAlignment="1">
      <alignment horizontal="center"/>
    </xf>
    <xf numFmtId="43" fontId="4" fillId="0" borderId="0" xfId="17" applyFont="1"/>
    <xf numFmtId="174" fontId="4" fillId="0" borderId="2" xfId="4" applyNumberFormat="1" applyFont="1" applyFill="1" applyBorder="1" applyAlignment="1">
      <alignment horizontal="center"/>
    </xf>
    <xf numFmtId="175" fontId="4" fillId="0" borderId="2" xfId="4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7" fontId="4" fillId="0" borderId="2" xfId="0" applyNumberFormat="1" applyFont="1" applyFill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8" fontId="12" fillId="0" borderId="0" xfId="4" applyNumberFormat="1" applyFont="1" applyFill="1" applyBorder="1" applyAlignment="1">
      <alignment horizontal="center"/>
    </xf>
    <xf numFmtId="167" fontId="12" fillId="0" borderId="0" xfId="4" applyNumberFormat="1" applyFont="1" applyFill="1" applyBorder="1" applyAlignment="1">
      <alignment horizontal="center"/>
    </xf>
    <xf numFmtId="165" fontId="12" fillId="0" borderId="0" xfId="4" applyFont="1"/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K41"/>
  <sheetViews>
    <sheetView showGridLines="0" tabSelected="1" zoomScale="70" zoomScaleNormal="70" workbookViewId="0">
      <pane xSplit="2" ySplit="9" topLeftCell="C13" activePane="bottomRight" state="frozen"/>
      <selection activeCell="L26" sqref="L26"/>
      <selection pane="topRight" activeCell="L26" sqref="L26"/>
      <selection pane="bottomLeft" activeCell="L26" sqref="L26"/>
      <selection pane="bottomRight" activeCell="O16" sqref="O16"/>
    </sheetView>
  </sheetViews>
  <sheetFormatPr defaultRowHeight="15" x14ac:dyDescent="0.2"/>
  <cols>
    <col min="1" max="1" width="1.85546875" style="1" customWidth="1"/>
    <col min="2" max="2" width="13.7109375" style="1" customWidth="1"/>
    <col min="3" max="8" width="17.7109375" style="1" customWidth="1"/>
    <col min="9" max="9" width="2.28515625" style="1" customWidth="1"/>
    <col min="10" max="10" width="9.140625" style="1"/>
    <col min="11" max="11" width="10.85546875" style="1" bestFit="1" customWidth="1"/>
    <col min="12" max="16384" width="9.140625" style="1"/>
  </cols>
  <sheetData>
    <row r="1" spans="2:11" ht="15.75" x14ac:dyDescent="0.25">
      <c r="B1" s="6" t="str">
        <f>Total!B1</f>
        <v>Appendix C</v>
      </c>
      <c r="C1" s="6"/>
      <c r="D1" s="6"/>
      <c r="E1" s="6"/>
      <c r="F1" s="6"/>
      <c r="G1" s="6"/>
      <c r="H1" s="6"/>
    </row>
    <row r="2" spans="2:11" ht="8.25" customHeight="1" x14ac:dyDescent="0.25">
      <c r="B2" s="6"/>
      <c r="C2" s="6"/>
      <c r="D2" s="6"/>
      <c r="E2" s="6"/>
      <c r="F2" s="6"/>
      <c r="G2" s="6"/>
      <c r="H2" s="6"/>
    </row>
    <row r="3" spans="2:11" ht="15.75" x14ac:dyDescent="0.25">
      <c r="B3" s="6" t="str">
        <f>Total!B3</f>
        <v>Utah Quarterly Compliance Filing</v>
      </c>
      <c r="C3" s="6"/>
      <c r="D3" s="6"/>
      <c r="E3" s="6"/>
      <c r="F3" s="6"/>
      <c r="G3" s="6"/>
      <c r="H3" s="6"/>
    </row>
    <row r="4" spans="2:11" ht="15.75" x14ac:dyDescent="0.25">
      <c r="B4" s="6" t="str">
        <f>Capacity!$B$4</f>
        <v>Step Study between 2015.Q4 and 2015.Q3 Compliance Filing</v>
      </c>
      <c r="C4" s="6"/>
      <c r="D4" s="6"/>
      <c r="E4" s="6"/>
      <c r="F4" s="6"/>
      <c r="G4" s="6"/>
      <c r="H4" s="6"/>
    </row>
    <row r="5" spans="2:11" ht="15.75" x14ac:dyDescent="0.25">
      <c r="B5" s="6" t="s">
        <v>13</v>
      </c>
      <c r="C5" s="6"/>
      <c r="D5" s="6"/>
      <c r="E5" s="6"/>
      <c r="F5" s="6"/>
      <c r="G5" s="6"/>
      <c r="H5" s="6"/>
    </row>
    <row r="6" spans="2:11" x14ac:dyDescent="0.2">
      <c r="C6" s="9"/>
      <c r="D6" s="9"/>
      <c r="E6" s="9"/>
      <c r="F6" s="9"/>
      <c r="G6" s="9"/>
      <c r="H6" s="9"/>
    </row>
    <row r="7" spans="2:11" s="4" customFormat="1" ht="15.75" x14ac:dyDescent="0.25">
      <c r="B7" s="14"/>
      <c r="C7" s="11" t="str">
        <f>Energy!D7</f>
        <v>15 Year</v>
      </c>
      <c r="D7" s="11" t="str">
        <f>Energy!E7</f>
        <v>Load</v>
      </c>
      <c r="E7" s="11" t="str">
        <f>Energy!F7</f>
        <v>1512</v>
      </c>
      <c r="F7" s="11" t="str">
        <f>Energy!G7</f>
        <v>Generic</v>
      </c>
      <c r="G7" s="11" t="str">
        <f>Energy!H7</f>
        <v>QF</v>
      </c>
      <c r="H7" s="11" t="s">
        <v>6</v>
      </c>
      <c r="I7" s="1"/>
    </row>
    <row r="8" spans="2:11" s="4" customFormat="1" ht="15.75" x14ac:dyDescent="0.25">
      <c r="B8" s="15" t="s">
        <v>0</v>
      </c>
      <c r="C8" s="12" t="str">
        <f>Energy!D8</f>
        <v>Contract</v>
      </c>
      <c r="D8" s="12" t="str">
        <f>Energy!E8</f>
        <v>Forecast</v>
      </c>
      <c r="E8" s="12" t="str">
        <f>Energy!F8</f>
        <v>OFPC</v>
      </c>
      <c r="F8" s="12" t="str">
        <f>Energy!G8</f>
        <v>Update</v>
      </c>
      <c r="G8" s="12" t="str">
        <f>Energy!H8</f>
        <v>Queue</v>
      </c>
      <c r="H8" s="12" t="s">
        <v>18</v>
      </c>
      <c r="I8" s="1"/>
    </row>
    <row r="9" spans="2:11" ht="4.5" customHeight="1" x14ac:dyDescent="0.2"/>
    <row r="10" spans="2:11" ht="15.75" x14ac:dyDescent="0.25">
      <c r="B10" s="3">
        <f>Total!B10</f>
        <v>2017</v>
      </c>
      <c r="C10" s="55">
        <f>ROUND(Total!D10-Total!C10,2)</f>
        <v>0</v>
      </c>
      <c r="D10" s="55">
        <f>ROUND(Total!E10-Total!D10,2)</f>
        <v>-0.14000000000000001</v>
      </c>
      <c r="E10" s="55">
        <f>ROUND(Total!F10-Total!E10,2)</f>
        <v>-1.3</v>
      </c>
      <c r="F10" s="55">
        <f>ROUND(Total!G10-Total!F10,2)</f>
        <v>-0.02</v>
      </c>
      <c r="G10" s="55">
        <f>ROUND(Total!H10-Total!G10,2)</f>
        <v>0.77</v>
      </c>
      <c r="H10" s="55">
        <f t="shared" ref="H10" ca="1" si="0">SUM(OFFSET($C10,0,0,1,COLUMN(H10)-3))</f>
        <v>-0.69</v>
      </c>
      <c r="I10" s="56"/>
      <c r="K10" s="22"/>
    </row>
    <row r="11" spans="2:11" ht="15.75" x14ac:dyDescent="0.25">
      <c r="B11" s="3">
        <f t="shared" ref="B11:B29" si="1">B10+1</f>
        <v>2018</v>
      </c>
      <c r="C11" s="55">
        <f>ROUND(Total!D11-Total!C11,2)</f>
        <v>0</v>
      </c>
      <c r="D11" s="55">
        <f>ROUND(Total!E11-Total!D11,2)</f>
        <v>0.03</v>
      </c>
      <c r="E11" s="55">
        <f>ROUND(Total!F11-Total!E11,2)</f>
        <v>-1.57</v>
      </c>
      <c r="F11" s="55">
        <f>ROUND(Total!G11-Total!F11,2)</f>
        <v>0.65</v>
      </c>
      <c r="G11" s="55">
        <f>ROUND(Total!H11-Total!G11,2)</f>
        <v>0.81</v>
      </c>
      <c r="H11" s="55">
        <f ca="1">SUM(OFFSET($C11,0,0,1,COLUMN(H11)-3))</f>
        <v>-7.999999999999996E-2</v>
      </c>
      <c r="I11" s="56"/>
      <c r="K11" s="22"/>
    </row>
    <row r="12" spans="2:11" ht="15.75" x14ac:dyDescent="0.25">
      <c r="B12" s="3">
        <f t="shared" si="1"/>
        <v>2019</v>
      </c>
      <c r="C12" s="55">
        <f>ROUND(Total!D12-Total!C12,2)</f>
        <v>0</v>
      </c>
      <c r="D12" s="55">
        <f>ROUND(Total!E12-Total!D12,2)</f>
        <v>0.09</v>
      </c>
      <c r="E12" s="55">
        <f>ROUND(Total!F12-Total!E12,2)</f>
        <v>-1.88</v>
      </c>
      <c r="F12" s="55">
        <f>ROUND(Total!G12-Total!F12,2)</f>
        <v>0.49</v>
      </c>
      <c r="G12" s="55">
        <f>ROUND(Total!H12-Total!G12,2)</f>
        <v>2.42</v>
      </c>
      <c r="H12" s="55">
        <f t="shared" ref="H12:H29" ca="1" si="2">SUM(OFFSET($C12,0,0,1,COLUMN(H12)-3))</f>
        <v>1.1200000000000001</v>
      </c>
      <c r="I12" s="56"/>
      <c r="K12" s="22"/>
    </row>
    <row r="13" spans="2:11" ht="15.75" x14ac:dyDescent="0.25">
      <c r="B13" s="3">
        <f t="shared" si="1"/>
        <v>2020</v>
      </c>
      <c r="C13" s="55">
        <f>ROUND(Total!D13-Total!C13,2)</f>
        <v>0</v>
      </c>
      <c r="D13" s="55">
        <f>ROUND(Total!E13-Total!D13,2)</f>
        <v>-0.38</v>
      </c>
      <c r="E13" s="55">
        <f>ROUND(Total!F13-Total!E13,2)</f>
        <v>-0.24</v>
      </c>
      <c r="F13" s="55">
        <f>ROUND(Total!G13-Total!F13,2)</f>
        <v>0.04</v>
      </c>
      <c r="G13" s="55">
        <f>ROUND(Total!H13-Total!G13,2)</f>
        <v>2.34</v>
      </c>
      <c r="H13" s="55">
        <f t="shared" ca="1" si="2"/>
        <v>1.7599999999999998</v>
      </c>
      <c r="I13" s="56"/>
      <c r="K13" s="22"/>
    </row>
    <row r="14" spans="2:11" ht="15.75" x14ac:dyDescent="0.25">
      <c r="B14" s="3">
        <f t="shared" si="1"/>
        <v>2021</v>
      </c>
      <c r="C14" s="55">
        <f>ROUND(Total!D14-Total!C14,2)</f>
        <v>0</v>
      </c>
      <c r="D14" s="55">
        <f>ROUND(Total!E14-Total!D14,2)</f>
        <v>-0.42</v>
      </c>
      <c r="E14" s="55">
        <f>ROUND(Total!F14-Total!E14,2)</f>
        <v>0.47</v>
      </c>
      <c r="F14" s="55">
        <f>ROUND(Total!G14-Total!F14,2)</f>
        <v>-1.37</v>
      </c>
      <c r="G14" s="55">
        <f>ROUND(Total!H14-Total!G14,2)</f>
        <v>1.83</v>
      </c>
      <c r="H14" s="55">
        <f t="shared" ca="1" si="2"/>
        <v>0.51</v>
      </c>
      <c r="I14" s="56"/>
      <c r="K14" s="22"/>
    </row>
    <row r="15" spans="2:11" ht="15.75" x14ac:dyDescent="0.25">
      <c r="B15" s="3">
        <f t="shared" si="1"/>
        <v>2022</v>
      </c>
      <c r="C15" s="55">
        <f>ROUND(Total!D15-Total!C15,2)</f>
        <v>0</v>
      </c>
      <c r="D15" s="55">
        <f>ROUND(Total!E15-Total!D15,2)</f>
        <v>-0.18</v>
      </c>
      <c r="E15" s="55">
        <f>ROUND(Total!F15-Total!E15,2)</f>
        <v>0.4</v>
      </c>
      <c r="F15" s="55">
        <f>ROUND(Total!G15-Total!F15,2)</f>
        <v>-1.07</v>
      </c>
      <c r="G15" s="55">
        <f>ROUND(Total!H15-Total!G15,2)</f>
        <v>2.2200000000000002</v>
      </c>
      <c r="H15" s="55">
        <f t="shared" ca="1" si="2"/>
        <v>1.37</v>
      </c>
      <c r="I15" s="56"/>
      <c r="K15" s="22"/>
    </row>
    <row r="16" spans="2:11" ht="15.75" x14ac:dyDescent="0.25">
      <c r="B16" s="3">
        <f t="shared" si="1"/>
        <v>2023</v>
      </c>
      <c r="C16" s="55">
        <f>ROUND(Total!D16-Total!C16,2)</f>
        <v>0</v>
      </c>
      <c r="D16" s="55">
        <f>ROUND(Total!E16-Total!D16,2)</f>
        <v>-0.31</v>
      </c>
      <c r="E16" s="55">
        <f>ROUND(Total!F16-Total!E16,2)</f>
        <v>-0.21</v>
      </c>
      <c r="F16" s="55">
        <f>ROUND(Total!G16-Total!F16,2)</f>
        <v>-0.81</v>
      </c>
      <c r="G16" s="55">
        <f>ROUND(Total!H16-Total!G16,2)</f>
        <v>2</v>
      </c>
      <c r="H16" s="55">
        <f t="shared" ca="1" si="2"/>
        <v>0.66999999999999993</v>
      </c>
      <c r="I16" s="56"/>
      <c r="K16" s="22"/>
    </row>
    <row r="17" spans="2:11" ht="15.75" x14ac:dyDescent="0.25">
      <c r="B17" s="3">
        <f t="shared" si="1"/>
        <v>2024</v>
      </c>
      <c r="C17" s="55">
        <f>ROUND(Total!D17-Total!C17,2)</f>
        <v>0</v>
      </c>
      <c r="D17" s="55">
        <f>ROUND(Total!E17-Total!D17,2)</f>
        <v>-0.25</v>
      </c>
      <c r="E17" s="55">
        <f>ROUND(Total!F17-Total!E17,2)</f>
        <v>0.3</v>
      </c>
      <c r="F17" s="55">
        <f>ROUND(Total!G17-Total!F17,2)</f>
        <v>-1.29</v>
      </c>
      <c r="G17" s="55">
        <f>ROUND(Total!H17-Total!G17,2)</f>
        <v>1.83</v>
      </c>
      <c r="H17" s="55">
        <f t="shared" ca="1" si="2"/>
        <v>0.59000000000000008</v>
      </c>
      <c r="I17" s="56"/>
      <c r="K17" s="22"/>
    </row>
    <row r="18" spans="2:11" ht="15.75" x14ac:dyDescent="0.25">
      <c r="B18" s="3">
        <f t="shared" si="1"/>
        <v>2025</v>
      </c>
      <c r="C18" s="55">
        <f>ROUND(Total!D18-Total!C18,2)</f>
        <v>0</v>
      </c>
      <c r="D18" s="55">
        <f>ROUND(Total!E18-Total!D18,2)</f>
        <v>-0.25</v>
      </c>
      <c r="E18" s="55">
        <f>ROUND(Total!F18-Total!E18,2)</f>
        <v>0.3</v>
      </c>
      <c r="F18" s="55">
        <f>ROUND(Total!G18-Total!F18,2)</f>
        <v>-0.12</v>
      </c>
      <c r="G18" s="55">
        <f>ROUND(Total!H18-Total!G18,2)</f>
        <v>1.6</v>
      </c>
      <c r="H18" s="55">
        <f t="shared" ca="1" si="2"/>
        <v>1.53</v>
      </c>
      <c r="I18" s="56"/>
      <c r="K18" s="22"/>
    </row>
    <row r="19" spans="2:11" ht="15.75" x14ac:dyDescent="0.25">
      <c r="B19" s="3">
        <f t="shared" si="1"/>
        <v>2026</v>
      </c>
      <c r="C19" s="55">
        <f>ROUND(Total!D19-Total!C19,2)</f>
        <v>0</v>
      </c>
      <c r="D19" s="55">
        <f>ROUND(Total!E19-Total!D19,2)</f>
        <v>-0.1</v>
      </c>
      <c r="E19" s="55">
        <f>ROUND(Total!F19-Total!E19,2)</f>
        <v>0.52</v>
      </c>
      <c r="F19" s="55">
        <f>ROUND(Total!G19-Total!F19,2)</f>
        <v>-1.03</v>
      </c>
      <c r="G19" s="55">
        <f>ROUND(Total!H19-Total!G19,2)</f>
        <v>1.99</v>
      </c>
      <c r="H19" s="55">
        <f t="shared" ca="1" si="2"/>
        <v>1.38</v>
      </c>
      <c r="I19" s="56"/>
      <c r="K19" s="22"/>
    </row>
    <row r="20" spans="2:11" ht="15.75" x14ac:dyDescent="0.25">
      <c r="B20" s="3">
        <f t="shared" si="1"/>
        <v>2027</v>
      </c>
      <c r="C20" s="55">
        <f>ROUND(Total!D20-Total!C20,2)</f>
        <v>0</v>
      </c>
      <c r="D20" s="55">
        <f>ROUND(Total!E20-Total!D20,2)</f>
        <v>-0.23</v>
      </c>
      <c r="E20" s="55">
        <f>ROUND(Total!F20-Total!E20,2)</f>
        <v>0.35</v>
      </c>
      <c r="F20" s="55">
        <f>ROUND(Total!G20-Total!F20,2)</f>
        <v>-1.53</v>
      </c>
      <c r="G20" s="55">
        <f>ROUND(Total!H20-Total!G20,2)</f>
        <v>3.01</v>
      </c>
      <c r="H20" s="55">
        <f t="shared" ca="1" si="2"/>
        <v>1.5999999999999996</v>
      </c>
      <c r="I20" s="56"/>
      <c r="K20" s="22"/>
    </row>
    <row r="21" spans="2:11" ht="15.75" x14ac:dyDescent="0.25">
      <c r="B21" s="3">
        <f t="shared" si="1"/>
        <v>2028</v>
      </c>
      <c r="C21" s="55">
        <f>ROUND(Total!D21-Total!C21,2)</f>
        <v>0</v>
      </c>
      <c r="D21" s="55">
        <f>ROUND(Total!E21-Total!D21,2)</f>
        <v>-0.16</v>
      </c>
      <c r="E21" s="55">
        <f>ROUND(Total!F21-Total!E21,2)</f>
        <v>0.3</v>
      </c>
      <c r="F21" s="55">
        <f>ROUND(Total!G21-Total!F21,2)</f>
        <v>-1.22</v>
      </c>
      <c r="G21" s="55">
        <f>ROUND(Total!H21-Total!G21,2)</f>
        <v>6.98</v>
      </c>
      <c r="H21" s="55">
        <f t="shared" ca="1" si="2"/>
        <v>5.9</v>
      </c>
      <c r="I21" s="56"/>
      <c r="K21" s="22"/>
    </row>
    <row r="22" spans="2:11" ht="15.75" x14ac:dyDescent="0.25">
      <c r="B22" s="3">
        <f t="shared" si="1"/>
        <v>2029</v>
      </c>
      <c r="C22" s="55">
        <f>ROUND(Total!D22-Total!C22,2)</f>
        <v>0</v>
      </c>
      <c r="D22" s="55">
        <f>ROUND(Total!E22-Total!D22,2)</f>
        <v>-0.21</v>
      </c>
      <c r="E22" s="55">
        <f>ROUND(Total!F22-Total!E22,2)</f>
        <v>0.06</v>
      </c>
      <c r="F22" s="55">
        <f>ROUND(Total!G22-Total!F22,2)</f>
        <v>-1.35</v>
      </c>
      <c r="G22" s="55">
        <f>ROUND(Total!H22-Total!G22,2)</f>
        <v>7.04</v>
      </c>
      <c r="H22" s="55">
        <f t="shared" ca="1" si="2"/>
        <v>5.54</v>
      </c>
      <c r="I22" s="56"/>
      <c r="K22" s="22"/>
    </row>
    <row r="23" spans="2:11" ht="15.75" x14ac:dyDescent="0.25">
      <c r="B23" s="3">
        <f t="shared" si="1"/>
        <v>2030</v>
      </c>
      <c r="C23" s="55">
        <f>ROUND(Total!D23-Total!C23,2)</f>
        <v>0</v>
      </c>
      <c r="D23" s="55">
        <f>ROUND(Total!E23-Total!D23,2)</f>
        <v>0.03</v>
      </c>
      <c r="E23" s="55">
        <f>ROUND(Total!F23-Total!E23,2)</f>
        <v>0.08</v>
      </c>
      <c r="F23" s="55">
        <f>ROUND(Total!G23-Total!F23,2)</f>
        <v>0.22</v>
      </c>
      <c r="G23" s="55">
        <f>ROUND(Total!H23-Total!G23,2)</f>
        <v>-0.12</v>
      </c>
      <c r="H23" s="55">
        <f t="shared" ca="1" si="2"/>
        <v>0.21000000000000002</v>
      </c>
      <c r="I23" s="56"/>
      <c r="K23" s="22"/>
    </row>
    <row r="24" spans="2:11" ht="15.75" x14ac:dyDescent="0.25">
      <c r="B24" s="3">
        <f t="shared" si="1"/>
        <v>2031</v>
      </c>
      <c r="C24" s="55">
        <f>ROUND(Total!D24-Total!C24,2)</f>
        <v>0</v>
      </c>
      <c r="D24" s="55">
        <f>ROUND(Total!E24-Total!D24,2)</f>
        <v>0.02</v>
      </c>
      <c r="E24" s="55">
        <f>ROUND(Total!F24-Total!E24,2)</f>
        <v>0.32</v>
      </c>
      <c r="F24" s="55">
        <f>ROUND(Total!G24-Total!F24,2)</f>
        <v>0.05</v>
      </c>
      <c r="G24" s="55">
        <f>ROUND(Total!H24-Total!G24,2)</f>
        <v>-0.42</v>
      </c>
      <c r="H24" s="55">
        <f t="shared" ca="1" si="2"/>
        <v>-2.9999999999999971E-2</v>
      </c>
      <c r="I24" s="56"/>
      <c r="K24" s="22"/>
    </row>
    <row r="25" spans="2:11" ht="15.75" x14ac:dyDescent="0.25">
      <c r="B25" s="3">
        <f t="shared" si="1"/>
        <v>2032</v>
      </c>
      <c r="C25" s="66">
        <f>ROUND(Total!D25-Total!C25,2)</f>
        <v>0</v>
      </c>
      <c r="D25" s="66">
        <f>ROUND(Total!E25-Total!D25,2)</f>
        <v>7.0000000000000007E-2</v>
      </c>
      <c r="E25" s="66">
        <f>ROUND(Total!F25-Total!E25,2)</f>
        <v>-0.18</v>
      </c>
      <c r="F25" s="66">
        <f>ROUND(Total!G25-Total!F25,2)</f>
        <v>0.32</v>
      </c>
      <c r="G25" s="66">
        <f>ROUND(Total!H25-Total!G25,2)</f>
        <v>-0.28999999999999998</v>
      </c>
      <c r="H25" s="66">
        <f t="shared" ca="1" si="2"/>
        <v>-7.999999999999996E-2</v>
      </c>
      <c r="I25" s="56"/>
      <c r="K25" s="22"/>
    </row>
    <row r="26" spans="2:11" ht="15.75" x14ac:dyDescent="0.25">
      <c r="B26" s="3">
        <f t="shared" si="1"/>
        <v>2033</v>
      </c>
      <c r="C26" s="66">
        <f>ROUND(Total!D26-Total!C26,2)</f>
        <v>0</v>
      </c>
      <c r="D26" s="66">
        <f>ROUND(Total!E26-Total!D26,2)</f>
        <v>0.05</v>
      </c>
      <c r="E26" s="66">
        <f>ROUND(Total!F26-Total!E26,2)</f>
        <v>-0.28000000000000003</v>
      </c>
      <c r="F26" s="66">
        <f>ROUND(Total!G26-Total!F26,2)</f>
        <v>0</v>
      </c>
      <c r="G26" s="66">
        <f>ROUND(Total!H26-Total!G26,2)</f>
        <v>-0.33</v>
      </c>
      <c r="H26" s="66">
        <f t="shared" ca="1" si="2"/>
        <v>-0.56000000000000005</v>
      </c>
      <c r="I26" s="56"/>
      <c r="K26" s="22"/>
    </row>
    <row r="27" spans="2:11" ht="15.75" x14ac:dyDescent="0.25">
      <c r="B27" s="3">
        <f t="shared" si="1"/>
        <v>2034</v>
      </c>
      <c r="C27" s="66">
        <f>ROUND(Total!D27-Total!C27,2)</f>
        <v>0</v>
      </c>
      <c r="D27" s="66">
        <f>ROUND(Total!E27-Total!D27,2)</f>
        <v>-0.18</v>
      </c>
      <c r="E27" s="66">
        <f>ROUND(Total!F27-Total!E27,2)</f>
        <v>-0.35</v>
      </c>
      <c r="F27" s="66">
        <f>ROUND(Total!G27-Total!F27,2)</f>
        <v>0.61</v>
      </c>
      <c r="G27" s="66">
        <f>ROUND(Total!H27-Total!G27,2)</f>
        <v>-0.54</v>
      </c>
      <c r="H27" s="66">
        <f t="shared" ca="1" si="2"/>
        <v>-0.46000000000000008</v>
      </c>
      <c r="I27" s="56"/>
      <c r="K27" s="22"/>
    </row>
    <row r="28" spans="2:11" ht="15.75" x14ac:dyDescent="0.25">
      <c r="B28" s="3">
        <f t="shared" si="1"/>
        <v>2035</v>
      </c>
      <c r="C28" s="66">
        <f>ROUND(Total!D28-Total!C28,2)</f>
        <v>0</v>
      </c>
      <c r="D28" s="66">
        <f>ROUND(Total!E28-Total!D28,2)</f>
        <v>0.04</v>
      </c>
      <c r="E28" s="66">
        <f>ROUND(Total!F28-Total!E28,2)</f>
        <v>-0.46</v>
      </c>
      <c r="F28" s="66">
        <f>ROUND(Total!G28-Total!F28,2)</f>
        <v>0.5</v>
      </c>
      <c r="G28" s="66">
        <f>ROUND(Total!H28-Total!G28,2)</f>
        <v>-0.49</v>
      </c>
      <c r="H28" s="66">
        <f t="shared" ca="1" si="2"/>
        <v>-0.41000000000000003</v>
      </c>
      <c r="I28" s="56"/>
      <c r="K28" s="22"/>
    </row>
    <row r="29" spans="2:11" ht="15.75" x14ac:dyDescent="0.25">
      <c r="B29" s="3">
        <f t="shared" si="1"/>
        <v>2036</v>
      </c>
      <c r="C29" s="66">
        <f>ROUND(Total!D29-Total!C29,2)</f>
        <v>0</v>
      </c>
      <c r="D29" s="66">
        <f>ROUND(Total!E29-Total!D29,2)</f>
        <v>-0.09</v>
      </c>
      <c r="E29" s="66">
        <f>ROUND(Total!F29-Total!E29,2)</f>
        <v>-0.35</v>
      </c>
      <c r="F29" s="66">
        <f>ROUND(Total!G29-Total!F29,2)</f>
        <v>0</v>
      </c>
      <c r="G29" s="66">
        <f>ROUND(Total!H29-Total!G29,2)</f>
        <v>-0.46</v>
      </c>
      <c r="H29" s="66">
        <f t="shared" ca="1" si="2"/>
        <v>-0.89999999999999991</v>
      </c>
      <c r="I29" s="56"/>
      <c r="K29" s="22"/>
    </row>
    <row r="30" spans="2:11" x14ac:dyDescent="0.2">
      <c r="C30" s="56"/>
      <c r="D30" s="56"/>
      <c r="E30" s="56"/>
      <c r="F30" s="56"/>
      <c r="G30" s="56"/>
      <c r="H30" s="56"/>
      <c r="I30" s="56"/>
    </row>
    <row r="31" spans="2:11" x14ac:dyDescent="0.2">
      <c r="B31" s="13" t="str">
        <f>Total!B31</f>
        <v>Nominal Levelized Payment at 6.660% Discount Rate (3)</v>
      </c>
      <c r="C31" s="57"/>
      <c r="D31" s="57"/>
      <c r="E31" s="57"/>
      <c r="F31" s="57"/>
      <c r="G31" s="57"/>
      <c r="H31" s="57"/>
      <c r="I31" s="56"/>
    </row>
    <row r="32" spans="2:11" x14ac:dyDescent="0.2">
      <c r="B32" s="8" t="str">
        <f>B10&amp;" - "&amp;B24</f>
        <v>2017 - 2031</v>
      </c>
      <c r="C32" s="65">
        <f>ROUND(Total!D32-Total!C32,2)</f>
        <v>-4.59</v>
      </c>
      <c r="D32" s="58">
        <f>ROUND(Total!E32-Total!D32,2)</f>
        <v>-0.17</v>
      </c>
      <c r="E32" s="58">
        <f>ROUND(Total!F32-Total!E32,2)</f>
        <v>-0.28999999999999998</v>
      </c>
      <c r="F32" s="58">
        <f>ROUND(Total!G32-Total!F32,2)</f>
        <v>-0.48</v>
      </c>
      <c r="G32" s="58">
        <f>ROUND(Total!H32-Total!G32,2)</f>
        <v>2.14</v>
      </c>
      <c r="H32" s="58">
        <f t="shared" ref="H32" ca="1" si="3">SUM(OFFSET($C32,0,0,1,COLUMN(H32)-3))</f>
        <v>-3.3899999999999992</v>
      </c>
      <c r="I32" s="56"/>
    </row>
    <row r="33" spans="2:8" x14ac:dyDescent="0.2">
      <c r="C33" s="56"/>
      <c r="D33" s="56"/>
      <c r="E33" s="56"/>
      <c r="F33" s="56"/>
      <c r="G33" s="56"/>
      <c r="H33" s="60"/>
    </row>
    <row r="34" spans="2:8" x14ac:dyDescent="0.2">
      <c r="B34" s="1" t="str">
        <f>Total!B34</f>
        <v>(1)   Studies are sequential.  The order of the studies would effect the price impact.</v>
      </c>
      <c r="C34" s="56"/>
      <c r="D34" s="56"/>
      <c r="E34" s="56"/>
      <c r="F34" s="56"/>
      <c r="G34" s="56"/>
      <c r="H34" s="56"/>
    </row>
    <row r="35" spans="2:8" x14ac:dyDescent="0.2">
      <c r="B35" s="1" t="str">
        <f>Total!B35</f>
        <v>(2)   Official Forward Price Curve Dated December 2015</v>
      </c>
    </row>
    <row r="36" spans="2:8" x14ac:dyDescent="0.2">
      <c r="B36" s="1" t="str">
        <f>Total!B36</f>
        <v>(3)   Discount Rate - 2015 IRP Page 141</v>
      </c>
      <c r="C36" s="8"/>
      <c r="D36" s="8"/>
    </row>
    <row r="37" spans="2:8" x14ac:dyDescent="0.2">
      <c r="B37" s="1" t="str">
        <f>Total!B37</f>
        <v xml:space="preserve">(4)   Capacity costs are allocated assuming an 85% capacity factor. </v>
      </c>
    </row>
    <row r="38" spans="2:8" x14ac:dyDescent="0.2">
      <c r="B38" s="1" t="str">
        <f>Capacity!B39</f>
        <v>(5)  20-Year Nominal Levelized Payment (2017-2036)</v>
      </c>
    </row>
    <row r="40" spans="2:8" hidden="1" x14ac:dyDescent="0.2">
      <c r="B40" s="24" t="s">
        <v>17</v>
      </c>
    </row>
    <row r="41" spans="2:8" hidden="1" x14ac:dyDescent="0.2">
      <c r="B41" s="40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Q44"/>
  <sheetViews>
    <sheetView showGridLines="0" tabSelected="1" zoomScale="70" zoomScaleNormal="70" workbookViewId="0">
      <pane xSplit="2" ySplit="9" topLeftCell="C10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5" x14ac:dyDescent="0.2"/>
  <cols>
    <col min="1" max="1" width="1.85546875" style="1" customWidth="1"/>
    <col min="2" max="2" width="13.7109375" style="1" customWidth="1"/>
    <col min="3" max="8" width="17.7109375" style="1" customWidth="1"/>
    <col min="9" max="9" width="2.42578125" style="1" customWidth="1"/>
    <col min="10" max="10" width="9.140625" style="1"/>
    <col min="11" max="11" width="10.28515625" style="1" bestFit="1" customWidth="1"/>
    <col min="12" max="15" width="9.140625" style="1"/>
    <col min="16" max="16" width="10.28515625" style="1" customWidth="1"/>
    <col min="17" max="16384" width="9.140625" style="1"/>
  </cols>
  <sheetData>
    <row r="1" spans="2:17" ht="15.75" x14ac:dyDescent="0.25">
      <c r="B1" s="6" t="s">
        <v>4</v>
      </c>
      <c r="C1" s="6"/>
      <c r="D1" s="6"/>
      <c r="E1" s="6"/>
      <c r="F1" s="6"/>
      <c r="G1" s="6"/>
      <c r="H1" s="6"/>
    </row>
    <row r="2" spans="2:17" ht="8.25" customHeight="1" x14ac:dyDescent="0.25">
      <c r="B2" s="6"/>
      <c r="C2" s="6"/>
      <c r="D2" s="6"/>
      <c r="E2" s="6"/>
      <c r="F2" s="6"/>
      <c r="G2" s="6"/>
      <c r="H2" s="6"/>
    </row>
    <row r="3" spans="2:17" ht="15.75" x14ac:dyDescent="0.25">
      <c r="B3" s="6" t="s">
        <v>1</v>
      </c>
      <c r="C3" s="6"/>
      <c r="D3" s="6"/>
      <c r="E3" s="6"/>
      <c r="F3" s="6"/>
      <c r="G3" s="6"/>
      <c r="H3" s="6"/>
    </row>
    <row r="4" spans="2:17" ht="15.75" x14ac:dyDescent="0.25">
      <c r="B4" s="6" t="str">
        <f>Capacity!$B$4</f>
        <v>Step Study between 2015.Q4 and 2015.Q3 Compliance Filing</v>
      </c>
      <c r="C4" s="6"/>
      <c r="D4" s="6"/>
      <c r="E4" s="6"/>
      <c r="F4" s="6"/>
      <c r="G4" s="6"/>
      <c r="H4" s="6"/>
    </row>
    <row r="5" spans="2:17" ht="15.75" x14ac:dyDescent="0.25">
      <c r="B5" s="6" t="s">
        <v>12</v>
      </c>
      <c r="C5" s="6"/>
      <c r="D5" s="6"/>
      <c r="E5" s="6"/>
      <c r="F5" s="6"/>
      <c r="G5" s="6"/>
      <c r="H5" s="6"/>
    </row>
    <row r="6" spans="2:17" s="21" customFormat="1" ht="15.75" x14ac:dyDescent="0.25">
      <c r="B6" s="19"/>
      <c r="C6" s="19"/>
      <c r="D6" s="19"/>
      <c r="E6" s="20"/>
      <c r="F6" s="19"/>
      <c r="G6" s="19"/>
      <c r="H6" s="19"/>
    </row>
    <row r="7" spans="2:17" ht="15.75" x14ac:dyDescent="0.25">
      <c r="B7" s="49"/>
      <c r="C7" s="50" t="str">
        <f>Energy!C7</f>
        <v>2015.Q3</v>
      </c>
      <c r="D7" s="50" t="str">
        <f>Energy!D7</f>
        <v>15 Year</v>
      </c>
      <c r="E7" s="50" t="str">
        <f>Energy!E7</f>
        <v>Load</v>
      </c>
      <c r="F7" s="50" t="str">
        <f>Energy!F7</f>
        <v>1512</v>
      </c>
      <c r="G7" s="50" t="str">
        <f>Energy!G7</f>
        <v>Generic</v>
      </c>
      <c r="H7" s="50" t="str">
        <f>Energy!H7</f>
        <v>QF</v>
      </c>
    </row>
    <row r="8" spans="2:17" ht="15.75" x14ac:dyDescent="0.25">
      <c r="B8" s="7" t="s">
        <v>0</v>
      </c>
      <c r="C8" s="2" t="str">
        <f>Energy!C8</f>
        <v>As Filed</v>
      </c>
      <c r="D8" s="2" t="str">
        <f>Energy!D8</f>
        <v>Contract</v>
      </c>
      <c r="E8" s="2" t="str">
        <f>Energy!E8</f>
        <v>Forecast</v>
      </c>
      <c r="F8" s="2" t="str">
        <f>Energy!F8</f>
        <v>OFPC</v>
      </c>
      <c r="G8" s="2" t="str">
        <f>Energy!G8</f>
        <v>Update</v>
      </c>
      <c r="H8" s="2" t="str">
        <f>Energy!H8</f>
        <v>Queue</v>
      </c>
    </row>
    <row r="9" spans="2:17" ht="4.5" customHeight="1" x14ac:dyDescent="0.2"/>
    <row r="10" spans="2:17" ht="15.75" x14ac:dyDescent="0.25">
      <c r="B10" s="3">
        <v>2017</v>
      </c>
      <c r="C10" s="16">
        <f>ROUND(Capacity!$G10+Energy!C10,2)</f>
        <v>20.89</v>
      </c>
      <c r="D10" s="16">
        <f>C10</f>
        <v>20.89</v>
      </c>
      <c r="E10" s="16">
        <f>ROUND(Capacity!$G10+Energy!E10,2)</f>
        <v>20.75</v>
      </c>
      <c r="F10" s="16">
        <f>ROUND(Capacity!$H10+Energy!F10,2)</f>
        <v>19.45</v>
      </c>
      <c r="G10" s="16">
        <f>ROUND(Capacity!$H10+Energy!G10,2)</f>
        <v>19.43</v>
      </c>
      <c r="H10" s="16">
        <f>ROUND(Capacity!$I10+Energy!H10,2)</f>
        <v>20.2</v>
      </c>
      <c r="J10" s="51"/>
      <c r="K10" s="61"/>
      <c r="L10" s="51"/>
      <c r="M10" s="51"/>
      <c r="N10" s="51"/>
      <c r="O10" s="51"/>
      <c r="P10" s="51"/>
    </row>
    <row r="11" spans="2:17" ht="15.75" x14ac:dyDescent="0.25">
      <c r="B11" s="3">
        <f t="shared" ref="B11:B29" si="0">B10+1</f>
        <v>2018</v>
      </c>
      <c r="C11" s="16">
        <f>ROUND(Capacity!$G11+Energy!C11,2)</f>
        <v>22.53</v>
      </c>
      <c r="D11" s="16">
        <f t="shared" ref="D11:D29" si="1">C11</f>
        <v>22.53</v>
      </c>
      <c r="E11" s="16">
        <f>ROUND(Capacity!$G11+Energy!E11,2)</f>
        <v>22.56</v>
      </c>
      <c r="F11" s="16">
        <f>ROUND(Capacity!$H11+Energy!F11,2)</f>
        <v>20.99</v>
      </c>
      <c r="G11" s="16">
        <f>ROUND(Capacity!$H11+Energy!G11,2)</f>
        <v>21.64</v>
      </c>
      <c r="H11" s="16">
        <f>ROUND(Capacity!$I11+Energy!H11,2)</f>
        <v>22.45</v>
      </c>
      <c r="J11" s="51"/>
      <c r="K11" s="61"/>
      <c r="L11" s="51"/>
      <c r="M11" s="51"/>
      <c r="N11" s="51"/>
      <c r="O11" s="51"/>
      <c r="P11" s="51"/>
    </row>
    <row r="12" spans="2:17" ht="15.75" x14ac:dyDescent="0.25">
      <c r="B12" s="3">
        <f t="shared" si="0"/>
        <v>2019</v>
      </c>
      <c r="C12" s="16">
        <f>ROUND(Capacity!$G12+Energy!C12,2)</f>
        <v>23.21</v>
      </c>
      <c r="D12" s="16">
        <f t="shared" si="1"/>
        <v>23.21</v>
      </c>
      <c r="E12" s="16">
        <f>ROUND(Capacity!$G12+Energy!E12,2)</f>
        <v>23.3</v>
      </c>
      <c r="F12" s="16">
        <f>ROUND(Capacity!$H12+Energy!F12,2)</f>
        <v>21.42</v>
      </c>
      <c r="G12" s="16">
        <f>ROUND(Capacity!$H12+Energy!G12,2)</f>
        <v>21.91</v>
      </c>
      <c r="H12" s="16">
        <f>ROUND(Capacity!$I12+Energy!H12,2)</f>
        <v>24.33</v>
      </c>
      <c r="J12" s="51"/>
      <c r="K12" s="61"/>
      <c r="L12" s="51"/>
      <c r="M12" s="51"/>
      <c r="N12" s="51"/>
      <c r="O12" s="51"/>
      <c r="P12" s="51"/>
    </row>
    <row r="13" spans="2:17" ht="15.75" x14ac:dyDescent="0.25">
      <c r="B13" s="3">
        <f t="shared" si="0"/>
        <v>2020</v>
      </c>
      <c r="C13" s="16">
        <f>ROUND(Capacity!$G13+Energy!C13,2)</f>
        <v>23.85</v>
      </c>
      <c r="D13" s="16">
        <f t="shared" si="1"/>
        <v>23.85</v>
      </c>
      <c r="E13" s="16">
        <f>ROUND(Capacity!$G13+Energy!E13,2)</f>
        <v>23.47</v>
      </c>
      <c r="F13" s="16">
        <f>ROUND(Capacity!$H13+Energy!F13,2)</f>
        <v>23.23</v>
      </c>
      <c r="G13" s="16">
        <f>ROUND(Capacity!$H13+Energy!G13,2)</f>
        <v>23.27</v>
      </c>
      <c r="H13" s="16">
        <f>ROUND(Capacity!$I13+Energy!H13,2)</f>
        <v>25.61</v>
      </c>
      <c r="J13" s="51"/>
      <c r="K13" s="61"/>
      <c r="L13" s="51"/>
      <c r="M13" s="51"/>
      <c r="N13" s="51"/>
      <c r="O13" s="51"/>
      <c r="P13" s="51"/>
      <c r="Q13" s="5"/>
    </row>
    <row r="14" spans="2:17" ht="15.75" x14ac:dyDescent="0.25">
      <c r="B14" s="3">
        <f t="shared" si="0"/>
        <v>2021</v>
      </c>
      <c r="C14" s="16">
        <f>ROUND(Capacity!$G14+Energy!C14,2)</f>
        <v>25.01</v>
      </c>
      <c r="D14" s="16">
        <f t="shared" si="1"/>
        <v>25.01</v>
      </c>
      <c r="E14" s="16">
        <f>ROUND(Capacity!$G14+Energy!E14,2)</f>
        <v>24.59</v>
      </c>
      <c r="F14" s="16">
        <f>ROUND(Capacity!$H14+Energy!F14,2)</f>
        <v>25.06</v>
      </c>
      <c r="G14" s="16">
        <f>ROUND(Capacity!$H14+Energy!G14,2)</f>
        <v>23.69</v>
      </c>
      <c r="H14" s="16">
        <f>ROUND(Capacity!$I14+Energy!H14,2)</f>
        <v>25.52</v>
      </c>
      <c r="J14" s="51"/>
      <c r="K14" s="61"/>
      <c r="L14" s="51"/>
      <c r="M14" s="51"/>
      <c r="N14" s="51"/>
      <c r="O14" s="51"/>
      <c r="P14" s="51"/>
    </row>
    <row r="15" spans="2:17" ht="15.75" x14ac:dyDescent="0.25">
      <c r="B15" s="3">
        <f t="shared" si="0"/>
        <v>2022</v>
      </c>
      <c r="C15" s="16">
        <f>ROUND(Capacity!$G15+Energy!C15,2)</f>
        <v>26.57</v>
      </c>
      <c r="D15" s="16">
        <f t="shared" si="1"/>
        <v>26.57</v>
      </c>
      <c r="E15" s="16">
        <f>ROUND(Capacity!$G15+Energy!E15,2)</f>
        <v>26.39</v>
      </c>
      <c r="F15" s="16">
        <f>ROUND(Capacity!$H15+Energy!F15,2)</f>
        <v>26.79</v>
      </c>
      <c r="G15" s="16">
        <f>ROUND(Capacity!$H15+Energy!G15,2)</f>
        <v>25.72</v>
      </c>
      <c r="H15" s="16">
        <f>ROUND(Capacity!$I15+Energy!H15,2)</f>
        <v>27.94</v>
      </c>
      <c r="J15" s="51"/>
      <c r="K15" s="61"/>
      <c r="L15" s="51"/>
      <c r="M15" s="51"/>
      <c r="N15" s="51"/>
      <c r="O15" s="51"/>
      <c r="P15" s="51"/>
    </row>
    <row r="16" spans="2:17" ht="15.75" x14ac:dyDescent="0.25">
      <c r="B16" s="3">
        <f t="shared" si="0"/>
        <v>2023</v>
      </c>
      <c r="C16" s="16">
        <f>ROUND(Capacity!$G16+Energy!C16,2)</f>
        <v>28.81</v>
      </c>
      <c r="D16" s="16">
        <f t="shared" si="1"/>
        <v>28.81</v>
      </c>
      <c r="E16" s="16">
        <f>ROUND(Capacity!$G16+Energy!E16,2)</f>
        <v>28.5</v>
      </c>
      <c r="F16" s="16">
        <f>ROUND(Capacity!$H16+Energy!F16,2)</f>
        <v>28.29</v>
      </c>
      <c r="G16" s="16">
        <f>ROUND(Capacity!$H16+Energy!G16,2)</f>
        <v>27.48</v>
      </c>
      <c r="H16" s="16">
        <f>ROUND(Capacity!$I16+Energy!H16,2)</f>
        <v>29.48</v>
      </c>
      <c r="J16" s="51"/>
      <c r="K16" s="61"/>
      <c r="L16" s="51"/>
      <c r="M16" s="51"/>
      <c r="N16" s="51"/>
      <c r="O16" s="51"/>
      <c r="P16" s="51"/>
    </row>
    <row r="17" spans="2:16" ht="15.75" x14ac:dyDescent="0.25">
      <c r="B17" s="3">
        <f t="shared" si="0"/>
        <v>2024</v>
      </c>
      <c r="C17" s="16">
        <f>ROUND(Capacity!$G17+Energy!C17,2)</f>
        <v>30.4</v>
      </c>
      <c r="D17" s="16">
        <f t="shared" si="1"/>
        <v>30.4</v>
      </c>
      <c r="E17" s="16">
        <f>ROUND(Capacity!$G17+Energy!E17,2)</f>
        <v>30.15</v>
      </c>
      <c r="F17" s="16">
        <f>ROUND(Capacity!$H17+Energy!F17,2)</f>
        <v>30.45</v>
      </c>
      <c r="G17" s="16">
        <f>ROUND(Capacity!$H17+Energy!G17,2)</f>
        <v>29.16</v>
      </c>
      <c r="H17" s="16">
        <f>ROUND(Capacity!$I17+Energy!H17,2)</f>
        <v>30.99</v>
      </c>
      <c r="J17" s="51"/>
      <c r="K17" s="61"/>
      <c r="L17" s="51"/>
      <c r="M17" s="51"/>
      <c r="N17" s="51"/>
      <c r="O17" s="51"/>
      <c r="P17" s="51"/>
    </row>
    <row r="18" spans="2:16" ht="15.75" x14ac:dyDescent="0.25">
      <c r="B18" s="3">
        <f t="shared" si="0"/>
        <v>2025</v>
      </c>
      <c r="C18" s="16">
        <f>ROUND(Capacity!$G18+Energy!C18,2)</f>
        <v>32.49</v>
      </c>
      <c r="D18" s="16">
        <f t="shared" si="1"/>
        <v>32.49</v>
      </c>
      <c r="E18" s="16">
        <f>ROUND(Capacity!$G18+Energy!E18,2)</f>
        <v>32.24</v>
      </c>
      <c r="F18" s="16">
        <f>ROUND(Capacity!$H18+Energy!F18,2)</f>
        <v>32.54</v>
      </c>
      <c r="G18" s="16">
        <f>ROUND(Capacity!$H18+Energy!G18,2)</f>
        <v>32.42</v>
      </c>
      <c r="H18" s="16">
        <f>ROUND(Capacity!$I18+Energy!H18,2)</f>
        <v>34.020000000000003</v>
      </c>
      <c r="J18" s="51"/>
      <c r="K18" s="61"/>
      <c r="L18" s="51"/>
      <c r="M18" s="51"/>
      <c r="N18" s="51"/>
      <c r="O18" s="51"/>
      <c r="P18" s="51"/>
    </row>
    <row r="19" spans="2:16" ht="15.75" x14ac:dyDescent="0.25">
      <c r="B19" s="3">
        <f t="shared" si="0"/>
        <v>2026</v>
      </c>
      <c r="C19" s="16">
        <f>ROUND(Capacity!$G19+Energy!C19,2)</f>
        <v>33.51</v>
      </c>
      <c r="D19" s="16">
        <f t="shared" si="1"/>
        <v>33.51</v>
      </c>
      <c r="E19" s="16">
        <f>ROUND(Capacity!$G19+Energy!E19,2)</f>
        <v>33.409999999999997</v>
      </c>
      <c r="F19" s="16">
        <f>ROUND(Capacity!$H19+Energy!F19,2)</f>
        <v>33.93</v>
      </c>
      <c r="G19" s="16">
        <f>ROUND(Capacity!$H19+Energy!G19,2)</f>
        <v>32.9</v>
      </c>
      <c r="H19" s="16">
        <f>ROUND(Capacity!$I19+Energy!H19,2)</f>
        <v>34.89</v>
      </c>
      <c r="J19" s="51"/>
      <c r="K19" s="61"/>
      <c r="L19" s="51"/>
      <c r="M19" s="51"/>
      <c r="N19" s="51"/>
      <c r="O19" s="51"/>
      <c r="P19" s="51"/>
    </row>
    <row r="20" spans="2:16" ht="15.75" x14ac:dyDescent="0.25">
      <c r="B20" s="3">
        <f t="shared" si="0"/>
        <v>2027</v>
      </c>
      <c r="C20" s="16">
        <f>ROUND(Capacity!$G20+Energy!C20,2)</f>
        <v>35.729999999999997</v>
      </c>
      <c r="D20" s="16">
        <f t="shared" si="1"/>
        <v>35.729999999999997</v>
      </c>
      <c r="E20" s="16">
        <f>ROUND(Capacity!$G20+Energy!E20,2)</f>
        <v>35.5</v>
      </c>
      <c r="F20" s="16">
        <f>ROUND(Capacity!$H20+Energy!F20,2)</f>
        <v>35.85</v>
      </c>
      <c r="G20" s="16">
        <f>ROUND(Capacity!$H20+Energy!G20,2)</f>
        <v>34.32</v>
      </c>
      <c r="H20" s="16">
        <f>ROUND(Capacity!$I20+Energy!H20,2)</f>
        <v>37.33</v>
      </c>
      <c r="J20" s="51"/>
      <c r="K20" s="61"/>
      <c r="L20" s="51"/>
      <c r="M20" s="51"/>
      <c r="N20" s="51"/>
      <c r="O20" s="51"/>
      <c r="P20" s="51"/>
    </row>
    <row r="21" spans="2:16" ht="15.75" x14ac:dyDescent="0.25">
      <c r="B21" s="3">
        <f t="shared" si="0"/>
        <v>2028</v>
      </c>
      <c r="C21" s="16">
        <f>ROUND(Capacity!$G21+Energy!C21,2)</f>
        <v>41.55</v>
      </c>
      <c r="D21" s="16">
        <f t="shared" si="1"/>
        <v>41.55</v>
      </c>
      <c r="E21" s="16">
        <f>ROUND(Capacity!$G21+Energy!E21,2)</f>
        <v>41.39</v>
      </c>
      <c r="F21" s="16">
        <f>ROUND(Capacity!$H21+Energy!F21,2)</f>
        <v>41.69</v>
      </c>
      <c r="G21" s="16">
        <f>ROUND(Capacity!$H21+Energy!G21,2)</f>
        <v>40.47</v>
      </c>
      <c r="H21" s="16">
        <f>ROUND(Capacity!$I21+Energy!H21,2)</f>
        <v>47.45</v>
      </c>
      <c r="J21" s="51"/>
      <c r="K21" s="61"/>
      <c r="L21" s="51"/>
      <c r="M21" s="51"/>
      <c r="N21" s="51"/>
      <c r="O21" s="51"/>
      <c r="P21" s="51"/>
    </row>
    <row r="22" spans="2:16" ht="15.75" x14ac:dyDescent="0.25">
      <c r="B22" s="3">
        <f t="shared" si="0"/>
        <v>2029</v>
      </c>
      <c r="C22" s="16">
        <f>ROUND(Capacity!$G22+Energy!C22,2)</f>
        <v>43.58</v>
      </c>
      <c r="D22" s="16">
        <f t="shared" si="1"/>
        <v>43.58</v>
      </c>
      <c r="E22" s="16">
        <f>ROUND(Capacity!$G22+Energy!E22,2)</f>
        <v>43.37</v>
      </c>
      <c r="F22" s="16">
        <f>ROUND(Capacity!$H22+Energy!F22,2)</f>
        <v>43.43</v>
      </c>
      <c r="G22" s="16">
        <f>ROUND(Capacity!$H22+Energy!G22,2)</f>
        <v>42.08</v>
      </c>
      <c r="H22" s="16">
        <f>ROUND(Capacity!$I22+Energy!H22,2)</f>
        <v>49.12</v>
      </c>
      <c r="J22" s="51"/>
      <c r="K22" s="61"/>
      <c r="L22" s="51"/>
      <c r="M22" s="51"/>
      <c r="N22" s="51"/>
      <c r="O22" s="51"/>
      <c r="P22" s="51"/>
    </row>
    <row r="23" spans="2:16" ht="15.75" x14ac:dyDescent="0.25">
      <c r="B23" s="3">
        <f t="shared" si="0"/>
        <v>2030</v>
      </c>
      <c r="C23" s="16">
        <f>ROUND(Capacity!$G23+Energy!C23,2)</f>
        <v>54.62</v>
      </c>
      <c r="D23" s="16">
        <f t="shared" si="1"/>
        <v>54.62</v>
      </c>
      <c r="E23" s="16">
        <f>ROUND(Capacity!$G23+Energy!E23,2)</f>
        <v>54.65</v>
      </c>
      <c r="F23" s="16">
        <f>ROUND(Capacity!$H23+Energy!F23,2)</f>
        <v>54.73</v>
      </c>
      <c r="G23" s="16">
        <f>ROUND(Capacity!$H23+Energy!G23,2)</f>
        <v>54.95</v>
      </c>
      <c r="H23" s="16">
        <f>ROUND(Capacity!$I23+Energy!H23,2)</f>
        <v>54.83</v>
      </c>
      <c r="J23" s="51"/>
      <c r="K23" s="61"/>
      <c r="L23" s="51"/>
      <c r="M23" s="51"/>
      <c r="N23" s="51"/>
      <c r="O23" s="51"/>
      <c r="P23" s="51"/>
    </row>
    <row r="24" spans="2:16" ht="15.75" x14ac:dyDescent="0.25">
      <c r="B24" s="3">
        <f t="shared" si="0"/>
        <v>2031</v>
      </c>
      <c r="C24" s="16">
        <f>ROUND(Capacity!$G24+Energy!C24,2)</f>
        <v>57.91</v>
      </c>
      <c r="D24" s="16">
        <f t="shared" si="1"/>
        <v>57.91</v>
      </c>
      <c r="E24" s="16">
        <f>ROUND(Capacity!$G24+Energy!E24,2)</f>
        <v>57.93</v>
      </c>
      <c r="F24" s="16">
        <f>ROUND(Capacity!$H24+Energy!F24,2)</f>
        <v>58.25</v>
      </c>
      <c r="G24" s="16">
        <f>ROUND(Capacity!$H24+Energy!G24,2)</f>
        <v>58.3</v>
      </c>
      <c r="H24" s="16">
        <f>ROUND(Capacity!$I24+Energy!H24,2)</f>
        <v>57.88</v>
      </c>
      <c r="J24" s="51"/>
      <c r="K24" s="61"/>
      <c r="L24" s="51"/>
      <c r="M24" s="51"/>
      <c r="N24" s="51"/>
      <c r="O24" s="51"/>
      <c r="P24" s="51"/>
    </row>
    <row r="25" spans="2:16" ht="15.75" x14ac:dyDescent="0.25">
      <c r="B25" s="3">
        <f t="shared" si="0"/>
        <v>2032</v>
      </c>
      <c r="C25" s="16">
        <f>ROUND(Capacity!$G25+Energy!C25,2)</f>
        <v>58.83</v>
      </c>
      <c r="D25" s="67">
        <f t="shared" si="1"/>
        <v>58.83</v>
      </c>
      <c r="E25" s="67">
        <f>ROUND(Capacity!$G25+Energy!E25,2)</f>
        <v>58.9</v>
      </c>
      <c r="F25" s="67">
        <f>ROUND(Capacity!$H25+Energy!F25,2)</f>
        <v>58.72</v>
      </c>
      <c r="G25" s="67">
        <f>ROUND(Capacity!$H25+Energy!G25,2)</f>
        <v>59.04</v>
      </c>
      <c r="H25" s="67">
        <f>ROUND(Capacity!$I25+Energy!H25,2)</f>
        <v>58.75</v>
      </c>
      <c r="J25" s="51"/>
      <c r="K25" s="61"/>
      <c r="L25" s="51"/>
      <c r="M25" s="51"/>
      <c r="N25" s="51"/>
      <c r="O25" s="51"/>
      <c r="P25" s="51"/>
    </row>
    <row r="26" spans="2:16" ht="15.75" x14ac:dyDescent="0.25">
      <c r="B26" s="3">
        <f t="shared" si="0"/>
        <v>2033</v>
      </c>
      <c r="C26" s="16">
        <f>ROUND(Capacity!$G26+Energy!C26,2)</f>
        <v>60.6</v>
      </c>
      <c r="D26" s="67">
        <f t="shared" si="1"/>
        <v>60.6</v>
      </c>
      <c r="E26" s="67">
        <f>ROUND(Capacity!$G26+Energy!E26,2)</f>
        <v>60.65</v>
      </c>
      <c r="F26" s="67">
        <f>ROUND(Capacity!$H26+Energy!F26,2)</f>
        <v>60.37</v>
      </c>
      <c r="G26" s="67">
        <f>ROUND(Capacity!$H26+Energy!G26,2)</f>
        <v>60.37</v>
      </c>
      <c r="H26" s="67">
        <f>ROUND(Capacity!$I26+Energy!H26,2)</f>
        <v>60.04</v>
      </c>
      <c r="J26" s="51"/>
      <c r="K26" s="61"/>
      <c r="L26" s="51"/>
      <c r="M26" s="51"/>
      <c r="N26" s="51"/>
      <c r="O26" s="51"/>
      <c r="P26" s="51"/>
    </row>
    <row r="27" spans="2:16" ht="15.75" x14ac:dyDescent="0.25">
      <c r="B27" s="3">
        <f t="shared" si="0"/>
        <v>2034</v>
      </c>
      <c r="C27" s="16">
        <f>ROUND(Capacity!$G27+Energy!C27,2)</f>
        <v>63.15</v>
      </c>
      <c r="D27" s="67">
        <f t="shared" si="1"/>
        <v>63.15</v>
      </c>
      <c r="E27" s="67">
        <f>ROUND(Capacity!$G27+Energy!E27,2)</f>
        <v>62.97</v>
      </c>
      <c r="F27" s="67">
        <f>ROUND(Capacity!$H27+Energy!F27,2)</f>
        <v>62.62</v>
      </c>
      <c r="G27" s="67">
        <f>ROUND(Capacity!$H27+Energy!G27,2)</f>
        <v>63.23</v>
      </c>
      <c r="H27" s="67">
        <f>ROUND(Capacity!$I27+Energy!H27,2)</f>
        <v>62.69</v>
      </c>
      <c r="J27" s="51"/>
      <c r="K27" s="61"/>
      <c r="L27" s="51"/>
      <c r="M27" s="51"/>
      <c r="N27" s="51"/>
      <c r="O27" s="51"/>
      <c r="P27" s="51"/>
    </row>
    <row r="28" spans="2:16" ht="15.75" x14ac:dyDescent="0.25">
      <c r="B28" s="3">
        <f t="shared" si="0"/>
        <v>2035</v>
      </c>
      <c r="C28" s="16">
        <f>ROUND(Capacity!$G28+Energy!C28,2)</f>
        <v>64.37</v>
      </c>
      <c r="D28" s="67">
        <f t="shared" si="1"/>
        <v>64.37</v>
      </c>
      <c r="E28" s="67">
        <f>ROUND(Capacity!$G28+Energy!E28,2)</f>
        <v>64.41</v>
      </c>
      <c r="F28" s="67">
        <f>ROUND(Capacity!$H28+Energy!F28,2)</f>
        <v>63.95</v>
      </c>
      <c r="G28" s="67">
        <f>ROUND(Capacity!$H28+Energy!G28,2)</f>
        <v>64.45</v>
      </c>
      <c r="H28" s="67">
        <f>ROUND(Capacity!$I28+Energy!H28,2)</f>
        <v>63.96</v>
      </c>
      <c r="J28" s="51"/>
      <c r="K28" s="61"/>
      <c r="L28" s="51"/>
      <c r="M28" s="51"/>
      <c r="N28" s="51"/>
      <c r="O28" s="51"/>
      <c r="P28" s="51"/>
    </row>
    <row r="29" spans="2:16" ht="15.75" x14ac:dyDescent="0.25">
      <c r="B29" s="3">
        <f t="shared" si="0"/>
        <v>2036</v>
      </c>
      <c r="C29" s="16">
        <f>ROUND(Capacity!$G29+Energy!C29,2)</f>
        <v>66.3</v>
      </c>
      <c r="D29" s="67">
        <f t="shared" si="1"/>
        <v>66.3</v>
      </c>
      <c r="E29" s="67">
        <f>ROUND(Capacity!$G29+Energy!E29,2)</f>
        <v>66.209999999999994</v>
      </c>
      <c r="F29" s="67">
        <f>ROUND(Capacity!$H29+Energy!F29,2)</f>
        <v>65.86</v>
      </c>
      <c r="G29" s="67">
        <f>ROUND(Capacity!$H29+Energy!G29,2)</f>
        <v>65.86</v>
      </c>
      <c r="H29" s="67">
        <f>ROUND(Capacity!$I29+Energy!H29,2)</f>
        <v>65.400000000000006</v>
      </c>
      <c r="J29" s="51"/>
      <c r="K29" s="61"/>
      <c r="L29" s="51"/>
      <c r="M29" s="51"/>
      <c r="N29" s="51"/>
      <c r="O29" s="51"/>
      <c r="P29" s="51"/>
    </row>
    <row r="30" spans="2:16" x14ac:dyDescent="0.2">
      <c r="C30" s="17"/>
      <c r="D30" s="17"/>
      <c r="E30" s="17"/>
      <c r="F30" s="17"/>
      <c r="G30" s="17"/>
      <c r="H30" s="17"/>
      <c r="J30" s="51"/>
      <c r="K30" s="51"/>
    </row>
    <row r="31" spans="2:16" x14ac:dyDescent="0.2">
      <c r="B31" s="4" t="str">
        <f>"Nominal Levelized Payment at "&amp;TEXT(Discount_Rate,"0.000%")&amp;" Discount Rate (3)"</f>
        <v>Nominal Levelized Payment at 6.660% Discount Rate (3)</v>
      </c>
      <c r="C31" s="17"/>
      <c r="D31" s="17"/>
      <c r="E31" s="17"/>
      <c r="F31" s="17"/>
      <c r="G31" s="17"/>
      <c r="H31" s="17"/>
      <c r="J31" s="51"/>
      <c r="K31" s="51"/>
    </row>
    <row r="32" spans="2:16" x14ac:dyDescent="0.2">
      <c r="B32" s="8" t="str">
        <f>B10&amp;" - "&amp;B24</f>
        <v>2017 - 2031</v>
      </c>
      <c r="C32" s="64">
        <f t="shared" ref="C32" si="2">ROUND(PMT(Discount_Rate,COUNT(C10:C29),-NPV(Discount_Rate,C10:C29)),2)</f>
        <v>35.229999999999997</v>
      </c>
      <c r="D32" s="18">
        <f>ROUND(PMT(Discount_Rate,COUNT(D10:D24),-NPV(Discount_Rate,D10:D24)),2)</f>
        <v>30.64</v>
      </c>
      <c r="E32" s="18">
        <f>ROUND(PMT(Discount_Rate,COUNT(E10:E24),-NPV(Discount_Rate,E10:E24)),2)</f>
        <v>30.47</v>
      </c>
      <c r="F32" s="18">
        <f>ROUND(PMT(Discount_Rate,COUNT(F10:F24),-NPV(Discount_Rate,F10:F24)),2)</f>
        <v>30.18</v>
      </c>
      <c r="G32" s="18">
        <f>ROUND(PMT(Discount_Rate,COUNT(G10:G24),-NPV(Discount_Rate,G10:G24)),2)</f>
        <v>29.7</v>
      </c>
      <c r="H32" s="18">
        <f>ROUND(PMT(Discount_Rate,COUNT(H10:H24),-NPV(Discount_Rate,H10:H24)),2)</f>
        <v>31.84</v>
      </c>
      <c r="J32" s="51"/>
      <c r="K32" s="61"/>
    </row>
    <row r="33" spans="2:11" x14ac:dyDescent="0.2">
      <c r="E33" s="10"/>
      <c r="F33" s="10"/>
      <c r="G33" s="10"/>
      <c r="H33" s="10"/>
      <c r="J33" s="51"/>
      <c r="K33" s="51"/>
    </row>
    <row r="34" spans="2:11" x14ac:dyDescent="0.2">
      <c r="B34" s="8" t="s">
        <v>5</v>
      </c>
      <c r="J34" s="51"/>
      <c r="K34" s="51"/>
    </row>
    <row r="35" spans="2:11" x14ac:dyDescent="0.2">
      <c r="B35" s="1" t="str">
        <f>"(2)   Official Forward Price Curve Dated "&amp;TEXT(B44,"MMMM YYYY")</f>
        <v>(2)   Official Forward Price Curve Dated December 2015</v>
      </c>
      <c r="J35" s="51"/>
      <c r="K35" s="51"/>
    </row>
    <row r="36" spans="2:11" x14ac:dyDescent="0.2">
      <c r="B36" s="1" t="str">
        <f>"(3)   "&amp;B40</f>
        <v>(3)   Discount Rate - 2015 IRP Page 141</v>
      </c>
    </row>
    <row r="37" spans="2:11" x14ac:dyDescent="0.2">
      <c r="B37" s="1" t="s">
        <v>11</v>
      </c>
    </row>
    <row r="38" spans="2:11" x14ac:dyDescent="0.2">
      <c r="B38" s="1" t="str">
        <f>Capacity!B39</f>
        <v>(5)  20-Year Nominal Levelized Payment (2017-2036)</v>
      </c>
    </row>
    <row r="39" spans="2:11" x14ac:dyDescent="0.2">
      <c r="B39" s="24"/>
    </row>
    <row r="40" spans="2:11" hidden="1" x14ac:dyDescent="0.2">
      <c r="B40" s="24" t="s">
        <v>17</v>
      </c>
      <c r="F40" s="22"/>
      <c r="G40" s="22"/>
      <c r="H40" s="22"/>
    </row>
    <row r="41" spans="2:11" hidden="1" x14ac:dyDescent="0.2">
      <c r="B41" s="23">
        <v>6.6600000000000006E-2</v>
      </c>
      <c r="F41" s="22"/>
      <c r="G41" s="22"/>
      <c r="H41" s="22"/>
    </row>
    <row r="42" spans="2:11" hidden="1" x14ac:dyDescent="0.2">
      <c r="E42" s="22"/>
      <c r="F42" s="22"/>
      <c r="G42" s="22"/>
      <c r="H42" s="22"/>
    </row>
    <row r="43" spans="2:11" hidden="1" x14ac:dyDescent="0.2">
      <c r="B43" s="1" t="s">
        <v>14</v>
      </c>
    </row>
    <row r="44" spans="2:11" hidden="1" x14ac:dyDescent="0.2">
      <c r="B44" s="25">
        <v>42369</v>
      </c>
    </row>
  </sheetData>
  <phoneticPr fontId="2" type="noConversion"/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H41"/>
  <sheetViews>
    <sheetView showGridLines="0" tabSelected="1" zoomScale="70" zoomScaleNormal="70" workbookViewId="0">
      <pane xSplit="2" ySplit="8" topLeftCell="C9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5" x14ac:dyDescent="0.2"/>
  <cols>
    <col min="1" max="1" width="1.85546875" style="28" customWidth="1"/>
    <col min="2" max="2" width="13.7109375" style="28" customWidth="1"/>
    <col min="3" max="8" width="17.7109375" style="28" customWidth="1"/>
    <col min="9" max="9" width="2.28515625" style="28" customWidth="1"/>
    <col min="10" max="16384" width="9.140625" style="28"/>
  </cols>
  <sheetData>
    <row r="1" spans="2:8" ht="15.75" x14ac:dyDescent="0.25">
      <c r="B1" s="26" t="str">
        <f>Total!B1</f>
        <v>Appendix C</v>
      </c>
      <c r="C1" s="26"/>
      <c r="D1" s="26"/>
      <c r="E1" s="26"/>
      <c r="F1" s="26"/>
      <c r="G1" s="26"/>
      <c r="H1" s="26"/>
    </row>
    <row r="2" spans="2:8" ht="8.25" customHeight="1" x14ac:dyDescent="0.25">
      <c r="B2" s="26"/>
      <c r="C2" s="26"/>
      <c r="D2" s="26"/>
      <c r="E2" s="26"/>
      <c r="F2" s="26"/>
      <c r="G2" s="26"/>
      <c r="H2" s="26"/>
    </row>
    <row r="3" spans="2:8" ht="15.75" x14ac:dyDescent="0.25">
      <c r="B3" s="26" t="str">
        <f>Total!B3</f>
        <v>Utah Quarterly Compliance Filing</v>
      </c>
      <c r="C3" s="26"/>
      <c r="D3" s="26"/>
      <c r="E3" s="26"/>
      <c r="F3" s="26"/>
      <c r="G3" s="26"/>
      <c r="H3" s="26"/>
    </row>
    <row r="4" spans="2:8" ht="15.75" x14ac:dyDescent="0.25">
      <c r="B4" s="26" t="str">
        <f>Capacity!$B$4</f>
        <v>Step Study between 2015.Q4 and 2015.Q3 Compliance Filing</v>
      </c>
      <c r="C4" s="26"/>
      <c r="D4" s="26"/>
      <c r="E4" s="26"/>
      <c r="F4" s="26"/>
      <c r="G4" s="26"/>
      <c r="H4" s="26"/>
    </row>
    <row r="5" spans="2:8" ht="15.75" x14ac:dyDescent="0.25">
      <c r="B5" s="26" t="s">
        <v>7</v>
      </c>
      <c r="C5" s="26"/>
      <c r="D5" s="26"/>
      <c r="E5" s="26"/>
      <c r="F5" s="26"/>
      <c r="G5" s="26"/>
      <c r="H5" s="26"/>
    </row>
    <row r="6" spans="2:8" ht="15.75" x14ac:dyDescent="0.25">
      <c r="B6" s="26"/>
      <c r="C6" s="54"/>
      <c r="D6" s="54"/>
      <c r="E6" s="54"/>
      <c r="F6" s="54"/>
      <c r="G6" s="54"/>
      <c r="H6" s="54"/>
    </row>
    <row r="7" spans="2:8" ht="15.75" x14ac:dyDescent="0.25">
      <c r="B7" s="29"/>
      <c r="C7" s="47" t="s">
        <v>21</v>
      </c>
      <c r="D7" s="11" t="s">
        <v>27</v>
      </c>
      <c r="E7" s="11" t="s">
        <v>23</v>
      </c>
      <c r="F7" s="11" t="s">
        <v>24</v>
      </c>
      <c r="G7" s="11" t="s">
        <v>16</v>
      </c>
      <c r="H7" s="53" t="s">
        <v>25</v>
      </c>
    </row>
    <row r="8" spans="2:8" ht="15.75" x14ac:dyDescent="0.25">
      <c r="B8" s="31" t="s">
        <v>0</v>
      </c>
      <c r="C8" s="46" t="s">
        <v>8</v>
      </c>
      <c r="D8" s="12" t="s">
        <v>28</v>
      </c>
      <c r="E8" s="12" t="s">
        <v>19</v>
      </c>
      <c r="F8" s="12" t="s">
        <v>20</v>
      </c>
      <c r="G8" s="12" t="s">
        <v>15</v>
      </c>
      <c r="H8" s="52" t="s">
        <v>26</v>
      </c>
    </row>
    <row r="9" spans="2:8" ht="4.5" customHeight="1" x14ac:dyDescent="0.2"/>
    <row r="10" spans="2:8" ht="15.75" x14ac:dyDescent="0.25">
      <c r="B10" s="33">
        <f>Total!B10</f>
        <v>2017</v>
      </c>
      <c r="C10" s="45">
        <v>20.89</v>
      </c>
      <c r="D10" s="45">
        <f>C10</f>
        <v>20.89</v>
      </c>
      <c r="E10" s="45">
        <v>20.75</v>
      </c>
      <c r="F10" s="45">
        <v>19.45</v>
      </c>
      <c r="G10" s="45">
        <v>19.43</v>
      </c>
      <c r="H10" s="45">
        <v>20.2</v>
      </c>
    </row>
    <row r="11" spans="2:8" ht="15.75" x14ac:dyDescent="0.25">
      <c r="B11" s="33">
        <f t="shared" ref="B11:B29" si="0">B10+1</f>
        <v>2018</v>
      </c>
      <c r="C11" s="45">
        <v>22.53</v>
      </c>
      <c r="D11" s="45">
        <f t="shared" ref="D11:D29" si="1">C11</f>
        <v>22.53</v>
      </c>
      <c r="E11" s="45">
        <v>22.56</v>
      </c>
      <c r="F11" s="45">
        <v>20.99</v>
      </c>
      <c r="G11" s="45">
        <v>21.64</v>
      </c>
      <c r="H11" s="45">
        <v>22.45</v>
      </c>
    </row>
    <row r="12" spans="2:8" ht="15.75" x14ac:dyDescent="0.25">
      <c r="B12" s="33">
        <f t="shared" si="0"/>
        <v>2019</v>
      </c>
      <c r="C12" s="45">
        <v>23.21</v>
      </c>
      <c r="D12" s="45">
        <f t="shared" si="1"/>
        <v>23.21</v>
      </c>
      <c r="E12" s="45">
        <v>23.3</v>
      </c>
      <c r="F12" s="45">
        <v>21.42</v>
      </c>
      <c r="G12" s="45">
        <v>21.91</v>
      </c>
      <c r="H12" s="45">
        <v>24.33</v>
      </c>
    </row>
    <row r="13" spans="2:8" ht="15.75" x14ac:dyDescent="0.25">
      <c r="B13" s="33">
        <f t="shared" si="0"/>
        <v>2020</v>
      </c>
      <c r="C13" s="45">
        <v>23.85</v>
      </c>
      <c r="D13" s="45">
        <f t="shared" si="1"/>
        <v>23.85</v>
      </c>
      <c r="E13" s="45">
        <v>23.47</v>
      </c>
      <c r="F13" s="45">
        <v>23.23</v>
      </c>
      <c r="G13" s="45">
        <v>23.27</v>
      </c>
      <c r="H13" s="45">
        <v>25.61</v>
      </c>
    </row>
    <row r="14" spans="2:8" ht="15.75" x14ac:dyDescent="0.25">
      <c r="B14" s="33">
        <f t="shared" si="0"/>
        <v>2021</v>
      </c>
      <c r="C14" s="45">
        <v>25.01</v>
      </c>
      <c r="D14" s="45">
        <f t="shared" si="1"/>
        <v>25.01</v>
      </c>
      <c r="E14" s="45">
        <v>24.59</v>
      </c>
      <c r="F14" s="45">
        <v>25.06</v>
      </c>
      <c r="G14" s="45">
        <v>23.69</v>
      </c>
      <c r="H14" s="45">
        <v>25.52</v>
      </c>
    </row>
    <row r="15" spans="2:8" ht="15.75" x14ac:dyDescent="0.25">
      <c r="B15" s="33">
        <f t="shared" si="0"/>
        <v>2022</v>
      </c>
      <c r="C15" s="45">
        <v>26.57</v>
      </c>
      <c r="D15" s="45">
        <f t="shared" si="1"/>
        <v>26.57</v>
      </c>
      <c r="E15" s="45">
        <v>26.39</v>
      </c>
      <c r="F15" s="45">
        <v>26.79</v>
      </c>
      <c r="G15" s="45">
        <v>25.72</v>
      </c>
      <c r="H15" s="45">
        <v>27.94</v>
      </c>
    </row>
    <row r="16" spans="2:8" ht="15.75" x14ac:dyDescent="0.25">
      <c r="B16" s="33">
        <f t="shared" si="0"/>
        <v>2023</v>
      </c>
      <c r="C16" s="45">
        <v>28.81</v>
      </c>
      <c r="D16" s="45">
        <f t="shared" si="1"/>
        <v>28.81</v>
      </c>
      <c r="E16" s="45">
        <v>28.5</v>
      </c>
      <c r="F16" s="45">
        <v>28.29</v>
      </c>
      <c r="G16" s="45">
        <v>27.48</v>
      </c>
      <c r="H16" s="45">
        <v>29.48</v>
      </c>
    </row>
    <row r="17" spans="2:8" ht="15.75" x14ac:dyDescent="0.25">
      <c r="B17" s="33">
        <f t="shared" si="0"/>
        <v>2024</v>
      </c>
      <c r="C17" s="45">
        <v>30.4</v>
      </c>
      <c r="D17" s="45">
        <f t="shared" si="1"/>
        <v>30.4</v>
      </c>
      <c r="E17" s="45">
        <v>30.15</v>
      </c>
      <c r="F17" s="45">
        <v>30.45</v>
      </c>
      <c r="G17" s="45">
        <v>29.16</v>
      </c>
      <c r="H17" s="45">
        <v>30.99</v>
      </c>
    </row>
    <row r="18" spans="2:8" ht="15.75" x14ac:dyDescent="0.25">
      <c r="B18" s="33">
        <f t="shared" si="0"/>
        <v>2025</v>
      </c>
      <c r="C18" s="45">
        <v>32.49</v>
      </c>
      <c r="D18" s="45">
        <f t="shared" si="1"/>
        <v>32.49</v>
      </c>
      <c r="E18" s="45">
        <v>32.24</v>
      </c>
      <c r="F18" s="45">
        <v>32.54</v>
      </c>
      <c r="G18" s="45">
        <v>32.42</v>
      </c>
      <c r="H18" s="45">
        <v>34.020000000000003</v>
      </c>
    </row>
    <row r="19" spans="2:8" ht="15.75" x14ac:dyDescent="0.25">
      <c r="B19" s="33">
        <f t="shared" si="0"/>
        <v>2026</v>
      </c>
      <c r="C19" s="45">
        <v>33.51</v>
      </c>
      <c r="D19" s="45">
        <f t="shared" si="1"/>
        <v>33.51</v>
      </c>
      <c r="E19" s="45">
        <v>33.409999999999997</v>
      </c>
      <c r="F19" s="45">
        <v>33.93</v>
      </c>
      <c r="G19" s="45">
        <v>32.9</v>
      </c>
      <c r="H19" s="45">
        <v>34.89</v>
      </c>
    </row>
    <row r="20" spans="2:8" ht="15.75" x14ac:dyDescent="0.25">
      <c r="B20" s="33">
        <f t="shared" si="0"/>
        <v>2027</v>
      </c>
      <c r="C20" s="45">
        <v>35.729999999999997</v>
      </c>
      <c r="D20" s="45">
        <f t="shared" si="1"/>
        <v>35.729999999999997</v>
      </c>
      <c r="E20" s="45">
        <v>35.5</v>
      </c>
      <c r="F20" s="45">
        <v>35.85</v>
      </c>
      <c r="G20" s="45">
        <v>34.32</v>
      </c>
      <c r="H20" s="45">
        <v>37.33</v>
      </c>
    </row>
    <row r="21" spans="2:8" ht="15.75" x14ac:dyDescent="0.25">
      <c r="B21" s="33">
        <f t="shared" si="0"/>
        <v>2028</v>
      </c>
      <c r="C21" s="45">
        <v>41.55</v>
      </c>
      <c r="D21" s="45">
        <f t="shared" si="1"/>
        <v>41.55</v>
      </c>
      <c r="E21" s="45">
        <v>41.39</v>
      </c>
      <c r="F21" s="45">
        <v>41.69</v>
      </c>
      <c r="G21" s="45">
        <v>40.47</v>
      </c>
      <c r="H21" s="45">
        <v>36.4</v>
      </c>
    </row>
    <row r="22" spans="2:8" ht="15.75" x14ac:dyDescent="0.25">
      <c r="B22" s="33">
        <f t="shared" si="0"/>
        <v>2029</v>
      </c>
      <c r="C22" s="45">
        <v>43.58</v>
      </c>
      <c r="D22" s="45">
        <f t="shared" si="1"/>
        <v>43.58</v>
      </c>
      <c r="E22" s="45">
        <v>43.37</v>
      </c>
      <c r="F22" s="45">
        <v>43.43</v>
      </c>
      <c r="G22" s="45">
        <v>42.08</v>
      </c>
      <c r="H22" s="45">
        <v>37.799999999999997</v>
      </c>
    </row>
    <row r="23" spans="2:8" ht="15.75" x14ac:dyDescent="0.25">
      <c r="B23" s="33">
        <f t="shared" si="0"/>
        <v>2030</v>
      </c>
      <c r="C23" s="45">
        <v>34.14</v>
      </c>
      <c r="D23" s="45">
        <f t="shared" si="1"/>
        <v>34.14</v>
      </c>
      <c r="E23" s="45">
        <v>34.17</v>
      </c>
      <c r="F23" s="45">
        <v>34.07</v>
      </c>
      <c r="G23" s="45">
        <v>34.29</v>
      </c>
      <c r="H23" s="45">
        <v>34.42</v>
      </c>
    </row>
    <row r="24" spans="2:8" ht="15.75" x14ac:dyDescent="0.25">
      <c r="B24" s="33">
        <f t="shared" si="0"/>
        <v>2031</v>
      </c>
      <c r="C24" s="45">
        <v>36.96</v>
      </c>
      <c r="D24" s="45">
        <f t="shared" si="1"/>
        <v>36.96</v>
      </c>
      <c r="E24" s="45">
        <v>36.979999999999997</v>
      </c>
      <c r="F24" s="45">
        <v>37.119999999999997</v>
      </c>
      <c r="G24" s="45">
        <v>37.17</v>
      </c>
      <c r="H24" s="45">
        <v>37</v>
      </c>
    </row>
    <row r="25" spans="2:8" ht="15.75" x14ac:dyDescent="0.25">
      <c r="B25" s="33">
        <f t="shared" si="0"/>
        <v>2032</v>
      </c>
      <c r="C25" s="45">
        <v>37.46</v>
      </c>
      <c r="D25" s="68">
        <f t="shared" si="1"/>
        <v>37.46</v>
      </c>
      <c r="E25" s="68">
        <v>37.53</v>
      </c>
      <c r="F25" s="68">
        <v>37.19</v>
      </c>
      <c r="G25" s="68">
        <v>37.51</v>
      </c>
      <c r="H25" s="68">
        <v>37.479999999999997</v>
      </c>
    </row>
    <row r="26" spans="2:8" ht="15.75" x14ac:dyDescent="0.25">
      <c r="B26" s="33">
        <f t="shared" si="0"/>
        <v>2033</v>
      </c>
      <c r="C26" s="45">
        <v>38.67</v>
      </c>
      <c r="D26" s="68">
        <f t="shared" si="1"/>
        <v>38.67</v>
      </c>
      <c r="E26" s="68">
        <v>38.72</v>
      </c>
      <c r="F26" s="68">
        <v>38.31</v>
      </c>
      <c r="G26" s="68">
        <v>38.31</v>
      </c>
      <c r="H26" s="68">
        <v>38.24</v>
      </c>
    </row>
    <row r="27" spans="2:8" ht="15.75" x14ac:dyDescent="0.25">
      <c r="B27" s="33">
        <f t="shared" si="0"/>
        <v>2034</v>
      </c>
      <c r="C27" s="45">
        <v>40.72</v>
      </c>
      <c r="D27" s="68">
        <f t="shared" si="1"/>
        <v>40.72</v>
      </c>
      <c r="E27" s="68">
        <v>40.54</v>
      </c>
      <c r="F27" s="68">
        <v>40.049999999999997</v>
      </c>
      <c r="G27" s="68">
        <v>40.659999999999997</v>
      </c>
      <c r="H27" s="68">
        <v>40.39</v>
      </c>
    </row>
    <row r="28" spans="2:8" ht="15.75" x14ac:dyDescent="0.25">
      <c r="B28" s="33">
        <f t="shared" si="0"/>
        <v>2035</v>
      </c>
      <c r="C28" s="45">
        <v>41.42</v>
      </c>
      <c r="D28" s="68">
        <f t="shared" si="1"/>
        <v>41.42</v>
      </c>
      <c r="E28" s="68">
        <v>41.46</v>
      </c>
      <c r="F28" s="68">
        <v>40.86</v>
      </c>
      <c r="G28" s="68">
        <v>41.36</v>
      </c>
      <c r="H28" s="68">
        <v>41.15</v>
      </c>
    </row>
    <row r="29" spans="2:8" ht="15.75" x14ac:dyDescent="0.25">
      <c r="B29" s="33">
        <f t="shared" si="0"/>
        <v>2036</v>
      </c>
      <c r="C29" s="45">
        <v>42.89</v>
      </c>
      <c r="D29" s="68">
        <f t="shared" si="1"/>
        <v>42.89</v>
      </c>
      <c r="E29" s="68">
        <v>42.8</v>
      </c>
      <c r="F29" s="68">
        <v>42.31</v>
      </c>
      <c r="G29" s="68">
        <v>42.31</v>
      </c>
      <c r="H29" s="68">
        <v>42.13</v>
      </c>
    </row>
    <row r="30" spans="2:8" x14ac:dyDescent="0.2">
      <c r="C30" s="44"/>
      <c r="D30" s="44"/>
      <c r="E30" s="44"/>
      <c r="F30" s="44"/>
      <c r="G30" s="44"/>
      <c r="H30" s="44"/>
    </row>
    <row r="31" spans="2:8" x14ac:dyDescent="0.2">
      <c r="B31" s="36" t="str">
        <f>"Nominal Levelized Payment at "&amp;TEXT($B$41,"0.00%")&amp;" Discount Rate (3)"</f>
        <v>Nominal Levelized Payment at 6.66% Discount Rate (3)</v>
      </c>
      <c r="C31" s="44"/>
      <c r="D31" s="44"/>
      <c r="E31" s="44"/>
      <c r="F31" s="44"/>
      <c r="G31" s="44"/>
      <c r="H31" s="44"/>
    </row>
    <row r="32" spans="2:8" x14ac:dyDescent="0.2">
      <c r="B32" s="37" t="str">
        <f>B10&amp;" - "&amp;B24</f>
        <v>2017 - 2031</v>
      </c>
      <c r="C32" s="63">
        <f>ROUND(PMT($B$41,COUNT(C10:C29),-NPV($B$41,C10:C29)),2)</f>
        <v>30.5</v>
      </c>
      <c r="D32" s="43">
        <f>ROUND(PMT($B$41,COUNT(D10:D24),-NPV($B$41,D10:D24)),2)</f>
        <v>28.89</v>
      </c>
      <c r="E32" s="43">
        <f>ROUND(PMT($B$41,COUNT(E10:E24),-NPV($B$41,E10:E24)),2)</f>
        <v>28.72</v>
      </c>
      <c r="F32" s="43">
        <f>ROUND(PMT($B$41,COUNT(F10:F24),-NPV($B$41,F10:F24)),2)</f>
        <v>28.41</v>
      </c>
      <c r="G32" s="43">
        <f>ROUND(PMT($B$41,COUNT(G10:G24),-NPV($B$41,G10:G24)),2)</f>
        <v>27.94</v>
      </c>
      <c r="H32" s="43">
        <f>ROUND(PMT($B$41,COUNT(H10:H24),-NPV($B$41,H10:H24)),2)</f>
        <v>29.03</v>
      </c>
    </row>
    <row r="33" spans="2:8" x14ac:dyDescent="0.2">
      <c r="B33" s="37"/>
      <c r="C33" s="35"/>
      <c r="D33" s="35"/>
      <c r="E33" s="35"/>
      <c r="F33" s="35"/>
      <c r="G33" s="35"/>
      <c r="H33" s="35"/>
    </row>
    <row r="34" spans="2:8" x14ac:dyDescent="0.2">
      <c r="E34" s="42"/>
    </row>
    <row r="35" spans="2:8" x14ac:dyDescent="0.2">
      <c r="B35" s="37" t="str">
        <f>Total!B34</f>
        <v>(1)   Studies are sequential.  The order of the studies would effect the price impact.</v>
      </c>
    </row>
    <row r="36" spans="2:8" x14ac:dyDescent="0.2">
      <c r="B36" s="37" t="str">
        <f>Total!B35</f>
        <v>(2)   Official Forward Price Curve Dated December 2015</v>
      </c>
    </row>
    <row r="37" spans="2:8" x14ac:dyDescent="0.2">
      <c r="B37" s="37" t="str">
        <f>Total!B36</f>
        <v>(3)   Discount Rate - 2015 IRP Page 141</v>
      </c>
    </row>
    <row r="38" spans="2:8" x14ac:dyDescent="0.2">
      <c r="B38" s="28" t="s">
        <v>30</v>
      </c>
    </row>
    <row r="40" spans="2:8" hidden="1" x14ac:dyDescent="0.2">
      <c r="B40" s="24" t="s">
        <v>17</v>
      </c>
    </row>
    <row r="41" spans="2:8" hidden="1" x14ac:dyDescent="0.2">
      <c r="B41" s="41">
        <f>Discount_Rate</f>
        <v>6.6600000000000006E-2</v>
      </c>
    </row>
  </sheetData>
  <printOptions horizontalCentered="1"/>
  <pageMargins left="0.25" right="0.25" top="0.75" bottom="0.75" header="0.3" footer="0.2"/>
  <pageSetup scale="91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1"/>
  <sheetViews>
    <sheetView showGridLines="0" tabSelected="1" zoomScale="70" zoomScaleNormal="70" workbookViewId="0">
      <pane xSplit="2" ySplit="9" topLeftCell="C10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5" x14ac:dyDescent="0.2"/>
  <cols>
    <col min="1" max="1" width="1.85546875" style="28" customWidth="1"/>
    <col min="2" max="2" width="13.85546875" style="28" customWidth="1"/>
    <col min="3" max="5" width="19.140625" style="28" customWidth="1"/>
    <col min="6" max="6" width="1.140625" style="28" customWidth="1"/>
    <col min="7" max="9" width="19.140625" style="28" customWidth="1"/>
    <col min="10" max="10" width="1.5703125" style="28" customWidth="1"/>
    <col min="11" max="11" width="9.140625" style="28" hidden="1" customWidth="1"/>
    <col min="12" max="16384" width="9.140625" style="28"/>
  </cols>
  <sheetData>
    <row r="1" spans="2:11" ht="15.75" x14ac:dyDescent="0.25">
      <c r="B1" s="26" t="s">
        <v>4</v>
      </c>
      <c r="C1" s="26"/>
      <c r="D1" s="26"/>
      <c r="E1" s="26"/>
      <c r="F1" s="27"/>
      <c r="G1" s="26"/>
      <c r="H1" s="26"/>
      <c r="I1" s="26"/>
      <c r="J1" s="27"/>
    </row>
    <row r="2" spans="2:11" ht="8.25" customHeight="1" x14ac:dyDescent="0.25">
      <c r="B2" s="26"/>
      <c r="C2" s="26"/>
      <c r="D2" s="26"/>
      <c r="E2" s="26"/>
      <c r="F2" s="27"/>
      <c r="G2" s="26"/>
      <c r="H2" s="26"/>
      <c r="I2" s="26"/>
      <c r="J2" s="27"/>
    </row>
    <row r="3" spans="2:11" ht="15.75" x14ac:dyDescent="0.25">
      <c r="B3" s="26" t="s">
        <v>1</v>
      </c>
      <c r="C3" s="26"/>
      <c r="D3" s="26"/>
      <c r="E3" s="26"/>
      <c r="F3" s="27"/>
      <c r="G3" s="26"/>
      <c r="H3" s="26"/>
      <c r="I3" s="26"/>
      <c r="J3" s="27"/>
    </row>
    <row r="4" spans="2:11" ht="15.75" x14ac:dyDescent="0.25">
      <c r="B4" s="26" t="str">
        <f>"Step Study between "&amp;K8&amp;" and "&amp;K7&amp;" Compliance Filing"</f>
        <v>Step Study between 2015.Q4 and 2015.Q3 Compliance Filing</v>
      </c>
      <c r="C4" s="26"/>
      <c r="D4" s="26"/>
      <c r="E4" s="26"/>
      <c r="F4" s="27"/>
      <c r="G4" s="26"/>
      <c r="H4" s="26"/>
      <c r="I4" s="26"/>
      <c r="J4" s="27"/>
    </row>
    <row r="5" spans="2:11" ht="15.75" x14ac:dyDescent="0.25">
      <c r="B5" s="26" t="s">
        <v>10</v>
      </c>
      <c r="C5" s="26"/>
      <c r="D5" s="26"/>
      <c r="E5" s="26"/>
      <c r="F5" s="27"/>
      <c r="G5" s="26"/>
      <c r="H5" s="26"/>
      <c r="I5" s="26"/>
      <c r="J5" s="27"/>
    </row>
    <row r="6" spans="2:11" ht="15.75" x14ac:dyDescent="0.25">
      <c r="B6" s="26"/>
      <c r="C6" s="26"/>
      <c r="D6" s="26"/>
      <c r="E6" s="26"/>
      <c r="G6" s="26"/>
      <c r="H6" s="26"/>
      <c r="I6" s="26"/>
    </row>
    <row r="7" spans="2:11" ht="15.75" x14ac:dyDescent="0.25">
      <c r="B7" s="29"/>
      <c r="C7" s="30" t="s">
        <v>2</v>
      </c>
      <c r="D7" s="48"/>
      <c r="E7" s="30"/>
      <c r="G7" s="30" t="s">
        <v>9</v>
      </c>
      <c r="H7" s="48"/>
      <c r="I7" s="48"/>
      <c r="K7" s="32" t="s">
        <v>21</v>
      </c>
    </row>
    <row r="8" spans="2:11" ht="30.75" customHeight="1" x14ac:dyDescent="0.25">
      <c r="B8" s="31" t="s">
        <v>0</v>
      </c>
      <c r="C8" s="59" t="s">
        <v>32</v>
      </c>
      <c r="D8" s="59" t="s">
        <v>33</v>
      </c>
      <c r="E8" s="59" t="str">
        <f>K8&amp;" (4)"</f>
        <v>2015.Q4 (4)</v>
      </c>
      <c r="G8" s="32" t="str">
        <f>C8</f>
        <v>2015.Q3 (3)</v>
      </c>
      <c r="H8" s="32" t="str">
        <f>D8</f>
        <v>1512 OFPC (3)</v>
      </c>
      <c r="I8" s="59" t="str">
        <f>E8</f>
        <v>2015.Q4 (4)</v>
      </c>
      <c r="K8" s="32" t="s">
        <v>22</v>
      </c>
    </row>
    <row r="9" spans="2:11" ht="4.5" customHeight="1" x14ac:dyDescent="0.2"/>
    <row r="10" spans="2:11" ht="15.75" x14ac:dyDescent="0.25">
      <c r="B10" s="33">
        <v>2017</v>
      </c>
      <c r="C10" s="34">
        <v>0</v>
      </c>
      <c r="D10" s="34">
        <v>0</v>
      </c>
      <c r="E10" s="34">
        <v>0</v>
      </c>
      <c r="G10" s="34">
        <f t="shared" ref="G10:G29" si="0">C10*1000/(IF(MOD($B10,4)=0,8784,8760)*0.85)</f>
        <v>0</v>
      </c>
      <c r="H10" s="34">
        <f t="shared" ref="H10:H29" si="1">D10*1000/(IF(MOD($B10,4)=0,8784,8760)*0.85)</f>
        <v>0</v>
      </c>
      <c r="I10" s="34">
        <f t="shared" ref="I10:I29" si="2">E10*1000/(IF(MOD($B10,4)=0,8784,8760)*0.85)</f>
        <v>0</v>
      </c>
    </row>
    <row r="11" spans="2:11" ht="15.75" x14ac:dyDescent="0.25">
      <c r="B11" s="33">
        <f t="shared" ref="B11:B29" si="3">B10+1</f>
        <v>2018</v>
      </c>
      <c r="C11" s="34">
        <v>0</v>
      </c>
      <c r="D11" s="34">
        <v>0</v>
      </c>
      <c r="E11" s="34">
        <v>0</v>
      </c>
      <c r="G11" s="34">
        <f t="shared" si="0"/>
        <v>0</v>
      </c>
      <c r="H11" s="34">
        <f t="shared" si="1"/>
        <v>0</v>
      </c>
      <c r="I11" s="34">
        <f t="shared" si="2"/>
        <v>0</v>
      </c>
    </row>
    <row r="12" spans="2:11" ht="15.75" x14ac:dyDescent="0.25">
      <c r="B12" s="33">
        <f t="shared" si="3"/>
        <v>2019</v>
      </c>
      <c r="C12" s="34">
        <v>0</v>
      </c>
      <c r="D12" s="34">
        <v>0</v>
      </c>
      <c r="E12" s="34">
        <v>0</v>
      </c>
      <c r="G12" s="34">
        <f t="shared" si="0"/>
        <v>0</v>
      </c>
      <c r="H12" s="34">
        <f t="shared" si="1"/>
        <v>0</v>
      </c>
      <c r="I12" s="34">
        <f t="shared" si="2"/>
        <v>0</v>
      </c>
    </row>
    <row r="13" spans="2:11" ht="15.75" x14ac:dyDescent="0.25">
      <c r="B13" s="33">
        <f t="shared" si="3"/>
        <v>2020</v>
      </c>
      <c r="C13" s="34">
        <v>0</v>
      </c>
      <c r="D13" s="34">
        <v>0</v>
      </c>
      <c r="E13" s="34">
        <v>0</v>
      </c>
      <c r="G13" s="34">
        <f t="shared" si="0"/>
        <v>0</v>
      </c>
      <c r="H13" s="34">
        <f t="shared" si="1"/>
        <v>0</v>
      </c>
      <c r="I13" s="34">
        <f t="shared" si="2"/>
        <v>0</v>
      </c>
    </row>
    <row r="14" spans="2:11" ht="15.75" x14ac:dyDescent="0.25">
      <c r="B14" s="33">
        <f t="shared" si="3"/>
        <v>2021</v>
      </c>
      <c r="C14" s="34">
        <v>0</v>
      </c>
      <c r="D14" s="34">
        <v>0</v>
      </c>
      <c r="E14" s="34">
        <v>0</v>
      </c>
      <c r="G14" s="34">
        <f t="shared" si="0"/>
        <v>0</v>
      </c>
      <c r="H14" s="34">
        <f t="shared" si="1"/>
        <v>0</v>
      </c>
      <c r="I14" s="34">
        <f t="shared" si="2"/>
        <v>0</v>
      </c>
    </row>
    <row r="15" spans="2:11" ht="15.75" x14ac:dyDescent="0.25">
      <c r="B15" s="33">
        <f t="shared" si="3"/>
        <v>2022</v>
      </c>
      <c r="C15" s="34">
        <v>0</v>
      </c>
      <c r="D15" s="34">
        <v>0</v>
      </c>
      <c r="E15" s="34">
        <v>0</v>
      </c>
      <c r="G15" s="34">
        <f t="shared" si="0"/>
        <v>0</v>
      </c>
      <c r="H15" s="34">
        <f t="shared" si="1"/>
        <v>0</v>
      </c>
      <c r="I15" s="34">
        <f t="shared" si="2"/>
        <v>0</v>
      </c>
    </row>
    <row r="16" spans="2:11" ht="15.75" x14ac:dyDescent="0.25">
      <c r="B16" s="33">
        <f t="shared" si="3"/>
        <v>2023</v>
      </c>
      <c r="C16" s="34">
        <v>0</v>
      </c>
      <c r="D16" s="34">
        <v>0</v>
      </c>
      <c r="E16" s="34">
        <v>0</v>
      </c>
      <c r="G16" s="34">
        <f t="shared" si="0"/>
        <v>0</v>
      </c>
      <c r="H16" s="34">
        <f t="shared" si="1"/>
        <v>0</v>
      </c>
      <c r="I16" s="34">
        <f t="shared" si="2"/>
        <v>0</v>
      </c>
    </row>
    <row r="17" spans="2:10" ht="15.75" x14ac:dyDescent="0.25">
      <c r="B17" s="33">
        <f t="shared" si="3"/>
        <v>2024</v>
      </c>
      <c r="C17" s="34">
        <v>0</v>
      </c>
      <c r="D17" s="34">
        <v>0</v>
      </c>
      <c r="E17" s="34">
        <v>0</v>
      </c>
      <c r="G17" s="34">
        <f t="shared" si="0"/>
        <v>0</v>
      </c>
      <c r="H17" s="34">
        <f t="shared" si="1"/>
        <v>0</v>
      </c>
      <c r="I17" s="34">
        <f t="shared" si="2"/>
        <v>0</v>
      </c>
    </row>
    <row r="18" spans="2:10" ht="15.75" x14ac:dyDescent="0.25">
      <c r="B18" s="33">
        <f t="shared" si="3"/>
        <v>2025</v>
      </c>
      <c r="C18" s="34">
        <v>0</v>
      </c>
      <c r="D18" s="34">
        <v>0</v>
      </c>
      <c r="E18" s="34">
        <v>0</v>
      </c>
      <c r="G18" s="34">
        <f t="shared" si="0"/>
        <v>0</v>
      </c>
      <c r="H18" s="34">
        <f t="shared" si="1"/>
        <v>0</v>
      </c>
      <c r="I18" s="34">
        <f t="shared" si="2"/>
        <v>0</v>
      </c>
    </row>
    <row r="19" spans="2:10" ht="15.75" x14ac:dyDescent="0.25">
      <c r="B19" s="33">
        <f t="shared" si="3"/>
        <v>2026</v>
      </c>
      <c r="C19" s="34">
        <v>0</v>
      </c>
      <c r="D19" s="34">
        <v>0</v>
      </c>
      <c r="E19" s="34">
        <v>0</v>
      </c>
      <c r="G19" s="34">
        <f t="shared" si="0"/>
        <v>0</v>
      </c>
      <c r="H19" s="34">
        <f t="shared" si="1"/>
        <v>0</v>
      </c>
      <c r="I19" s="34">
        <f t="shared" si="2"/>
        <v>0</v>
      </c>
    </row>
    <row r="20" spans="2:10" ht="15.75" x14ac:dyDescent="0.25">
      <c r="B20" s="33">
        <f t="shared" si="3"/>
        <v>2027</v>
      </c>
      <c r="C20" s="34">
        <v>0</v>
      </c>
      <c r="D20" s="34">
        <v>0</v>
      </c>
      <c r="E20" s="34">
        <v>0</v>
      </c>
      <c r="G20" s="34">
        <f t="shared" si="0"/>
        <v>0</v>
      </c>
      <c r="H20" s="34">
        <f t="shared" si="1"/>
        <v>0</v>
      </c>
      <c r="I20" s="34">
        <f t="shared" si="2"/>
        <v>0</v>
      </c>
    </row>
    <row r="21" spans="2:10" ht="15.75" x14ac:dyDescent="0.25">
      <c r="B21" s="33">
        <f t="shared" si="3"/>
        <v>2028</v>
      </c>
      <c r="C21" s="34">
        <v>0</v>
      </c>
      <c r="D21" s="34">
        <v>0</v>
      </c>
      <c r="E21" s="34">
        <v>82.485171501661895</v>
      </c>
      <c r="G21" s="34">
        <f t="shared" si="0"/>
        <v>0</v>
      </c>
      <c r="H21" s="34">
        <f t="shared" si="1"/>
        <v>0</v>
      </c>
      <c r="I21" s="34">
        <f t="shared" si="2"/>
        <v>11.04751573739177</v>
      </c>
    </row>
    <row r="22" spans="2:10" ht="15.75" x14ac:dyDescent="0.25">
      <c r="B22" s="33">
        <f t="shared" si="3"/>
        <v>2029</v>
      </c>
      <c r="C22" s="34">
        <v>0</v>
      </c>
      <c r="D22" s="34">
        <v>0</v>
      </c>
      <c r="E22" s="34">
        <v>84.310165932861096</v>
      </c>
      <c r="G22" s="34">
        <f t="shared" si="0"/>
        <v>0</v>
      </c>
      <c r="H22" s="34">
        <f t="shared" si="1"/>
        <v>0</v>
      </c>
      <c r="I22" s="34">
        <f t="shared" si="2"/>
        <v>11.322880195119675</v>
      </c>
    </row>
    <row r="23" spans="2:10" ht="15.75" x14ac:dyDescent="0.25">
      <c r="B23" s="33">
        <f t="shared" si="3"/>
        <v>2030</v>
      </c>
      <c r="C23" s="34">
        <v>152.49</v>
      </c>
      <c r="D23" s="34">
        <v>153.80000000000001</v>
      </c>
      <c r="E23" s="34">
        <v>151.98072655447857</v>
      </c>
      <c r="G23" s="34">
        <f t="shared" si="0"/>
        <v>20.479452054794521</v>
      </c>
      <c r="H23" s="34">
        <f t="shared" si="1"/>
        <v>20.655385441847972</v>
      </c>
      <c r="I23" s="34">
        <f t="shared" si="2"/>
        <v>20.41105648059073</v>
      </c>
    </row>
    <row r="24" spans="2:10" ht="15.75" x14ac:dyDescent="0.25">
      <c r="B24" s="33">
        <f t="shared" si="3"/>
        <v>2031</v>
      </c>
      <c r="C24" s="34">
        <v>155.97</v>
      </c>
      <c r="D24" s="34">
        <v>157.31</v>
      </c>
      <c r="E24" s="34">
        <v>155.44495866905663</v>
      </c>
      <c r="G24" s="34">
        <f t="shared" si="0"/>
        <v>20.946817082997583</v>
      </c>
      <c r="H24" s="34">
        <f t="shared" si="1"/>
        <v>21.126779478914855</v>
      </c>
      <c r="I24" s="34">
        <f t="shared" si="2"/>
        <v>20.876303877122833</v>
      </c>
    </row>
    <row r="25" spans="2:10" ht="15.75" x14ac:dyDescent="0.25">
      <c r="B25" s="33">
        <f t="shared" si="3"/>
        <v>2032</v>
      </c>
      <c r="C25" s="34">
        <v>159.59</v>
      </c>
      <c r="D25" s="69">
        <v>160.75</v>
      </c>
      <c r="E25" s="69">
        <v>158.84491176931243</v>
      </c>
      <c r="G25" s="34">
        <f t="shared" si="0"/>
        <v>21.374424086574521</v>
      </c>
      <c r="H25" s="69">
        <f t="shared" si="1"/>
        <v>21.529786778099218</v>
      </c>
      <c r="I25" s="69">
        <f t="shared" si="2"/>
        <v>21.274631920244353</v>
      </c>
      <c r="J25" s="70"/>
    </row>
    <row r="26" spans="2:10" ht="15.75" x14ac:dyDescent="0.25">
      <c r="B26" s="33">
        <f t="shared" si="3"/>
        <v>2033</v>
      </c>
      <c r="C26" s="34">
        <v>163.28</v>
      </c>
      <c r="D26" s="69">
        <v>164.26</v>
      </c>
      <c r="E26" s="69">
        <v>162.30914388389053</v>
      </c>
      <c r="G26" s="34">
        <f t="shared" si="0"/>
        <v>21.928552242814934</v>
      </c>
      <c r="H26" s="69">
        <f t="shared" si="1"/>
        <v>22.06016653236637</v>
      </c>
      <c r="I26" s="69">
        <f t="shared" si="2"/>
        <v>21.798165979571653</v>
      </c>
      <c r="J26" s="70"/>
    </row>
    <row r="27" spans="2:10" ht="15.75" x14ac:dyDescent="0.25">
      <c r="B27" s="33">
        <f t="shared" si="3"/>
        <v>2034</v>
      </c>
      <c r="C27" s="34">
        <v>167.04</v>
      </c>
      <c r="D27" s="69">
        <v>168.04</v>
      </c>
      <c r="E27" s="69">
        <v>166.0433759984686</v>
      </c>
      <c r="G27" s="34">
        <f t="shared" si="0"/>
        <v>22.433521353746979</v>
      </c>
      <c r="H27" s="69">
        <f t="shared" si="1"/>
        <v>22.567821649207627</v>
      </c>
      <c r="I27" s="69">
        <f t="shared" si="2"/>
        <v>22.299674455878137</v>
      </c>
      <c r="J27" s="70"/>
    </row>
    <row r="28" spans="2:10" ht="15.75" x14ac:dyDescent="0.25">
      <c r="B28" s="33">
        <f t="shared" si="3"/>
        <v>2035</v>
      </c>
      <c r="C28" s="34">
        <v>170.87</v>
      </c>
      <c r="D28" s="69">
        <v>171.9</v>
      </c>
      <c r="E28" s="69">
        <v>169.85760811304669</v>
      </c>
      <c r="G28" s="34">
        <f t="shared" si="0"/>
        <v>22.947891485361268</v>
      </c>
      <c r="H28" s="69">
        <f t="shared" si="1"/>
        <v>23.086220789685736</v>
      </c>
      <c r="I28" s="69">
        <f t="shared" si="2"/>
        <v>22.811926955821477</v>
      </c>
      <c r="J28" s="70"/>
    </row>
    <row r="29" spans="2:10" ht="15.75" x14ac:dyDescent="0.25">
      <c r="B29" s="33">
        <f t="shared" si="3"/>
        <v>2036</v>
      </c>
      <c r="C29" s="34">
        <v>174.77</v>
      </c>
      <c r="D29" s="69">
        <v>175.83</v>
      </c>
      <c r="E29" s="69">
        <v>173.73611924194699</v>
      </c>
      <c r="G29" s="34">
        <f t="shared" si="0"/>
        <v>23.407532411871852</v>
      </c>
      <c r="H29" s="69">
        <f t="shared" si="1"/>
        <v>23.549501767920283</v>
      </c>
      <c r="I29" s="69">
        <f t="shared" si="2"/>
        <v>23.26906129352124</v>
      </c>
      <c r="J29" s="70"/>
    </row>
    <row r="30" spans="2:10" ht="15.75" x14ac:dyDescent="0.25">
      <c r="B30" s="33"/>
      <c r="C30" s="35"/>
      <c r="E30" s="35"/>
      <c r="G30" s="35"/>
    </row>
    <row r="31" spans="2:10" x14ac:dyDescent="0.2">
      <c r="B31" s="36" t="str">
        <f>"Nominal Levelized Payment at "&amp;TEXT($B$41,"0.000%")&amp;" Discount Rate (2)"</f>
        <v>Nominal Levelized Payment at 6.660% Discount Rate (2)</v>
      </c>
      <c r="D31" s="36"/>
    </row>
    <row r="32" spans="2:10" x14ac:dyDescent="0.2">
      <c r="B32" s="37" t="str">
        <f>$B$10&amp;" - "&amp;B24</f>
        <v>2017 - 2031</v>
      </c>
      <c r="C32" s="62">
        <f>PMT($B$41,COUNT(C10:C29),-NPV($B$41,C10:C29))</f>
        <v>35.224217886549155</v>
      </c>
      <c r="D32" s="38">
        <f>PMT($B$41,COUNT(D10:D29),-NPV($B$41,D10:D29))</f>
        <v>35.47140516580361</v>
      </c>
      <c r="E32" s="38">
        <f>PMT($B$41,COUNT(E10:E29),-NPV($B$41,E10:E29))</f>
        <v>41.899253689390235</v>
      </c>
      <c r="G32" s="38">
        <f>PMT($B$41,COUNT(G10:G29),-NPV($B$41,G10:G29))</f>
        <v>4.7270810671382906</v>
      </c>
      <c r="H32" s="38">
        <f>PMT($B$41,COUNT(H10:H29),-NPV($B$41,H10:H29))</f>
        <v>4.7602546014453271</v>
      </c>
      <c r="I32" s="38">
        <f>PMT($B$41,COUNT(I10:I29),-NPV($B$41,I10:I29))</f>
        <v>5.6222756010955024</v>
      </c>
    </row>
    <row r="34" spans="2:7" x14ac:dyDescent="0.2">
      <c r="B34" s="28" t="s">
        <v>3</v>
      </c>
    </row>
    <row r="35" spans="2:7" s="1" customFormat="1" x14ac:dyDescent="0.2">
      <c r="B35" s="28" t="s">
        <v>31</v>
      </c>
      <c r="C35" s="28"/>
      <c r="D35" s="28"/>
      <c r="E35" s="28"/>
      <c r="F35" s="28"/>
      <c r="G35" s="28"/>
    </row>
    <row r="36" spans="2:7" x14ac:dyDescent="0.2">
      <c r="B36" s="28" t="s">
        <v>36</v>
      </c>
    </row>
    <row r="37" spans="2:7" x14ac:dyDescent="0.2">
      <c r="B37" s="28" t="s">
        <v>34</v>
      </c>
    </row>
    <row r="38" spans="2:7" x14ac:dyDescent="0.2">
      <c r="B38" s="28" t="s">
        <v>35</v>
      </c>
    </row>
    <row r="39" spans="2:7" x14ac:dyDescent="0.2">
      <c r="B39" s="28" t="s">
        <v>29</v>
      </c>
    </row>
    <row r="40" spans="2:7" hidden="1" x14ac:dyDescent="0.2">
      <c r="B40" s="24" t="s">
        <v>17</v>
      </c>
    </row>
    <row r="41" spans="2:7" hidden="1" x14ac:dyDescent="0.2">
      <c r="B41" s="39">
        <f>Discount_Rate</f>
        <v>6.6600000000000006E-2</v>
      </c>
    </row>
  </sheetData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laurieharris</cp:lastModifiedBy>
  <cp:lastPrinted>2016-03-10T18:55:45Z</cp:lastPrinted>
  <dcterms:created xsi:type="dcterms:W3CDTF">2006-07-10T20:43:15Z</dcterms:created>
  <dcterms:modified xsi:type="dcterms:W3CDTF">2016-03-14T13:54:58Z</dcterms:modified>
</cp:coreProperties>
</file>