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32" i="1" l="1"/>
  <c r="L30" i="1"/>
  <c r="AA28" i="1"/>
  <c r="T28" i="1" s="1"/>
  <c r="S28" i="1"/>
  <c r="R28" i="1"/>
  <c r="Q28" i="1"/>
  <c r="P28" i="1"/>
  <c r="O28" i="1"/>
  <c r="N28" i="1"/>
  <c r="M28" i="1"/>
  <c r="K28" i="1"/>
  <c r="H28" i="1"/>
  <c r="Y27" i="1"/>
  <c r="D27" i="1"/>
  <c r="H27" i="1" s="1"/>
  <c r="AA26" i="1"/>
  <c r="U26" i="1" s="1"/>
  <c r="X26" i="1"/>
  <c r="W26" i="1"/>
  <c r="O26" i="1"/>
  <c r="N26" i="1"/>
  <c r="J26" i="1"/>
  <c r="D26" i="1"/>
  <c r="H26" i="1" s="1"/>
  <c r="AA25" i="1"/>
  <c r="S25" i="1" s="1"/>
  <c r="X25" i="1"/>
  <c r="W25" i="1"/>
  <c r="V25" i="1"/>
  <c r="U25" i="1"/>
  <c r="T25" i="1"/>
  <c r="Q25" i="1"/>
  <c r="P25" i="1"/>
  <c r="O25" i="1"/>
  <c r="N25" i="1"/>
  <c r="M25" i="1"/>
  <c r="K25" i="1"/>
  <c r="D25" i="1"/>
  <c r="H25" i="1" s="1"/>
  <c r="AA24" i="1"/>
  <c r="W24" i="1" s="1"/>
  <c r="V24" i="1"/>
  <c r="U24" i="1"/>
  <c r="R24" i="1"/>
  <c r="Q24" i="1"/>
  <c r="N24" i="1"/>
  <c r="K24" i="1"/>
  <c r="D24" i="1"/>
  <c r="I22" i="1"/>
  <c r="C22" i="1"/>
  <c r="Y21" i="1"/>
  <c r="K21" i="1"/>
  <c r="D21" i="1"/>
  <c r="H21" i="1" s="1"/>
  <c r="AA20" i="1"/>
  <c r="W20" i="1" s="1"/>
  <c r="W22" i="1" s="1"/>
  <c r="V20" i="1"/>
  <c r="V22" i="1" s="1"/>
  <c r="U20" i="1"/>
  <c r="U22" i="1" s="1"/>
  <c r="R20" i="1"/>
  <c r="R22" i="1" s="1"/>
  <c r="K20" i="1"/>
  <c r="K22" i="1" s="1"/>
  <c r="J20" i="1"/>
  <c r="J22" i="1" s="1"/>
  <c r="B20" i="1"/>
  <c r="B22" i="1" s="1"/>
  <c r="I17" i="1"/>
  <c r="C17" i="1"/>
  <c r="AA16" i="1"/>
  <c r="U16" i="1" s="1"/>
  <c r="U17" i="1" s="1"/>
  <c r="X16" i="1"/>
  <c r="X17" i="1" s="1"/>
  <c r="W16" i="1"/>
  <c r="W17" i="1" s="1"/>
  <c r="V16" i="1"/>
  <c r="V17" i="1" s="1"/>
  <c r="T16" i="1"/>
  <c r="T17" i="1" s="1"/>
  <c r="S16" i="1"/>
  <c r="S17" i="1" s="1"/>
  <c r="R16" i="1"/>
  <c r="R17" i="1" s="1"/>
  <c r="O16" i="1"/>
  <c r="O17" i="1" s="1"/>
  <c r="N16" i="1"/>
  <c r="N17" i="1" s="1"/>
  <c r="K16" i="1"/>
  <c r="K17" i="1" s="1"/>
  <c r="J16" i="1"/>
  <c r="J17" i="1" s="1"/>
  <c r="C16" i="1"/>
  <c r="B16" i="1"/>
  <c r="D16" i="1" s="1"/>
  <c r="C13" i="1"/>
  <c r="C30" i="1" s="1"/>
  <c r="B13" i="1"/>
  <c r="AA12" i="1"/>
  <c r="AA13" i="1" s="1"/>
  <c r="X12" i="1"/>
  <c r="W12" i="1"/>
  <c r="V12" i="1"/>
  <c r="V13" i="1" s="1"/>
  <c r="U12" i="1"/>
  <c r="U13" i="1" s="1"/>
  <c r="T12" i="1"/>
  <c r="S12" i="1"/>
  <c r="R12" i="1"/>
  <c r="Q12" i="1"/>
  <c r="P12" i="1"/>
  <c r="O12" i="1"/>
  <c r="N12" i="1"/>
  <c r="N13" i="1" s="1"/>
  <c r="M12" i="1"/>
  <c r="M13" i="1" s="1"/>
  <c r="G12" i="1"/>
  <c r="F12" i="1"/>
  <c r="D12" i="1"/>
  <c r="Y11" i="1"/>
  <c r="D11" i="1"/>
  <c r="H11" i="1" s="1"/>
  <c r="Y10" i="1"/>
  <c r="K10" i="1"/>
  <c r="I10" i="1"/>
  <c r="I13" i="1" s="1"/>
  <c r="I30" i="1" s="1"/>
  <c r="D10" i="1"/>
  <c r="H10" i="1" s="1"/>
  <c r="Y9" i="1"/>
  <c r="J9" i="1"/>
  <c r="J13" i="1" s="1"/>
  <c r="D9" i="1"/>
  <c r="G9" i="1" s="1"/>
  <c r="X8" i="1"/>
  <c r="X13" i="1" s="1"/>
  <c r="W8" i="1"/>
  <c r="V8" i="1"/>
  <c r="U8" i="1"/>
  <c r="T8" i="1"/>
  <c r="S8" i="1"/>
  <c r="R8" i="1"/>
  <c r="Q8" i="1"/>
  <c r="P8" i="1"/>
  <c r="P13" i="1" s="1"/>
  <c r="O8" i="1"/>
  <c r="N8" i="1"/>
  <c r="M8" i="1"/>
  <c r="D8" i="1"/>
  <c r="E8" i="1" s="1"/>
  <c r="Y7" i="1"/>
  <c r="K7" i="1"/>
  <c r="K13" i="1" s="1"/>
  <c r="D7" i="1"/>
  <c r="H7" i="1" s="1"/>
  <c r="E9" i="1" l="1"/>
  <c r="U30" i="1"/>
  <c r="E13" i="1"/>
  <c r="S13" i="1"/>
  <c r="F9" i="1"/>
  <c r="H9" i="1" s="1"/>
  <c r="E24" i="1"/>
  <c r="P26" i="1"/>
  <c r="G8" i="1"/>
  <c r="G13" i="1" s="1"/>
  <c r="T13" i="1"/>
  <c r="F24" i="1"/>
  <c r="H24" i="1" s="1"/>
  <c r="R26" i="1"/>
  <c r="Y8" i="1"/>
  <c r="M20" i="1"/>
  <c r="M22" i="1" s="1"/>
  <c r="G24" i="1"/>
  <c r="S26" i="1"/>
  <c r="H12" i="1"/>
  <c r="Q13" i="1"/>
  <c r="N20" i="1"/>
  <c r="N22" i="1" s="1"/>
  <c r="N30" i="1" s="1"/>
  <c r="R25" i="1"/>
  <c r="Y25" i="1" s="1"/>
  <c r="T26" i="1"/>
  <c r="O13" i="1"/>
  <c r="W13" i="1"/>
  <c r="W30" i="1" s="1"/>
  <c r="E12" i="1"/>
  <c r="R13" i="1"/>
  <c r="P16" i="1"/>
  <c r="P17" i="1" s="1"/>
  <c r="B17" i="1"/>
  <c r="B30" i="1" s="1"/>
  <c r="Q20" i="1"/>
  <c r="Q22" i="1" s="1"/>
  <c r="M24" i="1"/>
  <c r="V26" i="1"/>
  <c r="V30" i="1" s="1"/>
  <c r="Y28" i="1"/>
  <c r="J30" i="1"/>
  <c r="K30" i="1"/>
  <c r="D17" i="1"/>
  <c r="G16" i="1"/>
  <c r="G17" i="1" s="1"/>
  <c r="F16" i="1"/>
  <c r="F17" i="1" s="1"/>
  <c r="E16" i="1"/>
  <c r="E17" i="1" s="1"/>
  <c r="AA22" i="1"/>
  <c r="AA30" i="1" s="1"/>
  <c r="F8" i="1"/>
  <c r="H8" i="1" s="1"/>
  <c r="H13" i="1" s="1"/>
  <c r="Y12" i="1"/>
  <c r="D13" i="1"/>
  <c r="AA17" i="1"/>
  <c r="P20" i="1"/>
  <c r="P22" i="1" s="1"/>
  <c r="T20" i="1"/>
  <c r="T22" i="1" s="1"/>
  <c r="X20" i="1"/>
  <c r="X22" i="1" s="1"/>
  <c r="P24" i="1"/>
  <c r="T24" i="1"/>
  <c r="X24" i="1"/>
  <c r="X30" i="1" s="1"/>
  <c r="D20" i="1"/>
  <c r="M16" i="1"/>
  <c r="Q16" i="1"/>
  <c r="Q17" i="1" s="1"/>
  <c r="O20" i="1"/>
  <c r="O22" i="1" s="1"/>
  <c r="S20" i="1"/>
  <c r="S22" i="1" s="1"/>
  <c r="O24" i="1"/>
  <c r="S24" i="1"/>
  <c r="M26" i="1"/>
  <c r="Q26" i="1"/>
  <c r="R30" i="1" l="1"/>
  <c r="T30" i="1"/>
  <c r="Y13" i="1"/>
  <c r="S30" i="1"/>
  <c r="F13" i="1"/>
  <c r="Q30" i="1"/>
  <c r="Y24" i="1"/>
  <c r="P30" i="1"/>
  <c r="M17" i="1"/>
  <c r="M30" i="1" s="1"/>
  <c r="Y16" i="1"/>
  <c r="Y17" i="1" s="1"/>
  <c r="H16" i="1"/>
  <c r="H17" i="1" s="1"/>
  <c r="E20" i="1"/>
  <c r="E22" i="1" s="1"/>
  <c r="E30" i="1" s="1"/>
  <c r="D22" i="1"/>
  <c r="D30" i="1" s="1"/>
  <c r="G20" i="1"/>
  <c r="G22" i="1" s="1"/>
  <c r="G30" i="1" s="1"/>
  <c r="F20" i="1"/>
  <c r="F22" i="1" s="1"/>
  <c r="F30" i="1" s="1"/>
  <c r="O30" i="1"/>
  <c r="Y26" i="1"/>
  <c r="Y20" i="1"/>
  <c r="Y22" i="1" s="1"/>
  <c r="Y30" i="1" l="1"/>
  <c r="H20" i="1"/>
  <c r="H22" i="1" s="1"/>
  <c r="H30" i="1" s="1"/>
  <c r="H33" i="1" s="1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Combined with legacy and expansion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Accruals are not broken out by sector. All WSB accruals will appear under Comm.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Actual expenditures post at program level</t>
        </r>
      </text>
    </comment>
  </commentList>
</comments>
</file>

<file path=xl/sharedStrings.xml><?xml version="1.0" encoding="utf-8"?>
<sst xmlns="http://schemas.openxmlformats.org/spreadsheetml/2006/main" count="46" uniqueCount="41">
  <si>
    <t>DSM Program Expenditures &amp; Revenues</t>
  </si>
  <si>
    <t>Forecast for approved programs only.</t>
  </si>
  <si>
    <t>YTD Balance</t>
  </si>
  <si>
    <t>Accrual</t>
  </si>
  <si>
    <t>Total thru</t>
  </si>
  <si>
    <t>Projected</t>
  </si>
  <si>
    <t>Nov 1, 2014</t>
  </si>
  <si>
    <t>June 2015</t>
  </si>
  <si>
    <t>Nov 2015</t>
  </si>
  <si>
    <t>Jan - Dec</t>
  </si>
  <si>
    <t>2016 Budget</t>
  </si>
  <si>
    <t>Sept 2015</t>
  </si>
  <si>
    <t>for Sept</t>
  </si>
  <si>
    <t>2015 charges</t>
  </si>
  <si>
    <t>Forecast</t>
  </si>
  <si>
    <t>2016 Totals</t>
  </si>
  <si>
    <t>Residential Programs</t>
  </si>
  <si>
    <t xml:space="preserve">A/C Load Control Program </t>
  </si>
  <si>
    <t>Low Income (Sch. 118)</t>
  </si>
  <si>
    <t>New Construction (Sch. 110)</t>
  </si>
  <si>
    <t>Home Energy Reports (Sch N/A)</t>
  </si>
  <si>
    <t>Refrigerator Recycle (Sch. 117)</t>
  </si>
  <si>
    <t>Home Energy Savings Incentive Prgm (Sch. 111)</t>
  </si>
  <si>
    <t>Commercial Sector Programs</t>
  </si>
  <si>
    <t xml:space="preserve"> </t>
  </si>
  <si>
    <t>wattsmart business (Sch. 140)</t>
  </si>
  <si>
    <t>Industrial Sector Programs</t>
  </si>
  <si>
    <t>Industrial Irrigation Load Control (Sch. N/A)</t>
  </si>
  <si>
    <t>Outreach and Communications</t>
  </si>
  <si>
    <t>Portfolio (Technical Reference Library &amp; DSM Central)</t>
  </si>
  <si>
    <t>Program Evaluation Cost</t>
  </si>
  <si>
    <t>Student Ambassador - University of Utah</t>
  </si>
  <si>
    <t>2016 Potential Study</t>
  </si>
  <si>
    <t>Total DSM Program Expenditures</t>
  </si>
  <si>
    <t>Deferred Acct</t>
  </si>
  <si>
    <t>Diff is Accrual at state level</t>
  </si>
  <si>
    <t>Notes:</t>
  </si>
  <si>
    <t>Sept 2015 actual expenditures</t>
  </si>
  <si>
    <t>Split for WSB portfolio program cost based on Sept YTD 2015 kWh savings (64%/36%).</t>
  </si>
  <si>
    <t>Bill credits are included in WSB program costs.</t>
  </si>
  <si>
    <t>Accruals added to capture full cost through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</si>
</sst>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2" applyFont="1" applyFill="1" applyAlignment="1" applyProtection="1">
      <protection locked="0"/>
    </xf>
    <xf numFmtId="37" fontId="3" fillId="0" borderId="0" xfId="2" applyNumberFormat="1" applyFont="1" applyFill="1" applyAlignment="1" applyProtection="1">
      <protection locked="0"/>
    </xf>
    <xf numFmtId="0" fontId="2" fillId="0" borderId="0" xfId="2" applyFont="1" applyFill="1"/>
    <xf numFmtId="0" fontId="3" fillId="0" borderId="0" xfId="2" applyFont="1" applyFill="1"/>
    <xf numFmtId="37" fontId="3" fillId="0" borderId="0" xfId="2" applyNumberFormat="1" applyFont="1" applyFill="1"/>
    <xf numFmtId="37" fontId="3" fillId="0" borderId="0" xfId="2" applyNumberFormat="1" applyFont="1" applyFill="1" applyAlignment="1">
      <alignment horizontal="center"/>
    </xf>
    <xf numFmtId="39" fontId="3" fillId="0" borderId="0" xfId="2" applyNumberFormat="1" applyFont="1" applyFill="1" applyBorder="1" applyAlignment="1">
      <alignment horizontal="center"/>
    </xf>
    <xf numFmtId="39" fontId="3" fillId="0" borderId="0" xfId="2" quotePrefix="1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37" fontId="3" fillId="0" borderId="0" xfId="2" quotePrefix="1" applyNumberFormat="1" applyFont="1" applyFill="1" applyAlignment="1">
      <alignment horizontal="center"/>
    </xf>
    <xf numFmtId="17" fontId="3" fillId="2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7" fontId="3" fillId="0" borderId="0" xfId="2" applyNumberFormat="1" applyFont="1" applyFill="1" applyBorder="1" applyAlignment="1">
      <alignment horizontal="center"/>
    </xf>
    <xf numFmtId="17" fontId="3" fillId="0" borderId="1" xfId="2" applyNumberFormat="1" applyFont="1" applyFill="1" applyBorder="1" applyAlignment="1">
      <alignment horizontal="center"/>
    </xf>
    <xf numFmtId="0" fontId="2" fillId="0" borderId="0" xfId="2" applyFont="1" applyFill="1" applyBorder="1"/>
    <xf numFmtId="37" fontId="2" fillId="0" borderId="0" xfId="2" applyNumberFormat="1" applyFont="1" applyFill="1"/>
    <xf numFmtId="164" fontId="2" fillId="0" borderId="0" xfId="3" applyNumberFormat="1" applyFont="1" applyFill="1"/>
    <xf numFmtId="37" fontId="3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left" indent="1"/>
    </xf>
    <xf numFmtId="37" fontId="2" fillId="0" borderId="0" xfId="2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 indent="1"/>
    </xf>
    <xf numFmtId="164" fontId="2" fillId="0" borderId="0" xfId="3" applyNumberFormat="1" applyFont="1" applyFill="1" applyBorder="1"/>
    <xf numFmtId="165" fontId="2" fillId="0" borderId="0" xfId="3" applyNumberFormat="1" applyFont="1" applyFill="1" applyBorder="1"/>
    <xf numFmtId="164" fontId="2" fillId="0" borderId="0" xfId="1" applyNumberFormat="1" applyFont="1" applyFill="1" applyAlignment="1">
      <alignment horizontal="left" indent="1"/>
    </xf>
    <xf numFmtId="164" fontId="2" fillId="0" borderId="0" xfId="1" applyNumberFormat="1" applyFont="1" applyFill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164" fontId="2" fillId="0" borderId="2" xfId="3" applyNumberFormat="1" applyFont="1" applyFill="1" applyBorder="1"/>
    <xf numFmtId="165" fontId="2" fillId="0" borderId="2" xfId="3" applyNumberFormat="1" applyFont="1" applyFill="1" applyBorder="1"/>
    <xf numFmtId="43" fontId="2" fillId="0" borderId="0" xfId="3" applyNumberFormat="1" applyFont="1" applyFill="1"/>
    <xf numFmtId="165" fontId="2" fillId="0" borderId="0" xfId="3" applyNumberFormat="1" applyFont="1" applyFill="1"/>
    <xf numFmtId="0" fontId="2" fillId="0" borderId="0" xfId="4" applyFont="1" applyFill="1" applyAlignment="1">
      <alignment horizontal="left" indent="1"/>
    </xf>
    <xf numFmtId="164" fontId="2" fillId="0" borderId="0" xfId="1" applyNumberFormat="1" applyFont="1" applyFill="1"/>
    <xf numFmtId="41" fontId="2" fillId="0" borderId="0" xfId="1" applyNumberFormat="1" applyFont="1" applyFill="1" applyAlignment="1">
      <alignment horizontal="left" indent="1"/>
    </xf>
    <xf numFmtId="164" fontId="2" fillId="0" borderId="0" xfId="2" applyNumberFormat="1" applyFont="1" applyFill="1"/>
    <xf numFmtId="164" fontId="2" fillId="0" borderId="0" xfId="1" applyNumberFormat="1" applyFont="1" applyFill="1" applyBorder="1"/>
    <xf numFmtId="0" fontId="3" fillId="0" borderId="0" xfId="2" quotePrefix="1" applyFont="1" applyFill="1" applyAlignment="1">
      <alignment horizontal="left"/>
    </xf>
    <xf numFmtId="166" fontId="3" fillId="0" borderId="0" xfId="5" applyNumberFormat="1" applyFont="1" applyFill="1" applyBorder="1"/>
    <xf numFmtId="165" fontId="3" fillId="0" borderId="0" xfId="5" applyNumberFormat="1" applyFont="1" applyFill="1" applyBorder="1"/>
    <xf numFmtId="0" fontId="3" fillId="0" borderId="0" xfId="2" applyFont="1" applyFill="1" applyBorder="1"/>
    <xf numFmtId="0" fontId="3" fillId="0" borderId="0" xfId="2" applyFont="1" applyFill="1" applyAlignment="1">
      <alignment horizontal="left"/>
    </xf>
    <xf numFmtId="164" fontId="2" fillId="0" borderId="0" xfId="3" applyNumberFormat="1" applyFont="1" applyFill="1" applyAlignment="1">
      <alignment horizontal="right"/>
    </xf>
    <xf numFmtId="3" fontId="2" fillId="0" borderId="0" xfId="3" applyNumberFormat="1" applyFont="1" applyFill="1" applyBorder="1"/>
    <xf numFmtId="0" fontId="2" fillId="0" borderId="0" xfId="2" applyFont="1" applyFill="1" applyAlignment="1">
      <alignment horizontal="right"/>
    </xf>
    <xf numFmtId="3" fontId="2" fillId="0" borderId="0" xfId="2" applyNumberFormat="1" applyFont="1" applyFill="1"/>
    <xf numFmtId="167" fontId="2" fillId="0" borderId="0" xfId="2" applyNumberFormat="1" applyFont="1" applyFill="1"/>
  </cellXfs>
  <cellStyles count="6">
    <cellStyle name="Comma" xfId="1" builtinId="3"/>
    <cellStyle name="Comma 2" xfId="3"/>
    <cellStyle name="Currency 2" xfId="5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0.collections\Nov%202015%20tariff%20rider%20increase\UT%20Deferred%20as%20of%20Sept%202015%20workpapers%2010-28-15%20w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Balancing acct"/>
      <sheetName val="Forecasted Bal Acct"/>
      <sheetName val="Projected Expense"/>
    </sheetNames>
    <sheetDataSet>
      <sheetData sheetId="0">
        <row r="51">
          <cell r="B51">
            <v>61182758.889999986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tabSelected="1" workbookViewId="0">
      <selection activeCell="K36" sqref="K36"/>
    </sheetView>
  </sheetViews>
  <sheetFormatPr defaultRowHeight="12.75" outlineLevelCol="1" x14ac:dyDescent="0.2"/>
  <cols>
    <col min="1" max="1" width="49.7109375" style="3" customWidth="1"/>
    <col min="2" max="2" width="14.42578125" style="17" hidden="1" customWidth="1" outlineLevel="1"/>
    <col min="3" max="3" width="11.42578125" style="17" hidden="1" customWidth="1" outlineLevel="1"/>
    <col min="4" max="4" width="11.42578125" style="17" customWidth="1" collapsed="1"/>
    <col min="5" max="6" width="12.42578125" style="3" bestFit="1" customWidth="1"/>
    <col min="7" max="7" width="12.42578125" style="3" customWidth="1"/>
    <col min="8" max="8" width="12.85546875" style="3" customWidth="1"/>
    <col min="9" max="10" width="12.140625" style="3" bestFit="1" customWidth="1"/>
    <col min="11" max="11" width="11.28515625" style="3" bestFit="1" customWidth="1"/>
    <col min="12" max="12" width="1.5703125" style="3" customWidth="1"/>
    <col min="13" max="13" width="11.140625" style="3" hidden="1" customWidth="1" outlineLevel="1"/>
    <col min="14" max="14" width="11.85546875" style="3" hidden="1" customWidth="1" outlineLevel="1"/>
    <col min="15" max="24" width="11.140625" style="3" hidden="1" customWidth="1" outlineLevel="1"/>
    <col min="25" max="25" width="12.140625" style="3" bestFit="1" customWidth="1" collapsed="1"/>
    <col min="26" max="26" width="1.7109375" style="3" customWidth="1"/>
    <col min="27" max="27" width="13" style="3" bestFit="1" customWidth="1"/>
    <col min="28" max="28" width="9.140625" style="3" customWidth="1"/>
    <col min="29" max="29" width="12.140625" style="3" bestFit="1" customWidth="1"/>
    <col min="30" max="16384" width="9.140625" style="3"/>
  </cols>
  <sheetData>
    <row r="1" spans="1:37" x14ac:dyDescent="0.2">
      <c r="A1" s="1"/>
      <c r="B1" s="2"/>
      <c r="C1" s="2"/>
      <c r="D1" s="2"/>
    </row>
    <row r="2" spans="1:37" x14ac:dyDescent="0.2">
      <c r="A2" s="4" t="s">
        <v>0</v>
      </c>
      <c r="B2" s="5"/>
      <c r="C2" s="5"/>
      <c r="D2" s="5"/>
      <c r="N2" s="4" t="s">
        <v>1</v>
      </c>
    </row>
    <row r="3" spans="1:37" x14ac:dyDescent="0.2">
      <c r="B3" s="6" t="s">
        <v>2</v>
      </c>
      <c r="C3" s="6" t="s">
        <v>3</v>
      </c>
      <c r="D3" s="6" t="s">
        <v>4</v>
      </c>
      <c r="H3" s="7" t="s">
        <v>5</v>
      </c>
      <c r="I3" s="8" t="s">
        <v>6</v>
      </c>
      <c r="J3" s="8" t="s">
        <v>7</v>
      </c>
      <c r="K3" s="8" t="s">
        <v>8</v>
      </c>
      <c r="Y3" s="9" t="s">
        <v>9</v>
      </c>
      <c r="AA3" s="9" t="s">
        <v>10</v>
      </c>
    </row>
    <row r="4" spans="1:37" x14ac:dyDescent="0.2">
      <c r="B4" s="10" t="s">
        <v>11</v>
      </c>
      <c r="C4" s="10" t="s">
        <v>12</v>
      </c>
      <c r="D4" s="10" t="s">
        <v>11</v>
      </c>
      <c r="E4" s="11">
        <v>42278</v>
      </c>
      <c r="F4" s="11">
        <v>42309</v>
      </c>
      <c r="G4" s="11">
        <v>42339</v>
      </c>
      <c r="H4" s="12" t="s">
        <v>13</v>
      </c>
      <c r="I4" s="13" t="s">
        <v>14</v>
      </c>
      <c r="J4" s="13" t="s">
        <v>14</v>
      </c>
      <c r="K4" s="13" t="s">
        <v>14</v>
      </c>
      <c r="L4" s="14"/>
      <c r="M4" s="11">
        <v>42370</v>
      </c>
      <c r="N4" s="11">
        <v>42401</v>
      </c>
      <c r="O4" s="11">
        <v>42430</v>
      </c>
      <c r="P4" s="11">
        <v>42461</v>
      </c>
      <c r="Q4" s="11">
        <v>42491</v>
      </c>
      <c r="R4" s="11">
        <v>42522</v>
      </c>
      <c r="S4" s="11">
        <v>42552</v>
      </c>
      <c r="T4" s="11">
        <v>42583</v>
      </c>
      <c r="U4" s="11">
        <v>42614</v>
      </c>
      <c r="V4" s="11">
        <v>42644</v>
      </c>
      <c r="W4" s="11">
        <v>42675</v>
      </c>
      <c r="X4" s="11">
        <v>42705</v>
      </c>
      <c r="Y4" s="15" t="s">
        <v>15</v>
      </c>
      <c r="Z4" s="16"/>
      <c r="AA4" s="13" t="s">
        <v>14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">
      <c r="E5" s="14"/>
      <c r="F5" s="14"/>
      <c r="G5" s="14"/>
      <c r="H5" s="13"/>
      <c r="I5" s="13"/>
      <c r="J5" s="13"/>
      <c r="K5" s="13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6"/>
      <c r="AA5" s="18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2">
      <c r="A6" s="4" t="s">
        <v>16</v>
      </c>
      <c r="B6" s="19"/>
      <c r="C6" s="19"/>
      <c r="D6" s="19"/>
      <c r="E6" s="16"/>
      <c r="F6" s="16"/>
      <c r="G6" s="16"/>
      <c r="H6" s="16"/>
      <c r="I6" s="16"/>
      <c r="J6" s="16"/>
      <c r="K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AA6" s="18"/>
    </row>
    <row r="7" spans="1:37" x14ac:dyDescent="0.2">
      <c r="A7" s="20" t="s">
        <v>17</v>
      </c>
      <c r="B7" s="21">
        <v>1734825.83</v>
      </c>
      <c r="C7" s="21">
        <v>531970</v>
      </c>
      <c r="D7" s="21">
        <f t="shared" ref="D7:D12" si="0">SUM(B7:C7)</f>
        <v>2266795.83</v>
      </c>
      <c r="E7" s="22">
        <v>170000</v>
      </c>
      <c r="F7" s="22">
        <v>2293212</v>
      </c>
      <c r="G7" s="22">
        <v>190000</v>
      </c>
      <c r="H7" s="23">
        <f t="shared" ref="H7:H12" si="1">SUM(D7:G7)</f>
        <v>4920007.83</v>
      </c>
      <c r="I7" s="23">
        <v>4950008</v>
      </c>
      <c r="J7" s="23">
        <v>4950008</v>
      </c>
      <c r="K7" s="23">
        <f>+J7-30000</f>
        <v>4920008</v>
      </c>
      <c r="M7" s="23">
        <v>323823</v>
      </c>
      <c r="N7" s="23">
        <v>323823</v>
      </c>
      <c r="O7" s="23">
        <v>323823</v>
      </c>
      <c r="P7" s="23">
        <v>323823</v>
      </c>
      <c r="Q7" s="23">
        <v>323823</v>
      </c>
      <c r="R7" s="23">
        <v>323823</v>
      </c>
      <c r="S7" s="23">
        <v>323828</v>
      </c>
      <c r="T7" s="23">
        <v>323823</v>
      </c>
      <c r="U7" s="23">
        <v>323823</v>
      </c>
      <c r="V7" s="23">
        <v>323823</v>
      </c>
      <c r="W7" s="23">
        <v>2743823</v>
      </c>
      <c r="X7" s="23">
        <v>323823</v>
      </c>
      <c r="Y7" s="24">
        <f t="shared" ref="Y7:Y12" si="2">SUM(M7:X7)</f>
        <v>6305881</v>
      </c>
      <c r="AA7" s="18">
        <v>6305881</v>
      </c>
    </row>
    <row r="8" spans="1:37" x14ac:dyDescent="0.2">
      <c r="A8" s="20" t="s">
        <v>18</v>
      </c>
      <c r="B8" s="21">
        <v>47796.56</v>
      </c>
      <c r="C8" s="21">
        <v>6177</v>
      </c>
      <c r="D8" s="21">
        <f t="shared" si="0"/>
        <v>53973.56</v>
      </c>
      <c r="E8" s="25">
        <f>+(+$K$8-$D$8)/3</f>
        <v>5342.1466666666674</v>
      </c>
      <c r="F8" s="25">
        <f>+(+$K$8-$D$8)/3</f>
        <v>5342.1466666666674</v>
      </c>
      <c r="G8" s="25">
        <f>+(+$K$8-$D$8)/3</f>
        <v>5342.1466666666674</v>
      </c>
      <c r="H8" s="23">
        <f t="shared" si="1"/>
        <v>70000</v>
      </c>
      <c r="I8" s="23">
        <v>180000</v>
      </c>
      <c r="J8" s="23">
        <v>135000</v>
      </c>
      <c r="K8" s="23">
        <v>70000</v>
      </c>
      <c r="M8" s="18">
        <f>+$AA$8/12</f>
        <v>11250</v>
      </c>
      <c r="N8" s="18">
        <f t="shared" ref="N8:X8" si="3">+$AA$8/12</f>
        <v>11250</v>
      </c>
      <c r="O8" s="18">
        <f t="shared" si="3"/>
        <v>11250</v>
      </c>
      <c r="P8" s="18">
        <f t="shared" si="3"/>
        <v>11250</v>
      </c>
      <c r="Q8" s="18">
        <f t="shared" si="3"/>
        <v>11250</v>
      </c>
      <c r="R8" s="18">
        <f t="shared" si="3"/>
        <v>11250</v>
      </c>
      <c r="S8" s="18">
        <f t="shared" si="3"/>
        <v>11250</v>
      </c>
      <c r="T8" s="18">
        <f t="shared" si="3"/>
        <v>11250</v>
      </c>
      <c r="U8" s="18">
        <f t="shared" si="3"/>
        <v>11250</v>
      </c>
      <c r="V8" s="18">
        <f t="shared" si="3"/>
        <v>11250</v>
      </c>
      <c r="W8" s="18">
        <f t="shared" si="3"/>
        <v>11250</v>
      </c>
      <c r="X8" s="18">
        <f t="shared" si="3"/>
        <v>11250</v>
      </c>
      <c r="Y8" s="24">
        <f t="shared" si="2"/>
        <v>135000</v>
      </c>
      <c r="AA8" s="18">
        <v>135000</v>
      </c>
    </row>
    <row r="9" spans="1:37" x14ac:dyDescent="0.2">
      <c r="A9" s="20" t="s">
        <v>19</v>
      </c>
      <c r="B9" s="21">
        <v>1449535.11</v>
      </c>
      <c r="C9" s="21">
        <v>177857.24</v>
      </c>
      <c r="D9" s="21">
        <f t="shared" si="0"/>
        <v>1627392.35</v>
      </c>
      <c r="E9" s="25">
        <f>(1846827-$D$9)/3</f>
        <v>73144.883333333302</v>
      </c>
      <c r="F9" s="25">
        <f>(1846827-$D$9)/3</f>
        <v>73144.883333333302</v>
      </c>
      <c r="G9" s="25">
        <f>(1846827-$D$9)/3</f>
        <v>73144.883333333302</v>
      </c>
      <c r="H9" s="23">
        <f t="shared" si="1"/>
        <v>1846827</v>
      </c>
      <c r="I9" s="23">
        <v>1570000</v>
      </c>
      <c r="J9" s="23">
        <f>1570000+230482+40000</f>
        <v>1840482</v>
      </c>
      <c r="K9" s="23">
        <v>1846827</v>
      </c>
      <c r="M9" s="18">
        <v>129542</v>
      </c>
      <c r="N9" s="18">
        <v>119542</v>
      </c>
      <c r="O9" s="18">
        <v>129541</v>
      </c>
      <c r="P9" s="18">
        <v>119542</v>
      </c>
      <c r="Q9" s="18">
        <v>129542</v>
      </c>
      <c r="R9" s="18">
        <v>154542</v>
      </c>
      <c r="S9" s="18">
        <v>144542</v>
      </c>
      <c r="T9" s="18">
        <v>144542</v>
      </c>
      <c r="U9" s="18">
        <v>154542</v>
      </c>
      <c r="V9" s="18">
        <v>154542</v>
      </c>
      <c r="W9" s="18">
        <v>149542</v>
      </c>
      <c r="X9" s="18">
        <v>205544</v>
      </c>
      <c r="Y9" s="24">
        <f t="shared" si="2"/>
        <v>1735505</v>
      </c>
      <c r="AA9" s="18">
        <v>1735505</v>
      </c>
    </row>
    <row r="10" spans="1:37" x14ac:dyDescent="0.2">
      <c r="A10" s="20" t="s">
        <v>20</v>
      </c>
      <c r="B10" s="21">
        <v>2053760.65</v>
      </c>
      <c r="C10" s="21"/>
      <c r="D10" s="21">
        <f t="shared" si="0"/>
        <v>2053760.65</v>
      </c>
      <c r="E10" s="22">
        <v>12000</v>
      </c>
      <c r="F10" s="22">
        <v>230907</v>
      </c>
      <c r="G10" s="22">
        <v>450000</v>
      </c>
      <c r="H10" s="23">
        <f t="shared" si="1"/>
        <v>2746667.65</v>
      </c>
      <c r="I10" s="23">
        <f>853626+1830472</f>
        <v>2684098</v>
      </c>
      <c r="J10" s="23">
        <v>2776668</v>
      </c>
      <c r="K10" s="23">
        <f>+J10-30000</f>
        <v>2746668</v>
      </c>
      <c r="M10" s="18">
        <v>712153</v>
      </c>
      <c r="N10" s="18">
        <v>2465</v>
      </c>
      <c r="O10" s="18">
        <v>2465</v>
      </c>
      <c r="P10" s="18">
        <v>636709</v>
      </c>
      <c r="Q10" s="18">
        <v>2465</v>
      </c>
      <c r="R10" s="18">
        <v>2465</v>
      </c>
      <c r="S10" s="18">
        <v>636709</v>
      </c>
      <c r="T10" s="18">
        <v>2465</v>
      </c>
      <c r="U10" s="18">
        <v>2460</v>
      </c>
      <c r="V10" s="18">
        <v>636709</v>
      </c>
      <c r="W10" s="18">
        <v>2465</v>
      </c>
      <c r="X10" s="18">
        <v>2465</v>
      </c>
      <c r="Y10" s="24">
        <f>SUM(M10:X10)</f>
        <v>2641995</v>
      </c>
      <c r="AA10" s="18">
        <v>2641995</v>
      </c>
    </row>
    <row r="11" spans="1:37" x14ac:dyDescent="0.2">
      <c r="A11" s="20" t="s">
        <v>21</v>
      </c>
      <c r="B11" s="21">
        <v>791408.57</v>
      </c>
      <c r="C11" s="21">
        <v>287995.76</v>
      </c>
      <c r="D11" s="21">
        <f t="shared" si="0"/>
        <v>1079404.33</v>
      </c>
      <c r="E11" s="22">
        <v>107343</v>
      </c>
      <c r="F11" s="26">
        <v>94431</v>
      </c>
      <c r="G11" s="26">
        <v>81518</v>
      </c>
      <c r="H11" s="23">
        <f t="shared" si="1"/>
        <v>1362696.33</v>
      </c>
      <c r="I11" s="23">
        <v>2169592</v>
      </c>
      <c r="J11" s="23">
        <v>1502265</v>
      </c>
      <c r="K11" s="23">
        <v>1362696</v>
      </c>
      <c r="M11" s="18">
        <v>82724</v>
      </c>
      <c r="N11" s="18">
        <v>67596</v>
      </c>
      <c r="O11" s="18">
        <v>112981</v>
      </c>
      <c r="P11" s="18">
        <v>128110</v>
      </c>
      <c r="Q11" s="18">
        <v>158367</v>
      </c>
      <c r="R11" s="18">
        <v>158367</v>
      </c>
      <c r="S11" s="18">
        <v>188623</v>
      </c>
      <c r="T11" s="18">
        <v>173495</v>
      </c>
      <c r="U11" s="18">
        <v>158369</v>
      </c>
      <c r="V11" s="18">
        <v>143238</v>
      </c>
      <c r="W11" s="18">
        <v>112981</v>
      </c>
      <c r="X11" s="18">
        <v>112978</v>
      </c>
      <c r="Y11" s="24">
        <f t="shared" si="2"/>
        <v>1597829</v>
      </c>
      <c r="AA11" s="18">
        <v>1597829</v>
      </c>
    </row>
    <row r="12" spans="1:37" x14ac:dyDescent="0.2">
      <c r="A12" s="20" t="s">
        <v>22</v>
      </c>
      <c r="B12" s="21">
        <v>15370854.800000001</v>
      </c>
      <c r="C12" s="21">
        <v>1931656.08</v>
      </c>
      <c r="D12" s="21">
        <f t="shared" si="0"/>
        <v>17302510.880000003</v>
      </c>
      <c r="E12" s="25">
        <f>(20347816-$D$12)/3</f>
        <v>1015101.7066666657</v>
      </c>
      <c r="F12" s="25">
        <f>(20347816-$D$12)/3</f>
        <v>1015101.7066666657</v>
      </c>
      <c r="G12" s="25">
        <f>(20347816-$D$12)/3</f>
        <v>1015101.7066666657</v>
      </c>
      <c r="H12" s="23">
        <f t="shared" si="1"/>
        <v>20347816.000000004</v>
      </c>
      <c r="I12" s="23">
        <v>20347816</v>
      </c>
      <c r="J12" s="23">
        <v>20347816</v>
      </c>
      <c r="K12" s="23">
        <v>20347816</v>
      </c>
      <c r="M12" s="18">
        <f>622780-100000</f>
        <v>522780</v>
      </c>
      <c r="N12" s="18">
        <f>949048-100000</f>
        <v>849048</v>
      </c>
      <c r="O12" s="18">
        <f>1311898-100000</f>
        <v>1211898</v>
      </c>
      <c r="P12" s="18">
        <f>1720107-100000</f>
        <v>1620107</v>
      </c>
      <c r="Q12" s="18">
        <f>1149020-100000</f>
        <v>1049020</v>
      </c>
      <c r="R12" s="18">
        <f>1161397-100000</f>
        <v>1061397</v>
      </c>
      <c r="S12" s="18">
        <f>1131351-100000</f>
        <v>1031351</v>
      </c>
      <c r="T12" s="18">
        <f>1096493-100000</f>
        <v>996493</v>
      </c>
      <c r="U12" s="18">
        <f>1331059-100000</f>
        <v>1231059</v>
      </c>
      <c r="V12" s="18">
        <f>1214155-100000</f>
        <v>1114155</v>
      </c>
      <c r="W12" s="18">
        <f>1580500-100000</f>
        <v>1480500</v>
      </c>
      <c r="X12" s="18">
        <f>2190688-100000</f>
        <v>2090688</v>
      </c>
      <c r="Y12" s="24">
        <f t="shared" si="2"/>
        <v>14258496</v>
      </c>
      <c r="AA12" s="18">
        <f>15458496-1200000</f>
        <v>14258496</v>
      </c>
    </row>
    <row r="13" spans="1:37" x14ac:dyDescent="0.2">
      <c r="A13" s="9"/>
      <c r="B13" s="27">
        <f t="shared" ref="B13:K13" si="4">SUM(B7:B12)</f>
        <v>21448181.520000003</v>
      </c>
      <c r="C13" s="27">
        <f t="shared" si="4"/>
        <v>2935656.08</v>
      </c>
      <c r="D13" s="27">
        <f t="shared" si="4"/>
        <v>24383837.600000001</v>
      </c>
      <c r="E13" s="28">
        <f t="shared" si="4"/>
        <v>1382931.7366666656</v>
      </c>
      <c r="F13" s="28">
        <f t="shared" si="4"/>
        <v>3712138.7366666654</v>
      </c>
      <c r="G13" s="28">
        <f t="shared" si="4"/>
        <v>1815106.7366666659</v>
      </c>
      <c r="H13" s="28">
        <f t="shared" si="4"/>
        <v>31294014.810000002</v>
      </c>
      <c r="I13" s="28">
        <f t="shared" si="4"/>
        <v>31901514</v>
      </c>
      <c r="J13" s="28">
        <f t="shared" si="4"/>
        <v>31552239</v>
      </c>
      <c r="K13" s="28">
        <f t="shared" si="4"/>
        <v>31294015</v>
      </c>
      <c r="M13" s="28">
        <f t="shared" ref="M13:Y13" si="5">SUM(M7:M12)</f>
        <v>1782272</v>
      </c>
      <c r="N13" s="28">
        <f t="shared" si="5"/>
        <v>1373724</v>
      </c>
      <c r="O13" s="28">
        <f t="shared" si="5"/>
        <v>1791958</v>
      </c>
      <c r="P13" s="28">
        <f t="shared" si="5"/>
        <v>2839541</v>
      </c>
      <c r="Q13" s="28">
        <f t="shared" si="5"/>
        <v>1674467</v>
      </c>
      <c r="R13" s="28">
        <f t="shared" si="5"/>
        <v>1711844</v>
      </c>
      <c r="S13" s="28">
        <f t="shared" si="5"/>
        <v>2336303</v>
      </c>
      <c r="T13" s="28">
        <f t="shared" si="5"/>
        <v>1652068</v>
      </c>
      <c r="U13" s="28">
        <f t="shared" si="5"/>
        <v>1881503</v>
      </c>
      <c r="V13" s="28">
        <f t="shared" si="5"/>
        <v>2383717</v>
      </c>
      <c r="W13" s="28">
        <f t="shared" si="5"/>
        <v>4500561</v>
      </c>
      <c r="X13" s="28">
        <f t="shared" si="5"/>
        <v>2746748</v>
      </c>
      <c r="Y13" s="29">
        <f t="shared" si="5"/>
        <v>26674706</v>
      </c>
      <c r="AA13" s="29">
        <f>SUM(AA7:AA12)</f>
        <v>26674706</v>
      </c>
    </row>
    <row r="14" spans="1:37" x14ac:dyDescent="0.2">
      <c r="B14" s="21"/>
      <c r="C14" s="21"/>
      <c r="D14" s="21"/>
      <c r="E14" s="18"/>
      <c r="F14" s="18"/>
      <c r="G14" s="18"/>
      <c r="H14" s="18"/>
      <c r="I14" s="18"/>
      <c r="J14" s="18"/>
      <c r="K14" s="18"/>
      <c r="M14" s="3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1"/>
      <c r="AA14" s="18"/>
    </row>
    <row r="15" spans="1:37" x14ac:dyDescent="0.2">
      <c r="A15" s="4" t="s">
        <v>23</v>
      </c>
      <c r="B15" s="19"/>
      <c r="C15" s="19"/>
      <c r="D15" s="19"/>
      <c r="E15" s="18"/>
      <c r="F15" s="18"/>
      <c r="G15" s="18"/>
      <c r="H15" s="18"/>
      <c r="I15" s="18"/>
      <c r="J15" s="18"/>
      <c r="K15" s="18"/>
      <c r="M15" s="18" t="s">
        <v>24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1"/>
      <c r="AA15" s="18"/>
    </row>
    <row r="16" spans="1:37" x14ac:dyDescent="0.2">
      <c r="A16" s="32" t="s">
        <v>25</v>
      </c>
      <c r="B16" s="21">
        <f>14548677.33+(3968576.53*0.64)</f>
        <v>17088566.3092</v>
      </c>
      <c r="C16" s="21">
        <f>125723.94+212217.33+1333976.92</f>
        <v>1671918.19</v>
      </c>
      <c r="D16" s="21">
        <f>SUM(B16:C16)</f>
        <v>18760484.499200001</v>
      </c>
      <c r="E16" s="25">
        <f>(20480000-$D$16)/3</f>
        <v>573171.83359999955</v>
      </c>
      <c r="F16" s="25">
        <f>(20480000-$D$16)/3</f>
        <v>573171.83359999955</v>
      </c>
      <c r="G16" s="25">
        <f>(20480000-$D$16)/3</f>
        <v>573171.83359999955</v>
      </c>
      <c r="H16" s="23">
        <f>SUM(D16:G16)</f>
        <v>20480000</v>
      </c>
      <c r="I16" s="23">
        <v>16127023</v>
      </c>
      <c r="J16" s="23">
        <f>29000000*0.7</f>
        <v>20300000</v>
      </c>
      <c r="K16" s="23">
        <f>32000000*0.64</f>
        <v>20480000</v>
      </c>
      <c r="M16" s="18">
        <f>+$AA$16/12</f>
        <v>1950341.39</v>
      </c>
      <c r="N16" s="18">
        <f t="shared" ref="N16:X16" si="6">+$AA$16/12</f>
        <v>1950341.39</v>
      </c>
      <c r="O16" s="18">
        <f t="shared" si="6"/>
        <v>1950341.39</v>
      </c>
      <c r="P16" s="18">
        <f t="shared" si="6"/>
        <v>1950341.39</v>
      </c>
      <c r="Q16" s="18">
        <f t="shared" si="6"/>
        <v>1950341.39</v>
      </c>
      <c r="R16" s="18">
        <f t="shared" si="6"/>
        <v>1950341.39</v>
      </c>
      <c r="S16" s="18">
        <f t="shared" si="6"/>
        <v>1950341.39</v>
      </c>
      <c r="T16" s="18">
        <f t="shared" si="6"/>
        <v>1950341.39</v>
      </c>
      <c r="U16" s="18">
        <f t="shared" si="6"/>
        <v>1950341.39</v>
      </c>
      <c r="V16" s="18">
        <f t="shared" si="6"/>
        <v>1950341.39</v>
      </c>
      <c r="W16" s="18">
        <f t="shared" si="6"/>
        <v>1950341.39</v>
      </c>
      <c r="X16" s="18">
        <f t="shared" si="6"/>
        <v>1950341.39</v>
      </c>
      <c r="Y16" s="24">
        <f>SUM(M16:X16)</f>
        <v>23404096.680000003</v>
      </c>
      <c r="AA16" s="18">
        <f>+((36166392-2848905-1200000)*0.64)+2848905</f>
        <v>23404096.68</v>
      </c>
      <c r="AC16" s="33"/>
    </row>
    <row r="17" spans="1:29" x14ac:dyDescent="0.2">
      <c r="A17" s="9"/>
      <c r="B17" s="27">
        <f t="shared" ref="B17:K17" si="7">SUM(B16:B16)</f>
        <v>17088566.3092</v>
      </c>
      <c r="C17" s="27">
        <f t="shared" si="7"/>
        <v>1671918.19</v>
      </c>
      <c r="D17" s="27">
        <f t="shared" si="7"/>
        <v>18760484.499200001</v>
      </c>
      <c r="E17" s="27">
        <f t="shared" si="7"/>
        <v>573171.83359999955</v>
      </c>
      <c r="F17" s="27">
        <f t="shared" si="7"/>
        <v>573171.83359999955</v>
      </c>
      <c r="G17" s="27">
        <f t="shared" si="7"/>
        <v>573171.83359999955</v>
      </c>
      <c r="H17" s="27">
        <f t="shared" si="7"/>
        <v>20480000</v>
      </c>
      <c r="I17" s="27">
        <f t="shared" si="7"/>
        <v>16127023</v>
      </c>
      <c r="J17" s="27">
        <f t="shared" si="7"/>
        <v>20300000</v>
      </c>
      <c r="K17" s="27">
        <f t="shared" si="7"/>
        <v>20480000</v>
      </c>
      <c r="M17" s="28">
        <f t="shared" ref="M17:Y17" si="8">SUM(M16:M16)</f>
        <v>1950341.39</v>
      </c>
      <c r="N17" s="28">
        <f t="shared" si="8"/>
        <v>1950341.39</v>
      </c>
      <c r="O17" s="28">
        <f t="shared" si="8"/>
        <v>1950341.39</v>
      </c>
      <c r="P17" s="28">
        <f t="shared" si="8"/>
        <v>1950341.39</v>
      </c>
      <c r="Q17" s="28">
        <f t="shared" si="8"/>
        <v>1950341.39</v>
      </c>
      <c r="R17" s="28">
        <f t="shared" si="8"/>
        <v>1950341.39</v>
      </c>
      <c r="S17" s="28">
        <f t="shared" si="8"/>
        <v>1950341.39</v>
      </c>
      <c r="T17" s="28">
        <f t="shared" si="8"/>
        <v>1950341.39</v>
      </c>
      <c r="U17" s="28">
        <f t="shared" si="8"/>
        <v>1950341.39</v>
      </c>
      <c r="V17" s="28">
        <f t="shared" si="8"/>
        <v>1950341.39</v>
      </c>
      <c r="W17" s="28">
        <f t="shared" si="8"/>
        <v>1950341.39</v>
      </c>
      <c r="X17" s="28">
        <f t="shared" si="8"/>
        <v>1950341.39</v>
      </c>
      <c r="Y17" s="29">
        <f t="shared" si="8"/>
        <v>23404096.680000003</v>
      </c>
      <c r="AA17" s="29">
        <f>SUM(AA16:AA16)</f>
        <v>23404096.68</v>
      </c>
      <c r="AC17" s="33"/>
    </row>
    <row r="18" spans="1:29" x14ac:dyDescent="0.2">
      <c r="B18" s="21"/>
      <c r="C18" s="21"/>
      <c r="D18" s="21"/>
      <c r="E18" s="18"/>
      <c r="F18" s="18"/>
      <c r="G18" s="18"/>
      <c r="H18" s="18"/>
      <c r="I18" s="18"/>
      <c r="J18" s="18"/>
      <c r="K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1"/>
      <c r="AA18" s="18"/>
      <c r="AC18" s="33"/>
    </row>
    <row r="19" spans="1:29" x14ac:dyDescent="0.2">
      <c r="A19" s="4" t="s">
        <v>26</v>
      </c>
      <c r="B19" s="19"/>
      <c r="C19" s="19"/>
      <c r="D19" s="19"/>
      <c r="E19" s="18"/>
      <c r="F19" s="18"/>
      <c r="G19" s="18"/>
      <c r="H19" s="18"/>
      <c r="I19" s="18"/>
      <c r="J19" s="18"/>
      <c r="K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1"/>
      <c r="AA19" s="18"/>
      <c r="AC19" s="33"/>
    </row>
    <row r="20" spans="1:29" x14ac:dyDescent="0.2">
      <c r="A20" s="32" t="s">
        <v>25</v>
      </c>
      <c r="B20" s="21">
        <f>4649054.74+(3968576.53*0.36)</f>
        <v>6077742.2907999996</v>
      </c>
      <c r="C20" s="21">
        <v>141798.23000000001</v>
      </c>
      <c r="D20" s="21">
        <f>SUM(B20:C20)</f>
        <v>6219540.5208000001</v>
      </c>
      <c r="E20" s="25">
        <f>(11520000-$D$20)/3</f>
        <v>1766819.8263999999</v>
      </c>
      <c r="F20" s="25">
        <f>(11520000-$D$20)/3</f>
        <v>1766819.8263999999</v>
      </c>
      <c r="G20" s="25">
        <f>(11520000-$D$20)/3</f>
        <v>1766819.8263999999</v>
      </c>
      <c r="H20" s="23">
        <f>SUM(D20:G20)</f>
        <v>11520000</v>
      </c>
      <c r="I20" s="23">
        <v>8683778</v>
      </c>
      <c r="J20" s="23">
        <f>29000000*0.3</f>
        <v>8700000</v>
      </c>
      <c r="K20" s="23">
        <f>32000000*0.36</f>
        <v>11520000</v>
      </c>
      <c r="M20" s="18">
        <f>+$AA$20/12</f>
        <v>963524.61</v>
      </c>
      <c r="N20" s="18">
        <f t="shared" ref="N20:X20" si="9">+$AA$20/12</f>
        <v>963524.61</v>
      </c>
      <c r="O20" s="18">
        <f t="shared" si="9"/>
        <v>963524.61</v>
      </c>
      <c r="P20" s="18">
        <f t="shared" si="9"/>
        <v>963524.61</v>
      </c>
      <c r="Q20" s="18">
        <f t="shared" si="9"/>
        <v>963524.61</v>
      </c>
      <c r="R20" s="18">
        <f t="shared" si="9"/>
        <v>963524.61</v>
      </c>
      <c r="S20" s="18">
        <f t="shared" si="9"/>
        <v>963524.61</v>
      </c>
      <c r="T20" s="18">
        <f t="shared" si="9"/>
        <v>963524.61</v>
      </c>
      <c r="U20" s="18">
        <f t="shared" si="9"/>
        <v>963524.61</v>
      </c>
      <c r="V20" s="18">
        <f t="shared" si="9"/>
        <v>963524.61</v>
      </c>
      <c r="W20" s="18">
        <f t="shared" si="9"/>
        <v>963524.61</v>
      </c>
      <c r="X20" s="18">
        <f t="shared" si="9"/>
        <v>963524.61</v>
      </c>
      <c r="Y20" s="24">
        <f>SUM(M20:X20)</f>
        <v>11562295.319999998</v>
      </c>
      <c r="AA20" s="18">
        <f>+(36166392-2848905-1200000)*0.36</f>
        <v>11562295.32</v>
      </c>
      <c r="AC20" s="33"/>
    </row>
    <row r="21" spans="1:29" x14ac:dyDescent="0.2">
      <c r="A21" s="32" t="s">
        <v>27</v>
      </c>
      <c r="B21" s="21">
        <v>15180.19</v>
      </c>
      <c r="C21" s="21"/>
      <c r="D21" s="21">
        <f>SUM(B21:C21)</f>
        <v>15180.19</v>
      </c>
      <c r="E21" s="34">
        <v>480258</v>
      </c>
      <c r="F21" s="25">
        <v>3000</v>
      </c>
      <c r="G21" s="25">
        <v>2500</v>
      </c>
      <c r="H21" s="23">
        <f>SUM(D21:G21)</f>
        <v>500938.19</v>
      </c>
      <c r="I21" s="23">
        <v>1400002</v>
      </c>
      <c r="J21" s="23">
        <v>940938</v>
      </c>
      <c r="K21" s="23">
        <f>+J21-440000</f>
        <v>500938</v>
      </c>
      <c r="M21" s="18">
        <v>4167</v>
      </c>
      <c r="N21" s="18">
        <v>4167</v>
      </c>
      <c r="O21" s="18">
        <v>4167</v>
      </c>
      <c r="P21" s="18">
        <v>4167</v>
      </c>
      <c r="Q21" s="18">
        <v>4167</v>
      </c>
      <c r="R21" s="18">
        <v>4167</v>
      </c>
      <c r="S21" s="18">
        <v>4167</v>
      </c>
      <c r="T21" s="18">
        <v>4167</v>
      </c>
      <c r="U21" s="18">
        <v>906868</v>
      </c>
      <c r="V21" s="18">
        <v>4167</v>
      </c>
      <c r="W21" s="18">
        <v>4167</v>
      </c>
      <c r="X21" s="18">
        <v>4163</v>
      </c>
      <c r="Y21" s="24">
        <f>SUM(M21:X21)</f>
        <v>952701</v>
      </c>
      <c r="AA21" s="18">
        <v>952701</v>
      </c>
      <c r="AC21" s="33"/>
    </row>
    <row r="22" spans="1:29" x14ac:dyDescent="0.2">
      <c r="A22" s="9"/>
      <c r="B22" s="27">
        <f t="shared" ref="B22:K22" si="10">SUM(B20:B21)</f>
        <v>6092922.4808</v>
      </c>
      <c r="C22" s="27">
        <f t="shared" si="10"/>
        <v>141798.23000000001</v>
      </c>
      <c r="D22" s="27">
        <f t="shared" si="10"/>
        <v>6234720.7108000005</v>
      </c>
      <c r="E22" s="28">
        <f t="shared" si="10"/>
        <v>2247077.8263999997</v>
      </c>
      <c r="F22" s="28">
        <f t="shared" si="10"/>
        <v>1769819.8263999999</v>
      </c>
      <c r="G22" s="28">
        <f t="shared" si="10"/>
        <v>1769319.8263999999</v>
      </c>
      <c r="H22" s="28">
        <f t="shared" si="10"/>
        <v>12020938.189999999</v>
      </c>
      <c r="I22" s="28">
        <f t="shared" si="10"/>
        <v>10083780</v>
      </c>
      <c r="J22" s="28">
        <f t="shared" si="10"/>
        <v>9640938</v>
      </c>
      <c r="K22" s="28">
        <f t="shared" si="10"/>
        <v>12020938</v>
      </c>
      <c r="M22" s="28">
        <f t="shared" ref="M22:Y22" si="11">SUM(M20:M21)</f>
        <v>967691.61</v>
      </c>
      <c r="N22" s="28">
        <f t="shared" si="11"/>
        <v>967691.61</v>
      </c>
      <c r="O22" s="28">
        <f t="shared" si="11"/>
        <v>967691.61</v>
      </c>
      <c r="P22" s="28">
        <f t="shared" si="11"/>
        <v>967691.61</v>
      </c>
      <c r="Q22" s="28">
        <f t="shared" si="11"/>
        <v>967691.61</v>
      </c>
      <c r="R22" s="28">
        <f t="shared" si="11"/>
        <v>967691.61</v>
      </c>
      <c r="S22" s="28">
        <f t="shared" si="11"/>
        <v>967691.61</v>
      </c>
      <c r="T22" s="28">
        <f t="shared" si="11"/>
        <v>967691.61</v>
      </c>
      <c r="U22" s="28">
        <f t="shared" si="11"/>
        <v>1870392.6099999999</v>
      </c>
      <c r="V22" s="28">
        <f t="shared" si="11"/>
        <v>967691.61</v>
      </c>
      <c r="W22" s="28">
        <f t="shared" si="11"/>
        <v>967691.61</v>
      </c>
      <c r="X22" s="28">
        <f t="shared" si="11"/>
        <v>967687.61</v>
      </c>
      <c r="Y22" s="29">
        <f t="shared" si="11"/>
        <v>12514996.319999998</v>
      </c>
      <c r="AA22" s="29">
        <f>SUM(AA20:AA21)</f>
        <v>12514996.32</v>
      </c>
      <c r="AC22" s="33"/>
    </row>
    <row r="23" spans="1:29" x14ac:dyDescent="0.2">
      <c r="A23" s="9"/>
      <c r="B23" s="19"/>
      <c r="C23" s="19"/>
      <c r="D23" s="19"/>
      <c r="E23" s="23"/>
      <c r="F23" s="23"/>
      <c r="G23" s="23"/>
      <c r="H23" s="23"/>
      <c r="I23" s="23"/>
      <c r="J23" s="23"/>
      <c r="K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AA23" s="18"/>
      <c r="AC23" s="33"/>
    </row>
    <row r="24" spans="1:29" x14ac:dyDescent="0.2">
      <c r="A24" s="20" t="s">
        <v>28</v>
      </c>
      <c r="B24" s="21">
        <v>1289469.19</v>
      </c>
      <c r="C24" s="21"/>
      <c r="D24" s="21">
        <f t="shared" ref="D24:D27" si="12">SUM(B24:C24)</f>
        <v>1289469.19</v>
      </c>
      <c r="E24" s="25">
        <f>(1620000-$D$24)/3</f>
        <v>110176.93666666669</v>
      </c>
      <c r="F24" s="25">
        <f>(1620000-$D$24)/3</f>
        <v>110176.93666666669</v>
      </c>
      <c r="G24" s="25">
        <f>(1620000-$D$24)/3</f>
        <v>110176.93666666669</v>
      </c>
      <c r="H24" s="23">
        <f>SUM(D24:G24)</f>
        <v>1620000.0000000002</v>
      </c>
      <c r="I24" s="23">
        <v>1620000</v>
      </c>
      <c r="J24" s="23">
        <v>1620000</v>
      </c>
      <c r="K24" s="23">
        <f>+J24</f>
        <v>1620000</v>
      </c>
      <c r="M24" s="18">
        <f>+$AA$24/12</f>
        <v>116666.66666666667</v>
      </c>
      <c r="N24" s="18">
        <f t="shared" ref="N24:X24" si="13">+$AA$24/12</f>
        <v>116666.66666666667</v>
      </c>
      <c r="O24" s="18">
        <f t="shared" si="13"/>
        <v>116666.66666666667</v>
      </c>
      <c r="P24" s="18">
        <f t="shared" si="13"/>
        <v>116666.66666666667</v>
      </c>
      <c r="Q24" s="18">
        <f t="shared" si="13"/>
        <v>116666.66666666667</v>
      </c>
      <c r="R24" s="18">
        <f t="shared" si="13"/>
        <v>116666.66666666667</v>
      </c>
      <c r="S24" s="18">
        <f t="shared" si="13"/>
        <v>116666.66666666667</v>
      </c>
      <c r="T24" s="18">
        <f t="shared" si="13"/>
        <v>116666.66666666667</v>
      </c>
      <c r="U24" s="18">
        <f t="shared" si="13"/>
        <v>116666.66666666667</v>
      </c>
      <c r="V24" s="18">
        <f t="shared" si="13"/>
        <v>116666.66666666667</v>
      </c>
      <c r="W24" s="18">
        <f t="shared" si="13"/>
        <v>116666.66666666667</v>
      </c>
      <c r="X24" s="18">
        <f t="shared" si="13"/>
        <v>116666.66666666667</v>
      </c>
      <c r="Y24" s="24">
        <f>SUM(M24:X24)</f>
        <v>1400000.0000000002</v>
      </c>
      <c r="AA24" s="18">
        <f>1600000-200000</f>
        <v>1400000</v>
      </c>
      <c r="AC24" s="35"/>
    </row>
    <row r="25" spans="1:29" x14ac:dyDescent="0.2">
      <c r="A25" s="32" t="s">
        <v>29</v>
      </c>
      <c r="B25" s="21">
        <v>215185.06</v>
      </c>
      <c r="C25" s="21">
        <v>7938</v>
      </c>
      <c r="D25" s="21">
        <f t="shared" si="12"/>
        <v>223123.06</v>
      </c>
      <c r="E25" s="25">
        <v>6000</v>
      </c>
      <c r="F25" s="25">
        <v>6000</v>
      </c>
      <c r="G25" s="36">
        <v>42203</v>
      </c>
      <c r="H25" s="23">
        <f>SUM(D25:G25)</f>
        <v>277326.06</v>
      </c>
      <c r="I25" s="23">
        <v>191430</v>
      </c>
      <c r="J25" s="23">
        <v>277326</v>
      </c>
      <c r="K25" s="23">
        <f>+J25</f>
        <v>277326</v>
      </c>
      <c r="M25" s="18">
        <f>+$AA$25/12</f>
        <v>18321</v>
      </c>
      <c r="N25" s="18">
        <f t="shared" ref="N25:X25" si="14">+$AA$25/12</f>
        <v>18321</v>
      </c>
      <c r="O25" s="18">
        <f t="shared" si="14"/>
        <v>18321</v>
      </c>
      <c r="P25" s="18">
        <f t="shared" si="14"/>
        <v>18321</v>
      </c>
      <c r="Q25" s="18">
        <f t="shared" si="14"/>
        <v>18321</v>
      </c>
      <c r="R25" s="18">
        <f t="shared" si="14"/>
        <v>18321</v>
      </c>
      <c r="S25" s="18">
        <f t="shared" si="14"/>
        <v>18321</v>
      </c>
      <c r="T25" s="18">
        <f t="shared" si="14"/>
        <v>18321</v>
      </c>
      <c r="U25" s="18">
        <f t="shared" si="14"/>
        <v>18321</v>
      </c>
      <c r="V25" s="18">
        <f t="shared" si="14"/>
        <v>18321</v>
      </c>
      <c r="W25" s="18">
        <f t="shared" si="14"/>
        <v>18321</v>
      </c>
      <c r="X25" s="18">
        <f t="shared" si="14"/>
        <v>18321</v>
      </c>
      <c r="Y25" s="24">
        <f>SUM(M25:X25)</f>
        <v>219852</v>
      </c>
      <c r="AA25" s="18">
        <f>136524+14880+68448</f>
        <v>219852</v>
      </c>
      <c r="AC25" s="35"/>
    </row>
    <row r="26" spans="1:29" x14ac:dyDescent="0.2">
      <c r="A26" s="20" t="s">
        <v>30</v>
      </c>
      <c r="B26" s="21"/>
      <c r="C26" s="21"/>
      <c r="D26" s="21">
        <f t="shared" si="12"/>
        <v>0</v>
      </c>
      <c r="E26" s="25">
        <v>85000</v>
      </c>
      <c r="F26" s="25">
        <v>85000</v>
      </c>
      <c r="G26" s="25">
        <v>60000</v>
      </c>
      <c r="H26" s="23">
        <f>SUM(D26:G26)</f>
        <v>230000</v>
      </c>
      <c r="I26" s="23">
        <v>1032000</v>
      </c>
      <c r="J26" s="23">
        <f>725000+20000</f>
        <v>745000</v>
      </c>
      <c r="K26" s="23">
        <v>230000</v>
      </c>
      <c r="M26" s="18">
        <f>+$AA$26/12</f>
        <v>85832.583333333328</v>
      </c>
      <c r="N26" s="18">
        <f t="shared" ref="N26:X26" si="15">+$AA$26/12</f>
        <v>85832.583333333328</v>
      </c>
      <c r="O26" s="18">
        <f t="shared" si="15"/>
        <v>85832.583333333328</v>
      </c>
      <c r="P26" s="18">
        <f t="shared" si="15"/>
        <v>85832.583333333328</v>
      </c>
      <c r="Q26" s="18">
        <f t="shared" si="15"/>
        <v>85832.583333333328</v>
      </c>
      <c r="R26" s="18">
        <f t="shared" si="15"/>
        <v>85832.583333333328</v>
      </c>
      <c r="S26" s="18">
        <f t="shared" si="15"/>
        <v>85832.583333333328</v>
      </c>
      <c r="T26" s="18">
        <f t="shared" si="15"/>
        <v>85832.583333333328</v>
      </c>
      <c r="U26" s="18">
        <f t="shared" si="15"/>
        <v>85832.583333333328</v>
      </c>
      <c r="V26" s="18">
        <f t="shared" si="15"/>
        <v>85832.583333333328</v>
      </c>
      <c r="W26" s="18">
        <f t="shared" si="15"/>
        <v>85832.583333333328</v>
      </c>
      <c r="X26" s="18">
        <f t="shared" si="15"/>
        <v>85832.583333333328</v>
      </c>
      <c r="Y26" s="24">
        <f>SUM(M26:X26)</f>
        <v>1029991.0000000001</v>
      </c>
      <c r="AA26" s="18">
        <f>808991+65000+156000</f>
        <v>1029991</v>
      </c>
      <c r="AC26" s="35"/>
    </row>
    <row r="27" spans="1:29" x14ac:dyDescent="0.2">
      <c r="A27" s="20" t="s">
        <v>31</v>
      </c>
      <c r="B27" s="21">
        <v>6165.33</v>
      </c>
      <c r="C27" s="21"/>
      <c r="D27" s="21">
        <f t="shared" si="12"/>
        <v>6165.33</v>
      </c>
      <c r="E27" s="36"/>
      <c r="F27" s="36"/>
      <c r="G27" s="36"/>
      <c r="H27" s="23">
        <f>SUM(D27:G27)</f>
        <v>6165.33</v>
      </c>
      <c r="I27" s="23"/>
      <c r="J27" s="23">
        <v>6076</v>
      </c>
      <c r="K27" s="23">
        <v>6165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>
        <f>SUM(M27:X27)</f>
        <v>0</v>
      </c>
      <c r="Z27" s="16"/>
      <c r="AA27" s="18"/>
    </row>
    <row r="28" spans="1:29" x14ac:dyDescent="0.2">
      <c r="A28" s="20" t="s">
        <v>32</v>
      </c>
      <c r="B28" s="21"/>
      <c r="C28" s="21"/>
      <c r="D28" s="21"/>
      <c r="E28" s="36"/>
      <c r="F28" s="36">
        <v>5000</v>
      </c>
      <c r="G28" s="36">
        <v>6625</v>
      </c>
      <c r="H28" s="23">
        <f>SUM(D28:G28)</f>
        <v>11625</v>
      </c>
      <c r="I28" s="23"/>
      <c r="J28" s="23"/>
      <c r="K28" s="23">
        <f>75000*0.155</f>
        <v>11625</v>
      </c>
      <c r="M28" s="23">
        <f>+$AA$28/8</f>
        <v>7021.3062499999996</v>
      </c>
      <c r="N28" s="23">
        <f t="shared" ref="N28:T28" si="16">+$AA$28/8</f>
        <v>7021.3062499999996</v>
      </c>
      <c r="O28" s="23">
        <f t="shared" si="16"/>
        <v>7021.3062499999996</v>
      </c>
      <c r="P28" s="23">
        <f t="shared" si="16"/>
        <v>7021.3062499999996</v>
      </c>
      <c r="Q28" s="23">
        <f t="shared" si="16"/>
        <v>7021.3062499999996</v>
      </c>
      <c r="R28" s="23">
        <f t="shared" si="16"/>
        <v>7021.3062499999996</v>
      </c>
      <c r="S28" s="23">
        <f t="shared" si="16"/>
        <v>7021.3062499999996</v>
      </c>
      <c r="T28" s="23">
        <f t="shared" si="16"/>
        <v>7021.3062499999996</v>
      </c>
      <c r="U28" s="23"/>
      <c r="V28" s="23"/>
      <c r="W28" s="23"/>
      <c r="X28" s="23"/>
      <c r="Y28" s="24">
        <f>SUM(M28:X28)</f>
        <v>56170.450000000004</v>
      </c>
      <c r="Z28" s="16"/>
      <c r="AA28" s="18">
        <f>(417060-75000+4030+16300)*0.155</f>
        <v>56170.45</v>
      </c>
    </row>
    <row r="29" spans="1:29" x14ac:dyDescent="0.2">
      <c r="B29" s="21"/>
      <c r="C29" s="21"/>
      <c r="D29" s="21"/>
      <c r="E29" s="33"/>
      <c r="F29" s="33"/>
      <c r="G29" s="33"/>
      <c r="H29" s="18"/>
      <c r="I29" s="18"/>
      <c r="J29" s="18"/>
      <c r="K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1"/>
      <c r="Z29" s="16"/>
      <c r="AA29" s="18">
        <v>0</v>
      </c>
    </row>
    <row r="30" spans="1:29" x14ac:dyDescent="0.2">
      <c r="A30" s="37" t="s">
        <v>33</v>
      </c>
      <c r="B30" s="27">
        <f t="shared" ref="B30:Y30" si="17">+B13+B17+B22+SUM(B24:B29)</f>
        <v>46140489.890000001</v>
      </c>
      <c r="C30" s="27">
        <f t="shared" si="17"/>
        <v>4757310.5</v>
      </c>
      <c r="D30" s="27">
        <f t="shared" si="17"/>
        <v>50897800.390000001</v>
      </c>
      <c r="E30" s="27">
        <f t="shared" si="17"/>
        <v>4404358.3333333312</v>
      </c>
      <c r="F30" s="27">
        <f t="shared" si="17"/>
        <v>6261307.3333333312</v>
      </c>
      <c r="G30" s="27">
        <f t="shared" si="17"/>
        <v>4376603.3333333321</v>
      </c>
      <c r="H30" s="27">
        <f t="shared" si="17"/>
        <v>65940069.390000001</v>
      </c>
      <c r="I30" s="27">
        <f t="shared" si="17"/>
        <v>60955747</v>
      </c>
      <c r="J30" s="27">
        <f t="shared" si="17"/>
        <v>64141579</v>
      </c>
      <c r="K30" s="27">
        <f t="shared" si="17"/>
        <v>65940069</v>
      </c>
      <c r="L30" s="27">
        <f t="shared" si="17"/>
        <v>0</v>
      </c>
      <c r="M30" s="27">
        <f t="shared" si="17"/>
        <v>4928146.5562500004</v>
      </c>
      <c r="N30" s="27">
        <f t="shared" si="17"/>
        <v>4519598.5562500004</v>
      </c>
      <c r="O30" s="27">
        <f t="shared" si="17"/>
        <v>4937832.5562500004</v>
      </c>
      <c r="P30" s="27">
        <f t="shared" si="17"/>
        <v>5985415.5562500004</v>
      </c>
      <c r="Q30" s="27">
        <f t="shared" si="17"/>
        <v>4820341.5562500004</v>
      </c>
      <c r="R30" s="27">
        <f t="shared" si="17"/>
        <v>4857718.5562500004</v>
      </c>
      <c r="S30" s="27">
        <f t="shared" si="17"/>
        <v>5482177.5562500004</v>
      </c>
      <c r="T30" s="27">
        <f t="shared" si="17"/>
        <v>4797942.5562500004</v>
      </c>
      <c r="U30" s="27">
        <f t="shared" si="17"/>
        <v>5923057.25</v>
      </c>
      <c r="V30" s="27">
        <f t="shared" si="17"/>
        <v>5522570.25</v>
      </c>
      <c r="W30" s="27">
        <f t="shared" si="17"/>
        <v>7639414.25</v>
      </c>
      <c r="X30" s="27">
        <f t="shared" si="17"/>
        <v>5885597.25</v>
      </c>
      <c r="Y30" s="27">
        <f t="shared" si="17"/>
        <v>65299812.45000001</v>
      </c>
      <c r="Z30" s="16"/>
      <c r="AA30" s="27">
        <f>+AA13+AA17+AA22+SUM(AA24:AA29)</f>
        <v>65299812.450000003</v>
      </c>
    </row>
    <row r="31" spans="1:29" s="4" customFormat="1" x14ac:dyDescent="0.2">
      <c r="B31" s="19"/>
      <c r="C31" s="19"/>
      <c r="D31" s="19"/>
      <c r="E31" s="38"/>
      <c r="F31" s="38"/>
      <c r="G31" s="38"/>
      <c r="H31" s="38"/>
      <c r="I31" s="38"/>
      <c r="J31" s="38"/>
      <c r="K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40"/>
      <c r="AA31" s="18"/>
    </row>
    <row r="32" spans="1:29" x14ac:dyDescent="0.2">
      <c r="A32" s="41"/>
      <c r="B32" s="19"/>
      <c r="C32" s="19"/>
      <c r="D32" s="19"/>
      <c r="E32" s="18"/>
      <c r="F32" s="18"/>
      <c r="G32" s="42" t="s">
        <v>34</v>
      </c>
      <c r="H32" s="43">
        <f>+'[1]Current Balancing acct'!B51</f>
        <v>61182758.889999986</v>
      </c>
      <c r="I32" s="23"/>
      <c r="J32" s="23"/>
      <c r="K32" s="23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4"/>
    </row>
    <row r="33" spans="1:27" x14ac:dyDescent="0.2">
      <c r="E33" s="18"/>
      <c r="F33" s="18"/>
      <c r="G33" s="44" t="s">
        <v>35</v>
      </c>
      <c r="H33" s="45">
        <f>+H30-H32</f>
        <v>4757310.5000000149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1:27" x14ac:dyDescent="0.2">
      <c r="A34" s="4" t="s">
        <v>36</v>
      </c>
      <c r="M34" s="46"/>
      <c r="AA34" s="17"/>
    </row>
    <row r="35" spans="1:27" x14ac:dyDescent="0.2">
      <c r="A35" s="3" t="s">
        <v>37</v>
      </c>
    </row>
    <row r="36" spans="1:27" x14ac:dyDescent="0.2">
      <c r="A36" s="3" t="s">
        <v>38</v>
      </c>
    </row>
    <row r="37" spans="1:27" x14ac:dyDescent="0.2">
      <c r="A37" s="3" t="s">
        <v>39</v>
      </c>
    </row>
    <row r="38" spans="1:27" x14ac:dyDescent="0.2">
      <c r="A38" s="3" t="s">
        <v>40</v>
      </c>
    </row>
  </sheetData>
  <pageMargins left="0.7" right="0.7" top="0.75" bottom="0.75" header="0.3" footer="0.3"/>
  <pageSetup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2015-11-18T22:35:12Z</dcterms:created>
  <dcterms:modified xsi:type="dcterms:W3CDTF">2015-11-23T18:31:32Z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