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170" windowHeight="6135"/>
  </bookViews>
  <sheets>
    <sheet name="Rate Spread" sheetId="6" r:id="rId1"/>
    <sheet name="Rate Design" sheetId="4" r:id="rId2"/>
    <sheet name="Res Bill Impact" sheetId="9" r:id="rId3"/>
    <sheet name="RateSpread-1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 localSheetId="3">[1]Jan!#REF!</definedName>
    <definedName name="\0">[1]Jan!#REF!</definedName>
    <definedName name="\A" localSheetId="3">#REF!</definedName>
    <definedName name="\A">#REF!</definedName>
    <definedName name="\B" localSheetId="3">#REF!</definedName>
    <definedName name="\B">#REF!</definedName>
    <definedName name="\BACK1" localSheetId="3">#REF!</definedName>
    <definedName name="\BACK1">#REF!</definedName>
    <definedName name="\BLOCK" localSheetId="3">#REF!</definedName>
    <definedName name="\BLOCK">#REF!</definedName>
    <definedName name="\BLOCKT" localSheetId="3">#REF!</definedName>
    <definedName name="\BLOCKT">#REF!</definedName>
    <definedName name="\C" localSheetId="3">#REF!</definedName>
    <definedName name="\C">#REF!</definedName>
    <definedName name="\COMP" localSheetId="3">#REF!</definedName>
    <definedName name="\COMP">#REF!</definedName>
    <definedName name="\COMPT" localSheetId="3">#REF!</definedName>
    <definedName name="\COMPT">#REF!</definedName>
    <definedName name="\E" localSheetId="3">#REF!</definedName>
    <definedName name="\E">#REF!</definedName>
    <definedName name="\G" localSheetId="3">#REF!</definedName>
    <definedName name="\G">#REF!</definedName>
    <definedName name="\I" localSheetId="3">#REF!</definedName>
    <definedName name="\I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\P" localSheetId="3">#REF!</definedName>
    <definedName name="\P">#REF!</definedName>
    <definedName name="\Q" localSheetId="3">[2]Actual!#REF!</definedName>
    <definedName name="\Q">[2]Actual!#REF!</definedName>
    <definedName name="\R" localSheetId="3">#REF!</definedName>
    <definedName name="\R">#REF!</definedName>
    <definedName name="\S" localSheetId="3">#REF!</definedName>
    <definedName name="\S">#REF!</definedName>
    <definedName name="\TABLE1" localSheetId="3">#REF!</definedName>
    <definedName name="\TABLE1">#REF!</definedName>
    <definedName name="\TABLE2" localSheetId="3">#REF!</definedName>
    <definedName name="\TABLE2">#REF!</definedName>
    <definedName name="\TABLEA" localSheetId="3">#REF!</definedName>
    <definedName name="\TABLEA">#REF!</definedName>
    <definedName name="\TBL1" localSheetId="3">#REF!</definedName>
    <definedName name="\TBL1">#REF!</definedName>
    <definedName name="\TBL2" localSheetId="3">#REF!</definedName>
    <definedName name="\TBL2">#REF!</definedName>
    <definedName name="\TBL3" localSheetId="3">#REF!</definedName>
    <definedName name="\TBL3">#REF!</definedName>
    <definedName name="\TBL4" localSheetId="3">#REF!</definedName>
    <definedName name="\TBL4">#REF!</definedName>
    <definedName name="\TBL5" localSheetId="3">#REF!</definedName>
    <definedName name="\TBL5">#REF!</definedName>
    <definedName name="\W" localSheetId="3">#REF!</definedName>
    <definedName name="\W">#REF!</definedName>
    <definedName name="\WORK1" localSheetId="3">#REF!</definedName>
    <definedName name="\WORK1">#REF!</definedName>
    <definedName name="\X" localSheetId="3">#REF!</definedName>
    <definedName name="\X">#REF!</definedName>
    <definedName name="\Z" localSheetId="3">#REF!</definedName>
    <definedName name="\Z">#REF!</definedName>
    <definedName name="__123Graph_A" localSheetId="3" hidden="1">[3]Inputs!#REF!</definedName>
    <definedName name="__123Graph_A" hidden="1">[3]Inputs!#REF!</definedName>
    <definedName name="__123Graph_B" localSheetId="3" hidden="1">[3]Inputs!#REF!</definedName>
    <definedName name="__123Graph_B" hidden="1">[3]Inputs!#REF!</definedName>
    <definedName name="__123Graph_D" localSheetId="3" hidden="1">[3]Inputs!#REF!</definedName>
    <definedName name="__123Graph_D" hidden="1">[3]Inputs!#REF!</definedName>
    <definedName name="__MEN3" localSheetId="3">[1]Jan!#REF!</definedName>
    <definedName name="__MEN3">[1]Jan!#REF!</definedName>
    <definedName name="__TOP1" localSheetId="3">[1]Jan!#REF!</definedName>
    <definedName name="__TOP1">[1]Jan!#REF!</definedName>
    <definedName name="_1Price_Ta" localSheetId="3">#REF!</definedName>
    <definedName name="_1Price_Ta">#REF!</definedName>
    <definedName name="_3Price_Ta" localSheetId="3">#REF!</definedName>
    <definedName name="_3Price_Ta">#REF!</definedName>
    <definedName name="_5Price_Ta" localSheetId="3">#REF!</definedName>
    <definedName name="_5Price_Ta">#REF!</definedName>
    <definedName name="_B" localSheetId="3">#REF!</definedName>
    <definedName name="_B">#REF!</definedName>
    <definedName name="_BLOCK" localSheetId="3">#REF!</definedName>
    <definedName name="_BLOCK">#REF!</definedName>
    <definedName name="_BLOCKT" localSheetId="3">#REF!</definedName>
    <definedName name="_BLOCKT">#REF!</definedName>
    <definedName name="_COMP" localSheetId="3">#REF!</definedName>
    <definedName name="_COMP">#REF!</definedName>
    <definedName name="_COMPR" localSheetId="3">#REF!</definedName>
    <definedName name="_COMPR">#REF!</definedName>
    <definedName name="_COMPT" localSheetId="3">#REF!</definedName>
    <definedName name="_COMPT">#REF!</definedName>
    <definedName name="_Fill" localSheetId="3" hidden="1">#REF!</definedName>
    <definedName name="_Fill" hidden="1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MEN2" localSheetId="3">[1]Jan!#REF!</definedName>
    <definedName name="_MEN2">[1]Jan!#REF!</definedName>
    <definedName name="_MEN3" localSheetId="3">[1]Jan!#REF!</definedName>
    <definedName name="_MEN3">[1]Jan!#REF!</definedName>
    <definedName name="_Order1" localSheetId="3" hidden="1">255</definedName>
    <definedName name="_Order1" hidden="1">255</definedName>
    <definedName name="_Order2" localSheetId="3" hidden="1">255</definedName>
    <definedName name="_Order2" hidden="1">255</definedName>
    <definedName name="_P" localSheetId="3">#REF!</definedName>
    <definedName name="_P">#REF!</definedName>
    <definedName name="_Regression_Out" localSheetId="3" hidden="1">#REF!</definedName>
    <definedName name="_Regression_Out" hidden="1">#REF!</definedName>
    <definedName name="_Regression_X" localSheetId="3" hidden="1">#REF!</definedName>
    <definedName name="_Regression_X" hidden="1">#REF!</definedName>
    <definedName name="_Regression_Y" localSheetId="3" hidden="1">#REF!</definedName>
    <definedName name="_Regression_Y" hidden="1">#REF!</definedName>
    <definedName name="_Sort" localSheetId="3" hidden="1">#REF!</definedName>
    <definedName name="_Sort" hidden="1">#REF!</definedName>
    <definedName name="_SPL" localSheetId="3">#REF!</definedName>
    <definedName name="_SPL">#REF!</definedName>
    <definedName name="_TOP1" localSheetId="3">[1]Jan!#REF!</definedName>
    <definedName name="_TOP1">[1]Jan!#REF!</definedName>
    <definedName name="a" localSheetId="3" hidden="1">#REF!</definedName>
    <definedName name="a" hidden="1">#REF!</definedName>
    <definedName name="A_36" localSheetId="3">#REF!</definedName>
    <definedName name="A_36">#REF!</definedName>
    <definedName name="ABSTRACT" localSheetId="3">#REF!</definedName>
    <definedName name="ABSTRACT">#REF!</definedName>
    <definedName name="Acct108D_S">[4]FuncStudy!$F$2067</definedName>
    <definedName name="Acct108D00S">[4]FuncStudy!$F$2059</definedName>
    <definedName name="Acct108DSS">[4]FuncStudy!$F$2063</definedName>
    <definedName name="Acct228.42TROJD" localSheetId="3">'[5]Func Study'!#REF!</definedName>
    <definedName name="Acct228.42TROJD">'[5]Func Study'!#REF!</definedName>
    <definedName name="ACCT2281">[4]FuncStudy!$F$1848</definedName>
    <definedName name="Acct2282">[4]FuncStudy!$F$1852</definedName>
    <definedName name="Acct2283">[4]FuncStudy!$F$1857</definedName>
    <definedName name="Acct2283S">[4]FuncStudy!$F$1861</definedName>
    <definedName name="Acct22842">[4]FuncStudy!$F$1870</definedName>
    <definedName name="Acct22842TROJD" localSheetId="3">'[5]Func Study'!#REF!</definedName>
    <definedName name="Acct22842TROJD">'[5]Func Study'!#REF!</definedName>
    <definedName name="Acct228SO">[4]FuncStudy!$F$1851</definedName>
    <definedName name="ACCT25398">[4]FuncStudy!$F$1882</definedName>
    <definedName name="Acct25399">[4]FuncStudy!$F$1889</definedName>
    <definedName name="Acct254">[4]FuncStudy!$F$1866</definedName>
    <definedName name="Acct282DITBAL">[4]FuncStudy!$F$1914</definedName>
    <definedName name="Acct350">[4]FuncStudy!$F$1324</definedName>
    <definedName name="Acct352">[4]FuncStudy!$F$1331</definedName>
    <definedName name="Acct353">[4]FuncStudy!$F$1337</definedName>
    <definedName name="Acct354">[4]FuncStudy!$F$1343</definedName>
    <definedName name="Acct355">[4]FuncStudy!$F$1349</definedName>
    <definedName name="Acct356">[4]FuncStudy!$F$1355</definedName>
    <definedName name="Acct357">[4]FuncStudy!$F$1361</definedName>
    <definedName name="Acct358">[4]FuncStudy!$F$1367</definedName>
    <definedName name="Acct359">[4]FuncStudy!$F$1373</definedName>
    <definedName name="Acct360">[4]FuncStudy!$F$1389</definedName>
    <definedName name="Acct361">[4]FuncStudy!$F$1395</definedName>
    <definedName name="Acct362">[4]FuncStudy!$F$1401</definedName>
    <definedName name="Acct364">[4]FuncStudy!$F$1408</definedName>
    <definedName name="Acct365">[4]FuncStudy!$F$1415</definedName>
    <definedName name="Acct366">[4]FuncStudy!$F$1422</definedName>
    <definedName name="Acct367">[4]FuncStudy!$F$1429</definedName>
    <definedName name="Acct368">[4]FuncStudy!$F$1435</definedName>
    <definedName name="Acct369">[4]FuncStudy!$F$1442</definedName>
    <definedName name="Acct370">[4]FuncStudy!$F$1448</definedName>
    <definedName name="Acct371">[4]FuncStudy!$F$1455</definedName>
    <definedName name="Acct372">[4]FuncStudy!$F$1462</definedName>
    <definedName name="Acct372A">[4]FuncStudy!$F$1461</definedName>
    <definedName name="Acct372DP">[4]FuncStudy!$F$1459</definedName>
    <definedName name="Acct372DS">[4]FuncStudy!$F$1460</definedName>
    <definedName name="Acct373">[4]FuncStudy!$F$1468</definedName>
    <definedName name="Acct444S">[4]FuncStudy!$F$105</definedName>
    <definedName name="Acct447DGU" localSheetId="3">'[5]Func Study'!#REF!</definedName>
    <definedName name="Acct447DGU">'[5]Func Study'!#REF!</definedName>
    <definedName name="Acct448S">[4]FuncStudy!$F$114</definedName>
    <definedName name="Acct450S">[4]FuncStudy!$F$139</definedName>
    <definedName name="Acct451S">[4]FuncStudy!$F$144</definedName>
    <definedName name="Acct454S">[4]FuncStudy!$F$154</definedName>
    <definedName name="Acct456S">[4]FuncStudy!$F$160</definedName>
    <definedName name="Acct580">[4]FuncStudy!$F$537</definedName>
    <definedName name="Acct581">[4]FuncStudy!$F$542</definedName>
    <definedName name="Acct582">[4]FuncStudy!$F$547</definedName>
    <definedName name="Acct583">[4]FuncStudy!$F$552</definedName>
    <definedName name="Acct584">[4]FuncStudy!$F$557</definedName>
    <definedName name="Acct585">[4]FuncStudy!$F$562</definedName>
    <definedName name="Acct586">[4]FuncStudy!$F$567</definedName>
    <definedName name="Acct587">[4]FuncStudy!$F$572</definedName>
    <definedName name="Acct588">[4]FuncStudy!$F$577</definedName>
    <definedName name="Acct589">[4]FuncStudy!$F$582</definedName>
    <definedName name="Acct590">[4]FuncStudy!$F$587</definedName>
    <definedName name="Acct591">[4]FuncStudy!$F$592</definedName>
    <definedName name="Acct592">[4]FuncStudy!$F$597</definedName>
    <definedName name="Acct593">[4]FuncStudy!$F$602</definedName>
    <definedName name="Acct594">[4]FuncStudy!$F$607</definedName>
    <definedName name="Acct595">[4]FuncStudy!$F$612</definedName>
    <definedName name="Acct596">[4]FuncStudy!$F$617</definedName>
    <definedName name="Acct597">[4]FuncStudy!$F$622</definedName>
    <definedName name="Acct598">[4]FuncStudy!$F$627</definedName>
    <definedName name="Acct928RE">[4]FuncStudy!$F$750</definedName>
    <definedName name="AcctAGA">[4]FuncStudy!$F$133</definedName>
    <definedName name="AcctTable">[6]Variables!$AK$42:$AK$396</definedName>
    <definedName name="AcctTS0">[4]FuncStudy!$F$1381</definedName>
    <definedName name="ActualROE">[7]FuncStudy!$E$61</definedName>
    <definedName name="actualror">[8]WorkArea!$F$86</definedName>
    <definedName name="Adjs2avg">[9]Inputs!$L$255:'[9]Inputs'!$T$505</definedName>
    <definedName name="ALL" localSheetId="3">#REF!</definedName>
    <definedName name="ALL">#REF!</definedName>
    <definedName name="all_months" localSheetId="3">#REF!</definedName>
    <definedName name="all_months">#REF!</definedName>
    <definedName name="APR" localSheetId="3">#REF!</definedName>
    <definedName name="APR">#REF!</definedName>
    <definedName name="APRT" localSheetId="3">#REF!</definedName>
    <definedName name="APRT">#REF!</definedName>
    <definedName name="AT_48" localSheetId="3">#REF!</definedName>
    <definedName name="AT_48">#REF!</definedName>
    <definedName name="AUG" localSheetId="3">#REF!</definedName>
    <definedName name="AUG">#REF!</definedName>
    <definedName name="AUGT" localSheetId="3">#REF!</definedName>
    <definedName name="AUGT">#REF!</definedName>
    <definedName name="AvgFactors">[6]Factors!$B$3:$P$99</definedName>
    <definedName name="BACK1" localSheetId="3">#REF!</definedName>
    <definedName name="BACK1">#REF!</definedName>
    <definedName name="BACK2" localSheetId="3">#REF!</definedName>
    <definedName name="BACK2">#REF!</definedName>
    <definedName name="BACK3" localSheetId="3">#REF!</definedName>
    <definedName name="BACK3">#REF!</definedName>
    <definedName name="BACKUP1" localSheetId="3">#REF!</definedName>
    <definedName name="BACKUP1">#REF!</definedName>
    <definedName name="Baseline" localSheetId="3">#REF!</definedName>
    <definedName name="Baseline">#REF!</definedName>
    <definedName name="BLOCK" localSheetId="3">#REF!</definedName>
    <definedName name="BLOCK">#REF!</definedName>
    <definedName name="BLOCKTOP" localSheetId="3">#REF!</definedName>
    <definedName name="BLOCKTOP">#REF!</definedName>
    <definedName name="BOOKADJ" localSheetId="3">#REF!</definedName>
    <definedName name="BOOKADJ">#REF!</definedName>
    <definedName name="cap">[10]Readings!$B$2</definedName>
    <definedName name="Capacity" localSheetId="3">#REF!</definedName>
    <definedName name="Capacity">#REF!</definedName>
    <definedName name="Check" localSheetId="3">#REF!</definedName>
    <definedName name="Check">#REF!</definedName>
    <definedName name="Classification">[4]FuncStudy!$Y$91</definedName>
    <definedName name="COMADJ" localSheetId="3">#REF!</definedName>
    <definedName name="COMADJ">#REF!</definedName>
    <definedName name="Comn">[7]Inputs!$K$21</definedName>
    <definedName name="COMP" localSheetId="3">#REF!</definedName>
    <definedName name="COMP">#REF!</definedName>
    <definedName name="COMPACTUAL" localSheetId="3">#REF!</definedName>
    <definedName name="COMPACTUAL">#REF!</definedName>
    <definedName name="COMPT" localSheetId="3">#REF!</definedName>
    <definedName name="COMPT">#REF!</definedName>
    <definedName name="COMPWEATHER" localSheetId="3">#REF!</definedName>
    <definedName name="COMPWEATHER">#REF!</definedName>
    <definedName name="copy" localSheetId="3" hidden="1">#REF!</definedName>
    <definedName name="copy" hidden="1">#REF!</definedName>
    <definedName name="COSFacVal">[4]Inputs!$W$11</definedName>
    <definedName name="_xlnm.Database" localSheetId="3">[11]Invoice!#REF!</definedName>
    <definedName name="_xlnm.Database">[11]Invoice!#REF!</definedName>
    <definedName name="DATE" localSheetId="3">[12]Jan!#REF!</definedName>
    <definedName name="DATE">[12]Jan!#REF!</definedName>
    <definedName name="Debt_">[7]Inputs!$K$19</definedName>
    <definedName name="DEC" localSheetId="3">#REF!</definedName>
    <definedName name="DEC">#REF!</definedName>
    <definedName name="DECT" localSheetId="3">#REF!</definedName>
    <definedName name="DECT">#REF!</definedName>
    <definedName name="Demand">[5]Inputs!$D$8</definedName>
    <definedName name="Demand2">[4]Inputs!$D$10</definedName>
    <definedName name="Dis">[4]FuncStudy!$Y$90</definedName>
    <definedName name="DisFac">'[4]Func Dist Factor Table'!$A$11:$G$25</definedName>
    <definedName name="Dist_factor" localSheetId="3">#REF!</definedName>
    <definedName name="Dist_factor">#REF!</definedName>
    <definedName name="dsd" localSheetId="3" hidden="1">[3]Inputs!#REF!</definedName>
    <definedName name="dsd" hidden="1">[3]Inputs!#REF!</definedName>
    <definedName name="DUDE" localSheetId="3" hidden="1">#REF!</definedName>
    <definedName name="DUDE" hidden="1">#REF!</definedName>
    <definedName name="energy">[10]Readings!$B$3</definedName>
    <definedName name="Engy">[5]Inputs!$D$9</definedName>
    <definedName name="f101top" localSheetId="3">#REF!</definedName>
    <definedName name="f101top">#REF!</definedName>
    <definedName name="f104top" localSheetId="3">#REF!</definedName>
    <definedName name="f104top">#REF!</definedName>
    <definedName name="f138top" localSheetId="3">#REF!</definedName>
    <definedName name="f138top">#REF!</definedName>
    <definedName name="f140top" localSheetId="3">#REF!</definedName>
    <definedName name="f140top">#REF!</definedName>
    <definedName name="Factorck">'[4]COS Factor Table'!$Q$15:$Q$136</definedName>
    <definedName name="FactorType">[6]Variables!$AK$2:$AL$12</definedName>
    <definedName name="FACTP" localSheetId="3">#REF!</definedName>
    <definedName name="FACTP">#REF!</definedName>
    <definedName name="FactSum">'[4]COS Factor Table'!$A$14:$Q$137</definedName>
    <definedName name="FEB" localSheetId="3">#REF!</definedName>
    <definedName name="FEB">#REF!</definedName>
    <definedName name="FEBT" localSheetId="3">#REF!</definedName>
    <definedName name="FEBT">#REF!</definedName>
    <definedName name="FIX" localSheetId="3">#REF!</definedName>
    <definedName name="FIX">#REF!</definedName>
    <definedName name="FranchiseTax">[9]Variables!$D$26</definedName>
    <definedName name="Func">'[4]Func Factor Table'!$A$10:$H$76</definedName>
    <definedName name="Func_Ftrs" localSheetId="3">#REF!</definedName>
    <definedName name="Func_Ftrs">#REF!</definedName>
    <definedName name="Func_GTD_Percents" localSheetId="3">#REF!</definedName>
    <definedName name="Func_GTD_Percents">#REF!</definedName>
    <definedName name="Func_MC" localSheetId="3">#REF!</definedName>
    <definedName name="Func_MC">#REF!</definedName>
    <definedName name="Func_Percents" localSheetId="3">#REF!</definedName>
    <definedName name="Func_Percents">#REF!</definedName>
    <definedName name="Func_Rev_Req1" localSheetId="3">#REF!</definedName>
    <definedName name="Func_Rev_Req1">#REF!</definedName>
    <definedName name="Func_Rev_Req2" localSheetId="3">#REF!</definedName>
    <definedName name="Func_Rev_Req2">#REF!</definedName>
    <definedName name="Func_Revenue" localSheetId="3">#REF!</definedName>
    <definedName name="Func_Revenue">#REF!</definedName>
    <definedName name="Function">[4]FuncStudy!$Y$90</definedName>
    <definedName name="GREATER10MW" localSheetId="3">#REF!</definedName>
    <definedName name="GREATER10MW">#REF!</definedName>
    <definedName name="GTD_Percents" localSheetId="3">#REF!</definedName>
    <definedName name="GTD_Percents">#REF!</definedName>
    <definedName name="HEIGHT" localSheetId="3">#REF!</definedName>
    <definedName name="HEIGHT">#REF!</definedName>
    <definedName name="ID_0303_RVN_data" localSheetId="3">#REF!</definedName>
    <definedName name="ID_0303_RVN_data">#REF!</definedName>
    <definedName name="IDcontractsRVN" localSheetId="3">#REF!</definedName>
    <definedName name="IDcontractsRVN">#REF!</definedName>
    <definedName name="IncomeTaxOptVal">[4]Inputs!$Y$11</definedName>
    <definedName name="INDADJ" localSheetId="3">#REF!</definedName>
    <definedName name="INDADJ">#REF!</definedName>
    <definedName name="INPUT" localSheetId="3">[13]Summary!#REF!</definedName>
    <definedName name="INPUT">[13]Summary!#REF!</definedName>
    <definedName name="Instructions" localSheetId="3">#REF!</definedName>
    <definedName name="Instructions">#REF!</definedName>
    <definedName name="IRR" localSheetId="3">#REF!</definedName>
    <definedName name="IRR">#REF!</definedName>
    <definedName name="IRRIGATION" localSheetId="3">#REF!</definedName>
    <definedName name="IRRIGATION">#REF!</definedName>
    <definedName name="JAN" localSheetId="3">#REF!</definedName>
    <definedName name="JAN">#REF!</definedName>
    <definedName name="JANT" localSheetId="3">#REF!</definedName>
    <definedName name="JANT">#REF!</definedName>
    <definedName name="JUL" localSheetId="3">#REF!</definedName>
    <definedName name="JUL">#REF!</definedName>
    <definedName name="JULT" localSheetId="3">#REF!</definedName>
    <definedName name="JULT">#REF!</definedName>
    <definedName name="JUN" localSheetId="3">#REF!</definedName>
    <definedName name="JUN">#REF!</definedName>
    <definedName name="JUNT" localSheetId="3">#REF!</definedName>
    <definedName name="JUNT">#REF!</definedName>
    <definedName name="Jurisdiction">[6]Variables!$AK$15</definedName>
    <definedName name="JurisNumber">[6]Variables!$AL$15</definedName>
    <definedName name="LABORMOD" localSheetId="3">#REF!</definedName>
    <definedName name="LABORMOD">#REF!</definedName>
    <definedName name="LABORROLL" localSheetId="3">#REF!</definedName>
    <definedName name="LABORROLL">#REF!</definedName>
    <definedName name="limcount" hidden="1">1</definedName>
    <definedName name="Line_Ext_Credit" localSheetId="3">#REF!</definedName>
    <definedName name="Line_Ext_Credit">#REF!</definedName>
    <definedName name="LinkCos">'[4]JAM Download'!$I$4</definedName>
    <definedName name="LOG" localSheetId="3">[14]Backup!#REF!</definedName>
    <definedName name="LOG">[14]Backup!#REF!</definedName>
    <definedName name="LOSS" localSheetId="3">[14]Backup!#REF!</definedName>
    <definedName name="LOSS">[14]Backup!#REF!</definedName>
    <definedName name="MACTIT" localSheetId="3">#REF!</definedName>
    <definedName name="MACTIT">#REF!</definedName>
    <definedName name="MAR" localSheetId="3">#REF!</definedName>
    <definedName name="MAR">#REF!</definedName>
    <definedName name="MART" localSheetId="3">#REF!</definedName>
    <definedName name="MART">#REF!</definedName>
    <definedName name="MAY" localSheetId="3">#REF!</definedName>
    <definedName name="MAY">#REF!</definedName>
    <definedName name="MAYT" localSheetId="3">#REF!</definedName>
    <definedName name="MAYT">#REF!</definedName>
    <definedName name="MCtoREV" localSheetId="3">#REF!</definedName>
    <definedName name="MCtoREV">#REF!</definedName>
    <definedName name="MEN" localSheetId="3">[1]Jan!#REF!</definedName>
    <definedName name="MEN">[1]Jan!#REF!</definedName>
    <definedName name="Menu_Begin" localSheetId="3">#REF!</definedName>
    <definedName name="Menu_Begin">#REF!</definedName>
    <definedName name="Menu_Caption" localSheetId="3">#REF!</definedName>
    <definedName name="Menu_Caption">#REF!</definedName>
    <definedName name="Menu_Large" localSheetId="3">[15]MacroBuilder!#REF!</definedName>
    <definedName name="Menu_Large">[15]MacroBuilder!#REF!</definedName>
    <definedName name="Menu_Name" localSheetId="3">#REF!</definedName>
    <definedName name="Menu_Name">#REF!</definedName>
    <definedName name="Menu_OnAction" localSheetId="3">#REF!</definedName>
    <definedName name="Menu_OnAction">#REF!</definedName>
    <definedName name="Menu_Parent" localSheetId="3">#REF!</definedName>
    <definedName name="Menu_Parent">#REF!</definedName>
    <definedName name="Menu_Small" localSheetId="3">[15]MacroBuilder!#REF!</definedName>
    <definedName name="Menu_Small">[15]MacroBuilder!#REF!</definedName>
    <definedName name="Method">[5]Inputs!$C$6</definedName>
    <definedName name="MONTH" localSheetId="3">[14]Backup!#REF!</definedName>
    <definedName name="MONTH">[14]Backup!#REF!</definedName>
    <definedName name="monthlist">[16]Table!$R$2:$S$13</definedName>
    <definedName name="monthtotals">'[16]WA SBC'!$D$40:$O$40</definedName>
    <definedName name="MSPAverageInput" localSheetId="3">[17]Inputs!#REF!</definedName>
    <definedName name="MSPAverageInput">[17]Inputs!#REF!</definedName>
    <definedName name="MSPYearEndInput" localSheetId="3">[17]Inputs!#REF!</definedName>
    <definedName name="MSPYearEndInput">[17]Inputs!#REF!</definedName>
    <definedName name="MTKWH" localSheetId="3">#REF!</definedName>
    <definedName name="MTKWH">#REF!</definedName>
    <definedName name="MTR_YR3">[18]Variables!$E$14</definedName>
    <definedName name="MTREV" localSheetId="3">#REF!</definedName>
    <definedName name="MTREV">#REF!</definedName>
    <definedName name="MULT" localSheetId="3">#REF!</definedName>
    <definedName name="MULT">#REF!</definedName>
    <definedName name="NetLagDays">[4]Inputs!$H$23</definedName>
    <definedName name="NetToGross">[9]Variables!$D$23</definedName>
    <definedName name="NEWMO1" localSheetId="3">[1]Jan!#REF!</definedName>
    <definedName name="NEWMO1">[1]Jan!#REF!</definedName>
    <definedName name="NEWMO2" localSheetId="3">[1]Jan!#REF!</definedName>
    <definedName name="NEWMO2">[1]Jan!#REF!</definedName>
    <definedName name="NEWMONTH" localSheetId="3">[1]Jan!#REF!</definedName>
    <definedName name="NEWMONTH">[1]Jan!#REF!</definedName>
    <definedName name="NONRES" localSheetId="3">#REF!</definedName>
    <definedName name="NONRES">#REF!</definedName>
    <definedName name="NORMALIZE" localSheetId="3">#REF!</definedName>
    <definedName name="NORMALIZE">#REF!</definedName>
    <definedName name="NOV" localSheetId="3">#REF!</definedName>
    <definedName name="NOV">#REF!</definedName>
    <definedName name="NOVT" localSheetId="3">#REF!</definedName>
    <definedName name="NOVT">#REF!</definedName>
    <definedName name="NUM" localSheetId="3">#REF!</definedName>
    <definedName name="NUM">#REF!</definedName>
    <definedName name="OCT" localSheetId="3">#REF!</definedName>
    <definedName name="OCT">#REF!</definedName>
    <definedName name="OCTT" localSheetId="3">#REF!</definedName>
    <definedName name="OCTT">#REF!</definedName>
    <definedName name="OH">[4]Inputs!$D$24</definedName>
    <definedName name="ONE" localSheetId="3">[1]Jan!#REF!</definedName>
    <definedName name="ONE">[1]Jan!#REF!</definedName>
    <definedName name="option">'[8]Dist Misc'!$F$120</definedName>
    <definedName name="OR_305_12mo_endg_200203" localSheetId="3">#REF!</definedName>
    <definedName name="OR_305_12mo_endg_200203">#REF!</definedName>
    <definedName name="P" localSheetId="3">#REF!</definedName>
    <definedName name="P">#REF!</definedName>
    <definedName name="page1" localSheetId="3">[13]Summary!#REF!</definedName>
    <definedName name="page1">[13]Summary!#REF!</definedName>
    <definedName name="Page2" localSheetId="3">'[19]Summary Table - Earned'!#REF!</definedName>
    <definedName name="Page2">'[19]Summary Table - Earned'!#REF!</definedName>
    <definedName name="PAGE3" localSheetId="3">#REF!</definedName>
    <definedName name="PAGE3">#REF!</definedName>
    <definedName name="Page4" localSheetId="3">#REF!</definedName>
    <definedName name="Page4">#REF!</definedName>
    <definedName name="Page5" localSheetId="3">#REF!</definedName>
    <definedName name="Page5">#REF!</definedName>
    <definedName name="Page62" localSheetId="3">[15]TransInvest!#REF!</definedName>
    <definedName name="Page62">[15]TransInvest!#REF!</definedName>
    <definedName name="page65" localSheetId="3">#REF!</definedName>
    <definedName name="page65">#REF!</definedName>
    <definedName name="page66" localSheetId="3">#REF!</definedName>
    <definedName name="page66">#REF!</definedName>
    <definedName name="page67" localSheetId="3">#REF!</definedName>
    <definedName name="page67">#REF!</definedName>
    <definedName name="page68" localSheetId="3">#REF!</definedName>
    <definedName name="page68">#REF!</definedName>
    <definedName name="page69" localSheetId="3">#REF!</definedName>
    <definedName name="page69">#REF!</definedName>
    <definedName name="Page7" localSheetId="3">#REF!</definedName>
    <definedName name="Page7">#REF!</definedName>
    <definedName name="page8" localSheetId="3">#REF!</definedName>
    <definedName name="page8">#REF!</definedName>
    <definedName name="PALL" localSheetId="3">#REF!</definedName>
    <definedName name="PALL">#REF!</definedName>
    <definedName name="PBLOCK" localSheetId="3">#REF!</definedName>
    <definedName name="PBLOCK">#REF!</definedName>
    <definedName name="PBLOCKWZ" localSheetId="3">#REF!</definedName>
    <definedName name="PBLOCKWZ">#REF!</definedName>
    <definedName name="PCOMP" localSheetId="3">#REF!</definedName>
    <definedName name="PCOMP">#REF!</definedName>
    <definedName name="PCOMPOSITES" localSheetId="3">#REF!</definedName>
    <definedName name="PCOMPOSITES">#REF!</definedName>
    <definedName name="PCOMPWZ" localSheetId="3">#REF!</definedName>
    <definedName name="PCOMPWZ">#REF!</definedName>
    <definedName name="PeakMethod">[5]Inputs!$T$5</definedName>
    <definedName name="PLUG" localSheetId="3">#REF!</definedName>
    <definedName name="PLUG">#REF!</definedName>
    <definedName name="PMAC" localSheetId="3">[14]Backup!#REF!</definedName>
    <definedName name="PMAC">[14]Backup!#REF!</definedName>
    <definedName name="Pref_">[7]Inputs!$K$20</definedName>
    <definedName name="PRESENT" localSheetId="3">#REF!</definedName>
    <definedName name="PRESENT">#REF!</definedName>
    <definedName name="PRICCHNG" localSheetId="3">#REF!</definedName>
    <definedName name="PRICCHNG">#REF!</definedName>
    <definedName name="_xlnm.Print_Area" localSheetId="3">'RateSpread-1'!$A$1:$Q$53</definedName>
    <definedName name="_xlnm.Print_Area" localSheetId="2">'Res Bill Impact'!$A$1:$X$40</definedName>
    <definedName name="_xlnm.Print_Area">#REF!</definedName>
    <definedName name="_xlnm.Print_Titles" localSheetId="1">'Rate Design'!$1:$10</definedName>
    <definedName name="_xlnm.Print_Titles" localSheetId="3">'RateSpread-1'!$A:$K,'RateSpread-1'!$9:$13</definedName>
    <definedName name="PROPOSED" localSheetId="3">#REF!</definedName>
    <definedName name="PROPOSED">#REF!</definedName>
    <definedName name="ProRate1" localSheetId="3">#REF!</definedName>
    <definedName name="ProRate1">#REF!</definedName>
    <definedName name="PTABLES" localSheetId="3">#REF!</definedName>
    <definedName name="PTABLES">#REF!</definedName>
    <definedName name="PTDMOD" localSheetId="3">#REF!</definedName>
    <definedName name="PTDMOD">#REF!</definedName>
    <definedName name="PTDROLL" localSheetId="3">#REF!</definedName>
    <definedName name="PTDROLL">#REF!</definedName>
    <definedName name="PTMOD" localSheetId="3">#REF!</definedName>
    <definedName name="PTMOD">#REF!</definedName>
    <definedName name="PTROLL" localSheetId="3">#REF!</definedName>
    <definedName name="PTROLL">#REF!</definedName>
    <definedName name="PWORKBACK" localSheetId="3">#REF!</definedName>
    <definedName name="PWORKBACK">#REF!</definedName>
    <definedName name="Query1" localSheetId="3">#REF!</definedName>
    <definedName name="Query1">#REF!</definedName>
    <definedName name="RateCd" localSheetId="3">#REF!</definedName>
    <definedName name="RateCd">#REF!</definedName>
    <definedName name="Rates" localSheetId="3">#REF!</definedName>
    <definedName name="Rates">#REF!</definedName>
    <definedName name="RC_ADJ" localSheetId="3">#REF!</definedName>
    <definedName name="RC_ADJ">#REF!</definedName>
    <definedName name="RESADJ" localSheetId="3">#REF!</definedName>
    <definedName name="RESADJ">#REF!</definedName>
    <definedName name="RESIDENTIAL" localSheetId="3">#REF!</definedName>
    <definedName name="RESIDENTIAL">#REF!</definedName>
    <definedName name="ResourceSupplier">[9]Variables!$D$28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3">#REF!</definedName>
    <definedName name="REV_SCHD">#REF!</definedName>
    <definedName name="RevCl" localSheetId="3">#REF!</definedName>
    <definedName name="RevCl">#REF!</definedName>
    <definedName name="RevClass" localSheetId="3">#REF!</definedName>
    <definedName name="RevClass">#REF!</definedName>
    <definedName name="Revenue_by_month_take_2" localSheetId="3">#REF!</definedName>
    <definedName name="Revenue_by_month_take_2">#REF!</definedName>
    <definedName name="revenue3" localSheetId="3">#REF!</definedName>
    <definedName name="revenue3">#REF!</definedName>
    <definedName name="RevenueCheck" localSheetId="3">#REF!</definedName>
    <definedName name="RevenueCheck">#REF!</definedName>
    <definedName name="Revenues" localSheetId="3">#REF!</definedName>
    <definedName name="Revenues">#REF!</definedName>
    <definedName name="RevReqSettle" localSheetId="3">#REF!</definedName>
    <definedName name="RevReqSettle">#REF!</definedName>
    <definedName name="REVVSTRS" localSheetId="3">#REF!</definedName>
    <definedName name="REVVSTRS">#REF!</definedName>
    <definedName name="RISFORM" localSheetId="3">#REF!</definedName>
    <definedName name="RISFORM">#REF!</definedName>
    <definedName name="SAPBEXwbID" hidden="1">"45EQYSCWE9WJMGB34OOD1BOQZ"</definedName>
    <definedName name="SCH33CUSTS" localSheetId="3">#REF!</definedName>
    <definedName name="SCH33CUSTS">#REF!</definedName>
    <definedName name="SCH48ADJ" localSheetId="3">#REF!</definedName>
    <definedName name="SCH48ADJ">#REF!</definedName>
    <definedName name="SCH98NOR" localSheetId="3">#REF!</definedName>
    <definedName name="SCH98NOR">#REF!</definedName>
    <definedName name="SCHED47" localSheetId="3">#REF!</definedName>
    <definedName name="SCHED47">#REF!</definedName>
    <definedName name="se" localSheetId="3">#REF!</definedName>
    <definedName name="se">#REF!</definedName>
    <definedName name="SECOND" localSheetId="3">[1]Jan!#REF!</definedName>
    <definedName name="SECOND">[1]Jan!#REF!</definedName>
    <definedName name="SEP" localSheetId="3">#REF!</definedName>
    <definedName name="SEP">#REF!</definedName>
    <definedName name="SEPT" localSheetId="3">#REF!</definedName>
    <definedName name="SEPT">#REF!</definedName>
    <definedName name="September_2001_305_Detail" localSheetId="3">#REF!</definedName>
    <definedName name="September_2001_305_Detail">#REF!</definedName>
    <definedName name="SERVICES_3" localSheetId="3">#REF!</definedName>
    <definedName name="SERVICES_3">#REF!</definedName>
    <definedName name="sg" localSheetId="3">#REF!</definedName>
    <definedName name="sg">#REF!</definedName>
    <definedName name="SITRate">[4]Inputs!$H$20</definedName>
    <definedName name="START" localSheetId="3">[1]Jan!#REF!</definedName>
    <definedName name="START">[1]Jan!#REF!</definedName>
    <definedName name="State">[4]Inputs!$C$5</definedName>
    <definedName name="SUM_TAB1" localSheetId="3">#REF!</definedName>
    <definedName name="SUM_TAB1">#REF!</definedName>
    <definedName name="SUM_TAB2" localSheetId="3">#REF!</definedName>
    <definedName name="SUM_TAB2">#REF!</definedName>
    <definedName name="SUM_TAB3" localSheetId="3">#REF!</definedName>
    <definedName name="SUM_TAB3">#REF!</definedName>
    <definedName name="TABLE_1" localSheetId="3">#REF!</definedName>
    <definedName name="TABLE_1">#REF!</definedName>
    <definedName name="TABLE_2" localSheetId="3">#REF!</definedName>
    <definedName name="TABLE_2">#REF!</definedName>
    <definedName name="TABLE_3" localSheetId="3">#REF!</definedName>
    <definedName name="TABLE_3">#REF!</definedName>
    <definedName name="TABLE_4" localSheetId="3">#REF!</definedName>
    <definedName name="TABLE_4">#REF!</definedName>
    <definedName name="TABLE_4_A" localSheetId="3">#REF!</definedName>
    <definedName name="TABLE_4_A">#REF!</definedName>
    <definedName name="TABLE_5" localSheetId="3">#REF!</definedName>
    <definedName name="TABLE_5">#REF!</definedName>
    <definedName name="TABLE_6" localSheetId="3">#REF!</definedName>
    <definedName name="TABLE_6">#REF!</definedName>
    <definedName name="TABLE_7" localSheetId="3">#REF!</definedName>
    <definedName name="TABLE_7">#REF!</definedName>
    <definedName name="TABLE1" localSheetId="3">#REF!</definedName>
    <definedName name="TABLE1">#REF!</definedName>
    <definedName name="TABLE2" localSheetId="3">#REF!</definedName>
    <definedName name="TABLE2">#REF!</definedName>
    <definedName name="TABLEA" localSheetId="3">#REF!</definedName>
    <definedName name="TABLEA">#REF!</definedName>
    <definedName name="TABLEB" localSheetId="3">#REF!</definedName>
    <definedName name="TABLEB">#REF!</definedName>
    <definedName name="TABLEC" localSheetId="3">#REF!</definedName>
    <definedName name="TABLEC">#REF!</definedName>
    <definedName name="TABLEONE" localSheetId="3">#REF!</definedName>
    <definedName name="TABLEONE">#REF!</definedName>
    <definedName name="TargetROR">[20]Inputs!$L$6</definedName>
    <definedName name="TDMOD" localSheetId="3">#REF!</definedName>
    <definedName name="TDMOD">#REF!</definedName>
    <definedName name="TDROLL" localSheetId="3">#REF!</definedName>
    <definedName name="TDROLL">#REF!</definedName>
    <definedName name="TEMPADJ" localSheetId="3">#REF!</definedName>
    <definedName name="TEMPADJ">#REF!</definedName>
    <definedName name="Test" localSheetId="3">#REF!</definedName>
    <definedName name="Test">#REF!</definedName>
    <definedName name="Test1" localSheetId="3">#REF!</definedName>
    <definedName name="Test1">#REF!</definedName>
    <definedName name="Test2" localSheetId="3">#REF!</definedName>
    <definedName name="Test2">#REF!</definedName>
    <definedName name="Test3" localSheetId="3">#REF!</definedName>
    <definedName name="Test3">#REF!</definedName>
    <definedName name="Test4" localSheetId="3">#REF!</definedName>
    <definedName name="Test4">#REF!</definedName>
    <definedName name="Test5" localSheetId="3">#REF!</definedName>
    <definedName name="Test5">#REF!</definedName>
    <definedName name="TestPeriod">[4]Inputs!$C$6</definedName>
    <definedName name="TotalRateBase">'[4]G+T+D+R+M'!$H$58</definedName>
    <definedName name="TotTaxRate">[4]Inputs!$H$17</definedName>
    <definedName name="TRANSM_2">[21]Transm2!$A$1:$M$461:'[21]10 Yr FC'!$M$47</definedName>
    <definedName name="UAACT550SGW">[4]FuncStudy!$Y$406</definedName>
    <definedName name="UAACT554SGW">[4]FuncStudy!$Y$428</definedName>
    <definedName name="UAcct103">[4]FuncStudy!$Y$1316</definedName>
    <definedName name="UAcct105S">[4]FuncStudy!$Y$1674</definedName>
    <definedName name="UAcct105SEU">[4]FuncStudy!$Y$1678</definedName>
    <definedName name="UAcct105SGG">[4]FuncStudy!$Y$1679</definedName>
    <definedName name="UAcct105SGP1">[4]FuncStudy!$Y$1675</definedName>
    <definedName name="UAcct105SGP2">[4]FuncStudy!$Y$1677</definedName>
    <definedName name="UAcct105SGT">[4]FuncStudy!$Y$1676</definedName>
    <definedName name="UAcct1081390">[4]FuncStudy!$Y$2101</definedName>
    <definedName name="UAcct1081390Rcl">[4]FuncStudy!$Y$2100</definedName>
    <definedName name="UAcct1081399">[4]FuncStudy!$Y$2109</definedName>
    <definedName name="UAcct1081399Rcl">[4]FuncStudy!$Y$2108</definedName>
    <definedName name="UAcct108360">[4]FuncStudy!$Y$2008</definedName>
    <definedName name="UAcct108361">[4]FuncStudy!$Y$2012</definedName>
    <definedName name="UAcct108362">[4]FuncStudy!$Y$2016</definedName>
    <definedName name="UAcct108364">[4]FuncStudy!$Y$2020</definedName>
    <definedName name="UAcct108365">[4]FuncStudy!$Y$2024</definedName>
    <definedName name="UAcct108366">[4]FuncStudy!$Y$2028</definedName>
    <definedName name="UAcct108367">[4]FuncStudy!$Y$2032</definedName>
    <definedName name="UAcct108368">[4]FuncStudy!$Y$2036</definedName>
    <definedName name="UAcct108369">[4]FuncStudy!$Y$2040</definedName>
    <definedName name="UAcct108370">[4]FuncStudy!$Y$2044</definedName>
    <definedName name="UAcct108371">[4]FuncStudy!$Y$2048</definedName>
    <definedName name="UAcct108372">[4]FuncStudy!$Y$2052</definedName>
    <definedName name="UAcct108373">[4]FuncStudy!$Y$2056</definedName>
    <definedName name="UAcct108D">[4]FuncStudy!$Y$2068</definedName>
    <definedName name="UAcct108D00">[4]FuncStudy!$Y$2060</definedName>
    <definedName name="UAcct108Ds">[4]FuncStudy!$Y$2064</definedName>
    <definedName name="UAcct108Ep">[4]FuncStudy!$Y$1990</definedName>
    <definedName name="UAcct108Gpcn">[4]FuncStudy!$Y$2078</definedName>
    <definedName name="UAcct108Gps">[4]FuncStudy!$Y$2074</definedName>
    <definedName name="UAcct108Gpse">[4]FuncStudy!$Y$2080</definedName>
    <definedName name="UAcct108Gpsg">[4]FuncStudy!$Y$2077</definedName>
    <definedName name="UAcct108Gpsgp">[4]FuncStudy!$Y$2075</definedName>
    <definedName name="UAcct108Gpsgu">[4]FuncStudy!$Y$2076</definedName>
    <definedName name="UAcct108Gpso">[4]FuncStudy!$Y$2079</definedName>
    <definedName name="UACCT108GPSSGCH">[4]FuncStudy!$Y$2082</definedName>
    <definedName name="UACCT108GPSSGCT">[4]FuncStudy!$Y$2081</definedName>
    <definedName name="UAcct108Hp">[4]FuncStudy!$Y$1977</definedName>
    <definedName name="UAcct108Mp">[4]FuncStudy!$Y$2094</definedName>
    <definedName name="UAcct108Np">[4]FuncStudy!$Y$1970</definedName>
    <definedName name="UAcct108Op">[4]FuncStudy!$Y$1985</definedName>
    <definedName name="UAcct108Opsgw">[4]FuncStudy!$Y$1982</definedName>
    <definedName name="UAcct108OPSSGCT">[4]FuncStudy!$Y$1984</definedName>
    <definedName name="UAcct108Sp">[4]FuncStudy!$Y$1964</definedName>
    <definedName name="uacct108spssgch">[4]FuncStudy!$Y$1963</definedName>
    <definedName name="UAcct108Tp">[4]FuncStudy!$Y$2004</definedName>
    <definedName name="UAcct111390">[4]FuncStudy!$Y$2161</definedName>
    <definedName name="UAcct111Clg">[4]FuncStudy!$Y$2130</definedName>
    <definedName name="UAcct111Clgcn">[4]FuncStudy!$Y$2126</definedName>
    <definedName name="UAcct111Clgsop">[4]FuncStudy!$Y$2129</definedName>
    <definedName name="UAcct111Clgsou">[4]FuncStudy!$Y$2128</definedName>
    <definedName name="UAcct111Clh">[4]FuncStudy!$Y$2136</definedName>
    <definedName name="UAcct111Cls">[4]FuncStudy!$Y$2121</definedName>
    <definedName name="UAcct111Ipcn">[4]FuncStudy!$Y$2145</definedName>
    <definedName name="UAcct111Ips">[4]FuncStudy!$Y$2140</definedName>
    <definedName name="UAcct111Ipse">[4]FuncStudy!$Y$2143</definedName>
    <definedName name="UAcct111Ipsg">[4]FuncStudy!$Y$2144</definedName>
    <definedName name="UAcct111Ipsgp">[4]FuncStudy!$Y$2141</definedName>
    <definedName name="UAcct111Ipsgu">[4]FuncStudy!$Y$2142</definedName>
    <definedName name="uacct111ipso">[4]FuncStudy!$Y$2148</definedName>
    <definedName name="UACCT111IPSSGCH">[4]FuncStudy!$Y$2147</definedName>
    <definedName name="UAcct114">[4]FuncStudy!$Y$1686</definedName>
    <definedName name="UAcct120">[4]FuncStudy!$Y$1690</definedName>
    <definedName name="UAcct124">[4]FuncStudy!$Y$1695</definedName>
    <definedName name="UAcct141">[4]FuncStudy!$Y$1835</definedName>
    <definedName name="UAcct151">[4]FuncStudy!$Y$1717</definedName>
    <definedName name="uacct151ssech">[4]FuncStudy!$Y$1716</definedName>
    <definedName name="UAcct154">[4]FuncStudy!$Y$1751</definedName>
    <definedName name="uacct154ssgch">[4]FuncStudy!$Y$1750</definedName>
    <definedName name="UAcct163">[4]FuncStudy!$Y$1756</definedName>
    <definedName name="UAcct165">[4]FuncStudy!$Y$1771</definedName>
    <definedName name="UAcct165Se">[4]FuncStudy!$Y$1769</definedName>
    <definedName name="UAcct182">[4]FuncStudy!$Y$1702</definedName>
    <definedName name="UAcct18222">[4]FuncStudy!$Y$1825</definedName>
    <definedName name="UAcct182M">[4]FuncStudy!$Y$1781</definedName>
    <definedName name="UAcct182MSSGCT">[4]FuncStudy!$Y$1779</definedName>
    <definedName name="UAcct186">[4]FuncStudy!$Y$1710</definedName>
    <definedName name="UAcct1869">[4]FuncStudy!$Y$1830</definedName>
    <definedName name="UAcct186M">[4]FuncStudy!$Y$1792</definedName>
    <definedName name="UAcct186Mse">[4]FuncStudy!$Y$1789</definedName>
    <definedName name="UAcct190">[4]FuncStudy!$Y$1904</definedName>
    <definedName name="UAcct190CN">[4]FuncStudy!$Y$1893</definedName>
    <definedName name="UAcct190Dop">[4]FuncStudy!$Y$1894</definedName>
    <definedName name="UACCT190IBT">[4]FuncStudy!$Y$1896</definedName>
    <definedName name="UACCT190SSGCT">[4]FuncStudy!$Y$1903</definedName>
    <definedName name="UACCT2281">[4]FuncStudy!$Y$1848</definedName>
    <definedName name="UAcct2282">[4]FuncStudy!$Y$1852</definedName>
    <definedName name="UAcct2283">[4]FuncStudy!$Y$1857</definedName>
    <definedName name="UAcct2283S">[4]FuncStudy!$Y$1861</definedName>
    <definedName name="UAcct22842">[4]FuncStudy!$Y$1870</definedName>
    <definedName name="UAcct22842Trojd" localSheetId="3">'[5]Func Study'!#REF!</definedName>
    <definedName name="UAcct22842Trojd">'[5]Func Study'!#REF!</definedName>
    <definedName name="UAcct235">[4]FuncStudy!$Y$1844</definedName>
    <definedName name="UAcct252">[4]FuncStudy!$Y$1878</definedName>
    <definedName name="UAcct25316">[4]FuncStudy!$Y$1725</definedName>
    <definedName name="UAcct25317">[4]FuncStudy!$Y$1729</definedName>
    <definedName name="UAcct25318">[4]FuncStudy!$Y$1761</definedName>
    <definedName name="UAcct25319">[4]FuncStudy!$Y$1733</definedName>
    <definedName name="UACCT25398">[4]FuncStudy!$Y$1882</definedName>
    <definedName name="UAcct25399">[4]FuncStudy!$Y$1889</definedName>
    <definedName name="UAcct254">[4]FuncStudy!$Y$1866</definedName>
    <definedName name="UACCT254SO">[4]FuncStudy!$Y$1865</definedName>
    <definedName name="UAcct255">[4]FuncStudy!$Y$1954</definedName>
    <definedName name="UAcct281">[4]FuncStudy!$Y$1910</definedName>
    <definedName name="UAcct282">[4]FuncStudy!$Y$1928</definedName>
    <definedName name="UAcct282So">[4]FuncStudy!$Y$1916</definedName>
    <definedName name="UAcct283">[4]FuncStudy!$Y$1941</definedName>
    <definedName name="UAcct283So">[4]FuncStudy!$Y$1934</definedName>
    <definedName name="UAcct301S">[4]FuncStudy!$Y$1637</definedName>
    <definedName name="UAcct301Sg">[4]FuncStudy!$Y$1639</definedName>
    <definedName name="UAcct301So">[4]FuncStudy!$Y$1638</definedName>
    <definedName name="UAcct302S">[4]FuncStudy!$Y$1642</definedName>
    <definedName name="UAcct302Sg">[4]FuncStudy!$Y$1643</definedName>
    <definedName name="UAcct302Sgp">[4]FuncStudy!$Y$1644</definedName>
    <definedName name="UAcct302Sgu">[4]FuncStudy!$Y$1645</definedName>
    <definedName name="UAcct303Cn">[4]FuncStudy!$Y$1653</definedName>
    <definedName name="UAcct303S">[4]FuncStudy!$Y$1649</definedName>
    <definedName name="UAcct303Se">[4]FuncStudy!$Y$1652</definedName>
    <definedName name="UAcct303Sg">[4]FuncStudy!$Y$1650</definedName>
    <definedName name="UAcct303So">[4]FuncStudy!$Y$1651</definedName>
    <definedName name="UACCT303SSGCT">[4]FuncStudy!$Y$1655</definedName>
    <definedName name="UAcct310">[4]FuncStudy!$Y$1152</definedName>
    <definedName name="uacct310ssgch">[4]FuncStudy!$Y$1151</definedName>
    <definedName name="UAcct311">[4]FuncStudy!$Y$1157</definedName>
    <definedName name="uacct311ssgch">[4]FuncStudy!$Y$1156</definedName>
    <definedName name="UAcct312">[4]FuncStudy!$Y$1162</definedName>
    <definedName name="uacct312ssgch">[4]FuncStudy!$Y$1161</definedName>
    <definedName name="UAcct314">[4]FuncStudy!$Y$1167</definedName>
    <definedName name="uacct314ssgch">[4]FuncStudy!$Y$1166</definedName>
    <definedName name="UAcct315">[4]FuncStudy!$Y$1172</definedName>
    <definedName name="uacct315ssgch">[4]FuncStudy!$Y$1171</definedName>
    <definedName name="UAcct316">[4]FuncStudy!$Y$1177</definedName>
    <definedName name="uacct316ssgch">[4]FuncStudy!$Y$1176</definedName>
    <definedName name="UAcct320">[4]FuncStudy!$Y$1189</definedName>
    <definedName name="UAcct321">[4]FuncStudy!$Y$1193</definedName>
    <definedName name="UAcct322">[4]FuncStudy!$Y$1197</definedName>
    <definedName name="UAcct323">[4]FuncStudy!$Y$1201</definedName>
    <definedName name="UAcct324">[4]FuncStudy!$Y$1205</definedName>
    <definedName name="UAcct325">[4]FuncStudy!$Y$1209</definedName>
    <definedName name="UAcct33">[4]FuncStudy!$Y$131</definedName>
    <definedName name="UAcct330">[4]FuncStudy!$Y$1222</definedName>
    <definedName name="UAcct331">[4]FuncStudy!$Y$1227</definedName>
    <definedName name="UAcct332">[4]FuncStudy!$Y$1232</definedName>
    <definedName name="UAcct333">[4]FuncStudy!$Y$1237</definedName>
    <definedName name="UAcct334">[4]FuncStudy!$Y$1242</definedName>
    <definedName name="UAcct335">[4]FuncStudy!$Y$1247</definedName>
    <definedName name="UAcct336">[4]FuncStudy!$Y$1252</definedName>
    <definedName name="UAcct33T">[4]FuncStudy!$Y$132</definedName>
    <definedName name="UAcct340">[4]FuncStudy!$Y$1267</definedName>
    <definedName name="UAcct340Sgw">[4]FuncStudy!$Y$1265</definedName>
    <definedName name="UAcct341">[4]FuncStudy!$Y$1273</definedName>
    <definedName name="UACCT341SGW">[4]FuncStudy!$Y$1271</definedName>
    <definedName name="uacct341ssgct">[4]FuncStudy!$Y$1272</definedName>
    <definedName name="UAcct342">[4]FuncStudy!$Y$1278</definedName>
    <definedName name="uacct342ssgct">[4]FuncStudy!$Y$1277</definedName>
    <definedName name="UAcct343">[4]FuncStudy!$Y$1285</definedName>
    <definedName name="UAcct343Sgw">[4]FuncStudy!$Y$1283</definedName>
    <definedName name="uacct343sscct">[4]FuncStudy!$Y$1284</definedName>
    <definedName name="UAcct344">[4]FuncStudy!$Y$1292</definedName>
    <definedName name="UACCT344SGW">[4]FuncStudy!$Y$1290</definedName>
    <definedName name="uacct344ssgct">[4]FuncStudy!$Y$1291</definedName>
    <definedName name="UAcct345">[4]FuncStudy!$Y$1298</definedName>
    <definedName name="UACCT345SGW">[4]FuncStudy!$Y$1296</definedName>
    <definedName name="uacct345ssgct">[4]FuncStudy!$Y$1297</definedName>
    <definedName name="UAcct346">[4]FuncStudy!$Y$1304</definedName>
    <definedName name="UAcct346SGW">[4]FuncStudy!$Y$1302</definedName>
    <definedName name="UAcct350">[4]FuncStudy!$Y$1324</definedName>
    <definedName name="UAcct352">[4]FuncStudy!$Y$1331</definedName>
    <definedName name="UAcct353">[4]FuncStudy!$Y$1337</definedName>
    <definedName name="UAcct354">[4]FuncStudy!$Y$1343</definedName>
    <definedName name="UAcct355">[4]FuncStudy!$Y$1349</definedName>
    <definedName name="UAcct356">[4]FuncStudy!$Y$1355</definedName>
    <definedName name="UAcct357">[4]FuncStudy!$Y$1361</definedName>
    <definedName name="UAcct358">[4]FuncStudy!$Y$1367</definedName>
    <definedName name="UAcct359">[4]FuncStudy!$Y$1373</definedName>
    <definedName name="UAcct360">[4]FuncStudy!$Y$1389</definedName>
    <definedName name="UAcct361">[4]FuncStudy!$Y$1395</definedName>
    <definedName name="UAcct362">[4]FuncStudy!$Y$1401</definedName>
    <definedName name="UAcct368">[4]FuncStudy!$Y$1435</definedName>
    <definedName name="UAcct369">[4]FuncStudy!$Y$1442</definedName>
    <definedName name="UAcct370">[4]FuncStudy!$Y$1448</definedName>
    <definedName name="UAcct372A">[4]FuncStudy!$Y$1461</definedName>
    <definedName name="UAcct372Dp">[4]FuncStudy!$Y$1459</definedName>
    <definedName name="UAcct372Ds">[4]FuncStudy!$Y$1460</definedName>
    <definedName name="UAcct373">[4]FuncStudy!$Y$1468</definedName>
    <definedName name="UAcct389Cn">[4]FuncStudy!$Y$1483</definedName>
    <definedName name="UAcct389S">[4]FuncStudy!$Y$1482</definedName>
    <definedName name="UAcct389Sg">[4]FuncStudy!$Y$1485</definedName>
    <definedName name="UAcct389Sgu">[4]FuncStudy!$Y$1484</definedName>
    <definedName name="UAcct389So">[4]FuncStudy!$Y$1486</definedName>
    <definedName name="UAcct390Cn">[4]FuncStudy!$Y$1493</definedName>
    <definedName name="UACCT390LS">[4]FuncStudy!$Y$1602</definedName>
    <definedName name="UAcct390LSG">[4]FuncStudy!$Y$1603</definedName>
    <definedName name="UAcct390LSO">[4]FuncStudy!$Y$1604</definedName>
    <definedName name="UAcct390S">[4]FuncStudy!$Y$1490</definedName>
    <definedName name="UAcct390Sgp">[4]FuncStudy!$Y$1491</definedName>
    <definedName name="UAcct390Sgu">[4]FuncStudy!$Y$1492</definedName>
    <definedName name="UAcct390Sop">[4]FuncStudy!$Y$1494</definedName>
    <definedName name="UAcct390Sou">[4]FuncStudy!$Y$1495</definedName>
    <definedName name="UAcct391Cn">[4]FuncStudy!$Y$1502</definedName>
    <definedName name="UAcct391S">[4]FuncStudy!$Y$1499</definedName>
    <definedName name="UAcct391Se">[4]FuncStudy!$Y$1504</definedName>
    <definedName name="UAcct391Sg">[4]FuncStudy!$Y$1503</definedName>
    <definedName name="UAcct391Sgp">[4]FuncStudy!$Y$1500</definedName>
    <definedName name="UAcct391Sgu">[4]FuncStudy!$Y$1501</definedName>
    <definedName name="UAcct391So">[4]FuncStudy!$Y$1505</definedName>
    <definedName name="uacct391ssgch">[4]FuncStudy!$Y$1506</definedName>
    <definedName name="UACCT391SSGCT">[4]FuncStudy!$Y$1507</definedName>
    <definedName name="UAcct392Cn">[4]FuncStudy!$Y$1514</definedName>
    <definedName name="UAcct392L">[4]FuncStudy!$Y$1612</definedName>
    <definedName name="UACCT392LRCL">[4]FuncStudy!$F$1615</definedName>
    <definedName name="UAcct392S">[4]FuncStudy!$Y$1511</definedName>
    <definedName name="UAcct392Se">[4]FuncStudy!$Y$1516</definedName>
    <definedName name="UAcct392Sg">[4]FuncStudy!$Y$1513</definedName>
    <definedName name="UAcct392Sgp">[4]FuncStudy!$Y$1517</definedName>
    <definedName name="UAcct392Sgu">[4]FuncStudy!$Y$1515</definedName>
    <definedName name="UAcct392So">[4]FuncStudy!$Y$1512</definedName>
    <definedName name="uacct392ssgch">[4]FuncStudy!$Y$1518</definedName>
    <definedName name="uacct392ssgct">[4]FuncStudy!$Y$1519</definedName>
    <definedName name="UAcct393S">[4]FuncStudy!$Y$1523</definedName>
    <definedName name="UAcct393Sg">[4]FuncStudy!$Y$1527</definedName>
    <definedName name="UAcct393Sgp">[4]FuncStudy!$Y$1524</definedName>
    <definedName name="UAcct393Sgu">[4]FuncStudy!$Y$1525</definedName>
    <definedName name="UAcct393So">[4]FuncStudy!$Y$1526</definedName>
    <definedName name="uacct393ssgct">[4]FuncStudy!$Y$1528</definedName>
    <definedName name="UAcct394S">[4]FuncStudy!$Y$1532</definedName>
    <definedName name="UAcct394Se">[4]FuncStudy!$Y$1536</definedName>
    <definedName name="UAcct394Sg">[4]FuncStudy!$Y$1537</definedName>
    <definedName name="UAcct394Sgp">[4]FuncStudy!$Y$1533</definedName>
    <definedName name="UAcct394Sgu">[4]FuncStudy!$Y$1534</definedName>
    <definedName name="UAcct394So">[4]FuncStudy!$Y$1535</definedName>
    <definedName name="UACCT394SSGCH">[4]FuncStudy!$Y$1538</definedName>
    <definedName name="UACCT394SSGCT">[4]FuncStudy!$Y$1539</definedName>
    <definedName name="UAcct395S">[4]FuncStudy!$Y$1543</definedName>
    <definedName name="UAcct395Se">[4]FuncStudy!$Y$1547</definedName>
    <definedName name="UAcct395Sg">[4]FuncStudy!$Y$1548</definedName>
    <definedName name="UAcct395Sgp">[4]FuncStudy!$Y$1544</definedName>
    <definedName name="UAcct395Sgu">[4]FuncStudy!$Y$1545</definedName>
    <definedName name="UAcct395So">[4]FuncStudy!$Y$1546</definedName>
    <definedName name="UACCT395SSGCH">[4]FuncStudy!$Y$1549</definedName>
    <definedName name="UACCT395SSGCT">[4]FuncStudy!$Y$1550</definedName>
    <definedName name="UAcct396S">[4]FuncStudy!$Y$1554</definedName>
    <definedName name="UAcct396Se">[4]FuncStudy!$Y$1559</definedName>
    <definedName name="UAcct396Sg">[4]FuncStudy!$Y$1556</definedName>
    <definedName name="UAcct396Sgp">[4]FuncStudy!$Y$1555</definedName>
    <definedName name="UAcct396Sgu">[4]FuncStudy!$Y$1558</definedName>
    <definedName name="UAcct396So">[4]FuncStudy!$Y$1557</definedName>
    <definedName name="UACCT396SSGCH">[4]FuncStudy!$Y$1561</definedName>
    <definedName name="UACCT396SSGCT">[4]FuncStudy!$Y$1560</definedName>
    <definedName name="UAcct397Cn">[4]FuncStudy!$Y$1569</definedName>
    <definedName name="UAcct397S">[4]FuncStudy!$Y$1565</definedName>
    <definedName name="UAcct397Se">[4]FuncStudy!$Y$1571</definedName>
    <definedName name="UAcct397Sg">[4]FuncStudy!$Y$1570</definedName>
    <definedName name="UAcct397Sgp">[4]FuncStudy!$Y$1566</definedName>
    <definedName name="UAcct397Sgu">[4]FuncStudy!$Y$1567</definedName>
    <definedName name="UAcct397So">[4]FuncStudy!$Y$1568</definedName>
    <definedName name="UACCT397SSGCH">[4]FuncStudy!$Y$1572</definedName>
    <definedName name="UACCT397SSGCT">[4]FuncStudy!$Y$1573</definedName>
    <definedName name="UAcct398Cn">[4]FuncStudy!$Y$1580</definedName>
    <definedName name="UAcct398S">[4]FuncStudy!$Y$1577</definedName>
    <definedName name="UAcct398Se">[4]FuncStudy!$Y$1582</definedName>
    <definedName name="UAcct398Sg">[4]FuncStudy!$Y$1583</definedName>
    <definedName name="UAcct398Sgp">[4]FuncStudy!$Y$1578</definedName>
    <definedName name="UAcct398Sgu">[4]FuncStudy!$Y$1579</definedName>
    <definedName name="UAcct398So">[4]FuncStudy!$Y$1581</definedName>
    <definedName name="UACCT398SSGCT">[4]FuncStudy!$Y$1584</definedName>
    <definedName name="UAcct399">[4]FuncStudy!$Y$1591</definedName>
    <definedName name="UAcct399G">[4]FuncStudy!$Y$1632</definedName>
    <definedName name="UAcct399L">[4]FuncStudy!$Y$1595</definedName>
    <definedName name="UAcct399Lrcl">[4]FuncStudy!$Y$1597</definedName>
    <definedName name="UAcct403360">[4]FuncStudy!$Y$809</definedName>
    <definedName name="UAcct403361">[4]FuncStudy!$Y$810</definedName>
    <definedName name="UAcct403362">[4]FuncStudy!$Y$811</definedName>
    <definedName name="UAcct403364">[4]FuncStudy!$Y$812</definedName>
    <definedName name="UAcct403365">[4]FuncStudy!$Y$813</definedName>
    <definedName name="UAcct403366">[4]FuncStudy!$Y$814</definedName>
    <definedName name="UAcct403367">[4]FuncStudy!$Y$815</definedName>
    <definedName name="UAcct403368">[4]FuncStudy!$Y$816</definedName>
    <definedName name="UAcct403369">[4]FuncStudy!$Y$817</definedName>
    <definedName name="UAcct403370">[4]FuncStudy!$Y$818</definedName>
    <definedName name="UAcct403371">[4]FuncStudy!$Y$819</definedName>
    <definedName name="UAcct403372">[4]FuncStudy!$Y$820</definedName>
    <definedName name="UAcct403373">[4]FuncStudy!$Y$821</definedName>
    <definedName name="UAcct403Ep">[4]FuncStudy!$Y$847</definedName>
    <definedName name="UAcct403Gpcn">[4]FuncStudy!$Y$829</definedName>
    <definedName name="UAcct403Gps">[4]FuncStudy!$Y$825</definedName>
    <definedName name="UAcct403Gpseu">[4]FuncStudy!$Y$828</definedName>
    <definedName name="UAcct403Gpsg">[4]FuncStudy!$Y$830</definedName>
    <definedName name="UAcct403Gpsgp">[4]FuncStudy!$Y$826</definedName>
    <definedName name="UAcct403Gpsgu">[4]FuncStudy!$Y$827</definedName>
    <definedName name="UAcct403Gpso">[4]FuncStudy!$Y$831</definedName>
    <definedName name="uacct403gpssgch">[4]FuncStudy!$Y$833</definedName>
    <definedName name="UACCT403GPSSGCT">[4]FuncStudy!$Y$832</definedName>
    <definedName name="UAcct403Gv0">[4]FuncStudy!$Y$838</definedName>
    <definedName name="UAcct403Hp">[4]FuncStudy!$Y$793</definedName>
    <definedName name="UAcct403Mp">[4]FuncStudy!$Y$842</definedName>
    <definedName name="UAcct403Np">[4]FuncStudy!$Y$788</definedName>
    <definedName name="UAcct403Op">[4]FuncStudy!$Y$800</definedName>
    <definedName name="UAcct403Opsgu">[4]FuncStudy!$Y$797</definedName>
    <definedName name="uacct403opssgct">[4]FuncStudy!$Y$798</definedName>
    <definedName name="uacct403sgw">[4]FuncStudy!$Y$799</definedName>
    <definedName name="uacct403spdgp">[4]FuncStudy!$Y$780</definedName>
    <definedName name="uacct403spdgu">[4]FuncStudy!$Y$781</definedName>
    <definedName name="uacct403spsg">[4]FuncStudy!$Y$782</definedName>
    <definedName name="uacct403ssgch">[4]FuncStudy!$Y$783</definedName>
    <definedName name="UAcct403Tp">[4]FuncStudy!$Y$806</definedName>
    <definedName name="UAcct404330">[4]FuncStudy!$Y$881</definedName>
    <definedName name="UAcct404Clg">[4]FuncStudy!$Y$858</definedName>
    <definedName name="UAcct404Clgsop">[4]FuncStudy!$Y$856</definedName>
    <definedName name="UAcct404Clgsou">[4]FuncStudy!$Y$854</definedName>
    <definedName name="UAcct404Cls">[4]FuncStudy!$Y$862</definedName>
    <definedName name="UAcct404Ipcn">[4]FuncStudy!$Y$868</definedName>
    <definedName name="UACCT404IPDGU">[4]FuncStudy!$Y$870</definedName>
    <definedName name="UAcct404Ips">[4]FuncStudy!$Y$865</definedName>
    <definedName name="UAcct404Ipse">[4]FuncStudy!$Y$866</definedName>
    <definedName name="UACCT404IPSGP">[4]FuncStudy!$Y$869</definedName>
    <definedName name="UAcct404Ipso">[4]FuncStudy!$Y$867</definedName>
    <definedName name="UACCT404IPSSGCH">[4]FuncStudy!$Y$871</definedName>
    <definedName name="UAcct404O">[4]FuncStudy!$Y$876</definedName>
    <definedName name="UAcct405">[4]FuncStudy!$Y$889</definedName>
    <definedName name="UAcct406">[4]FuncStudy!$Y$895</definedName>
    <definedName name="UAcct407">[4]FuncStudy!$Y$904</definedName>
    <definedName name="UAcct408">[4]FuncStudy!$Y$917</definedName>
    <definedName name="UAcct408S">[4]FuncStudy!$Y$909</definedName>
    <definedName name="UAcct40910FITOther">[4]FuncStudy!$Y$1136</definedName>
    <definedName name="UAcct40910FitPMI">[4]FuncStudy!$Y$1134</definedName>
    <definedName name="UAcct40910FITPTC">[4]FuncStudy!$Y$1135</definedName>
    <definedName name="UAcct40910FITSitus">[4]FuncStudy!$Y$1137</definedName>
    <definedName name="UAcct40911Dgu">[4]FuncStudy!$Y$1104</definedName>
    <definedName name="UAcct41010">[4]FuncStudy!$Y$978</definedName>
    <definedName name="UAcct41020">[4]FuncStudy!$Y$993</definedName>
    <definedName name="UAcct41111">[4]FuncStudy!$Y$1027</definedName>
    <definedName name="UAcct41120">[4]FuncStudy!$Y$1012</definedName>
    <definedName name="UAcct41140">[4]FuncStudy!$Y$922</definedName>
    <definedName name="UAcct41141">[4]FuncStudy!$Y$927</definedName>
    <definedName name="UAcct41160">[4]FuncStudy!$Y$178</definedName>
    <definedName name="UAcct41170">[4]FuncStudy!$Y$183</definedName>
    <definedName name="UAcct4118">[4]FuncStudy!$Y$187</definedName>
    <definedName name="UAcct41181">[4]FuncStudy!$Y$190</definedName>
    <definedName name="UAcct4194">[4]FuncStudy!$Y$194</definedName>
    <definedName name="UAcct419Doth">[4]FuncStudy!$Y$958</definedName>
    <definedName name="UAcct421">[4]FuncStudy!$Y$203</definedName>
    <definedName name="UAcct4311">[4]FuncStudy!$Y$210</definedName>
    <definedName name="UAcct442Se">[4]FuncStudy!$Y$100</definedName>
    <definedName name="UAcct442Sg">[4]FuncStudy!$Y$101</definedName>
    <definedName name="UAcct447">[4]FuncStudy!$Y$125</definedName>
    <definedName name="UAcct447Dgu" localSheetId="3">'[5]Func Study'!#REF!</definedName>
    <definedName name="UAcct447Dgu">'[5]Func Study'!#REF!</definedName>
    <definedName name="UAcct447S">[4]FuncStudy!$Y$121</definedName>
    <definedName name="UAcct447Se">[4]FuncStudy!$Y$124</definedName>
    <definedName name="UAcct448S">[4]FuncStudy!$Y$114</definedName>
    <definedName name="UAcct448So">[4]FuncStudy!$Y$115</definedName>
    <definedName name="UAcct449">[4]FuncStudy!$Y$130</definedName>
    <definedName name="UAcct450">[4]FuncStudy!$Y$141</definedName>
    <definedName name="UAcct450S">[4]FuncStudy!$Y$139</definedName>
    <definedName name="UAcct450So">[4]FuncStudy!$Y$140</definedName>
    <definedName name="UAcct451S">[4]FuncStudy!$Y$144</definedName>
    <definedName name="UAcct451Sg">[4]FuncStudy!$Y$145</definedName>
    <definedName name="UAcct451So">[4]FuncStudy!$Y$146</definedName>
    <definedName name="UAcct453">[4]FuncStudy!$Y$151</definedName>
    <definedName name="UAcct454">[4]FuncStudy!$Y$157</definedName>
    <definedName name="UAcct454S">[4]FuncStudy!$Y$154</definedName>
    <definedName name="UAcct454Sg">[4]FuncStudy!$Y$155</definedName>
    <definedName name="UAcct454So">[4]FuncStudy!$Y$156</definedName>
    <definedName name="UAcct456">[4]FuncStudy!$Y$165</definedName>
    <definedName name="UAcct456Cn">[4]FuncStudy!$Y$161</definedName>
    <definedName name="UAcct456S">[4]FuncStudy!$Y$160</definedName>
    <definedName name="UAcct456Se">[4]FuncStudy!$Y$162</definedName>
    <definedName name="UAcct500">[4]FuncStudy!$Y$226</definedName>
    <definedName name="UACCT500SSGCH">[4]FuncStudy!$Y$225</definedName>
    <definedName name="UAcct501">[4]FuncStudy!$Y$234</definedName>
    <definedName name="UAcct501Se">[4]FuncStudy!$Y$229</definedName>
    <definedName name="UACCT501SENNPC">[4]FuncStudy!$Y$230</definedName>
    <definedName name="uacct501ssech">[4]FuncStudy!$Y$233</definedName>
    <definedName name="UACCT501SSECHNNPC">[4]FuncStudy!$Y$232</definedName>
    <definedName name="uacct501ssect">[4]FuncStudy!$Y$231</definedName>
    <definedName name="UAcct502">[4]FuncStudy!$Y$239</definedName>
    <definedName name="uacct502snpps">[4]FuncStudy!$Y$237</definedName>
    <definedName name="uacct502ssgch">[4]FuncStudy!$Y$238</definedName>
    <definedName name="UAcct503">[4]FuncStudy!$Y$244</definedName>
    <definedName name="UAcct503Se">[4]FuncStudy!$Y$242</definedName>
    <definedName name="UACCT503SENNPC">[4]FuncStudy!$Y$243</definedName>
    <definedName name="UAcct505">[4]FuncStudy!$Y$249</definedName>
    <definedName name="uacct505snpps">[4]FuncStudy!$Y$247</definedName>
    <definedName name="uacct505ssgch">[4]FuncStudy!$Y$248</definedName>
    <definedName name="UAcct506">[4]FuncStudy!$Y$255</definedName>
    <definedName name="UAcct506Se">[4]FuncStudy!$Y$253</definedName>
    <definedName name="uacct506snpps">[4]FuncStudy!$Y$252</definedName>
    <definedName name="uacct506ssgch">[4]FuncStudy!$Y$254</definedName>
    <definedName name="UAcct507">[4]FuncStudy!$Y$260</definedName>
    <definedName name="uacct507ssgch">[4]FuncStudy!$Y$259</definedName>
    <definedName name="UAcct510">[4]FuncStudy!$Y$265</definedName>
    <definedName name="uacct510ssgch">[4]FuncStudy!$Y$264</definedName>
    <definedName name="UAcct511">[4]FuncStudy!$Y$270</definedName>
    <definedName name="uacct511ssgch">[4]FuncStudy!$Y$269</definedName>
    <definedName name="UAcct512">[4]FuncStudy!$Y$275</definedName>
    <definedName name="uacct512ssgch">[4]FuncStudy!$Y$274</definedName>
    <definedName name="UAcct513">[4]FuncStudy!$Y$280</definedName>
    <definedName name="uacct513ssgch">[4]FuncStudy!$Y$279</definedName>
    <definedName name="UAcct514">[4]FuncStudy!$Y$285</definedName>
    <definedName name="uacct514ssgch">[4]FuncStudy!$Y$284</definedName>
    <definedName name="UAcct517">[4]FuncStudy!$Y$291</definedName>
    <definedName name="UAcct518">[4]FuncStudy!$Y$295</definedName>
    <definedName name="UAcct519">[4]FuncStudy!$Y$300</definedName>
    <definedName name="UAcct520">[4]FuncStudy!$Y$304</definedName>
    <definedName name="UAcct523">[4]FuncStudy!$Y$308</definedName>
    <definedName name="UAcct524">[4]FuncStudy!$Y$312</definedName>
    <definedName name="UAcct528">[4]FuncStudy!$Y$316</definedName>
    <definedName name="UAcct529">[4]FuncStudy!$Y$320</definedName>
    <definedName name="UAcct530">[4]FuncStudy!$Y$324</definedName>
    <definedName name="UAcct531">[4]FuncStudy!$Y$328</definedName>
    <definedName name="UAcct532">[4]FuncStudy!$Y$332</definedName>
    <definedName name="UAcct535">[4]FuncStudy!$Y$339</definedName>
    <definedName name="UAcct536">[4]FuncStudy!$Y$343</definedName>
    <definedName name="UAcct537">[4]FuncStudy!$Y$347</definedName>
    <definedName name="UAcct538">[4]FuncStudy!$Y$351</definedName>
    <definedName name="UAcct539">[4]FuncStudy!$Y$355</definedName>
    <definedName name="UAcct540">[4]FuncStudy!$Y$359</definedName>
    <definedName name="UAcct541">[4]FuncStudy!$Y$363</definedName>
    <definedName name="UAcct542">[4]FuncStudy!$Y$367</definedName>
    <definedName name="UAcct543">[4]FuncStudy!$Y$371</definedName>
    <definedName name="UAcct544">[4]FuncStudy!$Y$375</definedName>
    <definedName name="UAcct545">[4]FuncStudy!$Y$379</definedName>
    <definedName name="UAcct546">[4]FuncStudy!$Y$386</definedName>
    <definedName name="UAcct547Se">[4]FuncStudy!$Y$389</definedName>
    <definedName name="UACCT547SSECT">[4]FuncStudy!$Y$390</definedName>
    <definedName name="UAcct548">[4]FuncStudy!$Y$396</definedName>
    <definedName name="uacct548ssgct">[4]FuncStudy!$Y$395</definedName>
    <definedName name="UAcct549">[4]FuncStudy!$Y$401</definedName>
    <definedName name="UAcct549sg">[4]FuncStudy!$Y$399</definedName>
    <definedName name="uacct550">[4]FuncStudy!$Y$407</definedName>
    <definedName name="UACCT550sg">[4]FuncStudy!$Y$405</definedName>
    <definedName name="UAcct551">[4]FuncStudy!$Y$411</definedName>
    <definedName name="UAcct552">[4]FuncStudy!$Y$416</definedName>
    <definedName name="UAcct553">[4]FuncStudy!$Y$423</definedName>
    <definedName name="UACCT553SSGCT">[4]FuncStudy!$Y$421</definedName>
    <definedName name="UAcct554">[4]FuncStudy!$Y$429</definedName>
    <definedName name="UAcct554SSCT">[4]FuncStudy!$Y$427</definedName>
    <definedName name="uacct555dgp">[4]FuncStudy!$Y$438</definedName>
    <definedName name="UAcct555Dgu">[4]FuncStudy!$Y$435</definedName>
    <definedName name="UAcct555S">[4]FuncStudy!$Y$434</definedName>
    <definedName name="UAcct555Se">[4]FuncStudy!$Y$436</definedName>
    <definedName name="uacct555ssgp">[4]FuncStudy!$Y$437</definedName>
    <definedName name="UAcct556">[4]FuncStudy!$Y$443</definedName>
    <definedName name="UAcct557">[4]FuncStudy!$Y$452</definedName>
    <definedName name="UACCT557SSGCT">[4]FuncStudy!$Y$450</definedName>
    <definedName name="UAcct560">[4]FuncStudy!$Y$477</definedName>
    <definedName name="UAcct561">[4]FuncStudy!$Y$481</definedName>
    <definedName name="UAcct562">[4]FuncStudy!$Y$485</definedName>
    <definedName name="UAcct563">[4]FuncStudy!$Y$489</definedName>
    <definedName name="UAcct564">[4]FuncStudy!$Y$493</definedName>
    <definedName name="UAcct565">[4]FuncStudy!$Y$498</definedName>
    <definedName name="UAcct565Se">[4]FuncStudy!$Y$497</definedName>
    <definedName name="UAcct566">[4]FuncStudy!$Y$502</definedName>
    <definedName name="UAcct567">[4]FuncStudy!$Y$506</definedName>
    <definedName name="UAcct568">[4]FuncStudy!$Y$510</definedName>
    <definedName name="UAcct569">[4]FuncStudy!$Y$514</definedName>
    <definedName name="UAcct570">[4]FuncStudy!$Y$518</definedName>
    <definedName name="UAcct571">[4]FuncStudy!$Y$522</definedName>
    <definedName name="UAcct572">[4]FuncStudy!$Y$526</definedName>
    <definedName name="UAcct573">[4]FuncStudy!$Y$530</definedName>
    <definedName name="UAcct580">[4]FuncStudy!$Y$537</definedName>
    <definedName name="UAcct581">[4]FuncStudy!$Y$542</definedName>
    <definedName name="UAcct582">[4]FuncStudy!$Y$547</definedName>
    <definedName name="UAcct583">[4]FuncStudy!$Y$552</definedName>
    <definedName name="UAcct584">[4]FuncStudy!$Y$557</definedName>
    <definedName name="UAcct585">[4]FuncStudy!$Y$562</definedName>
    <definedName name="UAcct586">[4]FuncStudy!$Y$567</definedName>
    <definedName name="UAcct587">[4]FuncStudy!$Y$572</definedName>
    <definedName name="UAcct588">[4]FuncStudy!$Y$577</definedName>
    <definedName name="UAcct589">[4]FuncStudy!$Y$582</definedName>
    <definedName name="UAcct590">[4]FuncStudy!$Y$587</definedName>
    <definedName name="UAcct591">[4]FuncStudy!$Y$592</definedName>
    <definedName name="UAcct592">[4]FuncStudy!$Y$597</definedName>
    <definedName name="UAcct593">[4]FuncStudy!$Y$602</definedName>
    <definedName name="UAcct594">[4]FuncStudy!$Y$607</definedName>
    <definedName name="UAcct595">[4]FuncStudy!$Y$612</definedName>
    <definedName name="UAcct596">[4]FuncStudy!$Y$617</definedName>
    <definedName name="UAcct597">[4]FuncStudy!$Y$622</definedName>
    <definedName name="UAcct598">[4]FuncStudy!$Y$627</definedName>
    <definedName name="UAcct901">[4]FuncStudy!$Y$634</definedName>
    <definedName name="UAcct902">[4]FuncStudy!$Y$639</definedName>
    <definedName name="UAcct903">[4]FuncStudy!$Y$644</definedName>
    <definedName name="UAcct904">[4]FuncStudy!$Y$650</definedName>
    <definedName name="UAcct905">[4]FuncStudy!$Y$655</definedName>
    <definedName name="UAcct907">[4]FuncStudy!$Y$662</definedName>
    <definedName name="UAcct908">[4]FuncStudy!$Y$667</definedName>
    <definedName name="UAcct909">[4]FuncStudy!$Y$672</definedName>
    <definedName name="UAcct910">[4]FuncStudy!$Y$677</definedName>
    <definedName name="UAcct911">[4]FuncStudy!$Y$684</definedName>
    <definedName name="UAcct912">[4]FuncStudy!$Y$689</definedName>
    <definedName name="UAcct913">[4]FuncStudy!$Y$694</definedName>
    <definedName name="UAcct916">[4]FuncStudy!$Y$699</definedName>
    <definedName name="UAcct920">[4]FuncStudy!$Y$708</definedName>
    <definedName name="UAcct920Cn">[4]FuncStudy!$Y$706</definedName>
    <definedName name="UAcct921">[4]FuncStudy!$Y$714</definedName>
    <definedName name="UAcct921Cn">[4]FuncStudy!$Y$712</definedName>
    <definedName name="UAcct923">[4]FuncStudy!$Y$720</definedName>
    <definedName name="UAcct923Cn">[4]FuncStudy!$Y$718</definedName>
    <definedName name="UAcct924S">[4]FuncStudy!$Y$723</definedName>
    <definedName name="UACCT924SG">[4]FuncStudy!$Y$724</definedName>
    <definedName name="UAcct924SO">[4]FuncStudy!$Y$725</definedName>
    <definedName name="UAcct925">[4]FuncStudy!$Y$730</definedName>
    <definedName name="UAcct926">[4]FuncStudy!$Y$736</definedName>
    <definedName name="UAcct927">[4]FuncStudy!$Y$741</definedName>
    <definedName name="UAcct928">[4]FuncStudy!$Y$748</definedName>
    <definedName name="UAcct928RE">[4]FuncStudy!$Y$750</definedName>
    <definedName name="UAcct929">[4]FuncStudy!$Y$755</definedName>
    <definedName name="UACCT930cn">[4]FuncStudy!$Y$759</definedName>
    <definedName name="UAcct930S">[4]FuncStudy!$Y$758</definedName>
    <definedName name="UAcct930So">[4]FuncStudy!$Y$760</definedName>
    <definedName name="UAcct931">[4]FuncStudy!$Y$766</definedName>
    <definedName name="UAcct935">[4]FuncStudy!$Y$772</definedName>
    <definedName name="UAcctAGA">[4]FuncStudy!$Y$133</definedName>
    <definedName name="UAcctd00">[4]FuncStudy!$Y$1472</definedName>
    <definedName name="UAcctdfad">[4]FuncStudy!$Y$215</definedName>
    <definedName name="UAcctdfap">[4]FuncStudy!$Y$213</definedName>
    <definedName name="UAcctdfat">[4]FuncStudy!$Y$214</definedName>
    <definedName name="UAcctds0">[4]FuncStudy!$Y$1476</definedName>
    <definedName name="UAcctfit">[4]FuncStudy!$Y$1143</definedName>
    <definedName name="UAcctg00">[4]FuncStudy!$Y$1624</definedName>
    <definedName name="UAccth00">[4]FuncStudy!$Y$1258</definedName>
    <definedName name="UAccti00">[4]FuncStudy!$Y$1666</definedName>
    <definedName name="UAcctn00">[4]FuncStudy!$Y$1214</definedName>
    <definedName name="UAccto00">[4]FuncStudy!$Y$1309</definedName>
    <definedName name="UAcctowc">[4]FuncStudy!$Y$1811</definedName>
    <definedName name="uacctowcssech">[4]FuncStudy!$Y$1810</definedName>
    <definedName name="UAccts00">[4]FuncStudy!$Y$1182</definedName>
    <definedName name="UAcctSchM">[4]FuncStudy!$Y$1121</definedName>
    <definedName name="UAcctt00">[4]FuncStudy!$Y$1377</definedName>
    <definedName name="UACT553SGW">[4]FuncStudy!$Y$422</definedName>
    <definedName name="UNBILREV" localSheetId="3">#REF!</definedName>
    <definedName name="UNBILREV">#REF!</definedName>
    <definedName name="UncollectibleAccounts">[9]Variables!$D$25</definedName>
    <definedName name="USBR" localSheetId="3">#REF!</definedName>
    <definedName name="USBR">#REF!</definedName>
    <definedName name="USCHMAFS">[4]FuncStudy!$Y$1032</definedName>
    <definedName name="USCHMAFSE">[4]FuncStudy!$Y$1035</definedName>
    <definedName name="USCHMAFSG">[4]FuncStudy!$Y$1037</definedName>
    <definedName name="USCHMAFSNP">[4]FuncStudy!$Y$1033</definedName>
    <definedName name="USCHMAFSO">[4]FuncStudy!$Y$1034</definedName>
    <definedName name="USCHMAFTROJP">[4]FuncStudy!$Y$1036</definedName>
    <definedName name="USCHMAPBADDEBT">[4]FuncStudy!$Y$1046</definedName>
    <definedName name="USCHMAPS">[4]FuncStudy!$Y$1041</definedName>
    <definedName name="USCHMAPSE">[4]FuncStudy!$Y$1042</definedName>
    <definedName name="USCHMAPSG">[4]FuncStudy!$Y$1045</definedName>
    <definedName name="USCHMAPSNP">[4]FuncStudy!$Y$1043</definedName>
    <definedName name="USCHMAPSO">[4]FuncStudy!$Y$1044</definedName>
    <definedName name="USCHMATBADDEBT">[4]FuncStudy!$Y$1061</definedName>
    <definedName name="USCHMATCIAC">[4]FuncStudy!$Y$1052</definedName>
    <definedName name="USCHMATGPS">[4]FuncStudy!$Y$1058</definedName>
    <definedName name="USCHMATS">[4]FuncStudy!$Y$1050</definedName>
    <definedName name="USCHMATSCHMDEXP">[4]FuncStudy!$Y$1063</definedName>
    <definedName name="USCHMATSE">[4]FuncStudy!$Y$1056</definedName>
    <definedName name="USCHMATSG">[4]FuncStudy!$Y$1055</definedName>
    <definedName name="USCHMATSG2">[4]FuncStudy!$Y$1057</definedName>
    <definedName name="USCHMATSGCT">[4]FuncStudy!$Y$1051</definedName>
    <definedName name="USCHMATSNP">[4]FuncStudy!$Y$1053</definedName>
    <definedName name="USCHMATSNPD">[4]FuncStudy!$Y$1060</definedName>
    <definedName name="USCHMATSO">[4]FuncStudy!$Y$1059</definedName>
    <definedName name="USCHMATTAXDEPR">[4]FuncStudy!$Y$1062</definedName>
    <definedName name="USCHMATTROJD">[4]FuncStudy!$Y$1054</definedName>
    <definedName name="USCHMDFDGP">[4]FuncStudy!$Y$1070</definedName>
    <definedName name="USCHMDFDGU">[4]FuncStudy!$Y$1071</definedName>
    <definedName name="USCHMDFS">[4]FuncStudy!$Y$1069</definedName>
    <definedName name="USCHMDPIBT">[4]FuncStudy!$Y$1077</definedName>
    <definedName name="USCHMDPS">[4]FuncStudy!$Y$1074</definedName>
    <definedName name="USCHMDPSE">[4]FuncStudy!$Y$1075</definedName>
    <definedName name="USCHMDPSG">[4]FuncStudy!$Y$1078</definedName>
    <definedName name="USCHMDPSNP">[4]FuncStudy!$Y$1076</definedName>
    <definedName name="USCHMDPSO">[4]FuncStudy!$Y$1079</definedName>
    <definedName name="USCHMDTBADDEBT">[4]FuncStudy!$Y$1084</definedName>
    <definedName name="USCHMDTCN">[4]FuncStudy!$Y$1086</definedName>
    <definedName name="USCHMDTDGP">[4]FuncStudy!$Y$1088</definedName>
    <definedName name="USCHMDTGPS">[4]FuncStudy!$Y$1091</definedName>
    <definedName name="USCHMDTS">[4]FuncStudy!$Y$1083</definedName>
    <definedName name="USCHMDTSE">[4]FuncStudy!$Y$1089</definedName>
    <definedName name="USCHMDTSG">[4]FuncStudy!$Y$1090</definedName>
    <definedName name="USCHMDTSNP">[4]FuncStudy!$Y$1085</definedName>
    <definedName name="USCHMDTSNPD">[4]FuncStudy!$Y$1094</definedName>
    <definedName name="USCHMDTSO">[4]FuncStudy!$Y$1092</definedName>
    <definedName name="USCHMDTTAXDEPR">[4]FuncStudy!$Y$1093</definedName>
    <definedName name="USCHMDTTROJD">[4]FuncStudy!$Y$1087</definedName>
    <definedName name="UT_305A_FY_2002" localSheetId="3">#REF!</definedName>
    <definedName name="UT_305A_FY_2002">#REF!</definedName>
    <definedName name="UT_RVN_0302" localSheetId="3">#REF!</definedName>
    <definedName name="UT_RVN_0302">#REF!</definedName>
    <definedName name="UtGrossReceipts">[9]Variables!$D$29</definedName>
    <definedName name="ValidAccount">[6]Variables!$AK$43:$AK$369</definedName>
    <definedName name="VAR" localSheetId="3">[14]Backup!#REF!</definedName>
    <definedName name="VAR">[14]Backup!#REF!</definedName>
    <definedName name="VARIABLE" localSheetId="3">[13]Summary!#REF!</definedName>
    <definedName name="VARIABLE">[13]Summary!#REF!</definedName>
    <definedName name="VOUCHER" localSheetId="3">#REF!</definedName>
    <definedName name="VOUCHER">#REF!</definedName>
    <definedName name="WaRevenueTax">[9]Variables!$D$27</definedName>
    <definedName name="WEATHER" localSheetId="3">#REF!</definedName>
    <definedName name="WEATHER">#REF!</definedName>
    <definedName name="WEATHRNORM" localSheetId="3">#REF!</definedName>
    <definedName name="WEATHRNORM">#REF!</definedName>
    <definedName name="WIDTH" localSheetId="3">#REF!</definedName>
    <definedName name="WIDTH">#REF!</definedName>
    <definedName name="WinterPeak">'[22]Load Data'!$D$9:$H$12,'[22]Load Data'!$D$20:$H$22</definedName>
    <definedName name="WN" localSheetId="3">#REF!</definedName>
    <definedName name="WN">#REF!</definedName>
    <definedName name="WORK1" localSheetId="3">#REF!</definedName>
    <definedName name="WORK1">#REF!</definedName>
    <definedName name="WORK2" localSheetId="3">#REF!</definedName>
    <definedName name="WORK2">#REF!</definedName>
    <definedName name="WORK3" localSheetId="3">#REF!</definedName>
    <definedName name="WORK3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'[23]Weather Present'!$K$7</definedName>
    <definedName name="y" hidden="1">'[3]DSM Output'!$B$21:$B$23</definedName>
    <definedName name="Year" localSheetId="3">#REF!</definedName>
    <definedName name="Year">#REF!</definedName>
    <definedName name="YEFactors">[6]Factors!$S$3:$AG$99</definedName>
    <definedName name="z" hidden="1">'[3]DSM Output'!$G$21:$G$23</definedName>
    <definedName name="ZA" localSheetId="3">'[24] annual balance '!#REF!</definedName>
    <definedName name="ZA">'[24] annual balance '!#REF!</definedName>
  </definedNames>
  <calcPr calcId="152511"/>
</workbook>
</file>

<file path=xl/calcChain.xml><?xml version="1.0" encoding="utf-8"?>
<calcChain xmlns="http://schemas.openxmlformats.org/spreadsheetml/2006/main">
  <c r="H511" i="4" l="1"/>
  <c r="A18" i="9" l="1"/>
  <c r="T31" i="9"/>
  <c r="K15" i="9" s="1"/>
  <c r="U31" i="9"/>
  <c r="A19" i="9"/>
  <c r="A17" i="9"/>
  <c r="C21" i="9" l="1"/>
  <c r="K18" i="9"/>
  <c r="K30" i="9"/>
  <c r="K20" i="9"/>
  <c r="C30" i="9"/>
  <c r="C28" i="9"/>
  <c r="C24" i="9"/>
  <c r="C12" i="9"/>
  <c r="C11" i="9"/>
  <c r="C10" i="9"/>
  <c r="C20" i="9"/>
  <c r="C18" i="9"/>
  <c r="C15" i="9"/>
  <c r="C13" i="9"/>
  <c r="C23" i="9"/>
  <c r="K13" i="9"/>
  <c r="K14" i="9"/>
  <c r="K25" i="9"/>
  <c r="K27" i="9"/>
  <c r="K31" i="9"/>
  <c r="K10" i="9"/>
  <c r="K11" i="9"/>
  <c r="K12" i="9"/>
  <c r="C29" i="9"/>
  <c r="C26" i="9"/>
  <c r="C22" i="9"/>
  <c r="C19" i="9"/>
  <c r="C16" i="9"/>
  <c r="C14" i="9"/>
  <c r="K24" i="9"/>
  <c r="C25" i="9"/>
  <c r="C27" i="9"/>
  <c r="K28" i="9"/>
  <c r="C31" i="9"/>
  <c r="K29" i="9"/>
  <c r="K26" i="9"/>
  <c r="K22" i="9"/>
  <c r="K17" i="9"/>
  <c r="K16" i="9"/>
  <c r="K21" i="9"/>
  <c r="K23" i="9"/>
  <c r="U37" i="9" l="1"/>
  <c r="U39" i="9"/>
  <c r="U38" i="9"/>
  <c r="U40" i="9"/>
  <c r="O47" i="6" l="1"/>
  <c r="Q46" i="6"/>
  <c r="Q37" i="6"/>
  <c r="I30" i="6"/>
  <c r="G30" i="6"/>
  <c r="I27" i="6"/>
  <c r="G27" i="6"/>
  <c r="O17" i="6"/>
  <c r="A16" i="6"/>
  <c r="A17" i="6" s="1"/>
  <c r="E12" i="6"/>
  <c r="U46" i="6" l="1"/>
  <c r="W46" i="6"/>
  <c r="Y46" i="6" s="1"/>
  <c r="U37" i="6"/>
  <c r="W37" i="6"/>
  <c r="Y37" i="6" s="1"/>
  <c r="Q47" i="6"/>
  <c r="Q17" i="6"/>
  <c r="I18" i="6"/>
  <c r="G12" i="6"/>
  <c r="I12" i="6" s="1"/>
  <c r="O37" i="6"/>
  <c r="O46" i="6"/>
  <c r="I38" i="6"/>
  <c r="G45" i="6"/>
  <c r="G48" i="6" s="1"/>
  <c r="G18" i="6"/>
  <c r="I23" i="6"/>
  <c r="I45" i="6"/>
  <c r="I48" i="6" s="1"/>
  <c r="G23" i="6"/>
  <c r="G38" i="6"/>
  <c r="A18" i="6"/>
  <c r="W47" i="6" l="1"/>
  <c r="Y47" i="6" s="1"/>
  <c r="U47" i="6"/>
  <c r="AA47" i="6" s="1"/>
  <c r="AC47" i="6" s="1"/>
  <c r="AA46" i="6"/>
  <c r="AC46" i="6" s="1"/>
  <c r="W17" i="6"/>
  <c r="U17" i="6"/>
  <c r="AA17" i="6" s="1"/>
  <c r="AC17" i="6" s="1"/>
  <c r="AA37" i="6"/>
  <c r="AC37" i="6" s="1"/>
  <c r="A20" i="6"/>
  <c r="A21" i="6" s="1"/>
  <c r="A22" i="6" s="1"/>
  <c r="A23" i="6" s="1"/>
  <c r="A24" i="6" s="1"/>
  <c r="A25" i="6" s="1"/>
  <c r="I49" i="6"/>
  <c r="I50" i="6" s="1"/>
  <c r="G49" i="6"/>
  <c r="G50" i="6" s="1"/>
  <c r="K12" i="6"/>
  <c r="Y371" i="4"/>
  <c r="W372" i="4"/>
  <c r="Y180" i="4"/>
  <c r="W181" i="4"/>
  <c r="Y169" i="4"/>
  <c r="W170" i="4"/>
  <c r="Y157" i="4"/>
  <c r="W158" i="4"/>
  <c r="Y105" i="4"/>
  <c r="W106" i="4"/>
  <c r="Y106" i="4" s="1"/>
  <c r="W108" i="4"/>
  <c r="Y77" i="4"/>
  <c r="W79" i="4"/>
  <c r="AC509" i="4"/>
  <c r="AA490" i="4"/>
  <c r="AA489" i="4"/>
  <c r="AA488" i="4"/>
  <c r="AA486" i="4"/>
  <c r="AA485" i="4"/>
  <c r="AA483" i="4"/>
  <c r="AC483" i="4" s="1"/>
  <c r="AA482" i="4"/>
  <c r="AC482" i="4" s="1"/>
  <c r="AA480" i="4"/>
  <c r="AC480" i="4" s="1"/>
  <c r="AA479" i="4"/>
  <c r="AC479" i="4" s="1"/>
  <c r="AA477" i="4"/>
  <c r="AC477" i="4" s="1"/>
  <c r="AA476" i="4"/>
  <c r="AC476" i="4" s="1"/>
  <c r="AC473" i="4"/>
  <c r="AA463" i="4"/>
  <c r="AA462" i="4"/>
  <c r="W476" i="4"/>
  <c r="Y476" i="4" s="1"/>
  <c r="W477" i="4"/>
  <c r="Y477" i="4" s="1"/>
  <c r="W479" i="4"/>
  <c r="Y479" i="4" s="1"/>
  <c r="W480" i="4"/>
  <c r="Y480" i="4" s="1"/>
  <c r="W482" i="4"/>
  <c r="Y482" i="4" s="1"/>
  <c r="W483" i="4"/>
  <c r="Y483" i="4" s="1"/>
  <c r="W485" i="4"/>
  <c r="W486" i="4"/>
  <c r="W488" i="4"/>
  <c r="W489" i="4"/>
  <c r="W490" i="4"/>
  <c r="Y473" i="4"/>
  <c r="W449" i="4"/>
  <c r="Y449" i="4" s="1"/>
  <c r="W404" i="4"/>
  <c r="W405" i="4"/>
  <c r="W407" i="4"/>
  <c r="W408" i="4"/>
  <c r="W410" i="4"/>
  <c r="W411" i="4"/>
  <c r="W414" i="4"/>
  <c r="W417" i="4"/>
  <c r="W418" i="4"/>
  <c r="W420" i="4"/>
  <c r="W421" i="4"/>
  <c r="W423" i="4"/>
  <c r="W424" i="4"/>
  <c r="W427" i="4"/>
  <c r="W430" i="4"/>
  <c r="W431" i="4"/>
  <c r="W433" i="4"/>
  <c r="W434" i="4"/>
  <c r="W436" i="4"/>
  <c r="W437" i="4"/>
  <c r="Y401" i="4"/>
  <c r="W402" i="4"/>
  <c r="Y17" i="6" l="1"/>
  <c r="M12" i="6"/>
  <c r="A26" i="6"/>
  <c r="W389" i="4"/>
  <c r="Y389" i="4" s="1"/>
  <c r="W378" i="4"/>
  <c r="Y378" i="4" s="1"/>
  <c r="W207" i="4"/>
  <c r="Y207" i="4" s="1"/>
  <c r="W191" i="4"/>
  <c r="Y191" i="4"/>
  <c r="W182" i="4"/>
  <c r="W107" i="4"/>
  <c r="Y107" i="4" s="1"/>
  <c r="W92" i="4"/>
  <c r="Y92" i="4" s="1"/>
  <c r="W93" i="4"/>
  <c r="Y93" i="4" s="1"/>
  <c r="W78" i="4"/>
  <c r="Y78" i="4" s="1"/>
  <c r="O12" i="6" l="1"/>
  <c r="A27" i="6"/>
  <c r="Y437" i="4"/>
  <c r="Y436" i="4"/>
  <c r="Y434" i="4"/>
  <c r="Y433" i="4"/>
  <c r="Y431" i="4"/>
  <c r="Y430" i="4"/>
  <c r="Y427" i="4"/>
  <c r="Y424" i="4"/>
  <c r="Y423" i="4"/>
  <c r="Y421" i="4"/>
  <c r="Y420" i="4"/>
  <c r="Y418" i="4"/>
  <c r="Y417" i="4"/>
  <c r="Y414" i="4"/>
  <c r="Y411" i="4"/>
  <c r="Y410" i="4"/>
  <c r="Y408" i="4"/>
  <c r="Y407" i="4"/>
  <c r="Y405" i="4"/>
  <c r="Y404" i="4"/>
  <c r="Y402" i="4"/>
  <c r="Y509" i="4"/>
  <c r="W463" i="4"/>
  <c r="W462" i="4"/>
  <c r="W454" i="4"/>
  <c r="W453" i="4"/>
  <c r="W452" i="4"/>
  <c r="W451" i="4"/>
  <c r="W450" i="4"/>
  <c r="W393" i="4"/>
  <c r="W392" i="4"/>
  <c r="W391" i="4"/>
  <c r="W390" i="4"/>
  <c r="W388" i="4"/>
  <c r="W380" i="4"/>
  <c r="W379" i="4"/>
  <c r="W373" i="4"/>
  <c r="W213" i="4"/>
  <c r="W209" i="4"/>
  <c r="W208" i="4"/>
  <c r="W206" i="4"/>
  <c r="W197" i="4"/>
  <c r="W193" i="4"/>
  <c r="W192" i="4"/>
  <c r="W174" i="4"/>
  <c r="W173" i="4"/>
  <c r="W172" i="4"/>
  <c r="W171" i="4"/>
  <c r="W111" i="4"/>
  <c r="W110" i="4"/>
  <c r="W109" i="4"/>
  <c r="W98" i="4"/>
  <c r="W97" i="4"/>
  <c r="W95" i="4"/>
  <c r="W94" i="4"/>
  <c r="W83" i="4"/>
  <c r="W82" i="4"/>
  <c r="W80" i="4"/>
  <c r="W67" i="4"/>
  <c r="W65" i="4"/>
  <c r="W64" i="4"/>
  <c r="W63" i="4"/>
  <c r="W62" i="4"/>
  <c r="W60" i="4"/>
  <c r="W59" i="4"/>
  <c r="W58" i="4"/>
  <c r="W57" i="4"/>
  <c r="W56" i="4"/>
  <c r="W45" i="4"/>
  <c r="W43" i="4"/>
  <c r="W42" i="4"/>
  <c r="W41" i="4"/>
  <c r="W40" i="4"/>
  <c r="W38" i="4"/>
  <c r="W37" i="4"/>
  <c r="W36" i="4"/>
  <c r="W25" i="4"/>
  <c r="W23" i="4"/>
  <c r="W22" i="4"/>
  <c r="W21" i="4"/>
  <c r="W20" i="4"/>
  <c r="W18" i="4"/>
  <c r="W17" i="4"/>
  <c r="U79" i="4"/>
  <c r="U158" i="4"/>
  <c r="U170" i="4"/>
  <c r="U190" i="4"/>
  <c r="U387" i="4"/>
  <c r="O490" i="4"/>
  <c r="O489" i="4"/>
  <c r="O488" i="4"/>
  <c r="O486" i="4"/>
  <c r="O485" i="4"/>
  <c r="O463" i="4"/>
  <c r="O462" i="4"/>
  <c r="O454" i="4"/>
  <c r="O453" i="4"/>
  <c r="O452" i="4"/>
  <c r="O451" i="4"/>
  <c r="O450" i="4"/>
  <c r="O447" i="4"/>
  <c r="O446" i="4"/>
  <c r="O445" i="4"/>
  <c r="O443" i="4"/>
  <c r="O442" i="4"/>
  <c r="O393" i="4"/>
  <c r="O392" i="4"/>
  <c r="O391" i="4"/>
  <c r="O390" i="4"/>
  <c r="O388" i="4"/>
  <c r="O380" i="4"/>
  <c r="O379" i="4"/>
  <c r="O373" i="4"/>
  <c r="O213" i="4"/>
  <c r="O209" i="4"/>
  <c r="O208" i="4"/>
  <c r="O206" i="4"/>
  <c r="O197" i="4"/>
  <c r="O193" i="4"/>
  <c r="O192" i="4"/>
  <c r="O174" i="4"/>
  <c r="O173" i="4"/>
  <c r="O172" i="4"/>
  <c r="O171" i="4"/>
  <c r="O163" i="4"/>
  <c r="O162" i="4"/>
  <c r="O161" i="4"/>
  <c r="O159" i="4"/>
  <c r="O111" i="4"/>
  <c r="O110" i="4"/>
  <c r="O109" i="4"/>
  <c r="O98" i="4"/>
  <c r="O97" i="4"/>
  <c r="O95" i="4"/>
  <c r="O94" i="4"/>
  <c r="O83" i="4"/>
  <c r="O82" i="4"/>
  <c r="O80" i="4"/>
  <c r="O67" i="4"/>
  <c r="O65" i="4"/>
  <c r="O64" i="4"/>
  <c r="O63" i="4"/>
  <c r="O62" i="4"/>
  <c r="O60" i="4"/>
  <c r="O59" i="4"/>
  <c r="O58" i="4"/>
  <c r="O57" i="4"/>
  <c r="O56" i="4"/>
  <c r="O45" i="4"/>
  <c r="O43" i="4"/>
  <c r="O42" i="4"/>
  <c r="O41" i="4"/>
  <c r="O40" i="4"/>
  <c r="O38" i="4"/>
  <c r="O37" i="4"/>
  <c r="O36" i="4"/>
  <c r="O25" i="4"/>
  <c r="O23" i="4"/>
  <c r="Q23" i="4" s="1"/>
  <c r="O22" i="4"/>
  <c r="Q22" i="4" s="1"/>
  <c r="O21" i="4"/>
  <c r="O20" i="4"/>
  <c r="O18" i="4"/>
  <c r="O17" i="4"/>
  <c r="S490" i="4"/>
  <c r="S489" i="4"/>
  <c r="S488" i="4"/>
  <c r="S486" i="4"/>
  <c r="U486" i="4" s="1"/>
  <c r="S485" i="4"/>
  <c r="U485" i="4" s="1"/>
  <c r="S463" i="4"/>
  <c r="S462" i="4"/>
  <c r="S454" i="4"/>
  <c r="S453" i="4"/>
  <c r="S452" i="4"/>
  <c r="S451" i="4"/>
  <c r="U451" i="4" s="1"/>
  <c r="S450" i="4"/>
  <c r="U450" i="4" s="1"/>
  <c r="S447" i="4"/>
  <c r="S446" i="4"/>
  <c r="S445" i="4"/>
  <c r="S443" i="4"/>
  <c r="U443" i="4" s="1"/>
  <c r="S442" i="4"/>
  <c r="U442" i="4" s="1"/>
  <c r="S393" i="4"/>
  <c r="S392" i="4"/>
  <c r="S391" i="4"/>
  <c r="S390" i="4"/>
  <c r="S388" i="4"/>
  <c r="U388" i="4" s="1"/>
  <c r="S380" i="4"/>
  <c r="S379" i="4"/>
  <c r="S373" i="4"/>
  <c r="S213" i="4"/>
  <c r="S209" i="4"/>
  <c r="S208" i="4"/>
  <c r="S206" i="4"/>
  <c r="U206" i="4" s="1"/>
  <c r="S197" i="4"/>
  <c r="S193" i="4"/>
  <c r="S192" i="4"/>
  <c r="S174" i="4"/>
  <c r="S173" i="4"/>
  <c r="S172" i="4"/>
  <c r="S171" i="4"/>
  <c r="U171" i="4" s="1"/>
  <c r="S163" i="4"/>
  <c r="S162" i="4"/>
  <c r="S161" i="4"/>
  <c r="S159" i="4"/>
  <c r="U159" i="4" s="1"/>
  <c r="S111" i="4"/>
  <c r="S110" i="4"/>
  <c r="S109" i="4"/>
  <c r="S98" i="4"/>
  <c r="S97" i="4"/>
  <c r="S95" i="4"/>
  <c r="U95" i="4" s="1"/>
  <c r="S94" i="4"/>
  <c r="U94" i="4" s="1"/>
  <c r="S83" i="4"/>
  <c r="S82" i="4"/>
  <c r="S80" i="4"/>
  <c r="U80" i="4" s="1"/>
  <c r="S67" i="4"/>
  <c r="S65" i="4"/>
  <c r="U65" i="4" s="1"/>
  <c r="S64" i="4"/>
  <c r="U64" i="4" s="1"/>
  <c r="S63" i="4"/>
  <c r="S62" i="4"/>
  <c r="S60" i="4"/>
  <c r="S59" i="4"/>
  <c r="S58" i="4"/>
  <c r="S57" i="4"/>
  <c r="U57" i="4" s="1"/>
  <c r="S56" i="4"/>
  <c r="U56" i="4" s="1"/>
  <c r="S45" i="4"/>
  <c r="S43" i="4"/>
  <c r="U43" i="4" s="1"/>
  <c r="S42" i="4"/>
  <c r="U42" i="4" s="1"/>
  <c r="S41" i="4"/>
  <c r="S40" i="4"/>
  <c r="S38" i="4"/>
  <c r="S37" i="4"/>
  <c r="S36" i="4"/>
  <c r="S25" i="4"/>
  <c r="S23" i="4"/>
  <c r="U23" i="4" s="1"/>
  <c r="S22" i="4"/>
  <c r="U22" i="4" s="1"/>
  <c r="S21" i="4"/>
  <c r="S20" i="4"/>
  <c r="S18" i="4"/>
  <c r="S17" i="4"/>
  <c r="U509" i="4"/>
  <c r="U468" i="4"/>
  <c r="U469" i="4" s="1"/>
  <c r="U438" i="4"/>
  <c r="S182" i="4"/>
  <c r="Q509" i="4"/>
  <c r="M509" i="4"/>
  <c r="M469" i="4"/>
  <c r="Q468" i="4"/>
  <c r="Q469" i="4" s="1"/>
  <c r="M461" i="4"/>
  <c r="U461" i="4" s="1"/>
  <c r="J463" i="4"/>
  <c r="M463" i="4" s="1"/>
  <c r="J462" i="4"/>
  <c r="M462" i="4" s="1"/>
  <c r="K35" i="6" l="1"/>
  <c r="K35" i="2"/>
  <c r="S12" i="6"/>
  <c r="U12" i="6" s="1"/>
  <c r="W12" i="6" s="1"/>
  <c r="Q12" i="6"/>
  <c r="A28" i="6"/>
  <c r="A29" i="6" s="1"/>
  <c r="A30" i="6" s="1"/>
  <c r="Q461" i="4"/>
  <c r="Y461" i="4" s="1"/>
  <c r="Q463" i="4"/>
  <c r="Q462" i="4"/>
  <c r="M464" i="4"/>
  <c r="U463" i="4"/>
  <c r="Y22" i="4"/>
  <c r="Y468" i="4"/>
  <c r="Y469" i="4" s="1"/>
  <c r="AC468" i="4"/>
  <c r="AC469" i="4" s="1"/>
  <c r="U462" i="4"/>
  <c r="Y23" i="4"/>
  <c r="Y438" i="4"/>
  <c r="Q35" i="2" l="1"/>
  <c r="N35" i="2"/>
  <c r="O35" i="6"/>
  <c r="Q35" i="6"/>
  <c r="Y12" i="6"/>
  <c r="AA12" i="6" s="1"/>
  <c r="A31" i="6"/>
  <c r="AC461" i="4"/>
  <c r="AC463" i="4"/>
  <c r="Q464" i="4"/>
  <c r="AC462" i="4"/>
  <c r="U464" i="4"/>
  <c r="Y462" i="4"/>
  <c r="Y463" i="4"/>
  <c r="K34" i="6" l="1"/>
  <c r="K34" i="2"/>
  <c r="N34" i="2" s="1"/>
  <c r="O34" i="6"/>
  <c r="Q34" i="6"/>
  <c r="W35" i="6"/>
  <c r="Y35" i="6" s="1"/>
  <c r="U35" i="6"/>
  <c r="AA35" i="6" s="1"/>
  <c r="AC35" i="6" s="1"/>
  <c r="AC12" i="6"/>
  <c r="A32" i="6"/>
  <c r="AC464" i="4"/>
  <c r="Y464" i="4"/>
  <c r="Q34" i="2" l="1"/>
  <c r="W34" i="6"/>
  <c r="Y34" i="6" s="1"/>
  <c r="U34" i="6"/>
  <c r="AA34" i="6" s="1"/>
  <c r="AC34" i="6" s="1"/>
  <c r="A33" i="6"/>
  <c r="A34" i="6" s="1"/>
  <c r="A35" i="6" s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Q485" i="4"/>
  <c r="Q486" i="4"/>
  <c r="J489" i="4"/>
  <c r="M489" i="4" s="1"/>
  <c r="J490" i="4"/>
  <c r="M490" i="4" s="1"/>
  <c r="J488" i="4"/>
  <c r="M488" i="4" s="1"/>
  <c r="Q438" i="4"/>
  <c r="M438" i="4"/>
  <c r="Q451" i="4"/>
  <c r="Q450" i="4"/>
  <c r="Q442" i="4"/>
  <c r="Q443" i="4"/>
  <c r="J454" i="4"/>
  <c r="M454" i="4" s="1"/>
  <c r="J453" i="4"/>
  <c r="M453" i="4" s="1"/>
  <c r="J452" i="4"/>
  <c r="M452" i="4" s="1"/>
  <c r="J446" i="4"/>
  <c r="M446" i="4" s="1"/>
  <c r="J447" i="4"/>
  <c r="M447" i="4" s="1"/>
  <c r="J445" i="4"/>
  <c r="M445" i="4" s="1"/>
  <c r="J392" i="4"/>
  <c r="M392" i="4" s="1"/>
  <c r="J393" i="4"/>
  <c r="M393" i="4" s="1"/>
  <c r="J391" i="4"/>
  <c r="M391" i="4" s="1"/>
  <c r="Q388" i="4"/>
  <c r="Q387" i="4"/>
  <c r="M390" i="4"/>
  <c r="J380" i="4"/>
  <c r="M380" i="4" s="1"/>
  <c r="J379" i="4"/>
  <c r="M379" i="4" s="1"/>
  <c r="J373" i="4"/>
  <c r="M373" i="4" s="1"/>
  <c r="M372" i="4"/>
  <c r="M364" i="4"/>
  <c r="M358" i="4"/>
  <c r="M360" i="4" s="1"/>
  <c r="Q206" i="4"/>
  <c r="J213" i="4"/>
  <c r="M213" i="4" s="1"/>
  <c r="J209" i="4"/>
  <c r="M209" i="4" s="1"/>
  <c r="J208" i="4"/>
  <c r="M208" i="4" s="1"/>
  <c r="J197" i="4"/>
  <c r="M197" i="4" s="1"/>
  <c r="J193" i="4"/>
  <c r="M193" i="4" s="1"/>
  <c r="M192" i="4"/>
  <c r="Q190" i="4"/>
  <c r="J182" i="4"/>
  <c r="M182" i="4" s="1"/>
  <c r="O182" i="4"/>
  <c r="M181" i="4"/>
  <c r="M172" i="4"/>
  <c r="J174" i="4"/>
  <c r="M174" i="4" s="1"/>
  <c r="J173" i="4"/>
  <c r="M173" i="4" s="1"/>
  <c r="Q171" i="4"/>
  <c r="Q170" i="4"/>
  <c r="Y170" i="4" s="1"/>
  <c r="J163" i="4"/>
  <c r="M163" i="4" s="1"/>
  <c r="J162" i="4"/>
  <c r="M162" i="4" s="1"/>
  <c r="M161" i="4"/>
  <c r="Q159" i="4"/>
  <c r="Q158" i="4"/>
  <c r="Y158" i="4" s="1"/>
  <c r="M210" i="4" l="1"/>
  <c r="Q173" i="4"/>
  <c r="U173" i="4"/>
  <c r="U163" i="4"/>
  <c r="Q174" i="4"/>
  <c r="U174" i="4"/>
  <c r="Y190" i="4"/>
  <c r="Q208" i="4"/>
  <c r="U380" i="4"/>
  <c r="Y388" i="4"/>
  <c r="U452" i="4"/>
  <c r="U162" i="4"/>
  <c r="Q181" i="4"/>
  <c r="U181" i="4"/>
  <c r="M194" i="4"/>
  <c r="U192" i="4"/>
  <c r="U209" i="4"/>
  <c r="Q209" i="4"/>
  <c r="Q372" i="4"/>
  <c r="U372" i="4"/>
  <c r="M375" i="4"/>
  <c r="Q391" i="4"/>
  <c r="U391" i="4"/>
  <c r="Q447" i="4"/>
  <c r="U447" i="4"/>
  <c r="Y450" i="4"/>
  <c r="Q161" i="4"/>
  <c r="U161" i="4"/>
  <c r="M176" i="4"/>
  <c r="U172" i="4"/>
  <c r="U193" i="4"/>
  <c r="M214" i="4"/>
  <c r="U213" i="4"/>
  <c r="U214" i="4" s="1"/>
  <c r="Q364" i="4"/>
  <c r="Q366" i="4" s="1"/>
  <c r="U364" i="4"/>
  <c r="U373" i="4"/>
  <c r="U390" i="4"/>
  <c r="U393" i="4"/>
  <c r="U454" i="4"/>
  <c r="Y451" i="4"/>
  <c r="U488" i="4"/>
  <c r="AC485" i="4"/>
  <c r="Y485" i="4"/>
  <c r="Y171" i="4"/>
  <c r="U182" i="4"/>
  <c r="Q197" i="4"/>
  <c r="Q198" i="4" s="1"/>
  <c r="U197" i="4"/>
  <c r="U198" i="4" s="1"/>
  <c r="Y206" i="4"/>
  <c r="Q358" i="4"/>
  <c r="Q360" i="4" s="1"/>
  <c r="U358" i="4"/>
  <c r="M366" i="4"/>
  <c r="Q379" i="4"/>
  <c r="U379" i="4"/>
  <c r="Y387" i="4"/>
  <c r="U392" i="4"/>
  <c r="Q446" i="4"/>
  <c r="U446" i="4"/>
  <c r="Q452" i="4"/>
  <c r="Q490" i="4"/>
  <c r="U490" i="4"/>
  <c r="U208" i="4"/>
  <c r="Q445" i="4"/>
  <c r="U445" i="4"/>
  <c r="U489" i="4"/>
  <c r="U453" i="4"/>
  <c r="AC486" i="4"/>
  <c r="Y486" i="4"/>
  <c r="Q453" i="4"/>
  <c r="Q163" i="4"/>
  <c r="M184" i="4"/>
  <c r="Q182" i="4"/>
  <c r="Q162" i="4"/>
  <c r="M455" i="4"/>
  <c r="M457" i="4" s="1"/>
  <c r="M165" i="4"/>
  <c r="M198" i="4"/>
  <c r="Q489" i="4"/>
  <c r="M491" i="4"/>
  <c r="Q213" i="4"/>
  <c r="Q214" i="4" s="1"/>
  <c r="Q380" i="4"/>
  <c r="M382" i="4"/>
  <c r="M396" i="4"/>
  <c r="Q454" i="4"/>
  <c r="Q488" i="4"/>
  <c r="Q393" i="4"/>
  <c r="Q390" i="4"/>
  <c r="Q392" i="4"/>
  <c r="Q373" i="4"/>
  <c r="Q193" i="4"/>
  <c r="Q192" i="4"/>
  <c r="Q172" i="4"/>
  <c r="Y489" i="4" l="1"/>
  <c r="Y372" i="4"/>
  <c r="Y452" i="4"/>
  <c r="Y181" i="4"/>
  <c r="M383" i="4"/>
  <c r="Q184" i="4"/>
  <c r="Y490" i="4"/>
  <c r="U375" i="4"/>
  <c r="Y193" i="4"/>
  <c r="Y173" i="4"/>
  <c r="Y453" i="4"/>
  <c r="M216" i="4"/>
  <c r="Y373" i="4"/>
  <c r="Y379" i="4"/>
  <c r="U176" i="4"/>
  <c r="U491" i="4"/>
  <c r="Y393" i="4"/>
  <c r="Q491" i="4"/>
  <c r="U210" i="4"/>
  <c r="U216" i="4" s="1"/>
  <c r="AC490" i="4"/>
  <c r="Y358" i="4"/>
  <c r="Y360" i="4" s="1"/>
  <c r="Y391" i="4"/>
  <c r="Y209" i="4"/>
  <c r="M200" i="4"/>
  <c r="Y208" i="4"/>
  <c r="Y174" i="4"/>
  <c r="Q176" i="4"/>
  <c r="Y392" i="4"/>
  <c r="Q455" i="4"/>
  <c r="Q457" i="4" s="1"/>
  <c r="Q165" i="4"/>
  <c r="Y182" i="4"/>
  <c r="AC488" i="4"/>
  <c r="Y364" i="4"/>
  <c r="U165" i="4"/>
  <c r="U194" i="4"/>
  <c r="U200" i="4" s="1"/>
  <c r="Q375" i="4"/>
  <c r="Q382" i="4"/>
  <c r="Q210" i="4"/>
  <c r="Q216" i="4" s="1"/>
  <c r="U382" i="4"/>
  <c r="U360" i="4"/>
  <c r="K44" i="6" s="1"/>
  <c r="Y390" i="4"/>
  <c r="U455" i="4"/>
  <c r="U457" i="4" s="1"/>
  <c r="U396" i="4"/>
  <c r="Y172" i="4"/>
  <c r="Q194" i="4"/>
  <c r="Q200" i="4" s="1"/>
  <c r="AC489" i="4"/>
  <c r="Y197" i="4"/>
  <c r="Y198" i="4" s="1"/>
  <c r="U184" i="4"/>
  <c r="Y488" i="4"/>
  <c r="Y454" i="4"/>
  <c r="U366" i="4"/>
  <c r="K43" i="6" s="1"/>
  <c r="Y213" i="4"/>
  <c r="Y214" i="4" s="1"/>
  <c r="Y192" i="4"/>
  <c r="Y380" i="4"/>
  <c r="Q396" i="4"/>
  <c r="M351" i="4"/>
  <c r="M268" i="4"/>
  <c r="M153" i="4"/>
  <c r="J110" i="4"/>
  <c r="M110" i="4" s="1"/>
  <c r="J111" i="4"/>
  <c r="M111" i="4" s="1"/>
  <c r="J109" i="4"/>
  <c r="M109" i="4" s="1"/>
  <c r="M108" i="4"/>
  <c r="J97" i="4"/>
  <c r="M97" i="4" s="1"/>
  <c r="J98" i="4"/>
  <c r="M98" i="4" s="1"/>
  <c r="Q95" i="4"/>
  <c r="Q94" i="4"/>
  <c r="Q79" i="4"/>
  <c r="Y79" i="4" s="1"/>
  <c r="J83" i="4"/>
  <c r="M83" i="4" s="1"/>
  <c r="M82" i="4"/>
  <c r="Q65" i="4"/>
  <c r="Q64" i="4"/>
  <c r="Q57" i="4"/>
  <c r="Q56" i="4"/>
  <c r="Q43" i="4"/>
  <c r="Q42" i="4"/>
  <c r="J67" i="4"/>
  <c r="M67" i="4" s="1"/>
  <c r="J45" i="4"/>
  <c r="M45" i="4" s="1"/>
  <c r="J25" i="4"/>
  <c r="M25" i="4" s="1"/>
  <c r="Q25" i="4" s="1"/>
  <c r="M16" i="4"/>
  <c r="Q16" i="4" s="1"/>
  <c r="J63" i="4"/>
  <c r="M63" i="4" s="1"/>
  <c r="J62" i="4"/>
  <c r="M62" i="4" s="1"/>
  <c r="J60" i="4"/>
  <c r="M60" i="4" s="1"/>
  <c r="J59" i="4"/>
  <c r="M59" i="4" s="1"/>
  <c r="Q59" i="4" s="1"/>
  <c r="J58" i="4"/>
  <c r="M58" i="4" s="1"/>
  <c r="J41" i="4"/>
  <c r="M41" i="4" s="1"/>
  <c r="J40" i="4"/>
  <c r="M40" i="4" s="1"/>
  <c r="J38" i="4"/>
  <c r="M38" i="4" s="1"/>
  <c r="Q38" i="4" s="1"/>
  <c r="J37" i="4"/>
  <c r="M37" i="4" s="1"/>
  <c r="J36" i="4"/>
  <c r="M36" i="4" s="1"/>
  <c r="J21" i="4"/>
  <c r="M21" i="4" s="1"/>
  <c r="J20" i="4"/>
  <c r="M20" i="4" s="1"/>
  <c r="J18" i="4"/>
  <c r="M18" i="4" s="1"/>
  <c r="J17" i="4"/>
  <c r="M17" i="4" s="1"/>
  <c r="Q17" i="4" s="1"/>
  <c r="K25" i="6" l="1"/>
  <c r="K33" i="2"/>
  <c r="K24" i="6"/>
  <c r="Q24" i="6" s="1"/>
  <c r="W24" i="6" s="1"/>
  <c r="Y24" i="6" s="1"/>
  <c r="K36" i="6"/>
  <c r="O36" i="6" s="1"/>
  <c r="K32" i="2"/>
  <c r="K43" i="2"/>
  <c r="K26" i="6"/>
  <c r="Q26" i="6" s="1"/>
  <c r="W26" i="6" s="1"/>
  <c r="Y26" i="6" s="1"/>
  <c r="K26" i="2"/>
  <c r="K36" i="2"/>
  <c r="K24" i="2"/>
  <c r="K33" i="6"/>
  <c r="Q33" i="6" s="1"/>
  <c r="W33" i="6" s="1"/>
  <c r="Y33" i="6" s="1"/>
  <c r="Q44" i="6"/>
  <c r="W44" i="6" s="1"/>
  <c r="Y44" i="6" s="1"/>
  <c r="Q36" i="2"/>
  <c r="N36" i="2"/>
  <c r="Q25" i="6"/>
  <c r="K27" i="6"/>
  <c r="K25" i="2"/>
  <c r="K32" i="6"/>
  <c r="Q43" i="6"/>
  <c r="W43" i="6" s="1"/>
  <c r="Y43" i="6" s="1"/>
  <c r="M44" i="6"/>
  <c r="O44" i="6" s="1"/>
  <c r="M44" i="2"/>
  <c r="K29" i="6"/>
  <c r="K29" i="2"/>
  <c r="K44" i="2"/>
  <c r="K28" i="6"/>
  <c r="K28" i="2"/>
  <c r="U383" i="4"/>
  <c r="Y491" i="4"/>
  <c r="Y176" i="4"/>
  <c r="Y375" i="4"/>
  <c r="Y194" i="4"/>
  <c r="Y200" i="4" s="1"/>
  <c r="Y184" i="4"/>
  <c r="Y382" i="4"/>
  <c r="Y210" i="4"/>
  <c r="Y216" i="4" s="1"/>
  <c r="Q383" i="4"/>
  <c r="K31" i="2" s="1"/>
  <c r="AC491" i="4"/>
  <c r="Q36" i="4"/>
  <c r="U36" i="4"/>
  <c r="U21" i="4"/>
  <c r="Q21" i="4"/>
  <c r="Q60" i="4"/>
  <c r="U60" i="4"/>
  <c r="Q37" i="4"/>
  <c r="U37" i="4"/>
  <c r="U63" i="4"/>
  <c r="Q40" i="4"/>
  <c r="U40" i="4"/>
  <c r="Y57" i="4"/>
  <c r="U82" i="4"/>
  <c r="Q109" i="4"/>
  <c r="U109" i="4"/>
  <c r="Q62" i="4"/>
  <c r="U62" i="4"/>
  <c r="Y56" i="4"/>
  <c r="Y64" i="4"/>
  <c r="Q97" i="4"/>
  <c r="U97" i="4"/>
  <c r="Q110" i="4"/>
  <c r="U110" i="4"/>
  <c r="U17" i="4"/>
  <c r="Y17" i="4" s="1"/>
  <c r="U41" i="4"/>
  <c r="U25" i="4"/>
  <c r="Y42" i="4"/>
  <c r="Y65" i="4"/>
  <c r="Y94" i="4"/>
  <c r="M113" i="4"/>
  <c r="U108" i="4"/>
  <c r="Q153" i="4"/>
  <c r="K40" i="2" s="1"/>
  <c r="P40" i="2" s="1"/>
  <c r="U153" i="4"/>
  <c r="Y396" i="4"/>
  <c r="Y366" i="4"/>
  <c r="Q18" i="4"/>
  <c r="U18" i="4"/>
  <c r="Q58" i="4"/>
  <c r="U58" i="4"/>
  <c r="U45" i="4"/>
  <c r="Y43" i="4"/>
  <c r="Y95" i="4"/>
  <c r="U268" i="4"/>
  <c r="Q20" i="4"/>
  <c r="U20" i="4"/>
  <c r="U38" i="4"/>
  <c r="U59" i="4"/>
  <c r="Y59" i="4" s="1"/>
  <c r="U16" i="4"/>
  <c r="M29" i="4"/>
  <c r="U67" i="4"/>
  <c r="Q45" i="4"/>
  <c r="Q67" i="4"/>
  <c r="U83" i="4"/>
  <c r="U98" i="4"/>
  <c r="Q111" i="4"/>
  <c r="U111" i="4"/>
  <c r="U351" i="4"/>
  <c r="M86" i="4"/>
  <c r="Q63" i="4"/>
  <c r="Q108" i="4"/>
  <c r="Q41" i="4"/>
  <c r="Q351" i="4"/>
  <c r="Q268" i="4"/>
  <c r="Q98" i="4"/>
  <c r="M101" i="4"/>
  <c r="M71" i="4"/>
  <c r="M49" i="4"/>
  <c r="Q36" i="6" l="1"/>
  <c r="K42" i="2"/>
  <c r="K42" i="6"/>
  <c r="Q42" i="6" s="1"/>
  <c r="W42" i="6" s="1"/>
  <c r="Y42" i="6" s="1"/>
  <c r="K41" i="2"/>
  <c r="K45" i="2" s="1"/>
  <c r="K41" i="6"/>
  <c r="K40" i="6"/>
  <c r="Q40" i="6" s="1"/>
  <c r="Y108" i="4"/>
  <c r="K31" i="6"/>
  <c r="Q31" i="6" s="1"/>
  <c r="W31" i="6" s="1"/>
  <c r="Y31" i="6" s="1"/>
  <c r="K30" i="2"/>
  <c r="Q28" i="6"/>
  <c r="K30" i="6"/>
  <c r="Q29" i="6"/>
  <c r="W29" i="6" s="1"/>
  <c r="Y29" i="6" s="1"/>
  <c r="M43" i="6"/>
  <c r="O43" i="6" s="1"/>
  <c r="M43" i="2"/>
  <c r="N43" i="2" s="1"/>
  <c r="M28" i="6"/>
  <c r="M28" i="2"/>
  <c r="N28" i="2" s="1"/>
  <c r="M25" i="6"/>
  <c r="M25" i="2"/>
  <c r="N25" i="2" s="1"/>
  <c r="N44" i="2"/>
  <c r="W36" i="6"/>
  <c r="Y36" i="6" s="1"/>
  <c r="U36" i="6"/>
  <c r="AA36" i="6" s="1"/>
  <c r="AC36" i="6" s="1"/>
  <c r="Q41" i="6"/>
  <c r="W41" i="6" s="1"/>
  <c r="Y41" i="6" s="1"/>
  <c r="M32" i="6"/>
  <c r="O32" i="6" s="1"/>
  <c r="M32" i="2"/>
  <c r="N32" i="2" s="1"/>
  <c r="M29" i="6"/>
  <c r="O29" i="6" s="1"/>
  <c r="M29" i="2"/>
  <c r="N29" i="2" s="1"/>
  <c r="M26" i="6"/>
  <c r="O26" i="6" s="1"/>
  <c r="M26" i="2"/>
  <c r="N26" i="2" s="1"/>
  <c r="Q32" i="6"/>
  <c r="W32" i="6" s="1"/>
  <c r="Y32" i="6" s="1"/>
  <c r="W25" i="6"/>
  <c r="Q27" i="6"/>
  <c r="Y383" i="4"/>
  <c r="Y38" i="4"/>
  <c r="U86" i="4"/>
  <c r="Y111" i="4"/>
  <c r="Y16" i="4"/>
  <c r="Y36" i="4"/>
  <c r="Y67" i="4"/>
  <c r="Q29" i="4"/>
  <c r="Q113" i="4"/>
  <c r="Y97" i="4"/>
  <c r="Y98" i="4"/>
  <c r="Y110" i="4"/>
  <c r="Y21" i="4"/>
  <c r="Y109" i="4"/>
  <c r="Y58" i="4"/>
  <c r="Y62" i="4"/>
  <c r="Y60" i="4"/>
  <c r="M511" i="4"/>
  <c r="Y25" i="4"/>
  <c r="Y37" i="4"/>
  <c r="Y18" i="4"/>
  <c r="Q101" i="4"/>
  <c r="Y20" i="4"/>
  <c r="Q49" i="4"/>
  <c r="Q71" i="4"/>
  <c r="Y268" i="4"/>
  <c r="U71" i="4"/>
  <c r="Y153" i="4"/>
  <c r="Y41" i="4"/>
  <c r="U101" i="4"/>
  <c r="Y40" i="4"/>
  <c r="Y45" i="4"/>
  <c r="U49" i="4"/>
  <c r="Y351" i="4"/>
  <c r="U29" i="4"/>
  <c r="U113" i="4"/>
  <c r="Y63" i="4"/>
  <c r="K45" i="6" l="1"/>
  <c r="K48" i="6" s="1"/>
  <c r="K22" i="6"/>
  <c r="K16" i="2"/>
  <c r="K21" i="6"/>
  <c r="Q21" i="6" s="1"/>
  <c r="W21" i="6" s="1"/>
  <c r="Y21" i="6" s="1"/>
  <c r="K16" i="6"/>
  <c r="Q16" i="6" s="1"/>
  <c r="W16" i="6" s="1"/>
  <c r="Y16" i="6" s="1"/>
  <c r="K15" i="6"/>
  <c r="Q15" i="6" s="1"/>
  <c r="Q22" i="6"/>
  <c r="W22" i="6" s="1"/>
  <c r="Y22" i="6" s="1"/>
  <c r="M42" i="6"/>
  <c r="O42" i="6" s="1"/>
  <c r="M42" i="2"/>
  <c r="N42" i="2" s="1"/>
  <c r="W28" i="6"/>
  <c r="Q30" i="6"/>
  <c r="K15" i="2"/>
  <c r="M41" i="6"/>
  <c r="O41" i="6" s="1"/>
  <c r="M41" i="2"/>
  <c r="N41" i="2" s="1"/>
  <c r="Y25" i="6"/>
  <c r="W27" i="6"/>
  <c r="Y27" i="6" s="1"/>
  <c r="K22" i="2"/>
  <c r="M30" i="6"/>
  <c r="O28" i="6"/>
  <c r="O30" i="6" s="1"/>
  <c r="K21" i="2"/>
  <c r="M27" i="6"/>
  <c r="O25" i="6"/>
  <c r="O27" i="6" s="1"/>
  <c r="M40" i="6"/>
  <c r="M40" i="2"/>
  <c r="M31" i="6"/>
  <c r="O31" i="6" s="1"/>
  <c r="M31" i="2"/>
  <c r="N31" i="2" s="1"/>
  <c r="W40" i="6"/>
  <c r="Q45" i="6"/>
  <c r="Q48" i="6" s="1"/>
  <c r="Y101" i="4"/>
  <c r="Y29" i="4"/>
  <c r="U511" i="4"/>
  <c r="Y71" i="4"/>
  <c r="Y49" i="4"/>
  <c r="Y113" i="4"/>
  <c r="K18" i="6" l="1"/>
  <c r="W45" i="6"/>
  <c r="Y40" i="6"/>
  <c r="M45" i="2"/>
  <c r="M48" i="2" s="1"/>
  <c r="N40" i="2"/>
  <c r="M21" i="6"/>
  <c r="O21" i="6" s="1"/>
  <c r="M21" i="2"/>
  <c r="N21" i="2" s="1"/>
  <c r="M45" i="6"/>
  <c r="M48" i="6" s="1"/>
  <c r="O40" i="6"/>
  <c r="O45" i="6" s="1"/>
  <c r="O48" i="6" s="1"/>
  <c r="W30" i="6"/>
  <c r="Y30" i="6" s="1"/>
  <c r="Y28" i="6"/>
  <c r="M15" i="6"/>
  <c r="M15" i="2"/>
  <c r="M16" i="6"/>
  <c r="O16" i="6" s="1"/>
  <c r="M16" i="2"/>
  <c r="N16" i="2" s="1"/>
  <c r="M22" i="6"/>
  <c r="O22" i="6" s="1"/>
  <c r="M22" i="2"/>
  <c r="N22" i="2" s="1"/>
  <c r="W15" i="6"/>
  <c r="Q18" i="6"/>
  <c r="Y15" i="6" l="1"/>
  <c r="W18" i="6"/>
  <c r="Y18" i="6" s="1"/>
  <c r="N15" i="2"/>
  <c r="M18" i="2"/>
  <c r="M18" i="6"/>
  <c r="O15" i="6"/>
  <c r="O18" i="6" s="1"/>
  <c r="W48" i="6"/>
  <c r="Y45" i="6"/>
  <c r="Y48" i="6" l="1"/>
  <c r="A16" i="2" l="1"/>
  <c r="E12" i="2"/>
  <c r="Q47" i="2" l="1"/>
  <c r="N47" i="2"/>
  <c r="G12" i="2"/>
  <c r="I12" i="2" s="1"/>
  <c r="A17" i="2"/>
  <c r="Q37" i="2" l="1"/>
  <c r="N37" i="2"/>
  <c r="G45" i="2"/>
  <c r="G48" i="2" s="1"/>
  <c r="G27" i="2"/>
  <c r="A18" i="2"/>
  <c r="A20" i="2" s="1"/>
  <c r="K12" i="2"/>
  <c r="I18" i="2"/>
  <c r="G23" i="2"/>
  <c r="G30" i="2"/>
  <c r="I45" i="2"/>
  <c r="G18" i="2"/>
  <c r="M12" i="2" l="1"/>
  <c r="P12" i="2" s="1"/>
  <c r="I30" i="2"/>
  <c r="I48" i="2"/>
  <c r="A21" i="2"/>
  <c r="G38" i="2"/>
  <c r="I27" i="2" l="1"/>
  <c r="G49" i="2"/>
  <c r="G50" i="2" s="1"/>
  <c r="A22" i="2"/>
  <c r="K27" i="2" l="1"/>
  <c r="A23" i="2"/>
  <c r="A24" i="2" s="1"/>
  <c r="I23" i="2" l="1"/>
  <c r="I38" i="2"/>
  <c r="A25" i="2"/>
  <c r="K18" i="2"/>
  <c r="N46" i="2" l="1"/>
  <c r="Q46" i="2"/>
  <c r="N18" i="2"/>
  <c r="A26" i="2"/>
  <c r="A27" i="2" s="1"/>
  <c r="A28" i="2" s="1"/>
  <c r="A29" i="2" s="1"/>
  <c r="A30" i="2" s="1"/>
  <c r="A31" i="2" s="1"/>
  <c r="A32" i="2" s="1"/>
  <c r="A33" i="2" s="1"/>
  <c r="A34" i="2" s="1"/>
  <c r="A35" i="2" s="1"/>
  <c r="I49" i="2"/>
  <c r="I50" i="2" s="1"/>
  <c r="N45" i="2" l="1"/>
  <c r="K48" i="2"/>
  <c r="A36" i="2"/>
  <c r="A37" i="2" s="1"/>
  <c r="A38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N48" i="2" l="1"/>
  <c r="M27" i="2" l="1"/>
  <c r="N27" i="2" s="1"/>
  <c r="M30" i="2"/>
  <c r="N30" i="2" s="1"/>
  <c r="Q80" i="4" l="1"/>
  <c r="Q83" i="4"/>
  <c r="Q82" i="4"/>
  <c r="Y80" i="4" l="1"/>
  <c r="Y83" i="4"/>
  <c r="Y82" i="4"/>
  <c r="Q86" i="4"/>
  <c r="K20" i="6" l="1"/>
  <c r="K20" i="2"/>
  <c r="Y86" i="4"/>
  <c r="Q511" i="4"/>
  <c r="M20" i="6" l="1"/>
  <c r="M20" i="2"/>
  <c r="K38" i="2"/>
  <c r="K49" i="2" s="1"/>
  <c r="K50" i="2" s="1"/>
  <c r="K23" i="2"/>
  <c r="Q20" i="6"/>
  <c r="K23" i="6"/>
  <c r="O20" i="6"/>
  <c r="K38" i="6"/>
  <c r="K49" i="6" s="1"/>
  <c r="K50" i="6" s="1"/>
  <c r="W443" i="4"/>
  <c r="Y443" i="4"/>
  <c r="W442" i="4"/>
  <c r="Y442" i="4" s="1"/>
  <c r="W163" i="4"/>
  <c r="Y163" i="4" s="1"/>
  <c r="W446" i="4"/>
  <c r="Y446" i="4" s="1"/>
  <c r="W162" i="4"/>
  <c r="Y162" i="4"/>
  <c r="W160" i="4"/>
  <c r="Y160" i="4" s="1"/>
  <c r="W159" i="4"/>
  <c r="Y159" i="4"/>
  <c r="W445" i="4"/>
  <c r="Y445" i="4" s="1"/>
  <c r="W161" i="4"/>
  <c r="Y161" i="4" s="1"/>
  <c r="W447" i="4"/>
  <c r="Y447" i="4" s="1"/>
  <c r="W444" i="4"/>
  <c r="Y444" i="4" s="1"/>
  <c r="W441" i="4"/>
  <c r="Y441" i="4" s="1"/>
  <c r="P26" i="2" l="1"/>
  <c r="P32" i="2"/>
  <c r="P43" i="2"/>
  <c r="P24" i="2"/>
  <c r="P33" i="2"/>
  <c r="Q33" i="2" s="1"/>
  <c r="P44" i="2"/>
  <c r="AA358" i="4" s="1"/>
  <c r="P31" i="2"/>
  <c r="P42" i="2"/>
  <c r="Q42" i="2" s="1"/>
  <c r="P25" i="2"/>
  <c r="P28" i="2"/>
  <c r="P29" i="2"/>
  <c r="Q29" i="2" s="1"/>
  <c r="P41" i="2"/>
  <c r="Q41" i="2" s="1"/>
  <c r="P16" i="2"/>
  <c r="Q16" i="2" s="1"/>
  <c r="P15" i="2"/>
  <c r="P22" i="2"/>
  <c r="Q22" i="2" s="1"/>
  <c r="P21" i="2"/>
  <c r="P20" i="2"/>
  <c r="Q20" i="2" s="1"/>
  <c r="Q23" i="6"/>
  <c r="W20" i="6"/>
  <c r="Q38" i="6"/>
  <c r="Q49" i="6" s="1"/>
  <c r="Q50" i="6" s="1"/>
  <c r="N20" i="2"/>
  <c r="M23" i="2"/>
  <c r="N23" i="2" s="1"/>
  <c r="Y165" i="4"/>
  <c r="O23" i="6"/>
  <c r="M23" i="6"/>
  <c r="Y455" i="4"/>
  <c r="Y457" i="4" s="1"/>
  <c r="Y511" i="4" l="1"/>
  <c r="P38" i="2"/>
  <c r="Q38" i="2" s="1"/>
  <c r="AA77" i="4"/>
  <c r="AC77" i="4" s="1"/>
  <c r="Q15" i="2"/>
  <c r="P18" i="2"/>
  <c r="AA153" i="4"/>
  <c r="Q40" i="2"/>
  <c r="P45" i="2"/>
  <c r="Q31" i="2"/>
  <c r="AA371" i="4"/>
  <c r="Q43" i="2"/>
  <c r="AA364" i="4"/>
  <c r="AC364" i="4" s="1"/>
  <c r="AC366" i="4" s="1"/>
  <c r="S43" i="6" s="1"/>
  <c r="U43" i="6" s="1"/>
  <c r="AA43" i="6" s="1"/>
  <c r="AC43" i="6" s="1"/>
  <c r="Q28" i="2"/>
  <c r="P30" i="2"/>
  <c r="AA190" i="4" s="1"/>
  <c r="Q44" i="2"/>
  <c r="AC358" i="4"/>
  <c r="AC360" i="4" s="1"/>
  <c r="S44" i="6" s="1"/>
  <c r="U44" i="6" s="1"/>
  <c r="AA44" i="6" s="1"/>
  <c r="AC44" i="6" s="1"/>
  <c r="Q32" i="2"/>
  <c r="AA387" i="4"/>
  <c r="Q24" i="2"/>
  <c r="AA157" i="4"/>
  <c r="P23" i="2"/>
  <c r="Q23" i="2" s="1"/>
  <c r="Q21" i="2"/>
  <c r="AA105" i="4"/>
  <c r="AA169" i="4"/>
  <c r="P27" i="2"/>
  <c r="Q27" i="2" s="1"/>
  <c r="Q25" i="2"/>
  <c r="Q26" i="2"/>
  <c r="AA180" i="4"/>
  <c r="W23" i="6"/>
  <c r="Y23" i="6" s="1"/>
  <c r="Y20" i="6"/>
  <c r="W38" i="6"/>
  <c r="M33" i="6"/>
  <c r="O33" i="6" s="1"/>
  <c r="M33" i="2"/>
  <c r="N33" i="2" s="1"/>
  <c r="M24" i="6"/>
  <c r="M24" i="2"/>
  <c r="AA83" i="4" l="1"/>
  <c r="AC83" i="4" s="1"/>
  <c r="AA98" i="4"/>
  <c r="AC98" i="4" s="1"/>
  <c r="AA79" i="4"/>
  <c r="AC79" i="4" s="1"/>
  <c r="AA80" i="4"/>
  <c r="AC80" i="4" s="1"/>
  <c r="AA95" i="4"/>
  <c r="AC95" i="4" s="1"/>
  <c r="AA78" i="4"/>
  <c r="AC78" i="4" s="1"/>
  <c r="AA97" i="4"/>
  <c r="AC97" i="4" s="1"/>
  <c r="AA92" i="4"/>
  <c r="AC92" i="4" s="1"/>
  <c r="AA94" i="4"/>
  <c r="AC94" i="4" s="1"/>
  <c r="AA93" i="4"/>
  <c r="AC93" i="4" s="1"/>
  <c r="AA82" i="4"/>
  <c r="AC82" i="4" s="1"/>
  <c r="AC153" i="4"/>
  <c r="S40" i="6" s="1"/>
  <c r="AA351" i="4"/>
  <c r="AC351" i="4" s="1"/>
  <c r="S42" i="6" s="1"/>
  <c r="U42" i="6" s="1"/>
  <c r="AA42" i="6" s="1"/>
  <c r="AC42" i="6" s="1"/>
  <c r="AA268" i="4"/>
  <c r="AC268" i="4" s="1"/>
  <c r="S41" i="6" s="1"/>
  <c r="U41" i="6" s="1"/>
  <c r="AA41" i="6" s="1"/>
  <c r="AC41" i="6" s="1"/>
  <c r="AC180" i="4"/>
  <c r="AA182" i="4"/>
  <c r="AC182" i="4" s="1"/>
  <c r="AA181" i="4"/>
  <c r="AC181" i="4" s="1"/>
  <c r="AC169" i="4"/>
  <c r="AA173" i="4"/>
  <c r="AC173" i="4" s="1"/>
  <c r="AA450" i="4"/>
  <c r="AC450" i="4" s="1"/>
  <c r="AA453" i="4"/>
  <c r="AC453" i="4" s="1"/>
  <c r="AA170" i="4"/>
  <c r="AC170" i="4" s="1"/>
  <c r="AA171" i="4"/>
  <c r="AC171" i="4" s="1"/>
  <c r="AA452" i="4"/>
  <c r="AC452" i="4" s="1"/>
  <c r="AA454" i="4"/>
  <c r="AC454" i="4" s="1"/>
  <c r="AA174" i="4"/>
  <c r="AC174" i="4" s="1"/>
  <c r="AA172" i="4"/>
  <c r="AC172" i="4" s="1"/>
  <c r="AA449" i="4"/>
  <c r="AC449" i="4" s="1"/>
  <c r="AA451" i="4"/>
  <c r="AC451" i="4" s="1"/>
  <c r="AA160" i="4"/>
  <c r="AC160" i="4" s="1"/>
  <c r="AA441" i="4"/>
  <c r="AC441" i="4" s="1"/>
  <c r="AA447" i="4"/>
  <c r="AC447" i="4" s="1"/>
  <c r="AA162" i="4"/>
  <c r="AC162" i="4" s="1"/>
  <c r="AA442" i="4"/>
  <c r="AC442" i="4" s="1"/>
  <c r="AA161" i="4"/>
  <c r="AC161" i="4" s="1"/>
  <c r="AA444" i="4"/>
  <c r="AC444" i="4" s="1"/>
  <c r="AA163" i="4"/>
  <c r="AC163" i="4" s="1"/>
  <c r="AA159" i="4"/>
  <c r="AC159" i="4" s="1"/>
  <c r="AA446" i="4"/>
  <c r="AC446" i="4" s="1"/>
  <c r="AA443" i="4"/>
  <c r="AC443" i="4" s="1"/>
  <c r="AA158" i="4"/>
  <c r="AC158" i="4" s="1"/>
  <c r="AA445" i="4"/>
  <c r="AC445" i="4" s="1"/>
  <c r="AC157" i="4"/>
  <c r="P48" i="2"/>
  <c r="Q45" i="2"/>
  <c r="AA392" i="4"/>
  <c r="AC392" i="4" s="1"/>
  <c r="AA389" i="4"/>
  <c r="AC389" i="4" s="1"/>
  <c r="AC387" i="4"/>
  <c r="AA391" i="4"/>
  <c r="AC391" i="4" s="1"/>
  <c r="AA388" i="4"/>
  <c r="AC388" i="4" s="1"/>
  <c r="AA390" i="4"/>
  <c r="AC390" i="4" s="1"/>
  <c r="AA393" i="4"/>
  <c r="AC393" i="4" s="1"/>
  <c r="Q30" i="2"/>
  <c r="AA378" i="4"/>
  <c r="AC378" i="4" s="1"/>
  <c r="AA373" i="4"/>
  <c r="AC373" i="4" s="1"/>
  <c r="AA379" i="4"/>
  <c r="AC379" i="4" s="1"/>
  <c r="AA380" i="4"/>
  <c r="AC380" i="4" s="1"/>
  <c r="AA372" i="4"/>
  <c r="AC372" i="4" s="1"/>
  <c r="AC371" i="4"/>
  <c r="AA16" i="4"/>
  <c r="Q18" i="2"/>
  <c r="AA109" i="4"/>
  <c r="AC109" i="4" s="1"/>
  <c r="AA107" i="4"/>
  <c r="AC107" i="4" s="1"/>
  <c r="AA106" i="4"/>
  <c r="AC106" i="4" s="1"/>
  <c r="AA108" i="4"/>
  <c r="AC108" i="4" s="1"/>
  <c r="AC105" i="4"/>
  <c r="AA111" i="4"/>
  <c r="AC111" i="4" s="1"/>
  <c r="AA110" i="4"/>
  <c r="AC110" i="4" s="1"/>
  <c r="O24" i="6"/>
  <c r="M38" i="6"/>
  <c r="M49" i="6" s="1"/>
  <c r="M50" i="6" s="1"/>
  <c r="Y38" i="6"/>
  <c r="W49" i="6"/>
  <c r="N24" i="2"/>
  <c r="M38" i="2"/>
  <c r="AC86" i="4" l="1"/>
  <c r="AC101" i="4"/>
  <c r="S22" i="6" s="1"/>
  <c r="U22" i="6" s="1"/>
  <c r="AA22" i="6" s="1"/>
  <c r="AC22" i="6" s="1"/>
  <c r="AC176" i="4"/>
  <c r="S25" i="6" s="1"/>
  <c r="AA209" i="4"/>
  <c r="AC209" i="4" s="1"/>
  <c r="AA193" i="4"/>
  <c r="AC193" i="4" s="1"/>
  <c r="AC190" i="4"/>
  <c r="AA197" i="4"/>
  <c r="AC197" i="4" s="1"/>
  <c r="AC198" i="4" s="1"/>
  <c r="AA208" i="4"/>
  <c r="AC208" i="4" s="1"/>
  <c r="AA206" i="4"/>
  <c r="AC206" i="4" s="1"/>
  <c r="AA213" i="4"/>
  <c r="AC213" i="4" s="1"/>
  <c r="AC214" i="4" s="1"/>
  <c r="AA207" i="4"/>
  <c r="AC207" i="4" s="1"/>
  <c r="AA192" i="4"/>
  <c r="AC192" i="4" s="1"/>
  <c r="AA191" i="4"/>
  <c r="AC191" i="4" s="1"/>
  <c r="AC375" i="4"/>
  <c r="AC396" i="4"/>
  <c r="S32" i="6" s="1"/>
  <c r="U32" i="6" s="1"/>
  <c r="AA32" i="6" s="1"/>
  <c r="AC32" i="6" s="1"/>
  <c r="Q48" i="2"/>
  <c r="P49" i="2"/>
  <c r="U40" i="6"/>
  <c r="S45" i="6"/>
  <c r="S48" i="6" s="1"/>
  <c r="AA40" i="4"/>
  <c r="AC40" i="4" s="1"/>
  <c r="AA41" i="4"/>
  <c r="AC41" i="4" s="1"/>
  <c r="AA43" i="4"/>
  <c r="AC43" i="4" s="1"/>
  <c r="AA22" i="4"/>
  <c r="AC22" i="4" s="1"/>
  <c r="AA62" i="4"/>
  <c r="AC62" i="4" s="1"/>
  <c r="AA63" i="4"/>
  <c r="AC63" i="4" s="1"/>
  <c r="AA36" i="4"/>
  <c r="AC36" i="4" s="1"/>
  <c r="AA64" i="4"/>
  <c r="AC64" i="4" s="1"/>
  <c r="AA65" i="4"/>
  <c r="AC65" i="4" s="1"/>
  <c r="AA42" i="4"/>
  <c r="AC42" i="4" s="1"/>
  <c r="AA17" i="4"/>
  <c r="AC17" i="4" s="1"/>
  <c r="AA45" i="4"/>
  <c r="AC45" i="4" s="1"/>
  <c r="AA58" i="4"/>
  <c r="AC58" i="4" s="1"/>
  <c r="AA60" i="4"/>
  <c r="AC60" i="4" s="1"/>
  <c r="AA67" i="4"/>
  <c r="AC67" i="4" s="1"/>
  <c r="AA59" i="4"/>
  <c r="AC59" i="4" s="1"/>
  <c r="AA56" i="4"/>
  <c r="AC56" i="4" s="1"/>
  <c r="AA23" i="4"/>
  <c r="AC23" i="4" s="1"/>
  <c r="AC16" i="4"/>
  <c r="AA18" i="4"/>
  <c r="AC18" i="4" s="1"/>
  <c r="AA37" i="4"/>
  <c r="AC37" i="4" s="1"/>
  <c r="AA20" i="4"/>
  <c r="AC20" i="4" s="1"/>
  <c r="AA57" i="4"/>
  <c r="AC57" i="4" s="1"/>
  <c r="U18" i="9"/>
  <c r="AA25" i="4"/>
  <c r="AC25" i="4" s="1"/>
  <c r="AA38" i="4"/>
  <c r="AC38" i="4" s="1"/>
  <c r="AA21" i="4"/>
  <c r="AC21" i="4" s="1"/>
  <c r="AC113" i="4"/>
  <c r="S21" i="6" s="1"/>
  <c r="U21" i="6" s="1"/>
  <c r="AA21" i="6" s="1"/>
  <c r="AC21" i="6" s="1"/>
  <c r="AC382" i="4"/>
  <c r="AC165" i="4"/>
  <c r="S24" i="6" s="1"/>
  <c r="U24" i="6" s="1"/>
  <c r="AA24" i="6" s="1"/>
  <c r="AC24" i="6" s="1"/>
  <c r="AC455" i="4"/>
  <c r="AA401" i="4" s="1"/>
  <c r="AC184" i="4"/>
  <c r="S26" i="6" s="1"/>
  <c r="U26" i="6" s="1"/>
  <c r="AA26" i="6" s="1"/>
  <c r="AC26" i="6" s="1"/>
  <c r="W50" i="6"/>
  <c r="Y50" i="6" s="1"/>
  <c r="Y49" i="6"/>
  <c r="S20" i="6"/>
  <c r="M49" i="2"/>
  <c r="N38" i="2"/>
  <c r="O38" i="6"/>
  <c r="O49" i="6" s="1"/>
  <c r="O50" i="6" s="1"/>
  <c r="AC210" i="4" l="1"/>
  <c r="AC216" i="4" s="1"/>
  <c r="S29" i="6" s="1"/>
  <c r="U29" i="6" s="1"/>
  <c r="AA29" i="6" s="1"/>
  <c r="AC29" i="6" s="1"/>
  <c r="AC49" i="4"/>
  <c r="AC383" i="4"/>
  <c r="S31" i="6" s="1"/>
  <c r="U31" i="6" s="1"/>
  <c r="AA31" i="6" s="1"/>
  <c r="AC31" i="6" s="1"/>
  <c r="AC194" i="4"/>
  <c r="AC200" i="4" s="1"/>
  <c r="S28" i="6" s="1"/>
  <c r="U28" i="6" s="1"/>
  <c r="AA420" i="4"/>
  <c r="AC420" i="4" s="1"/>
  <c r="AA427" i="4"/>
  <c r="AC427" i="4" s="1"/>
  <c r="AC401" i="4"/>
  <c r="AA407" i="4"/>
  <c r="AC407" i="4" s="1"/>
  <c r="AA405" i="4"/>
  <c r="AC405" i="4" s="1"/>
  <c r="AA418" i="4"/>
  <c r="AC418" i="4" s="1"/>
  <c r="AA437" i="4"/>
  <c r="AC437" i="4" s="1"/>
  <c r="AA402" i="4"/>
  <c r="AC402" i="4" s="1"/>
  <c r="AA404" i="4"/>
  <c r="AC404" i="4" s="1"/>
  <c r="AA417" i="4"/>
  <c r="AC417" i="4" s="1"/>
  <c r="AA433" i="4"/>
  <c r="AC433" i="4" s="1"/>
  <c r="AA436" i="4"/>
  <c r="AC436" i="4" s="1"/>
  <c r="AA434" i="4"/>
  <c r="AC434" i="4" s="1"/>
  <c r="AA414" i="4"/>
  <c r="AC414" i="4" s="1"/>
  <c r="AA411" i="4"/>
  <c r="AC411" i="4" s="1"/>
  <c r="AA424" i="4"/>
  <c r="AC424" i="4" s="1"/>
  <c r="AA430" i="4"/>
  <c r="AC430" i="4" s="1"/>
  <c r="AA423" i="4"/>
  <c r="AC423" i="4" s="1"/>
  <c r="AA421" i="4"/>
  <c r="AC421" i="4" s="1"/>
  <c r="AA410" i="4"/>
  <c r="AC410" i="4" s="1"/>
  <c r="AA431" i="4"/>
  <c r="AC431" i="4" s="1"/>
  <c r="AA408" i="4"/>
  <c r="AC408" i="4" s="1"/>
  <c r="AC71" i="4"/>
  <c r="S16" i="6" s="1"/>
  <c r="U16" i="6" s="1"/>
  <c r="AA16" i="6" s="1"/>
  <c r="AC16" i="6" s="1"/>
  <c r="AC29" i="4"/>
  <c r="U45" i="6"/>
  <c r="U48" i="6" s="1"/>
  <c r="AA40" i="6"/>
  <c r="P50" i="2"/>
  <c r="Q50" i="2" s="1"/>
  <c r="Q49" i="2"/>
  <c r="E12" i="9"/>
  <c r="E18" i="9"/>
  <c r="E19" i="9"/>
  <c r="E16" i="9"/>
  <c r="E22" i="9"/>
  <c r="E27" i="9"/>
  <c r="E15" i="9"/>
  <c r="E30" i="9"/>
  <c r="E28" i="9"/>
  <c r="E23" i="9"/>
  <c r="E31" i="9"/>
  <c r="E20" i="9"/>
  <c r="E10" i="9"/>
  <c r="E11" i="9"/>
  <c r="E13" i="9"/>
  <c r="E14" i="9"/>
  <c r="E26" i="9"/>
  <c r="E24" i="9"/>
  <c r="E29" i="9"/>
  <c r="E21" i="9"/>
  <c r="U26" i="9"/>
  <c r="E25" i="9"/>
  <c r="U25" i="6"/>
  <c r="S27" i="6"/>
  <c r="N49" i="2"/>
  <c r="M50" i="2"/>
  <c r="S23" i="6"/>
  <c r="U20" i="6"/>
  <c r="S15" i="6" l="1"/>
  <c r="U15" i="6" s="1"/>
  <c r="I21" i="9"/>
  <c r="G21" i="9"/>
  <c r="I20" i="9"/>
  <c r="G20" i="9"/>
  <c r="G30" i="9"/>
  <c r="I30" i="9"/>
  <c r="G16" i="9"/>
  <c r="I16" i="9"/>
  <c r="AC40" i="6"/>
  <c r="AA45" i="6"/>
  <c r="AA25" i="6"/>
  <c r="U27" i="6"/>
  <c r="G29" i="9"/>
  <c r="I29" i="9"/>
  <c r="I13" i="9"/>
  <c r="G13" i="9"/>
  <c r="G31" i="9"/>
  <c r="I31" i="9"/>
  <c r="G15" i="9"/>
  <c r="I15" i="9"/>
  <c r="V37" i="9"/>
  <c r="I19" i="9"/>
  <c r="G19" i="9"/>
  <c r="S18" i="6"/>
  <c r="AC438" i="4"/>
  <c r="AC457" i="4" s="1"/>
  <c r="S33" i="6" s="1"/>
  <c r="G25" i="9"/>
  <c r="I25" i="9"/>
  <c r="I24" i="9"/>
  <c r="G24" i="9"/>
  <c r="G11" i="9"/>
  <c r="I11" i="9"/>
  <c r="I23" i="9"/>
  <c r="G23" i="9"/>
  <c r="I27" i="9"/>
  <c r="G27" i="9"/>
  <c r="G18" i="9"/>
  <c r="I18" i="9"/>
  <c r="S30" i="6"/>
  <c r="G14" i="9"/>
  <c r="I14" i="9"/>
  <c r="M17" i="9"/>
  <c r="M25" i="9"/>
  <c r="M31" i="9"/>
  <c r="M24" i="9"/>
  <c r="M26" i="9"/>
  <c r="M16" i="9"/>
  <c r="M22" i="9"/>
  <c r="M27" i="9"/>
  <c r="M18" i="9"/>
  <c r="M15" i="9"/>
  <c r="M20" i="9"/>
  <c r="M21" i="9"/>
  <c r="M10" i="9"/>
  <c r="M11" i="9"/>
  <c r="M30" i="9"/>
  <c r="M14" i="9"/>
  <c r="M28" i="9"/>
  <c r="M23" i="9"/>
  <c r="M13" i="9"/>
  <c r="M12" i="9"/>
  <c r="M29" i="9"/>
  <c r="I26" i="9"/>
  <c r="G26" i="9"/>
  <c r="G10" i="9"/>
  <c r="I10" i="9"/>
  <c r="G28" i="9"/>
  <c r="I28" i="9"/>
  <c r="G22" i="9"/>
  <c r="I22" i="9"/>
  <c r="I12" i="9"/>
  <c r="G12" i="9"/>
  <c r="U30" i="6"/>
  <c r="AA28" i="6"/>
  <c r="N50" i="2"/>
  <c r="U23" i="6"/>
  <c r="AA20" i="6"/>
  <c r="AC28" i="6" l="1"/>
  <c r="AA30" i="6"/>
  <c r="AC30" i="6" s="1"/>
  <c r="Q28" i="9"/>
  <c r="O28" i="9"/>
  <c r="O18" i="9"/>
  <c r="Q18" i="9"/>
  <c r="Q26" i="9"/>
  <c r="O26" i="9"/>
  <c r="Q14" i="9"/>
  <c r="O14" i="9"/>
  <c r="Q27" i="9"/>
  <c r="O27" i="9"/>
  <c r="V39" i="9"/>
  <c r="AC25" i="6"/>
  <c r="AA27" i="6"/>
  <c r="AC27" i="6" s="1"/>
  <c r="Q13" i="9"/>
  <c r="O13" i="9"/>
  <c r="Q30" i="9"/>
  <c r="O30" i="9"/>
  <c r="Q20" i="9"/>
  <c r="O20" i="9"/>
  <c r="Q22" i="9"/>
  <c r="O22" i="9"/>
  <c r="O31" i="9"/>
  <c r="Q31" i="9"/>
  <c r="U33" i="6"/>
  <c r="S38" i="6"/>
  <c r="S49" i="6" s="1"/>
  <c r="S50" i="6" s="1"/>
  <c r="AC45" i="6"/>
  <c r="AA48" i="6"/>
  <c r="AC48" i="6" s="1"/>
  <c r="Q29" i="9"/>
  <c r="O29" i="9"/>
  <c r="Q10" i="9"/>
  <c r="O10" i="9"/>
  <c r="Q17" i="9"/>
  <c r="O17" i="9"/>
  <c r="V38" i="9"/>
  <c r="O12" i="9"/>
  <c r="Q12" i="9"/>
  <c r="O21" i="9"/>
  <c r="Q21" i="9"/>
  <c r="Q24" i="9"/>
  <c r="O24" i="9"/>
  <c r="O23" i="9"/>
  <c r="Q23" i="9"/>
  <c r="O11" i="9"/>
  <c r="Q11" i="9"/>
  <c r="Q15" i="9"/>
  <c r="O15" i="9"/>
  <c r="V40" i="9"/>
  <c r="Q16" i="9"/>
  <c r="O16" i="9"/>
  <c r="O25" i="9"/>
  <c r="Q25" i="9"/>
  <c r="AC511" i="4"/>
  <c r="U18" i="6"/>
  <c r="AA15" i="6"/>
  <c r="X37" i="9"/>
  <c r="W37" i="9"/>
  <c r="AC20" i="6"/>
  <c r="AA23" i="6"/>
  <c r="AC23" i="6" s="1"/>
  <c r="X38" i="9" l="1"/>
  <c r="W38" i="9"/>
  <c r="AA33" i="6"/>
  <c r="U38" i="6"/>
  <c r="U49" i="6" s="1"/>
  <c r="U50" i="6" s="1"/>
  <c r="AC15" i="6"/>
  <c r="AA18" i="6"/>
  <c r="AC18" i="6" s="1"/>
  <c r="U33" i="9" s="1"/>
  <c r="W40" i="9"/>
  <c r="X40" i="9"/>
  <c r="X39" i="9"/>
  <c r="W39" i="9"/>
  <c r="AC33" i="6" l="1"/>
  <c r="AA38" i="6"/>
  <c r="AA49" i="6" l="1"/>
  <c r="AC38" i="6"/>
  <c r="AA50" i="6" l="1"/>
  <c r="AC50" i="6" s="1"/>
  <c r="AC49" i="6"/>
</calcChain>
</file>

<file path=xl/sharedStrings.xml><?xml version="1.0" encoding="utf-8"?>
<sst xmlns="http://schemas.openxmlformats.org/spreadsheetml/2006/main" count="842" uniqueCount="360">
  <si>
    <t>Rocky Mountain Power - State of Utah</t>
  </si>
  <si>
    <t>Blocking Based on Adjusted Actuals and Forecasted Loads</t>
  </si>
  <si>
    <t>Base Period 12 Months Ending June 2013</t>
  </si>
  <si>
    <t>Forecast Test Period 12 Months Ending June 2015</t>
  </si>
  <si>
    <t>Forecasted</t>
  </si>
  <si>
    <t xml:space="preserve">Present </t>
  </si>
  <si>
    <t>Revenue</t>
  </si>
  <si>
    <t>Units</t>
  </si>
  <si>
    <t>Price</t>
  </si>
  <si>
    <t>Dollars</t>
  </si>
  <si>
    <t>Schedule No. 1- Residential Service</t>
  </si>
  <si>
    <t xml:space="preserve">  Total Customer</t>
  </si>
  <si>
    <t xml:space="preserve">  Customer Charge - 1 Phase</t>
  </si>
  <si>
    <t xml:space="preserve">  Customer Charge - 3 Phase</t>
  </si>
  <si>
    <t xml:space="preserve">  Net Metering Facilities Charge</t>
  </si>
  <si>
    <t xml:space="preserve">  First 400 kWh (May-Sept)</t>
  </si>
  <si>
    <t>¢</t>
  </si>
  <si>
    <t xml:space="preserve">  Next 600 kWh (May-Sept)</t>
  </si>
  <si>
    <t xml:space="preserve">  All add'l kWh (May-Sept)</t>
  </si>
  <si>
    <t xml:space="preserve">  All kWh (Oct-Apr)</t>
  </si>
  <si>
    <t xml:space="preserve">      First 400 kWh (Oct-Apr)</t>
  </si>
  <si>
    <t xml:space="preserve">      All add'l kWh (Oct-Apr)</t>
  </si>
  <si>
    <t xml:space="preserve">  Minimum 1 Phase</t>
  </si>
  <si>
    <t xml:space="preserve">  Minimum 3 Phase</t>
  </si>
  <si>
    <t xml:space="preserve">  Minimum Seasonal</t>
  </si>
  <si>
    <t xml:space="preserve">  kWh in Minimum</t>
  </si>
  <si>
    <t xml:space="preserve">      kWh in Minimum - Summer</t>
  </si>
  <si>
    <t xml:space="preserve">      kWh in Minimum - Winter</t>
  </si>
  <si>
    <t xml:space="preserve">  Unbilled</t>
  </si>
  <si>
    <t xml:space="preserve">  Total</t>
  </si>
  <si>
    <t>Schedule No. 3- Residential Service - Low Income Lifeline Program</t>
  </si>
  <si>
    <t>Schedule No. 2 - Residential Service - Optional Time-of-Day</t>
  </si>
  <si>
    <t xml:space="preserve">  On-Peak kWh (May - Sept)</t>
  </si>
  <si>
    <t xml:space="preserve">  Off-Peak kWh (May - Sept)</t>
  </si>
  <si>
    <t>Schedule No. 6 - Composite</t>
  </si>
  <si>
    <t xml:space="preserve">  Customer Charge</t>
  </si>
  <si>
    <t xml:space="preserve">  All kW (May - Sept)</t>
  </si>
  <si>
    <t xml:space="preserve">  All kW (Oct - Apr)</t>
  </si>
  <si>
    <t xml:space="preserve">  Voltage Discount</t>
  </si>
  <si>
    <t xml:space="preserve">  Facilities kW</t>
  </si>
  <si>
    <t xml:space="preserve">  All kWh</t>
  </si>
  <si>
    <t xml:space="preserve">      kWh (May - Sept)</t>
  </si>
  <si>
    <t xml:space="preserve">      kWh (Oct - Apr)</t>
  </si>
  <si>
    <t xml:space="preserve">  Seasonal Service</t>
  </si>
  <si>
    <t xml:space="preserve">      kWh (May-Sept)</t>
  </si>
  <si>
    <t xml:space="preserve">      kWh (Oct-Apr)</t>
  </si>
  <si>
    <t>Schedule No. 6B - Demand Time-of-Day Option - Composite</t>
  </si>
  <si>
    <t xml:space="preserve">  All On-peak kW (May - Sept)</t>
  </si>
  <si>
    <t xml:space="preserve">  All On-peak kW (Oct - Apr)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</si>
  <si>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</si>
  <si>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</si>
  <si>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</si>
  <si>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</si>
  <si>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</si>
  <si>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>Schedule No. 7 - Security Area Lighting - Composite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</si>
  <si>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</si>
  <si>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</si>
  <si>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</si>
  <si>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</si>
  <si>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</si>
  <si>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</si>
  <si>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</si>
  <si>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</si>
  <si>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</si>
  <si>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</si>
  <si>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</si>
  <si>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</si>
  <si>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</si>
  <si>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</si>
  <si>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</si>
  <si>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</si>
  <si>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</si>
  <si>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</si>
  <si>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</si>
  <si>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</si>
  <si>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</si>
  <si>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</si>
  <si>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</si>
  <si>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</si>
  <si>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</si>
  <si>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</si>
  <si>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</si>
  <si>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</si>
  <si>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</si>
  <si>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</si>
  <si>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Customers</t>
  </si>
  <si>
    <t>Total (kWh)</t>
  </si>
  <si>
    <t>Schedule No. 8 - Composite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</si>
  <si>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</si>
  <si>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</si>
  <si>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</si>
  <si>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</si>
  <si>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</si>
  <si>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</si>
  <si>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>Schedule No. 9A - Energy TOD - Composite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</si>
  <si>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</si>
  <si>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</si>
  <si>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</si>
  <si>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</si>
  <si>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</si>
  <si>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</si>
  <si>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</si>
  <si>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</si>
  <si>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</si>
  <si>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</si>
  <si>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</si>
  <si>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Customer Charge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</si>
  <si>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</si>
  <si>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</si>
  <si>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</si>
  <si>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</si>
  <si>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</si>
  <si>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</si>
  <si>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</si>
  <si>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</si>
  <si>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 (HPS)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</si>
  <si>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</si>
  <si>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</si>
  <si>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</si>
  <si>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</si>
  <si>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</si>
  <si>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</si>
  <si>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</si>
  <si>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</si>
  <si>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</si>
  <si>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</si>
  <si>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</si>
  <si>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</si>
  <si>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</si>
  <si>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</si>
  <si>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</si>
  <si>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 (MH)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</si>
  <si>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</si>
  <si>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</si>
  <si>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</si>
  <si>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</si>
  <si>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</si>
  <si>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</si>
  <si>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</si>
  <si>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</si>
  <si>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</si>
  <si>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</si>
  <si>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</si>
  <si>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Mercury Vapor Lamps (No New Service) (MV)</t>
  </si>
  <si>
    <t xml:space="preserve">   4,000 Lumen</t>
  </si>
  <si>
    <t xml:space="preserve">   10,000 Lumen</t>
  </si>
  <si>
    <t xml:space="preserve">   10,000 Lumen @ 90%</t>
  </si>
  <si>
    <t xml:space="preserve">  Incandescent Lamps (No New Service) (INC)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</si>
  <si>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</si>
  <si>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</si>
  <si>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</si>
  <si>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</si>
  <si>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Fluorescent Lamps (No New Service) (FLOUR)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</si>
  <si>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</si>
  <si>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</si>
  <si>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</si>
  <si>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</si>
  <si>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</si>
  <si>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</si>
  <si>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</si>
  <si>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</si>
  <si>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</si>
  <si>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</si>
  <si>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</si>
  <si>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</si>
  <si>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</si>
  <si>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Metal Halide Lamps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</si>
  <si>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</si>
  <si>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</si>
  <si>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</si>
  <si>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</si>
  <si>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</si>
  <si>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</si>
  <si>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Customer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</si>
  <si>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</si>
  <si>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</si>
  <si>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</si>
  <si>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</si>
  <si>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</si>
  <si>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</si>
  <si>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</si>
  <si>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</si>
  <si>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</si>
  <si>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</si>
  <si>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</si>
  <si>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</si>
  <si>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</si>
  <si>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</si>
  <si>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</si>
  <si>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</si>
  <si>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</si>
  <si>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</si>
  <si>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</si>
  <si>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Sodium Vapor Lamps</t>
  </si>
  <si>
    <t xml:space="preserve">   107,000 Lumen </t>
  </si>
  <si>
    <t>kWh Street Lighting</t>
  </si>
  <si>
    <t>Schedule 15.1 - Metered Outdoor Nighttime Lighting - Composite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</si>
  <si>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</si>
  <si>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</si>
  <si>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</si>
  <si>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</si>
  <si>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</si>
  <si>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</si>
  <si>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>Schedule 15.2 - Traffic Signal Systems - Composite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</si>
  <si>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</si>
  <si>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</si>
  <si>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</si>
  <si>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</si>
  <si>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</si>
  <si>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</si>
  <si>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</si>
  <si>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Schedule No. 23 - Composite</t>
  </si>
  <si>
    <t xml:space="preserve">  kW over 15 (May - Sept)</t>
  </si>
  <si>
    <t xml:space="preserve">  kW over 15 (Oct - Apr)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</si>
  <si>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</si>
  <si>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</si>
  <si>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</si>
  <si>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</si>
  <si>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>Schedule No.31 - Composite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</si>
  <si>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</si>
  <si>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</si>
  <si>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</si>
  <si>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</si>
  <si>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</si>
  <si>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     May - Sept</t>
  </si>
  <si>
    <t xml:space="preserve">              Oct - Apr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</si>
  <si>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</si>
  <si>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</si>
  <si>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</si>
  <si>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</si>
  <si>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</si>
  <si>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</si>
  <si>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</si>
  <si>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</si>
  <si>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>Contract 1</t>
  </si>
  <si>
    <t xml:space="preserve">  kW High Load Hours</t>
  </si>
  <si>
    <t xml:space="preserve">  kWh High Load Hours</t>
  </si>
  <si>
    <t xml:space="preserve">  kWh Low Load Hours</t>
  </si>
  <si>
    <t>Contract 2</t>
  </si>
  <si>
    <t xml:space="preserve">  Interruptible kWh</t>
  </si>
  <si>
    <t>Contract 3</t>
  </si>
  <si>
    <t xml:space="preserve">  Facilities Charge per kW - Back-Up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</si>
  <si>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</si>
  <si>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</si>
  <si>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</si>
  <si>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</si>
  <si>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</si>
  <si>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</si>
  <si>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</si>
  <si>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</si>
  <si>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</si>
  <si>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</si>
  <si>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Lighting Contract - Post Top Lighting - Composite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</si>
  <si>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</si>
  <si>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</si>
  <si>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</si>
  <si>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</si>
  <si>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</si>
  <si>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</si>
  <si>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</si>
  <si>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</si>
  <si>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</si>
  <si>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</si>
  <si>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</si>
  <si>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</si>
  <si>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Rocky Mountain Power</t>
  </si>
  <si>
    <t>on Revenues from Electric Sales to Ultimate Consumers in Utah</t>
  </si>
  <si>
    <t>No. of</t>
  </si>
  <si>
    <t>Line</t>
  </si>
  <si>
    <t>Sch</t>
  </si>
  <si>
    <t>MWh</t>
  </si>
  <si>
    <t>No.</t>
  </si>
  <si>
    <t>Description</t>
  </si>
  <si>
    <t>Forecast</t>
  </si>
  <si>
    <t>($000)</t>
  </si>
  <si>
    <t>Change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</si>
  <si>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</si>
  <si>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</si>
  <si>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</si>
  <si>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</si>
  <si>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</si>
  <si>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</si>
  <si>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</si>
  <si>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</si>
  <si>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</si>
  <si>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</si>
  <si>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</si>
  <si>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</si>
  <si>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</si>
  <si>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</si>
  <si>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</si>
  <si>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</si>
  <si>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</si>
  <si>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</si>
  <si>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</si>
  <si>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</si>
  <si>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</si>
  <si>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</si>
  <si>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</si>
  <si>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</si>
  <si>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</si>
  <si>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</si>
  <si>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</si>
  <si>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</si>
  <si>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</si>
  <si>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</si>
  <si>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Traffic Signal Systems</t>
  </si>
  <si>
    <t>Metered Outdoor Lighting</t>
  </si>
  <si>
    <t>Subtotal Public Street Lighting</t>
  </si>
  <si>
    <t>Security Area Lighting-Contracts (PTL)</t>
  </si>
  <si>
    <t>Total Public Street Lighting</t>
  </si>
  <si>
    <t>Total Sales to Ultimate Customers</t>
  </si>
  <si>
    <t>DSM</t>
  </si>
  <si>
    <t>Base</t>
  </si>
  <si>
    <t>Net</t>
  </si>
  <si>
    <t>Total Sales to Ultimate Customers 
(excluding Contracts, AGA)</t>
  </si>
  <si>
    <t>Sch 195-Solar</t>
  </si>
  <si>
    <t>Sch 94-EBA</t>
  </si>
  <si>
    <t>Sch 98-REC</t>
  </si>
  <si>
    <t>Present</t>
  </si>
  <si>
    <t>%</t>
  </si>
  <si>
    <t>(%)</t>
  </si>
  <si>
    <t>Present ($000)</t>
  </si>
  <si>
    <t>Monthly Billing Comparison</t>
  </si>
  <si>
    <t>Schedule 1 - State of Utah</t>
  </si>
  <si>
    <t>Residential Service</t>
  </si>
  <si>
    <t>Summer</t>
  </si>
  <si>
    <t>Winter</t>
  </si>
  <si>
    <r>
      <t>Monthly Billing</t>
    </r>
    <r>
      <rPr>
        <vertAlign val="superscript"/>
        <sz val="10"/>
        <rFont val="Times New Roman"/>
        <family val="1"/>
      </rPr>
      <t>1</t>
    </r>
  </si>
  <si>
    <t>kWh</t>
  </si>
  <si>
    <t>Proposed</t>
  </si>
  <si>
    <t>$</t>
  </si>
  <si>
    <t>Sch 1</t>
  </si>
  <si>
    <t>Basic</t>
  </si>
  <si>
    <t>kWh1</t>
  </si>
  <si>
    <t>kWh2</t>
  </si>
  <si>
    <t>kWh3</t>
  </si>
  <si>
    <t>Minimum</t>
  </si>
  <si>
    <t>w</t>
  </si>
  <si>
    <t>HELP</t>
  </si>
  <si>
    <t>a</t>
  </si>
  <si>
    <t>s</t>
  </si>
  <si>
    <t>Sch 195 Solar</t>
  </si>
  <si>
    <t>Sch 94 EBA</t>
  </si>
  <si>
    <t>Sch 98 REC</t>
  </si>
  <si>
    <t>Net (EBA+REC)</t>
  </si>
  <si>
    <t>Table A Price Change</t>
  </si>
  <si>
    <r>
      <t>1</t>
    </r>
    <r>
      <rPr>
        <sz val="10"/>
        <rFont val="Times New Roman"/>
        <family val="1"/>
      </rPr>
      <t xml:space="preserve">  Including HELP, DSM, EBA, REC and SOLAR adjustments.</t>
    </r>
  </si>
  <si>
    <t>w: Winter average usage; a:  Annual average usage; s: Summer average usage.</t>
  </si>
  <si>
    <t>Monthly Average</t>
  </si>
  <si>
    <t>Annual</t>
  </si>
  <si>
    <t>Estimated Effect of Proposed Schedule 193 Changes</t>
  </si>
  <si>
    <t>Sch 193-DSM</t>
  </si>
  <si>
    <t>Schedule 193-DSM</t>
  </si>
  <si>
    <t>Rate Spread</t>
  </si>
  <si>
    <t>Rate Spread-1</t>
  </si>
  <si>
    <t>Rate Design</t>
  </si>
  <si>
    <t>Proposed ($000)</t>
  </si>
  <si>
    <t>Target Average Rate</t>
  </si>
  <si>
    <t>Step 2 - 9/1/2015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</si>
</sst>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#,##0.000_);\(#,##0.000\)"/>
    <numFmt numFmtId="167" formatCode="0.0%"/>
    <numFmt numFmtId="168" formatCode="0.0000_);[Red]\(0.0000\)"/>
    <numFmt numFmtId="169" formatCode="0.0000_)"/>
    <numFmt numFmtId="170" formatCode="#,##0.0000"/>
    <numFmt numFmtId="171" formatCode="#,##0.00000_);\(#,##0.00000\)"/>
    <numFmt numFmtId="172" formatCode="_(* #,##0_);_(* \(#,##0\);_(* &quot;-&quot;??_);_(@_)"/>
    <numFmt numFmtId="173" formatCode="#,##0.0000_);\(#,##0.0000\)"/>
    <numFmt numFmtId="174" formatCode="_(* #,##0.0000_);_(* \(#,##0.0000\);_(* &quot;-&quot;??_);_(@_)"/>
    <numFmt numFmtId="175" formatCode="0.0000"/>
    <numFmt numFmtId="176" formatCode="0.0"/>
    <numFmt numFmtId="177" formatCode="#,##0.0_);\(#,##0.0\)"/>
    <numFmt numFmtId="178" formatCode="&quot;$&quot;#,##0.000_);\(&quot;$&quot;#,##0.000\)"/>
    <numFmt numFmtId="179" formatCode="&quot;$&quot;#,##0.0000_);\(&quot;$&quot;#,##0.0000\)"/>
    <numFmt numFmtId="180" formatCode="_(&quot;$&quot;* #,##0_);_(&quot;$&quot;* \(#,##0\);_(&quot;$&quot;* &quot;-&quot;??_);_(@_)"/>
    <numFmt numFmtId="181" formatCode="&quot;$&quot;###0;[Red]\(&quot;$&quot;###0\)"/>
    <numFmt numFmtId="182" formatCode="&quot;$&quot;#,##0.00"/>
    <numFmt numFmtId="183" formatCode="mmm\ dd\,\ yyyy"/>
  </numFmts>
  <fonts count="57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0000FF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color indexed="12"/>
      <name val="Times New Roman"/>
      <family val="1"/>
    </font>
    <font>
      <sz val="12"/>
      <name val="Arial"/>
      <family val="2"/>
    </font>
    <font>
      <b/>
      <u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sz val="10"/>
      <name val="MS Sans Serif"/>
      <family val="2"/>
    </font>
    <font>
      <sz val="8"/>
      <name val="Helv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12"/>
      <name val="TimesNewRomanPS"/>
    </font>
    <font>
      <sz val="10"/>
      <name val="Courier"/>
      <family val="3"/>
    </font>
    <font>
      <sz val="10"/>
      <name val="Swiss"/>
      <family val="2"/>
    </font>
    <font>
      <sz val="10"/>
      <name val="SWISS"/>
    </font>
    <font>
      <sz val="11"/>
      <color indexed="8"/>
      <name val="Century Schoolbook"/>
      <family val="2"/>
    </font>
    <font>
      <b/>
      <sz val="12"/>
      <name val="Arial"/>
      <family val="2"/>
    </font>
    <font>
      <sz val="10"/>
      <color theme="1"/>
      <name val="Times New Roman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rgb="FF0000FF"/>
      <name val="Times New Roman"/>
      <family val="1"/>
    </font>
    <font>
      <b/>
      <u/>
      <sz val="12"/>
      <name val="Times New Roman"/>
      <family val="1"/>
    </font>
    <font>
      <b/>
      <u/>
      <sz val="13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0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21" fillId="0" borderId="0" applyFont="0" applyFill="0" applyBorder="0" applyProtection="0">
      <alignment horizontal="right"/>
    </xf>
    <xf numFmtId="0" fontId="22" fillId="0" borderId="0" applyFont="0" applyFill="0" applyBorder="0" applyAlignment="0" applyProtection="0">
      <alignment horizontal="left"/>
    </xf>
    <xf numFmtId="176" fontId="23" fillId="0" borderId="0" applyNumberFormat="0" applyFill="0" applyBorder="0" applyAlignment="0" applyProtection="0"/>
    <xf numFmtId="172" fontId="11" fillId="0" borderId="0" applyFont="0" applyAlignment="0" applyProtection="0"/>
    <xf numFmtId="0" fontId="24" fillId="0" borderId="8" applyNumberFormat="0" applyBorder="0" applyAlignment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" fillId="0" borderId="0"/>
    <xf numFmtId="164" fontId="27" fillId="0" borderId="0"/>
    <xf numFmtId="0" fontId="20" fillId="0" borderId="0"/>
    <xf numFmtId="0" fontId="1" fillId="0" borderId="0"/>
    <xf numFmtId="0" fontId="1" fillId="0" borderId="0"/>
    <xf numFmtId="0" fontId="2" fillId="0" borderId="0"/>
    <xf numFmtId="41" fontId="28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10" fillId="0" borderId="0"/>
    <xf numFmtId="0" fontId="10" fillId="0" borderId="0"/>
    <xf numFmtId="182" fontId="26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7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2" fontId="31" fillId="15" borderId="9">
      <alignment horizontal="lef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33" fillId="16" borderId="10" applyNumberFormat="0" applyProtection="0">
      <alignment vertical="center"/>
    </xf>
    <xf numFmtId="4" fontId="34" fillId="17" borderId="10" applyNumberFormat="0" applyProtection="0">
      <alignment vertical="center"/>
    </xf>
    <xf numFmtId="4" fontId="33" fillId="17" borderId="10" applyNumberFormat="0" applyProtection="0">
      <alignment vertical="center"/>
    </xf>
    <xf numFmtId="0" fontId="33" fillId="17" borderId="10" applyNumberFormat="0" applyProtection="0">
      <alignment horizontal="left" vertical="top" indent="1"/>
    </xf>
    <xf numFmtId="4" fontId="33" fillId="18" borderId="0" applyNumberFormat="0" applyProtection="0">
      <alignment horizontal="left" vertical="center" indent="1"/>
    </xf>
    <xf numFmtId="4" fontId="35" fillId="19" borderId="10" applyNumberFormat="0" applyProtection="0">
      <alignment horizontal="right" vertical="center"/>
    </xf>
    <xf numFmtId="4" fontId="35" fillId="20" borderId="10" applyNumberFormat="0" applyProtection="0">
      <alignment horizontal="right" vertical="center"/>
    </xf>
    <xf numFmtId="4" fontId="35" fillId="21" borderId="10" applyNumberFormat="0" applyProtection="0">
      <alignment horizontal="right" vertical="center"/>
    </xf>
    <xf numFmtId="4" fontId="35" fillId="22" borderId="10" applyNumberFormat="0" applyProtection="0">
      <alignment horizontal="right" vertical="center"/>
    </xf>
    <xf numFmtId="4" fontId="35" fillId="23" borderId="10" applyNumberFormat="0" applyProtection="0">
      <alignment horizontal="right" vertical="center"/>
    </xf>
    <xf numFmtId="4" fontId="35" fillId="24" borderId="10" applyNumberFormat="0" applyProtection="0">
      <alignment horizontal="right" vertical="center"/>
    </xf>
    <xf numFmtId="4" fontId="35" fillId="25" borderId="10" applyNumberFormat="0" applyProtection="0">
      <alignment horizontal="right" vertical="center"/>
    </xf>
    <xf numFmtId="4" fontId="35" fillId="26" borderId="10" applyNumberFormat="0" applyProtection="0">
      <alignment horizontal="right" vertical="center"/>
    </xf>
    <xf numFmtId="4" fontId="35" fillId="27" borderId="10" applyNumberFormat="0" applyProtection="0">
      <alignment horizontal="right" vertical="center"/>
    </xf>
    <xf numFmtId="4" fontId="33" fillId="28" borderId="11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36" fillId="30" borderId="0" applyNumberFormat="0" applyProtection="0">
      <alignment horizontal="left" vertical="center" indent="1"/>
    </xf>
    <xf numFmtId="4" fontId="35" fillId="31" borderId="10" applyNumberFormat="0" applyProtection="0">
      <alignment horizontal="right" vertical="center"/>
    </xf>
    <xf numFmtId="4" fontId="37" fillId="0" borderId="0" applyNumberFormat="0" applyProtection="0">
      <alignment horizontal="left" vertical="center" indent="1"/>
    </xf>
    <xf numFmtId="4" fontId="38" fillId="0" borderId="0" applyNumberFormat="0" applyProtection="0">
      <alignment horizontal="left" vertical="center" indent="1"/>
    </xf>
    <xf numFmtId="0" fontId="10" fillId="30" borderId="10" applyNumberFormat="0" applyProtection="0">
      <alignment horizontal="left" vertical="center" indent="1"/>
    </xf>
    <xf numFmtId="0" fontId="10" fillId="30" borderId="10" applyNumberFormat="0" applyProtection="0">
      <alignment horizontal="left" vertical="top" indent="1"/>
    </xf>
    <xf numFmtId="0" fontId="10" fillId="18" borderId="10" applyNumberFormat="0" applyProtection="0">
      <alignment horizontal="left" vertical="center" indent="1"/>
    </xf>
    <xf numFmtId="0" fontId="10" fillId="18" borderId="10" applyNumberFormat="0" applyProtection="0">
      <alignment horizontal="left" vertical="top" indent="1"/>
    </xf>
    <xf numFmtId="0" fontId="10" fillId="32" borderId="10" applyNumberFormat="0" applyProtection="0">
      <alignment horizontal="left" vertical="center" indent="1"/>
    </xf>
    <xf numFmtId="0" fontId="10" fillId="32" borderId="10" applyNumberFormat="0" applyProtection="0">
      <alignment horizontal="left" vertical="top" indent="1"/>
    </xf>
    <xf numFmtId="0" fontId="10" fillId="33" borderId="10" applyNumberFormat="0" applyProtection="0">
      <alignment horizontal="left" vertical="center" indent="1"/>
    </xf>
    <xf numFmtId="0" fontId="10" fillId="33" borderId="10" applyNumberFormat="0" applyProtection="0">
      <alignment horizontal="left" vertical="top" indent="1"/>
    </xf>
    <xf numFmtId="4" fontId="35" fillId="34" borderId="10" applyNumberFormat="0" applyProtection="0">
      <alignment vertical="center"/>
    </xf>
    <xf numFmtId="4" fontId="39" fillId="34" borderId="10" applyNumberFormat="0" applyProtection="0">
      <alignment vertical="center"/>
    </xf>
    <xf numFmtId="4" fontId="35" fillId="34" borderId="10" applyNumberFormat="0" applyProtection="0">
      <alignment horizontal="left" vertical="center" indent="1"/>
    </xf>
    <xf numFmtId="0" fontId="35" fillId="34" borderId="10" applyNumberFormat="0" applyProtection="0">
      <alignment horizontal="left" vertical="top" indent="1"/>
    </xf>
    <xf numFmtId="4" fontId="35" fillId="35" borderId="12" applyNumberFormat="0" applyProtection="0">
      <alignment horizontal="right" vertical="center"/>
    </xf>
    <xf numFmtId="4" fontId="39" fillId="29" borderId="10" applyNumberFormat="0" applyProtection="0">
      <alignment horizontal="right" vertical="center"/>
    </xf>
    <xf numFmtId="4" fontId="35" fillId="35" borderId="10" applyNumberFormat="0" applyProtection="0">
      <alignment horizontal="left" vertical="center" indent="1"/>
    </xf>
    <xf numFmtId="0" fontId="35" fillId="18" borderId="10" applyNumberFormat="0" applyProtection="0">
      <alignment horizontal="center" vertical="top"/>
    </xf>
    <xf numFmtId="4" fontId="40" fillId="0" borderId="0" applyNumberFormat="0" applyProtection="0">
      <alignment horizontal="left" vertical="center"/>
    </xf>
    <xf numFmtId="4" fontId="41" fillId="29" borderId="10" applyNumberFormat="0" applyProtection="0">
      <alignment horizontal="right" vertical="center"/>
    </xf>
    <xf numFmtId="183" fontId="10" fillId="0" borderId="0" applyFill="0" applyBorder="0" applyAlignment="0" applyProtection="0">
      <alignment wrapText="1"/>
    </xf>
    <xf numFmtId="0" fontId="42" fillId="0" borderId="0" applyNumberFormat="0" applyFill="0" applyBorder="0">
      <alignment horizontal="center" wrapText="1"/>
    </xf>
    <xf numFmtId="0" fontId="42" fillId="0" borderId="0" applyNumberFormat="0" applyFill="0" applyBorder="0">
      <alignment horizontal="center" wrapText="1"/>
    </xf>
    <xf numFmtId="164" fontId="43" fillId="0" borderId="0">
      <alignment horizontal="left"/>
    </xf>
    <xf numFmtId="37" fontId="24" fillId="17" borderId="0" applyNumberFormat="0" applyBorder="0" applyAlignment="0" applyProtection="0"/>
    <xf numFmtId="37" fontId="24" fillId="0" borderId="0"/>
    <xf numFmtId="3" fontId="44" fillId="36" borderId="13" applyProtection="0"/>
    <xf numFmtId="0" fontId="10" fillId="0" borderId="0"/>
  </cellStyleXfs>
  <cellXfs count="375">
    <xf numFmtId="0" fontId="0" fillId="0" borderId="0" xfId="0"/>
    <xf numFmtId="3" fontId="3" fillId="0" borderId="0" xfId="0" applyNumberFormat="1" applyFont="1" applyAlignment="1">
      <alignment horizontal="centerContinuous"/>
    </xf>
    <xf numFmtId="164" fontId="4" fillId="0" borderId="0" xfId="4" applyFont="1" applyFill="1" applyAlignment="1">
      <alignment horizontal="centerContinuous"/>
    </xf>
    <xf numFmtId="164" fontId="4" fillId="0" borderId="0" xfId="4" applyFont="1" applyFill="1" applyBorder="1" applyAlignment="1">
      <alignment horizontal="centerContinuous"/>
    </xf>
    <xf numFmtId="164" fontId="5" fillId="0" borderId="0" xfId="4" applyFont="1" applyFill="1" applyAlignment="1">
      <alignment horizontal="centerContinuous"/>
    </xf>
    <xf numFmtId="164" fontId="2" fillId="0" borderId="0" xfId="4"/>
    <xf numFmtId="164" fontId="6" fillId="0" borderId="0" xfId="4" applyFont="1" applyFill="1" applyBorder="1" applyAlignment="1">
      <alignment horizontal="center"/>
    </xf>
    <xf numFmtId="164" fontId="7" fillId="0" borderId="0" xfId="4" applyFont="1" applyFill="1"/>
    <xf numFmtId="164" fontId="2" fillId="0" borderId="0" xfId="4" applyFill="1"/>
    <xf numFmtId="164" fontId="2" fillId="0" borderId="0" xfId="4" applyFill="1" applyBorder="1"/>
    <xf numFmtId="164" fontId="6" fillId="0" borderId="0" xfId="4" applyFont="1" applyFill="1" applyAlignment="1">
      <alignment horizontal="center"/>
    </xf>
    <xf numFmtId="164" fontId="6" fillId="0" borderId="2" xfId="5" applyFont="1" applyFill="1" applyBorder="1" applyAlignment="1">
      <alignment horizontal="centerContinuous"/>
    </xf>
    <xf numFmtId="164" fontId="2" fillId="0" borderId="0" xfId="4" applyFont="1" applyFill="1"/>
    <xf numFmtId="5" fontId="2" fillId="0" borderId="0" xfId="4" applyNumberFormat="1" applyFill="1" applyProtection="1"/>
    <xf numFmtId="164" fontId="8" fillId="0" borderId="3" xfId="4" quotePrefix="1" applyFont="1" applyFill="1" applyBorder="1" applyAlignment="1">
      <alignment horizontal="center"/>
    </xf>
    <xf numFmtId="164" fontId="6" fillId="0" borderId="3" xfId="4" applyFont="1" applyFill="1" applyBorder="1" applyAlignment="1">
      <alignment horizontal="center"/>
    </xf>
    <xf numFmtId="164" fontId="8" fillId="0" borderId="0" xfId="4" applyFont="1" applyFill="1" applyAlignment="1">
      <alignment horizontal="left"/>
    </xf>
    <xf numFmtId="164" fontId="7" fillId="0" borderId="0" xfId="4" applyFont="1" applyFill="1" applyAlignment="1">
      <alignment horizontal="left"/>
    </xf>
    <xf numFmtId="7" fontId="7" fillId="0" borderId="0" xfId="4" applyNumberFormat="1" applyFont="1" applyFill="1" applyProtection="1">
      <protection locked="0"/>
    </xf>
    <xf numFmtId="7" fontId="11" fillId="0" borderId="0" xfId="4" applyNumberFormat="1" applyFont="1" applyFill="1" applyBorder="1" applyProtection="1">
      <protection locked="0"/>
    </xf>
    <xf numFmtId="164" fontId="2" fillId="0" borderId="0" xfId="4" applyFont="1"/>
    <xf numFmtId="37" fontId="12" fillId="0" borderId="0" xfId="4" applyNumberFormat="1" applyFont="1" applyFill="1" applyBorder="1" applyProtection="1"/>
    <xf numFmtId="164" fontId="2" fillId="0" borderId="0" xfId="4" applyBorder="1"/>
    <xf numFmtId="37" fontId="12" fillId="0" borderId="0" xfId="4" applyNumberFormat="1" applyFont="1" applyFill="1" applyProtection="1">
      <protection locked="0"/>
    </xf>
    <xf numFmtId="168" fontId="7" fillId="0" borderId="0" xfId="4" applyNumberFormat="1" applyFont="1" applyFill="1" applyProtection="1">
      <protection locked="0"/>
    </xf>
    <xf numFmtId="0" fontId="0" fillId="0" borderId="0" xfId="0" applyBorder="1"/>
    <xf numFmtId="169" fontId="7" fillId="0" borderId="0" xfId="4" applyNumberFormat="1" applyFont="1" applyFill="1" applyProtection="1">
      <protection locked="0"/>
    </xf>
    <xf numFmtId="164" fontId="13" fillId="0" borderId="0" xfId="4" applyFont="1" applyFill="1" applyAlignment="1">
      <alignment horizontal="left"/>
    </xf>
    <xf numFmtId="164" fontId="14" fillId="0" borderId="0" xfId="4" applyFont="1" applyFill="1"/>
    <xf numFmtId="164" fontId="14" fillId="0" borderId="0" xfId="4" applyFont="1" applyFill="1" applyBorder="1"/>
    <xf numFmtId="5" fontId="14" fillId="0" borderId="0" xfId="4" applyNumberFormat="1" applyFont="1" applyFill="1" applyProtection="1"/>
    <xf numFmtId="7" fontId="2" fillId="0" borderId="0" xfId="4" applyNumberFormat="1" applyFont="1" applyFill="1" applyBorder="1" applyProtection="1"/>
    <xf numFmtId="7" fontId="11" fillId="0" borderId="0" xfId="4" applyNumberFormat="1" applyFont="1" applyFill="1" applyBorder="1" applyProtection="1"/>
    <xf numFmtId="7" fontId="7" fillId="0" borderId="0" xfId="4" applyNumberFormat="1" applyFont="1" applyFill="1" applyProtection="1"/>
    <xf numFmtId="5" fontId="2" fillId="0" borderId="0" xfId="4" applyNumberFormat="1" applyFill="1" applyBorder="1" applyProtection="1"/>
    <xf numFmtId="164" fontId="7" fillId="0" borderId="0" xfId="4" applyFont="1" applyFill="1" applyBorder="1" applyAlignment="1">
      <alignment horizontal="left"/>
    </xf>
    <xf numFmtId="37" fontId="12" fillId="0" borderId="3" xfId="4" applyNumberFormat="1" applyFont="1" applyFill="1" applyBorder="1" applyProtection="1"/>
    <xf numFmtId="5" fontId="2" fillId="0" borderId="3" xfId="4" applyNumberFormat="1" applyFill="1" applyBorder="1" applyProtection="1"/>
    <xf numFmtId="5" fontId="11" fillId="0" borderId="3" xfId="4" applyNumberFormat="1" applyFont="1" applyFill="1" applyBorder="1" applyProtection="1"/>
    <xf numFmtId="164" fontId="7" fillId="0" borderId="4" xfId="4" applyFont="1" applyFill="1" applyBorder="1"/>
    <xf numFmtId="5" fontId="2" fillId="0" borderId="4" xfId="4" applyNumberFormat="1" applyFill="1" applyBorder="1" applyProtection="1"/>
    <xf numFmtId="164" fontId="2" fillId="0" borderId="4" xfId="4" applyFill="1" applyBorder="1"/>
    <xf numFmtId="7" fontId="2" fillId="0" borderId="0" xfId="4" applyNumberFormat="1" applyFont="1" applyFill="1" applyBorder="1" applyProtection="1">
      <protection locked="0"/>
    </xf>
    <xf numFmtId="164" fontId="2" fillId="0" borderId="0" xfId="4" applyFont="1" applyFill="1" applyBorder="1"/>
    <xf numFmtId="164" fontId="7" fillId="0" borderId="0" xfId="4" applyFont="1" applyFill="1" applyBorder="1"/>
    <xf numFmtId="169" fontId="7" fillId="0" borderId="0" xfId="4" applyNumberFormat="1" applyFont="1" applyFill="1" applyBorder="1" applyProtection="1">
      <protection locked="0"/>
    </xf>
    <xf numFmtId="173" fontId="7" fillId="0" borderId="0" xfId="4" applyNumberFormat="1" applyFont="1" applyFill="1" applyProtection="1">
      <protection locked="0"/>
    </xf>
    <xf numFmtId="5" fontId="2" fillId="0" borderId="0" xfId="4" applyNumberFormat="1" applyFont="1" applyFill="1" applyProtection="1"/>
    <xf numFmtId="164" fontId="7" fillId="0" borderId="5" xfId="4" applyFont="1" applyFill="1" applyBorder="1"/>
    <xf numFmtId="5" fontId="2" fillId="0" borderId="5" xfId="4" applyNumberFormat="1" applyFill="1" applyBorder="1" applyProtection="1"/>
    <xf numFmtId="7" fontId="13" fillId="0" borderId="0" xfId="4" applyNumberFormat="1" applyFont="1" applyFill="1" applyProtection="1">
      <protection locked="0"/>
    </xf>
    <xf numFmtId="7" fontId="16" fillId="0" borderId="0" xfId="4" applyNumberFormat="1" applyFont="1" applyFill="1" applyBorder="1" applyProtection="1">
      <protection locked="0"/>
    </xf>
    <xf numFmtId="164" fontId="14" fillId="0" borderId="0" xfId="4" applyFont="1"/>
    <xf numFmtId="169" fontId="7" fillId="0" borderId="0" xfId="4" applyNumberFormat="1" applyFont="1" applyFill="1" applyProtection="1"/>
    <xf numFmtId="7" fontId="2" fillId="0" borderId="0" xfId="4" applyNumberFormat="1" applyFill="1" applyBorder="1" applyProtection="1"/>
    <xf numFmtId="37" fontId="12" fillId="0" borderId="0" xfId="4" applyNumberFormat="1" applyFont="1" applyFill="1" applyProtection="1"/>
    <xf numFmtId="164" fontId="12" fillId="0" borderId="0" xfId="4" applyFont="1" applyFill="1" applyBorder="1"/>
    <xf numFmtId="7" fontId="7" fillId="0" borderId="0" xfId="4" applyNumberFormat="1" applyFont="1" applyFill="1" applyBorder="1" applyProtection="1">
      <protection locked="0"/>
    </xf>
    <xf numFmtId="37" fontId="15" fillId="0" borderId="0" xfId="4" applyNumberFormat="1" applyFont="1" applyFill="1" applyProtection="1"/>
    <xf numFmtId="169" fontId="2" fillId="0" borderId="0" xfId="4" applyNumberFormat="1" applyFill="1" applyBorder="1" applyProtection="1"/>
    <xf numFmtId="173" fontId="7" fillId="0" borderId="0" xfId="4" applyNumberFormat="1" applyFont="1" applyFill="1" applyProtection="1"/>
    <xf numFmtId="5" fontId="2" fillId="0" borderId="0" xfId="4" applyNumberFormat="1" applyFont="1" applyFill="1" applyBorder="1" applyProtection="1"/>
    <xf numFmtId="37" fontId="12" fillId="0" borderId="2" xfId="4" applyNumberFormat="1" applyFont="1" applyFill="1" applyBorder="1" applyProtection="1">
      <protection locked="0"/>
    </xf>
    <xf numFmtId="164" fontId="7" fillId="0" borderId="2" xfId="4" applyFont="1" applyFill="1" applyBorder="1"/>
    <xf numFmtId="5" fontId="2" fillId="0" borderId="2" xfId="4" applyNumberFormat="1" applyFont="1" applyFill="1" applyBorder="1" applyProtection="1"/>
    <xf numFmtId="37" fontId="12" fillId="0" borderId="4" xfId="4" applyNumberFormat="1" applyFont="1" applyFill="1" applyBorder="1" applyProtection="1">
      <protection locked="0"/>
    </xf>
    <xf numFmtId="170" fontId="7" fillId="0" borderId="0" xfId="4" applyNumberFormat="1" applyFont="1" applyFill="1" applyProtection="1">
      <protection locked="0"/>
    </xf>
    <xf numFmtId="164" fontId="11" fillId="0" borderId="0" xfId="4" applyFont="1" applyFill="1" applyBorder="1"/>
    <xf numFmtId="164" fontId="7" fillId="0" borderId="0" xfId="4" applyNumberFormat="1" applyFont="1" applyFill="1" applyProtection="1">
      <protection locked="0"/>
    </xf>
    <xf numFmtId="164" fontId="7" fillId="0" borderId="3" xfId="4" applyFont="1" applyFill="1" applyBorder="1"/>
    <xf numFmtId="7" fontId="7" fillId="0" borderId="0" xfId="4" applyNumberFormat="1" applyFont="1" applyFill="1" applyBorder="1" applyProtection="1"/>
    <xf numFmtId="5" fontId="2" fillId="0" borderId="2" xfId="4" applyNumberFormat="1" applyFill="1" applyBorder="1" applyProtection="1"/>
    <xf numFmtId="164" fontId="7" fillId="0" borderId="0" xfId="4" applyFont="1"/>
    <xf numFmtId="5" fontId="7" fillId="0" borderId="0" xfId="4" applyNumberFormat="1" applyFont="1" applyFill="1" applyBorder="1" applyProtection="1"/>
    <xf numFmtId="5" fontId="7" fillId="0" borderId="0" xfId="4" applyNumberFormat="1" applyFont="1" applyFill="1" applyProtection="1"/>
    <xf numFmtId="5" fontId="7" fillId="0" borderId="3" xfId="4" applyNumberFormat="1" applyFont="1" applyFill="1" applyBorder="1" applyProtection="1"/>
    <xf numFmtId="165" fontId="7" fillId="0" borderId="5" xfId="1" applyNumberFormat="1" applyFont="1" applyFill="1" applyBorder="1"/>
    <xf numFmtId="164" fontId="18" fillId="0" borderId="0" xfId="4" applyFont="1" applyFill="1" applyAlignment="1">
      <alignment horizontal="left"/>
    </xf>
    <xf numFmtId="174" fontId="7" fillId="0" borderId="0" xfId="1" applyNumberFormat="1" applyFont="1" applyFill="1" applyBorder="1" applyProtection="1">
      <protection locked="0"/>
    </xf>
    <xf numFmtId="0" fontId="7" fillId="0" borderId="0" xfId="0" applyFont="1" applyBorder="1"/>
    <xf numFmtId="49" fontId="8" fillId="0" borderId="0" xfId="4" applyNumberFormat="1" applyFont="1" applyFill="1"/>
    <xf numFmtId="5" fontId="7" fillId="0" borderId="5" xfId="4" applyNumberFormat="1" applyFont="1" applyFill="1" applyBorder="1" applyProtection="1"/>
    <xf numFmtId="10" fontId="7" fillId="0" borderId="0" xfId="3" applyNumberFormat="1" applyFont="1" applyFill="1" applyBorder="1"/>
    <xf numFmtId="164" fontId="19" fillId="0" borderId="0" xfId="4" applyFont="1" applyFill="1" applyAlignment="1">
      <alignment horizontal="left"/>
    </xf>
    <xf numFmtId="174" fontId="7" fillId="0" borderId="0" xfId="1" applyNumberFormat="1" applyFont="1" applyFill="1" applyProtection="1">
      <protection locked="0"/>
    </xf>
    <xf numFmtId="174" fontId="11" fillId="0" borderId="0" xfId="1" applyNumberFormat="1" applyFont="1" applyFill="1" applyBorder="1" applyProtection="1">
      <protection locked="0"/>
    </xf>
    <xf numFmtId="174" fontId="2" fillId="0" borderId="0" xfId="1" applyNumberFormat="1" applyFont="1" applyFill="1" applyBorder="1" applyProtection="1">
      <protection locked="0"/>
    </xf>
    <xf numFmtId="179" fontId="7" fillId="0" borderId="0" xfId="4" applyNumberFormat="1" applyFont="1" applyFill="1" applyProtection="1">
      <protection locked="0"/>
    </xf>
    <xf numFmtId="179" fontId="11" fillId="0" borderId="0" xfId="4" applyNumberFormat="1" applyFont="1" applyFill="1" applyBorder="1" applyProtection="1">
      <protection locked="0"/>
    </xf>
    <xf numFmtId="179" fontId="2" fillId="0" borderId="0" xfId="4" applyNumberFormat="1" applyFill="1" applyBorder="1" applyProtection="1"/>
    <xf numFmtId="178" fontId="7" fillId="0" borderId="0" xfId="4" applyNumberFormat="1" applyFont="1" applyFill="1" applyProtection="1">
      <protection locked="0"/>
    </xf>
    <xf numFmtId="37" fontId="12" fillId="0" borderId="3" xfId="4" applyNumberFormat="1" applyFont="1" applyFill="1" applyBorder="1" applyProtection="1">
      <protection locked="0"/>
    </xf>
    <xf numFmtId="164" fontId="12" fillId="0" borderId="0" xfId="4" applyFont="1" applyFill="1"/>
    <xf numFmtId="37" fontId="12" fillId="0" borderId="2" xfId="4" applyNumberFormat="1" applyFont="1" applyFill="1" applyBorder="1" applyProtection="1"/>
    <xf numFmtId="173" fontId="7" fillId="0" borderId="2" xfId="4" applyNumberFormat="1" applyFont="1" applyFill="1" applyBorder="1" applyProtection="1"/>
    <xf numFmtId="173" fontId="7" fillId="0" borderId="0" xfId="4" applyNumberFormat="1" applyFont="1" applyFill="1" applyBorder="1" applyProtection="1"/>
    <xf numFmtId="37" fontId="12" fillId="0" borderId="5" xfId="4" applyNumberFormat="1" applyFont="1" applyFill="1" applyBorder="1" applyProtection="1"/>
    <xf numFmtId="5" fontId="2" fillId="0" borderId="0" xfId="4" applyNumberFormat="1" applyFont="1" applyFill="1" applyProtection="1">
      <protection locked="0"/>
    </xf>
    <xf numFmtId="164" fontId="7" fillId="0" borderId="0" xfId="4" applyNumberFormat="1" applyFont="1" applyFill="1" applyProtection="1"/>
    <xf numFmtId="164" fontId="2" fillId="0" borderId="0" xfId="4" applyNumberFormat="1" applyFill="1" applyBorder="1" applyProtection="1"/>
    <xf numFmtId="169" fontId="7" fillId="0" borderId="5" xfId="4" applyNumberFormat="1" applyFont="1" applyFill="1" applyBorder="1" applyProtection="1"/>
    <xf numFmtId="5" fontId="2" fillId="0" borderId="5" xfId="4" applyNumberFormat="1" applyFont="1" applyFill="1" applyBorder="1" applyProtection="1"/>
    <xf numFmtId="169" fontId="2" fillId="0" borderId="0" xfId="4" applyNumberFormat="1" applyFont="1" applyFill="1" applyProtection="1"/>
    <xf numFmtId="164" fontId="8" fillId="0" borderId="0" xfId="4" applyFont="1" applyFill="1" applyBorder="1" applyAlignment="1">
      <alignment horizontal="left"/>
    </xf>
    <xf numFmtId="174" fontId="7" fillId="0" borderId="0" xfId="1" applyNumberFormat="1" applyFont="1" applyFill="1" applyProtection="1"/>
    <xf numFmtId="174" fontId="11" fillId="0" borderId="0" xfId="1" applyNumberFormat="1" applyFont="1" applyFill="1" applyBorder="1" applyProtection="1"/>
    <xf numFmtId="169" fontId="7" fillId="0" borderId="4" xfId="4" applyNumberFormat="1" applyFont="1" applyFill="1" applyBorder="1" applyProtection="1"/>
    <xf numFmtId="10" fontId="11" fillId="0" borderId="0" xfId="3" applyNumberFormat="1" applyFont="1" applyFill="1" applyBorder="1"/>
    <xf numFmtId="164" fontId="11" fillId="0" borderId="0" xfId="4" applyNumberFormat="1" applyFont="1" applyFill="1" applyBorder="1" applyProtection="1">
      <protection locked="0"/>
    </xf>
    <xf numFmtId="164" fontId="7" fillId="0" borderId="0" xfId="4" applyNumberFormat="1" applyFont="1" applyFill="1" applyBorder="1" applyProtection="1">
      <protection locked="0"/>
    </xf>
    <xf numFmtId="165" fontId="2" fillId="0" borderId="0" xfId="1" applyNumberFormat="1" applyFont="1" applyFill="1" applyBorder="1"/>
    <xf numFmtId="179" fontId="7" fillId="0" borderId="0" xfId="4" applyNumberFormat="1" applyFont="1" applyFill="1" applyBorder="1" applyProtection="1"/>
    <xf numFmtId="165" fontId="2" fillId="0" borderId="5" xfId="1" applyNumberFormat="1" applyFont="1" applyFill="1" applyBorder="1"/>
    <xf numFmtId="172" fontId="2" fillId="0" borderId="0" xfId="1" applyNumberFormat="1" applyFont="1" applyFill="1"/>
    <xf numFmtId="172" fontId="2" fillId="0" borderId="4" xfId="1" applyNumberFormat="1" applyFont="1" applyFill="1" applyBorder="1"/>
    <xf numFmtId="164" fontId="6" fillId="0" borderId="0" xfId="6" applyFont="1" applyAlignment="1">
      <alignment horizontal="centerContinuous"/>
    </xf>
    <xf numFmtId="164" fontId="6" fillId="0" borderId="0" xfId="6" applyFont="1" applyFill="1" applyAlignment="1">
      <alignment horizontal="centerContinuous"/>
    </xf>
    <xf numFmtId="164" fontId="2" fillId="0" borderId="0" xfId="6" applyFill="1" applyAlignment="1">
      <alignment horizontal="centerContinuous"/>
    </xf>
    <xf numFmtId="164" fontId="2" fillId="0" borderId="0" xfId="6"/>
    <xf numFmtId="0" fontId="0" fillId="0" borderId="0" xfId="0" applyAlignment="1">
      <alignment horizontal="centerContinuous"/>
    </xf>
    <xf numFmtId="0" fontId="0" fillId="0" borderId="0" xfId="0" applyAlignment="1"/>
    <xf numFmtId="164" fontId="2" fillId="0" borderId="0" xfId="6" applyAlignment="1">
      <alignment horizontal="centerContinuous"/>
    </xf>
    <xf numFmtId="164" fontId="6" fillId="0" borderId="2" xfId="6" applyFont="1" applyFill="1" applyBorder="1" applyAlignment="1">
      <alignment horizontal="center"/>
    </xf>
    <xf numFmtId="164" fontId="6" fillId="0" borderId="2" xfId="7" applyFont="1" applyFill="1" applyBorder="1" applyAlignment="1">
      <alignment horizontal="centerContinuous"/>
    </xf>
    <xf numFmtId="164" fontId="6" fillId="0" borderId="0" xfId="6" applyFont="1" applyFill="1" applyAlignment="1">
      <alignment horizontal="center"/>
    </xf>
    <xf numFmtId="164" fontId="6" fillId="0" borderId="0" xfId="6" applyFont="1" applyAlignment="1">
      <alignment horizontal="center"/>
    </xf>
    <xf numFmtId="164" fontId="6" fillId="0" borderId="0" xfId="6" applyFont="1" applyFill="1" applyBorder="1" applyAlignment="1">
      <alignment horizontal="center"/>
    </xf>
    <xf numFmtId="164" fontId="6" fillId="0" borderId="0" xfId="6" applyFont="1" applyFill="1" applyBorder="1" applyAlignment="1">
      <alignment horizontal="centerContinuous"/>
    </xf>
    <xf numFmtId="164" fontId="6" fillId="0" borderId="0" xfId="6" applyFont="1"/>
    <xf numFmtId="164" fontId="6" fillId="0" borderId="2" xfId="6" applyFont="1" applyBorder="1" applyAlignment="1">
      <alignment horizontal="center"/>
    </xf>
    <xf numFmtId="164" fontId="6" fillId="0" borderId="2" xfId="6" quotePrefix="1" applyFont="1" applyFill="1" applyBorder="1" applyAlignment="1">
      <alignment horizontal="center"/>
    </xf>
    <xf numFmtId="37" fontId="6" fillId="0" borderId="0" xfId="6" quotePrefix="1" applyNumberFormat="1" applyFont="1" applyAlignment="1">
      <alignment horizontal="center"/>
    </xf>
    <xf numFmtId="37" fontId="6" fillId="0" borderId="0" xfId="6" quotePrefix="1" applyNumberFormat="1" applyFont="1" applyFill="1" applyAlignment="1">
      <alignment horizontal="center"/>
    </xf>
    <xf numFmtId="164" fontId="6" fillId="0" borderId="0" xfId="6" applyFont="1" applyFill="1"/>
    <xf numFmtId="164" fontId="2" fillId="0" borderId="0" xfId="6" applyFill="1"/>
    <xf numFmtId="164" fontId="2" fillId="0" borderId="0" xfId="6" applyFont="1" applyAlignment="1">
      <alignment horizontal="right"/>
    </xf>
    <xf numFmtId="5" fontId="2" fillId="0" borderId="0" xfId="2" applyNumberFormat="1" applyFont="1" applyFill="1"/>
    <xf numFmtId="5" fontId="2" fillId="0" borderId="0" xfId="6" applyNumberFormat="1" applyFill="1"/>
    <xf numFmtId="164" fontId="2" fillId="0" borderId="0" xfId="7" applyFill="1"/>
    <xf numFmtId="164" fontId="2" fillId="0" borderId="0" xfId="6" applyAlignment="1">
      <alignment horizontal="right"/>
    </xf>
    <xf numFmtId="164" fontId="2" fillId="0" borderId="0" xfId="6" applyFont="1"/>
    <xf numFmtId="164" fontId="2" fillId="0" borderId="0" xfId="6" applyBorder="1" applyAlignment="1">
      <alignment horizontal="right"/>
    </xf>
    <xf numFmtId="164" fontId="2" fillId="0" borderId="2" xfId="6" applyFill="1" applyBorder="1" applyAlignment="1">
      <alignment horizontal="right"/>
    </xf>
    <xf numFmtId="164" fontId="2" fillId="0" borderId="0" xfId="6" quotePrefix="1" applyAlignment="1">
      <alignment horizontal="right"/>
    </xf>
    <xf numFmtId="172" fontId="2" fillId="0" borderId="2" xfId="1" applyNumberFormat="1" applyFont="1" applyFill="1" applyBorder="1"/>
    <xf numFmtId="164" fontId="14" fillId="0" borderId="0" xfId="6" applyFont="1"/>
    <xf numFmtId="3" fontId="2" fillId="0" borderId="0" xfId="6" applyNumberFormat="1" applyFill="1"/>
    <xf numFmtId="5" fontId="2" fillId="0" borderId="0" xfId="6" applyNumberFormat="1" applyFill="1" applyBorder="1"/>
    <xf numFmtId="180" fontId="2" fillId="0" borderId="0" xfId="2" applyNumberFormat="1" applyFont="1" applyFill="1"/>
    <xf numFmtId="180" fontId="2" fillId="0" borderId="0" xfId="6" applyNumberFormat="1" applyFill="1"/>
    <xf numFmtId="172" fontId="2" fillId="0" borderId="2" xfId="1" applyNumberFormat="1" applyFont="1" applyFill="1" applyBorder="1" applyAlignment="1">
      <alignment horizontal="right"/>
    </xf>
    <xf numFmtId="164" fontId="2" fillId="0" borderId="0" xfId="6" applyBorder="1"/>
    <xf numFmtId="164" fontId="6" fillId="0" borderId="0" xfId="6" applyFont="1" applyAlignment="1">
      <alignment horizontal="left" wrapText="1"/>
    </xf>
    <xf numFmtId="164" fontId="2" fillId="0" borderId="0" xfId="7"/>
    <xf numFmtId="164" fontId="6" fillId="0" borderId="0" xfId="7" applyFont="1"/>
    <xf numFmtId="164" fontId="2" fillId="0" borderId="0" xfId="7" applyBorder="1"/>
    <xf numFmtId="10" fontId="12" fillId="0" borderId="0" xfId="4" applyNumberFormat="1" applyFont="1" applyFill="1" applyBorder="1"/>
    <xf numFmtId="164" fontId="6" fillId="0" borderId="2" xfId="6" applyFont="1" applyFill="1" applyBorder="1" applyAlignment="1">
      <alignment horizontal="centerContinuous"/>
    </xf>
    <xf numFmtId="165" fontId="2" fillId="0" borderId="0" xfId="2" applyNumberFormat="1" applyFont="1" applyFill="1"/>
    <xf numFmtId="165" fontId="2" fillId="0" borderId="0" xfId="6" applyNumberFormat="1" applyFill="1"/>
    <xf numFmtId="165" fontId="2" fillId="0" borderId="2" xfId="2" applyNumberFormat="1" applyFont="1" applyFill="1" applyBorder="1"/>
    <xf numFmtId="165" fontId="2" fillId="0" borderId="0" xfId="6" applyNumberFormat="1" applyFill="1" applyBorder="1"/>
    <xf numFmtId="165" fontId="2" fillId="0" borderId="0" xfId="2" applyNumberFormat="1" applyFont="1" applyFill="1" applyBorder="1"/>
    <xf numFmtId="165" fontId="2" fillId="0" borderId="4" xfId="2" applyNumberFormat="1" applyFont="1" applyFill="1" applyBorder="1"/>
    <xf numFmtId="165" fontId="2" fillId="0" borderId="0" xfId="7" applyNumberFormat="1" applyFill="1"/>
    <xf numFmtId="164" fontId="6" fillId="0" borderId="0" xfId="5" applyFont="1" applyFill="1" applyBorder="1" applyAlignment="1">
      <alignment horizontal="centerContinuous"/>
    </xf>
    <xf numFmtId="164" fontId="8" fillId="0" borderId="2" xfId="4" applyFont="1" applyFill="1" applyBorder="1" applyAlignment="1">
      <alignment horizontal="centerContinuous"/>
    </xf>
    <xf numFmtId="164" fontId="6" fillId="0" borderId="2" xfId="4" applyFont="1" applyFill="1" applyBorder="1" applyAlignment="1">
      <alignment horizontal="centerContinuous"/>
    </xf>
    <xf numFmtId="10" fontId="9" fillId="0" borderId="0" xfId="4" applyNumberFormat="1" applyFont="1" applyFill="1" applyBorder="1"/>
    <xf numFmtId="164" fontId="9" fillId="0" borderId="0" xfId="4" applyFont="1" applyFill="1" applyBorder="1"/>
    <xf numFmtId="168" fontId="9" fillId="0" borderId="0" xfId="4" applyNumberFormat="1" applyFont="1" applyFill="1" applyProtection="1">
      <protection locked="0"/>
    </xf>
    <xf numFmtId="10" fontId="7" fillId="0" borderId="0" xfId="4" applyNumberFormat="1" applyFont="1" applyFill="1" applyProtection="1">
      <protection locked="0"/>
    </xf>
    <xf numFmtId="164" fontId="9" fillId="0" borderId="0" xfId="4" applyNumberFormat="1" applyFont="1" applyFill="1" applyProtection="1">
      <protection locked="0"/>
    </xf>
    <xf numFmtId="10" fontId="7" fillId="0" borderId="2" xfId="4" applyNumberFormat="1" applyFont="1" applyFill="1" applyBorder="1" applyProtection="1">
      <protection locked="0"/>
    </xf>
    <xf numFmtId="169" fontId="9" fillId="0" borderId="0" xfId="4" applyNumberFormat="1" applyFont="1" applyFill="1" applyProtection="1"/>
    <xf numFmtId="5" fontId="7" fillId="0" borderId="2" xfId="4" applyNumberFormat="1" applyFont="1" applyFill="1" applyBorder="1" applyProtection="1"/>
    <xf numFmtId="164" fontId="2" fillId="0" borderId="7" xfId="4" applyNumberFormat="1" applyFill="1" applyBorder="1" applyProtection="1"/>
    <xf numFmtId="170" fontId="9" fillId="0" borderId="0" xfId="4" applyNumberFormat="1" applyFont="1" applyFill="1" applyProtection="1">
      <protection locked="0"/>
    </xf>
    <xf numFmtId="7" fontId="12" fillId="0" borderId="0" xfId="4" applyNumberFormat="1" applyFont="1" applyFill="1" applyProtection="1">
      <protection locked="0"/>
    </xf>
    <xf numFmtId="10" fontId="7" fillId="0" borderId="0" xfId="4" applyNumberFormat="1" applyFont="1" applyFill="1" applyProtection="1"/>
    <xf numFmtId="164" fontId="2" fillId="0" borderId="2" xfId="4" applyFill="1" applyBorder="1" applyAlignment="1">
      <alignment horizontal="centerContinuous"/>
    </xf>
    <xf numFmtId="164" fontId="6" fillId="0" borderId="14" xfId="6" quotePrefix="1" applyFont="1" applyFill="1" applyBorder="1" applyAlignment="1">
      <alignment horizontal="center"/>
    </xf>
    <xf numFmtId="164" fontId="6" fillId="0" borderId="14" xfId="6" applyFont="1" applyBorder="1" applyAlignment="1">
      <alignment horizontal="center"/>
    </xf>
    <xf numFmtId="165" fontId="2" fillId="0" borderId="14" xfId="1" applyNumberFormat="1" applyFont="1" applyFill="1" applyBorder="1"/>
    <xf numFmtId="165" fontId="2" fillId="0" borderId="15" xfId="2" applyNumberFormat="1" applyFont="1" applyFill="1" applyBorder="1"/>
    <xf numFmtId="165" fontId="2" fillId="0" borderId="16" xfId="2" applyNumberFormat="1" applyFont="1" applyFill="1" applyBorder="1"/>
    <xf numFmtId="10" fontId="2" fillId="0" borderId="0" xfId="6" applyNumberFormat="1" applyFill="1"/>
    <xf numFmtId="10" fontId="2" fillId="0" borderId="2" xfId="6" applyNumberFormat="1" applyFill="1" applyBorder="1"/>
    <xf numFmtId="10" fontId="2" fillId="0" borderId="14" xfId="6" applyNumberFormat="1" applyFill="1" applyBorder="1"/>
    <xf numFmtId="10" fontId="2" fillId="0" borderId="15" xfId="6" applyNumberFormat="1" applyFill="1" applyBorder="1"/>
    <xf numFmtId="10" fontId="2" fillId="0" borderId="16" xfId="6" applyNumberFormat="1" applyFill="1" applyBorder="1"/>
    <xf numFmtId="164" fontId="0" fillId="0" borderId="0" xfId="6" applyFont="1" applyFill="1" applyAlignment="1">
      <alignment horizontal="right"/>
    </xf>
    <xf numFmtId="164" fontId="2" fillId="0" borderId="22" xfId="6" applyFill="1" applyBorder="1"/>
    <xf numFmtId="164" fontId="2" fillId="0" borderId="2" xfId="6" applyFill="1" applyBorder="1"/>
    <xf numFmtId="10" fontId="9" fillId="0" borderId="2" xfId="6" applyNumberFormat="1" applyFont="1" applyBorder="1"/>
    <xf numFmtId="164" fontId="6" fillId="0" borderId="14" xfId="6" applyFont="1" applyFill="1" applyBorder="1" applyAlignment="1">
      <alignment horizontal="centerContinuous"/>
    </xf>
    <xf numFmtId="164" fontId="6" fillId="0" borderId="0" xfId="6" applyFont="1" applyFill="1" applyBorder="1" applyAlignment="1">
      <alignment horizontal="left"/>
    </xf>
    <xf numFmtId="164" fontId="6" fillId="0" borderId="2" xfId="6" applyFont="1" applyBorder="1"/>
    <xf numFmtId="167" fontId="6" fillId="0" borderId="2" xfId="6" applyNumberFormat="1" applyFont="1" applyFill="1" applyBorder="1" applyAlignment="1">
      <alignment horizontal="centerContinuous"/>
    </xf>
    <xf numFmtId="167" fontId="6" fillId="0" borderId="2" xfId="6" applyNumberFormat="1" applyFont="1" applyFill="1" applyBorder="1" applyAlignment="1">
      <alignment horizontal="center"/>
    </xf>
    <xf numFmtId="164" fontId="6" fillId="0" borderId="0" xfId="6" applyNumberFormat="1" applyFont="1" applyFill="1"/>
    <xf numFmtId="167" fontId="6" fillId="0" borderId="0" xfId="6" applyNumberFormat="1" applyFont="1" applyFill="1" applyAlignment="1">
      <alignment horizontal="center"/>
    </xf>
    <xf numFmtId="164" fontId="2" fillId="0" borderId="0" xfId="6" applyNumberFormat="1" applyFill="1"/>
    <xf numFmtId="167" fontId="2" fillId="0" borderId="0" xfId="6" applyNumberFormat="1" applyFill="1"/>
    <xf numFmtId="167" fontId="2" fillId="0" borderId="0" xfId="2" applyNumberFormat="1" applyFont="1" applyFill="1"/>
    <xf numFmtId="167" fontId="2" fillId="0" borderId="2" xfId="2" applyNumberFormat="1" applyFont="1" applyFill="1" applyBorder="1"/>
    <xf numFmtId="167" fontId="2" fillId="0" borderId="0" xfId="2" applyNumberFormat="1" applyFont="1" applyFill="1" applyBorder="1"/>
    <xf numFmtId="164" fontId="6" fillId="0" borderId="14" xfId="6" applyFont="1" applyFill="1" applyBorder="1" applyAlignment="1">
      <alignment horizontal="center"/>
    </xf>
    <xf numFmtId="167" fontId="2" fillId="0" borderId="14" xfId="1" applyNumberFormat="1" applyFont="1" applyFill="1" applyBorder="1"/>
    <xf numFmtId="167" fontId="2" fillId="0" borderId="15" xfId="2" applyNumberFormat="1" applyFont="1" applyFill="1" applyBorder="1"/>
    <xf numFmtId="167" fontId="2" fillId="0" borderId="16" xfId="2" applyNumberFormat="1" applyFont="1" applyFill="1" applyBorder="1"/>
    <xf numFmtId="164" fontId="45" fillId="0" borderId="0" xfId="4" applyFont="1" applyFill="1" applyAlignment="1">
      <alignment horizontal="centerContinuous"/>
    </xf>
    <xf numFmtId="164" fontId="12" fillId="0" borderId="4" xfId="4" applyFont="1" applyFill="1" applyBorder="1"/>
    <xf numFmtId="164" fontId="45" fillId="0" borderId="0" xfId="4" applyFont="1" applyFill="1" applyBorder="1" applyAlignment="1">
      <alignment horizontal="centerContinuous"/>
    </xf>
    <xf numFmtId="37" fontId="46" fillId="0" borderId="0" xfId="4" applyNumberFormat="1" applyFont="1" applyFill="1" applyProtection="1"/>
    <xf numFmtId="164" fontId="46" fillId="0" borderId="0" xfId="4" applyFont="1" applyFill="1" applyBorder="1" applyAlignment="1">
      <alignment horizontal="center"/>
    </xf>
    <xf numFmtId="164" fontId="46" fillId="0" borderId="0" xfId="4" applyFont="1" applyFill="1" applyAlignment="1">
      <alignment horizontal="center"/>
    </xf>
    <xf numFmtId="37" fontId="46" fillId="0" borderId="0" xfId="4" applyNumberFormat="1" applyFont="1" applyFill="1" applyAlignment="1" applyProtection="1">
      <alignment horizontal="center"/>
    </xf>
    <xf numFmtId="164" fontId="46" fillId="0" borderId="2" xfId="5" applyFont="1" applyFill="1" applyBorder="1" applyAlignment="1">
      <alignment horizontal="centerContinuous"/>
    </xf>
    <xf numFmtId="37" fontId="46" fillId="0" borderId="0" xfId="4" applyNumberFormat="1" applyFont="1" applyFill="1" applyBorder="1" applyAlignment="1" applyProtection="1">
      <alignment horizontal="center"/>
    </xf>
    <xf numFmtId="37" fontId="46" fillId="0" borderId="2" xfId="4" quotePrefix="1" applyNumberFormat="1" applyFont="1" applyFill="1" applyBorder="1" applyAlignment="1" applyProtection="1">
      <alignment horizontal="center"/>
    </xf>
    <xf numFmtId="164" fontId="46" fillId="0" borderId="3" xfId="4" quotePrefix="1" applyFont="1" applyFill="1" applyBorder="1" applyAlignment="1">
      <alignment horizontal="center"/>
    </xf>
    <xf numFmtId="164" fontId="46" fillId="0" borderId="3" xfId="4" applyFont="1" applyFill="1" applyBorder="1" applyAlignment="1">
      <alignment horizontal="center"/>
    </xf>
    <xf numFmtId="166" fontId="12" fillId="0" borderId="0" xfId="4" applyNumberFormat="1" applyFont="1" applyFill="1" applyProtection="1"/>
    <xf numFmtId="7" fontId="12" fillId="0" borderId="0" xfId="4" applyNumberFormat="1" applyFont="1" applyFill="1" applyBorder="1" applyProtection="1">
      <protection locked="0"/>
    </xf>
    <xf numFmtId="5" fontId="12" fillId="0" borderId="0" xfId="4" applyNumberFormat="1" applyFont="1" applyFill="1" applyProtection="1"/>
    <xf numFmtId="168" fontId="12" fillId="0" borderId="0" xfId="4" applyNumberFormat="1" applyFont="1" applyFill="1" applyProtection="1">
      <protection locked="0"/>
    </xf>
    <xf numFmtId="0" fontId="12" fillId="0" borderId="0" xfId="0" applyFont="1" applyBorder="1"/>
    <xf numFmtId="169" fontId="12" fillId="0" borderId="0" xfId="4" applyNumberFormat="1" applyFont="1" applyFill="1" applyProtection="1">
      <protection locked="0"/>
    </xf>
    <xf numFmtId="164" fontId="15" fillId="0" borderId="0" xfId="4" applyFont="1" applyFill="1" applyBorder="1"/>
    <xf numFmtId="7" fontId="12" fillId="0" borderId="0" xfId="4" applyNumberFormat="1" applyFont="1" applyFill="1" applyBorder="1" applyProtection="1"/>
    <xf numFmtId="5" fontId="12" fillId="0" borderId="0" xfId="4" applyNumberFormat="1" applyFont="1" applyFill="1" applyBorder="1" applyProtection="1"/>
    <xf numFmtId="5" fontId="12" fillId="0" borderId="3" xfId="4" applyNumberFormat="1" applyFont="1" applyFill="1" applyBorder="1" applyProtection="1"/>
    <xf numFmtId="37" fontId="12" fillId="0" borderId="4" xfId="4" applyNumberFormat="1" applyFont="1" applyFill="1" applyBorder="1" applyProtection="1"/>
    <xf numFmtId="5" fontId="12" fillId="0" borderId="4" xfId="4" applyNumberFormat="1" applyFont="1" applyFill="1" applyBorder="1" applyProtection="1"/>
    <xf numFmtId="171" fontId="12" fillId="0" borderId="0" xfId="4" applyNumberFormat="1" applyFont="1" applyFill="1" applyProtection="1"/>
    <xf numFmtId="169" fontId="12" fillId="0" borderId="0" xfId="4" applyNumberFormat="1" applyFont="1" applyFill="1" applyBorder="1" applyProtection="1">
      <protection locked="0"/>
    </xf>
    <xf numFmtId="173" fontId="12" fillId="0" borderId="0" xfId="4" applyNumberFormat="1" applyFont="1" applyFill="1" applyProtection="1">
      <protection locked="0"/>
    </xf>
    <xf numFmtId="164" fontId="12" fillId="0" borderId="5" xfId="4" applyFont="1" applyFill="1" applyBorder="1"/>
    <xf numFmtId="5" fontId="12" fillId="0" borderId="5" xfId="4" applyNumberFormat="1" applyFont="1" applyFill="1" applyBorder="1" applyProtection="1"/>
    <xf numFmtId="7" fontId="15" fillId="0" borderId="0" xfId="4" applyNumberFormat="1" applyFont="1" applyFill="1" applyProtection="1">
      <protection locked="0"/>
    </xf>
    <xf numFmtId="7" fontId="15" fillId="0" borderId="0" xfId="4" applyNumberFormat="1" applyFont="1" applyFill="1" applyBorder="1" applyProtection="1">
      <protection locked="0"/>
    </xf>
    <xf numFmtId="5" fontId="15" fillId="0" borderId="0" xfId="4" applyNumberFormat="1" applyFont="1" applyFill="1" applyProtection="1"/>
    <xf numFmtId="169" fontId="12" fillId="0" borderId="0" xfId="4" applyNumberFormat="1" applyFont="1" applyFill="1" applyProtection="1"/>
    <xf numFmtId="169" fontId="12" fillId="0" borderId="0" xfId="4" applyNumberFormat="1" applyFont="1" applyFill="1" applyBorder="1" applyProtection="1"/>
    <xf numFmtId="164" fontId="12" fillId="0" borderId="2" xfId="4" applyFont="1" applyFill="1" applyBorder="1"/>
    <xf numFmtId="5" fontId="12" fillId="0" borderId="2" xfId="4" applyNumberFormat="1" applyFont="1" applyFill="1" applyBorder="1" applyProtection="1"/>
    <xf numFmtId="170" fontId="12" fillId="0" borderId="0" xfId="4" applyNumberFormat="1" applyFont="1" applyFill="1" applyProtection="1">
      <protection locked="0"/>
    </xf>
    <xf numFmtId="164" fontId="12" fillId="0" borderId="0" xfId="4" applyNumberFormat="1" applyFont="1" applyFill="1" applyProtection="1">
      <protection locked="0"/>
    </xf>
    <xf numFmtId="175" fontId="12" fillId="0" borderId="0" xfId="4" applyNumberFormat="1" applyFont="1" applyFill="1" applyProtection="1">
      <protection locked="0"/>
    </xf>
    <xf numFmtId="7" fontId="12" fillId="0" borderId="0" xfId="4" applyNumberFormat="1" applyFont="1" applyFill="1" applyProtection="1"/>
    <xf numFmtId="37" fontId="12" fillId="0" borderId="6" xfId="4" applyNumberFormat="1" applyFont="1" applyFill="1" applyBorder="1" applyProtection="1"/>
    <xf numFmtId="164" fontId="12" fillId="0" borderId="3" xfId="4" applyFont="1" applyFill="1" applyBorder="1"/>
    <xf numFmtId="37" fontId="12" fillId="0" borderId="5" xfId="4" applyNumberFormat="1" applyFont="1" applyFill="1" applyBorder="1" applyProtection="1">
      <protection locked="0"/>
    </xf>
    <xf numFmtId="165" fontId="12" fillId="0" borderId="5" xfId="1" applyNumberFormat="1" applyFont="1" applyFill="1" applyBorder="1"/>
    <xf numFmtId="165" fontId="12" fillId="0" borderId="0" xfId="1" applyNumberFormat="1" applyFont="1" applyFill="1" applyBorder="1"/>
    <xf numFmtId="174" fontId="12" fillId="0" borderId="0" xfId="1" applyNumberFormat="1" applyFont="1" applyFill="1" applyBorder="1" applyProtection="1">
      <protection locked="0"/>
    </xf>
    <xf numFmtId="37" fontId="12" fillId="0" borderId="0" xfId="4" applyNumberFormat="1" applyFont="1" applyFill="1" applyBorder="1" applyProtection="1">
      <protection locked="0"/>
    </xf>
    <xf numFmtId="177" fontId="12" fillId="0" borderId="0" xfId="4" applyNumberFormat="1" applyFont="1" applyFill="1" applyProtection="1"/>
    <xf numFmtId="174" fontId="12" fillId="0" borderId="0" xfId="1" applyNumberFormat="1" applyFont="1" applyFill="1" applyProtection="1">
      <protection locked="0"/>
    </xf>
    <xf numFmtId="39" fontId="12" fillId="0" borderId="0" xfId="4" applyNumberFormat="1" applyFont="1" applyFill="1" applyProtection="1"/>
    <xf numFmtId="179" fontId="12" fillId="0" borderId="0" xfId="4" applyNumberFormat="1" applyFont="1" applyFill="1" applyProtection="1">
      <protection locked="0"/>
    </xf>
    <xf numFmtId="179" fontId="12" fillId="0" borderId="0" xfId="4" applyNumberFormat="1" applyFont="1" applyFill="1" applyBorder="1" applyProtection="1">
      <protection locked="0"/>
    </xf>
    <xf numFmtId="179" fontId="12" fillId="0" borderId="0" xfId="4" applyNumberFormat="1" applyFont="1" applyFill="1" applyBorder="1" applyProtection="1"/>
    <xf numFmtId="178" fontId="12" fillId="0" borderId="0" xfId="4" applyNumberFormat="1" applyFont="1" applyFill="1" applyProtection="1">
      <protection locked="0"/>
    </xf>
    <xf numFmtId="173" fontId="12" fillId="0" borderId="0" xfId="4" applyNumberFormat="1" applyFont="1" applyFill="1" applyProtection="1"/>
    <xf numFmtId="173" fontId="12" fillId="0" borderId="2" xfId="4" applyNumberFormat="1" applyFont="1" applyFill="1" applyBorder="1" applyProtection="1"/>
    <xf numFmtId="173" fontId="12" fillId="0" borderId="0" xfId="4" applyNumberFormat="1" applyFont="1" applyFill="1" applyBorder="1" applyProtection="1"/>
    <xf numFmtId="5" fontId="12" fillId="0" borderId="0" xfId="4" applyNumberFormat="1" applyFont="1" applyFill="1" applyProtection="1">
      <protection locked="0"/>
    </xf>
    <xf numFmtId="164" fontId="12" fillId="0" borderId="0" xfId="4" applyNumberFormat="1" applyFont="1" applyFill="1" applyProtection="1"/>
    <xf numFmtId="164" fontId="12" fillId="0" borderId="0" xfId="4" applyNumberFormat="1" applyFont="1" applyFill="1" applyBorder="1" applyProtection="1"/>
    <xf numFmtId="169" fontId="12" fillId="0" borderId="5" xfId="4" applyNumberFormat="1" applyFont="1" applyFill="1" applyBorder="1" applyProtection="1"/>
    <xf numFmtId="174" fontId="12" fillId="0" borderId="0" xfId="1" applyNumberFormat="1" applyFont="1" applyFill="1" applyProtection="1"/>
    <xf numFmtId="174" fontId="12" fillId="0" borderId="0" xfId="1" applyNumberFormat="1" applyFont="1" applyFill="1" applyBorder="1" applyProtection="1"/>
    <xf numFmtId="37" fontId="12" fillId="0" borderId="7" xfId="4" applyNumberFormat="1" applyFont="1" applyFill="1" applyBorder="1" applyProtection="1"/>
    <xf numFmtId="169" fontId="12" fillId="0" borderId="4" xfId="4" applyNumberFormat="1" applyFont="1" applyFill="1" applyBorder="1" applyProtection="1"/>
    <xf numFmtId="5" fontId="12" fillId="0" borderId="7" xfId="4" applyNumberFormat="1" applyFont="1" applyFill="1" applyBorder="1" applyProtection="1"/>
    <xf numFmtId="10" fontId="12" fillId="0" borderId="0" xfId="3" applyNumberFormat="1" applyFont="1" applyFill="1" applyBorder="1"/>
    <xf numFmtId="164" fontId="12" fillId="0" borderId="0" xfId="4" applyNumberFormat="1" applyFont="1" applyFill="1" applyBorder="1" applyProtection="1">
      <protection locked="0"/>
    </xf>
    <xf numFmtId="172" fontId="12" fillId="0" borderId="0" xfId="1" applyNumberFormat="1" applyFont="1" applyFill="1"/>
    <xf numFmtId="172" fontId="12" fillId="0" borderId="4" xfId="1" applyNumberFormat="1" applyFont="1" applyFill="1" applyBorder="1"/>
    <xf numFmtId="3" fontId="47" fillId="0" borderId="0" xfId="219" applyNumberFormat="1" applyFont="1" applyAlignment="1">
      <alignment horizontal="centerContinuous"/>
    </xf>
    <xf numFmtId="0" fontId="48" fillId="0" borderId="0" xfId="219" applyFont="1" applyAlignment="1">
      <alignment horizontal="centerContinuous"/>
    </xf>
    <xf numFmtId="182" fontId="48" fillId="0" borderId="0" xfId="219" applyNumberFormat="1" applyFont="1" applyAlignment="1">
      <alignment horizontal="centerContinuous"/>
    </xf>
    <xf numFmtId="7" fontId="48" fillId="0" borderId="0" xfId="219" applyNumberFormat="1" applyFont="1" applyAlignment="1">
      <alignment horizontal="centerContinuous"/>
    </xf>
    <xf numFmtId="0" fontId="48" fillId="0" borderId="0" xfId="219" applyFont="1" applyBorder="1" applyAlignment="1">
      <alignment horizontal="centerContinuous"/>
    </xf>
    <xf numFmtId="0" fontId="48" fillId="0" borderId="0" xfId="219" applyFont="1" applyBorder="1"/>
    <xf numFmtId="164" fontId="6" fillId="0" borderId="0" xfId="4" applyFont="1" applyFill="1" applyBorder="1" applyAlignment="1">
      <alignment horizontal="right"/>
    </xf>
    <xf numFmtId="9" fontId="6" fillId="0" borderId="0" xfId="4" applyNumberFormat="1" applyFont="1" applyBorder="1" applyAlignment="1">
      <alignment horizontal="right"/>
    </xf>
    <xf numFmtId="0" fontId="48" fillId="0" borderId="0" xfId="219" applyFont="1"/>
    <xf numFmtId="10" fontId="6" fillId="0" borderId="0" xfId="4" applyNumberFormat="1" applyFont="1" applyBorder="1" applyAlignment="1">
      <alignment horizontal="right"/>
    </xf>
    <xf numFmtId="164" fontId="6" fillId="0" borderId="0" xfId="4" applyFont="1" applyFill="1" applyBorder="1"/>
    <xf numFmtId="165" fontId="6" fillId="0" borderId="0" xfId="4" applyNumberFormat="1" applyFont="1" applyBorder="1"/>
    <xf numFmtId="3" fontId="48" fillId="0" borderId="0" xfId="219" applyNumberFormat="1" applyFont="1"/>
    <xf numFmtId="182" fontId="48" fillId="0" borderId="0" xfId="219" applyNumberFormat="1" applyFont="1"/>
    <xf numFmtId="182" fontId="48" fillId="0" borderId="0" xfId="219" applyNumberFormat="1" applyFont="1" applyBorder="1" applyAlignment="1">
      <alignment horizontal="centerContinuous"/>
    </xf>
    <xf numFmtId="182" fontId="49" fillId="0" borderId="2" xfId="219" applyNumberFormat="1" applyFont="1" applyBorder="1" applyAlignment="1">
      <alignment horizontal="centerContinuous"/>
    </xf>
    <xf numFmtId="0" fontId="10" fillId="0" borderId="2" xfId="219" applyBorder="1" applyAlignment="1">
      <alignment horizontal="centerContinuous"/>
    </xf>
    <xf numFmtId="182" fontId="48" fillId="0" borderId="2" xfId="219" applyNumberFormat="1" applyFont="1" applyBorder="1" applyAlignment="1">
      <alignment horizontal="centerContinuous"/>
    </xf>
    <xf numFmtId="0" fontId="48" fillId="0" borderId="2" xfId="219" applyFont="1" applyBorder="1" applyAlignment="1">
      <alignment horizontal="centerContinuous"/>
    </xf>
    <xf numFmtId="7" fontId="48" fillId="0" borderId="2" xfId="219" applyNumberFormat="1" applyFont="1" applyBorder="1" applyAlignment="1">
      <alignment horizontal="centerContinuous"/>
    </xf>
    <xf numFmtId="7" fontId="48" fillId="0" borderId="0" xfId="219" applyNumberFormat="1" applyFont="1"/>
    <xf numFmtId="3" fontId="51" fillId="0" borderId="0" xfId="219" applyNumberFormat="1" applyFont="1" applyAlignment="1">
      <alignment horizontal="center"/>
    </xf>
    <xf numFmtId="182" fontId="48" fillId="0" borderId="14" xfId="219" applyNumberFormat="1" applyFont="1" applyBorder="1" applyAlignment="1">
      <alignment horizontal="centerContinuous"/>
    </xf>
    <xf numFmtId="182" fontId="48" fillId="0" borderId="14" xfId="219" applyNumberFormat="1" applyFont="1" applyBorder="1" applyAlignment="1">
      <alignment horizontal="centerContinuous" wrapText="1"/>
    </xf>
    <xf numFmtId="7" fontId="48" fillId="0" borderId="2" xfId="219" applyNumberFormat="1" applyFont="1" applyBorder="1" applyAlignment="1">
      <alignment horizontal="center"/>
    </xf>
    <xf numFmtId="0" fontId="48" fillId="0" borderId="2" xfId="219" applyFont="1" applyBorder="1" applyAlignment="1">
      <alignment horizontal="center"/>
    </xf>
    <xf numFmtId="0" fontId="48" fillId="0" borderId="0" xfId="219" applyFont="1" applyAlignment="1">
      <alignment horizontal="center"/>
    </xf>
    <xf numFmtId="7" fontId="48" fillId="0" borderId="0" xfId="3" applyNumberFormat="1" applyFont="1"/>
    <xf numFmtId="167" fontId="48" fillId="0" borderId="0" xfId="3" applyNumberFormat="1" applyFont="1"/>
    <xf numFmtId="0" fontId="49" fillId="0" borderId="17" xfId="219" applyFont="1" applyBorder="1"/>
    <xf numFmtId="0" fontId="49" fillId="0" borderId="14" xfId="219" applyFont="1" applyBorder="1" applyAlignment="1">
      <alignment horizontal="center"/>
    </xf>
    <xf numFmtId="0" fontId="49" fillId="0" borderId="18" xfId="219" applyFont="1" applyBorder="1" applyAlignment="1">
      <alignment horizontal="center"/>
    </xf>
    <xf numFmtId="39" fontId="48" fillId="0" borderId="0" xfId="219" applyNumberFormat="1" applyFont="1"/>
    <xf numFmtId="0" fontId="52" fillId="0" borderId="24" xfId="219" applyFont="1" applyBorder="1"/>
    <xf numFmtId="0" fontId="48" fillId="0" borderId="25" xfId="219" applyFont="1" applyBorder="1"/>
    <xf numFmtId="0" fontId="48" fillId="0" borderId="24" xfId="219" applyFont="1" applyBorder="1"/>
    <xf numFmtId="7" fontId="53" fillId="0" borderId="0" xfId="219" applyNumberFormat="1" applyFont="1" applyBorder="1"/>
    <xf numFmtId="7" fontId="53" fillId="0" borderId="25" xfId="219" applyNumberFormat="1" applyFont="1" applyBorder="1"/>
    <xf numFmtId="167" fontId="48" fillId="0" borderId="0" xfId="219" applyNumberFormat="1" applyFont="1"/>
    <xf numFmtId="170" fontId="53" fillId="0" borderId="0" xfId="219" applyNumberFormat="1" applyFont="1" applyBorder="1"/>
    <xf numFmtId="170" fontId="53" fillId="0" borderId="25" xfId="219" applyNumberFormat="1" applyFont="1" applyBorder="1"/>
    <xf numFmtId="10" fontId="53" fillId="0" borderId="0" xfId="3" applyNumberFormat="1" applyFont="1" applyBorder="1"/>
    <xf numFmtId="10" fontId="53" fillId="0" borderId="25" xfId="3" applyNumberFormat="1" applyFont="1" applyBorder="1"/>
    <xf numFmtId="7" fontId="48" fillId="0" borderId="0" xfId="219" applyNumberFormat="1" applyFont="1" applyBorder="1"/>
    <xf numFmtId="7" fontId="48" fillId="0" borderId="25" xfId="219" applyNumberFormat="1" applyFont="1" applyBorder="1"/>
    <xf numFmtId="175" fontId="54" fillId="0" borderId="0" xfId="219" applyNumberFormat="1" applyFont="1" applyBorder="1"/>
    <xf numFmtId="175" fontId="54" fillId="0" borderId="25" xfId="219" applyNumberFormat="1" applyFont="1" applyBorder="1"/>
    <xf numFmtId="0" fontId="48" fillId="0" borderId="22" xfId="219" applyFont="1" applyBorder="1"/>
    <xf numFmtId="10" fontId="48" fillId="0" borderId="2" xfId="3" applyNumberFormat="1" applyFont="1" applyBorder="1"/>
    <xf numFmtId="10" fontId="48" fillId="0" borderId="23" xfId="3" applyNumberFormat="1" applyFont="1" applyBorder="1"/>
    <xf numFmtId="10" fontId="54" fillId="0" borderId="0" xfId="219" applyNumberFormat="1" applyFont="1" applyBorder="1"/>
    <xf numFmtId="10" fontId="54" fillId="0" borderId="0" xfId="219" applyNumberFormat="1" applyFont="1"/>
    <xf numFmtId="10" fontId="48" fillId="0" borderId="0" xfId="219" applyNumberFormat="1" applyFont="1" applyBorder="1"/>
    <xf numFmtId="10" fontId="48" fillId="0" borderId="0" xfId="219" applyNumberFormat="1" applyFont="1"/>
    <xf numFmtId="9" fontId="48" fillId="0" borderId="0" xfId="219" applyNumberFormat="1" applyFont="1"/>
    <xf numFmtId="3" fontId="50" fillId="0" borderId="0" xfId="219" applyNumberFormat="1" applyFont="1"/>
    <xf numFmtId="182" fontId="48" fillId="0" borderId="0" xfId="219" applyNumberFormat="1" applyFont="1" applyBorder="1"/>
    <xf numFmtId="0" fontId="48" fillId="0" borderId="19" xfId="219" applyFont="1" applyBorder="1" applyAlignment="1">
      <alignment horizontal="centerContinuous"/>
    </xf>
    <xf numFmtId="0" fontId="48" fillId="0" borderId="20" xfId="219" applyFont="1" applyBorder="1" applyAlignment="1">
      <alignment horizontal="centerContinuous"/>
    </xf>
    <xf numFmtId="0" fontId="48" fillId="0" borderId="17" xfId="219" applyFont="1" applyBorder="1" applyAlignment="1">
      <alignment horizontal="centerContinuous"/>
    </xf>
    <xf numFmtId="0" fontId="48" fillId="0" borderId="18" xfId="219" applyFont="1" applyBorder="1" applyAlignment="1">
      <alignment horizontal="centerContinuous"/>
    </xf>
    <xf numFmtId="0" fontId="48" fillId="0" borderId="17" xfId="219" applyFont="1" applyBorder="1" applyAlignment="1">
      <alignment horizontal="center"/>
    </xf>
    <xf numFmtId="0" fontId="48" fillId="0" borderId="22" xfId="219" applyFont="1" applyBorder="1" applyAlignment="1">
      <alignment horizontal="center"/>
    </xf>
    <xf numFmtId="0" fontId="48" fillId="0" borderId="26" xfId="219" applyFont="1" applyBorder="1" applyAlignment="1">
      <alignment horizontal="center"/>
    </xf>
    <xf numFmtId="0" fontId="48" fillId="0" borderId="27" xfId="219" applyFont="1" applyBorder="1"/>
    <xf numFmtId="1" fontId="48" fillId="0" borderId="0" xfId="219" applyNumberFormat="1" applyFont="1" applyBorder="1"/>
    <xf numFmtId="182" fontId="48" fillId="0" borderId="24" xfId="219" applyNumberFormat="1" applyFont="1" applyBorder="1"/>
    <xf numFmtId="167" fontId="48" fillId="0" borderId="27" xfId="3" applyNumberFormat="1" applyFont="1" applyBorder="1"/>
    <xf numFmtId="0" fontId="48" fillId="0" borderId="28" xfId="219" applyFont="1" applyBorder="1"/>
    <xf numFmtId="167" fontId="48" fillId="0" borderId="28" xfId="3" applyNumberFormat="1" applyFont="1" applyBorder="1"/>
    <xf numFmtId="0" fontId="48" fillId="0" borderId="26" xfId="219" applyFont="1" applyBorder="1"/>
    <xf numFmtId="3" fontId="48" fillId="0" borderId="2" xfId="219" applyNumberFormat="1" applyFont="1" applyBorder="1"/>
    <xf numFmtId="182" fontId="48" fillId="0" borderId="22" xfId="219" applyNumberFormat="1" applyFont="1" applyBorder="1"/>
    <xf numFmtId="167" fontId="48" fillId="0" borderId="26" xfId="3" applyNumberFormat="1" applyFont="1" applyBorder="1"/>
    <xf numFmtId="3" fontId="48" fillId="0" borderId="0" xfId="219" applyNumberFormat="1" applyFont="1" applyBorder="1"/>
    <xf numFmtId="182" fontId="49" fillId="0" borderId="0" xfId="219" applyNumberFormat="1" applyFont="1" applyBorder="1" applyAlignment="1">
      <alignment horizontal="centerContinuous"/>
    </xf>
    <xf numFmtId="0" fontId="10" fillId="0" borderId="0" xfId="219" applyBorder="1" applyAlignment="1">
      <alignment horizontal="centerContinuous"/>
    </xf>
    <xf numFmtId="7" fontId="48" fillId="0" borderId="0" xfId="219" applyNumberFormat="1" applyFont="1" applyBorder="1" applyAlignment="1">
      <alignment horizontal="centerContinuous"/>
    </xf>
    <xf numFmtId="3" fontId="51" fillId="0" borderId="0" xfId="219" applyNumberFormat="1" applyFont="1" applyBorder="1" applyAlignment="1">
      <alignment horizontal="center"/>
    </xf>
    <xf numFmtId="182" fontId="48" fillId="0" borderId="0" xfId="219" applyNumberFormat="1" applyFont="1" applyBorder="1" applyAlignment="1">
      <alignment horizontal="centerContinuous" wrapText="1"/>
    </xf>
    <xf numFmtId="7" fontId="48" fillId="0" borderId="0" xfId="219" applyNumberFormat="1" applyFont="1" applyBorder="1" applyAlignment="1">
      <alignment horizontal="center"/>
    </xf>
    <xf numFmtId="0" fontId="48" fillId="0" borderId="0" xfId="219" applyFont="1" applyBorder="1" applyAlignment="1">
      <alignment horizontal="center"/>
    </xf>
    <xf numFmtId="167" fontId="48" fillId="0" borderId="0" xfId="3" applyNumberFormat="1" applyFont="1" applyBorder="1"/>
    <xf numFmtId="7" fontId="48" fillId="0" borderId="0" xfId="3" applyNumberFormat="1" applyFont="1" applyBorder="1"/>
    <xf numFmtId="164" fontId="55" fillId="0" borderId="0" xfId="6" applyFont="1" applyAlignment="1">
      <alignment horizontal="centerContinuous"/>
    </xf>
    <xf numFmtId="3" fontId="56" fillId="0" borderId="0" xfId="0" applyNumberFormat="1" applyFont="1" applyAlignment="1">
      <alignment horizontal="centerContinuous"/>
    </xf>
    <xf numFmtId="164" fontId="0" fillId="0" borderId="0" xfId="4" applyFont="1"/>
    <xf numFmtId="164" fontId="2" fillId="0" borderId="23" xfId="6" applyFill="1" applyBorder="1"/>
    <xf numFmtId="164" fontId="2" fillId="0" borderId="0" xfId="6" applyFill="1" applyBorder="1"/>
    <xf numFmtId="165" fontId="0" fillId="0" borderId="19" xfId="7" applyNumberFormat="1" applyFont="1" applyFill="1" applyBorder="1" applyAlignment="1">
      <alignment horizontal="centerContinuous"/>
    </xf>
    <xf numFmtId="165" fontId="2" fillId="0" borderId="20" xfId="7" applyNumberFormat="1" applyFill="1" applyBorder="1" applyAlignment="1">
      <alignment horizontal="centerContinuous"/>
    </xf>
    <xf numFmtId="165" fontId="2" fillId="0" borderId="21" xfId="7" applyNumberFormat="1" applyFill="1" applyBorder="1" applyAlignment="1">
      <alignment horizontal="centerContinuous"/>
    </xf>
    <xf numFmtId="165" fontId="9" fillId="0" borderId="0" xfId="6" applyNumberFormat="1" applyFont="1" applyFill="1"/>
    <xf numFmtId="7" fontId="49" fillId="0" borderId="0" xfId="219" applyNumberFormat="1" applyFont="1" applyAlignment="1">
      <alignment horizontal="center"/>
    </xf>
  </cellXfs>
  <cellStyles count="220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Comma" xfId="1" builtinId="3"/>
    <cellStyle name="Comma 11" xfId="20"/>
    <cellStyle name="Comma 19" xfId="21"/>
    <cellStyle name="Comma 2" xfId="22"/>
    <cellStyle name="Comma 2 10" xfId="23"/>
    <cellStyle name="Comma 2 11" xfId="24"/>
    <cellStyle name="Comma 2 12" xfId="25"/>
    <cellStyle name="Comma 2 13" xfId="26"/>
    <cellStyle name="Comma 2 14" xfId="27"/>
    <cellStyle name="Comma 2 15" xfId="28"/>
    <cellStyle name="Comma 2 16" xfId="29"/>
    <cellStyle name="Comma 2 17" xfId="30"/>
    <cellStyle name="Comma 2 18" xfId="31"/>
    <cellStyle name="Comma 2 19" xfId="32"/>
    <cellStyle name="Comma 2 2" xfId="33"/>
    <cellStyle name="Comma 2 20" xfId="34"/>
    <cellStyle name="Comma 2 21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21" xfId="43"/>
    <cellStyle name="Comma 22" xfId="44"/>
    <cellStyle name="Comma 3" xfId="45"/>
    <cellStyle name="Comma 4" xfId="46"/>
    <cellStyle name="Comma 5" xfId="47"/>
    <cellStyle name="Comma 6" xfId="48"/>
    <cellStyle name="Comma 6 2" xfId="49"/>
    <cellStyle name="Currency" xfId="2" builtinId="4"/>
    <cellStyle name="Currency 2" xfId="50"/>
    <cellStyle name="Currency 2 10" xfId="51"/>
    <cellStyle name="Currency 2 11" xfId="52"/>
    <cellStyle name="Currency 2 12" xfId="53"/>
    <cellStyle name="Currency 2 13" xfId="54"/>
    <cellStyle name="Currency 2 14" xfId="55"/>
    <cellStyle name="Currency 2 15" xfId="56"/>
    <cellStyle name="Currency 2 16" xfId="57"/>
    <cellStyle name="Currency 2 17" xfId="58"/>
    <cellStyle name="Currency 2 18" xfId="59"/>
    <cellStyle name="Currency 2 19" xfId="60"/>
    <cellStyle name="Currency 2 2" xfId="61"/>
    <cellStyle name="Currency 2 20" xfId="62"/>
    <cellStyle name="Currency 2 21" xfId="63"/>
    <cellStyle name="Currency 2 3" xfId="64"/>
    <cellStyle name="Currency 2 4" xfId="65"/>
    <cellStyle name="Currency 2 5" xfId="66"/>
    <cellStyle name="Currency 2 6" xfId="67"/>
    <cellStyle name="Currency 2 7" xfId="68"/>
    <cellStyle name="Currency 2 8" xfId="69"/>
    <cellStyle name="Currency 2 9" xfId="70"/>
    <cellStyle name="Currency 3" xfId="71"/>
    <cellStyle name="Currency 4" xfId="72"/>
    <cellStyle name="Currency 5" xfId="73"/>
    <cellStyle name="Currency No Comma" xfId="74"/>
    <cellStyle name="General" xfId="75"/>
    <cellStyle name="MCP" xfId="76"/>
    <cellStyle name="nONE" xfId="77"/>
    <cellStyle name="noninput" xfId="78"/>
    <cellStyle name="Normal" xfId="0" builtinId="0"/>
    <cellStyle name="Normal 10" xfId="79"/>
    <cellStyle name="Normal 11" xfId="80"/>
    <cellStyle name="Normal 11 2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10" xfId="91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101"/>
    <cellStyle name="Normal 2 20" xfId="102"/>
    <cellStyle name="Normal 2 21" xfId="103"/>
    <cellStyle name="Normal 2 22" xfId="104"/>
    <cellStyle name="Normal 2 3" xfId="105"/>
    <cellStyle name="Normal 2 4" xfId="106"/>
    <cellStyle name="Normal 2 5" xfId="107"/>
    <cellStyle name="Normal 2 6" xfId="108"/>
    <cellStyle name="Normal 2 7" xfId="109"/>
    <cellStyle name="Normal 2 8" xfId="110"/>
    <cellStyle name="Normal 2 9" xfId="111"/>
    <cellStyle name="Normal 2_Book1" xfId="112"/>
    <cellStyle name="Normal 20" xfId="113"/>
    <cellStyle name="Normal 21" xfId="114"/>
    <cellStyle name="Normal 22" xfId="115"/>
    <cellStyle name="Normal 23" xfId="116"/>
    <cellStyle name="Normal 24" xfId="117"/>
    <cellStyle name="Normal 25" xfId="118"/>
    <cellStyle name="Normal 25 2" xfId="119"/>
    <cellStyle name="Normal 26" xfId="120"/>
    <cellStyle name="Normal 27" xfId="121"/>
    <cellStyle name="Normal 28" xfId="122"/>
    <cellStyle name="Normal 29" xfId="123"/>
    <cellStyle name="Normal 3" xfId="124"/>
    <cellStyle name="Normal 3 2" xfId="125"/>
    <cellStyle name="Normal 30" xfId="126"/>
    <cellStyle name="Normal 31" xfId="127"/>
    <cellStyle name="Normal 32" xfId="128"/>
    <cellStyle name="Normal 4" xfId="129"/>
    <cellStyle name="Normal 4 2" xfId="130"/>
    <cellStyle name="Normal 5" xfId="131"/>
    <cellStyle name="Normal 5 2" xfId="132"/>
    <cellStyle name="Normal 6" xfId="133"/>
    <cellStyle name="Normal 7" xfId="134"/>
    <cellStyle name="Normal 8" xfId="135"/>
    <cellStyle name="Normal 9" xfId="136"/>
    <cellStyle name="Normal_Bill Comp Settlement with New DSM" xfId="219"/>
    <cellStyle name="Normal_Blocking 03-01" xfId="6"/>
    <cellStyle name="Normal_Blocking 03-01 2" xfId="7"/>
    <cellStyle name="Normal_Blocking 09-00" xfId="4"/>
    <cellStyle name="Normal_Blocking 09-00 2" xfId="5"/>
    <cellStyle name="Note 2" xfId="137"/>
    <cellStyle name="Note 3" xfId="138"/>
    <cellStyle name="Password" xfId="139"/>
    <cellStyle name="Percent" xfId="3" builtinId="5"/>
    <cellStyle name="Percent 10" xfId="140"/>
    <cellStyle name="Percent 11" xfId="141"/>
    <cellStyle name="Percent 13" xfId="142"/>
    <cellStyle name="Percent 19" xfId="143"/>
    <cellStyle name="Percent 2" xfId="144"/>
    <cellStyle name="Percent 2 10" xfId="145"/>
    <cellStyle name="Percent 2 11" xfId="146"/>
    <cellStyle name="Percent 2 12" xfId="147"/>
    <cellStyle name="Percent 2 13" xfId="148"/>
    <cellStyle name="Percent 2 14" xfId="149"/>
    <cellStyle name="Percent 2 15" xfId="150"/>
    <cellStyle name="Percent 2 16" xfId="151"/>
    <cellStyle name="Percent 2 17" xfId="152"/>
    <cellStyle name="Percent 2 18" xfId="153"/>
    <cellStyle name="Percent 2 19" xfId="154"/>
    <cellStyle name="Percent 2 2" xfId="155"/>
    <cellStyle name="Percent 2 20" xfId="156"/>
    <cellStyle name="Percent 2 21" xfId="157"/>
    <cellStyle name="Percent 2 3" xfId="158"/>
    <cellStyle name="Percent 2 4" xfId="159"/>
    <cellStyle name="Percent 2 5" xfId="160"/>
    <cellStyle name="Percent 2 6" xfId="161"/>
    <cellStyle name="Percent 2 7" xfId="162"/>
    <cellStyle name="Percent 2 8" xfId="163"/>
    <cellStyle name="Percent 2 9" xfId="164"/>
    <cellStyle name="Percent 22" xfId="165"/>
    <cellStyle name="Percent 3" xfId="166"/>
    <cellStyle name="Percent 4" xfId="167"/>
    <cellStyle name="Percent 5" xfId="168"/>
    <cellStyle name="Percent 6" xfId="169"/>
    <cellStyle name="Percent 7" xfId="170"/>
    <cellStyle name="Percent 8" xfId="171"/>
    <cellStyle name="Percent 8 2" xfId="172"/>
    <cellStyle name="Percent 9" xfId="173"/>
    <cellStyle name="SAPBEXaggData" xfId="174"/>
    <cellStyle name="SAPBEXaggDataEmph" xfId="175"/>
    <cellStyle name="SAPBEXaggItem" xfId="176"/>
    <cellStyle name="SAPBEXaggItemX" xfId="177"/>
    <cellStyle name="SAPBEXchaText" xfId="178"/>
    <cellStyle name="SAPBEXexcBad7" xfId="179"/>
    <cellStyle name="SAPBEXexcBad8" xfId="180"/>
    <cellStyle name="SAPBEXexcBad9" xfId="181"/>
    <cellStyle name="SAPBEXexcCritical4" xfId="182"/>
    <cellStyle name="SAPBEXexcCritical5" xfId="183"/>
    <cellStyle name="SAPBEXexcCritical6" xfId="184"/>
    <cellStyle name="SAPBEXexcGood1" xfId="185"/>
    <cellStyle name="SAPBEXexcGood2" xfId="186"/>
    <cellStyle name="SAPBEXexcGood3" xfId="187"/>
    <cellStyle name="SAPBEXfilterDrill" xfId="188"/>
    <cellStyle name="SAPBEXfilterItem" xfId="189"/>
    <cellStyle name="SAPBEXfilterText" xfId="190"/>
    <cellStyle name="SAPBEXformats" xfId="191"/>
    <cellStyle name="SAPBEXheaderItem" xfId="192"/>
    <cellStyle name="SAPBEXheaderText" xfId="193"/>
    <cellStyle name="SAPBEXHLevel0" xfId="194"/>
    <cellStyle name="SAPBEXHLevel0X" xfId="195"/>
    <cellStyle name="SAPBEXHLevel1" xfId="196"/>
    <cellStyle name="SAPBEXHLevel1X" xfId="197"/>
    <cellStyle name="SAPBEXHLevel2" xfId="198"/>
    <cellStyle name="SAPBEXHLevel2X" xfId="199"/>
    <cellStyle name="SAPBEXHLevel3" xfId="200"/>
    <cellStyle name="SAPBEXHLevel3X" xfId="201"/>
    <cellStyle name="SAPBEXresData" xfId="202"/>
    <cellStyle name="SAPBEXresDataEmph" xfId="203"/>
    <cellStyle name="SAPBEXresItem" xfId="204"/>
    <cellStyle name="SAPBEXresItemX" xfId="205"/>
    <cellStyle name="SAPBEXstdData" xfId="206"/>
    <cellStyle name="SAPBEXstdDataEmph" xfId="207"/>
    <cellStyle name="SAPBEXstdItem" xfId="208"/>
    <cellStyle name="SAPBEXstdItemX" xfId="209"/>
    <cellStyle name="SAPBEXtitle" xfId="210"/>
    <cellStyle name="SAPBEXundefined" xfId="211"/>
    <cellStyle name="Style 27" xfId="212"/>
    <cellStyle name="Style 35" xfId="213"/>
    <cellStyle name="Style 36" xfId="214"/>
    <cellStyle name="TRANSMISSION RELIABILITY PORTION OF PROJECT" xfId="215"/>
    <cellStyle name="Unprot" xfId="216"/>
    <cellStyle name="Unprot$" xfId="217"/>
    <cellStyle name="Unprotect" xfId="21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yoming%209-2001%20Test%20Period\Embedded%20Study\COS_WyoComb%20Sep-2001-%20(facilities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Utah%202012\Settlement\COS%20UT%20May%202013_NS%20-%20Rebuttal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2-035-xx%20(GRC%202012)\Filed%20(direct)\Testimony%20and%20Exhibits\Exhibit%20RMP__(CCP-3)\Tabs%202,%204%20&amp;%205\COS%20UT%20May%20201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yoming%20rate%20case\Combined\WYCombined%2098%20COS%20OCT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6">
          <cell r="C6" t="str">
            <v>12 Months Ended June 2015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136909.22123423105</v>
          </cell>
        </row>
        <row r="133">
          <cell r="F133">
            <v>2965395.6200000006</v>
          </cell>
          <cell r="Y133">
            <v>81138.986383682306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13182.346273948735</v>
          </cell>
        </row>
        <row r="157">
          <cell r="Y157">
            <v>113543.07617334869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-1637.3830614395697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264919.13842461101</v>
          </cell>
        </row>
        <row r="712">
          <cell r="Y712">
            <v>0</v>
          </cell>
        </row>
        <row r="714">
          <cell r="Y714">
            <v>-74434.371594294629</v>
          </cell>
        </row>
        <row r="718">
          <cell r="Y718">
            <v>0</v>
          </cell>
        </row>
        <row r="720">
          <cell r="Y720">
            <v>48921.670441520371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30">
          <cell r="Y730">
            <v>34344.019441151198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-50241.176353957679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766">
          <cell r="Y766">
            <v>20471.853744598346</v>
          </cell>
        </row>
        <row r="772">
          <cell r="Y772">
            <v>126941.44367036701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103658.14784089878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48313.215439681102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5320.2297617159957</v>
          </cell>
        </row>
        <row r="856">
          <cell r="Y856">
            <v>0</v>
          </cell>
        </row>
        <row r="858">
          <cell r="Y858">
            <v>5332.0642420716376</v>
          </cell>
        </row>
        <row r="862">
          <cell r="Y862">
            <v>0</v>
          </cell>
        </row>
        <row r="865">
          <cell r="Y865">
            <v>73840.538027119866</v>
          </cell>
        </row>
        <row r="866">
          <cell r="Y866">
            <v>0</v>
          </cell>
        </row>
        <row r="867">
          <cell r="Y867">
            <v>69449.931649974911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5454.2988235499279</v>
          </cell>
        </row>
        <row r="909">
          <cell r="Y909">
            <v>0</v>
          </cell>
        </row>
        <row r="917">
          <cell r="Y917">
            <v>521687.76045183762</v>
          </cell>
        </row>
        <row r="922">
          <cell r="Y922">
            <v>-32976.673805536921</v>
          </cell>
        </row>
        <row r="927">
          <cell r="Y927">
            <v>0</v>
          </cell>
        </row>
        <row r="958">
          <cell r="Y958">
            <v>-141264.13589881599</v>
          </cell>
        </row>
        <row r="978">
          <cell r="Y978">
            <v>1163748.5598319599</v>
          </cell>
        </row>
        <row r="993">
          <cell r="Y993">
            <v>0</v>
          </cell>
        </row>
        <row r="1012">
          <cell r="Y1012">
            <v>-1283907.9731074879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1133972.5501254315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91035.970883532151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19126.403460160356</v>
          </cell>
        </row>
        <row r="1490">
          <cell r="Y1490">
            <v>916781.59437653772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334640.79904754309</v>
          </cell>
        </row>
        <row r="1499">
          <cell r="Y1499">
            <v>63604.375514638006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201534.63847736822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717930.06374907773</v>
          </cell>
        </row>
        <row r="1512">
          <cell r="Y1512">
            <v>23929.276352349676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76428.696751286727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1089.1554576581761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279894.49663525552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12879.165329750234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170540.37812343103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17799.505918575982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979786.78470997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4710.5444313250064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1326201.0579544804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210384.05460223794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19415.454003372866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9974.7478413755543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19957.353963900623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49073.631241914722</v>
          </cell>
        </row>
        <row r="1650">
          <cell r="Y1650">
            <v>0</v>
          </cell>
        </row>
        <row r="1651">
          <cell r="Y1651">
            <v>1257455.516793136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-662.52286852741815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326413.26256160415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65798.273227175989</v>
          </cell>
        </row>
        <row r="1779">
          <cell r="Y1779">
            <v>0</v>
          </cell>
        </row>
        <row r="1781">
          <cell r="Y1781">
            <v>926068.27192841598</v>
          </cell>
        </row>
        <row r="1789">
          <cell r="Y1789">
            <v>0</v>
          </cell>
        </row>
        <row r="1792">
          <cell r="Y1792">
            <v>572.24541349241588</v>
          </cell>
        </row>
        <row r="1810">
          <cell r="Y1810">
            <v>0</v>
          </cell>
        </row>
        <row r="1811">
          <cell r="Y1811">
            <v>90729.14118398659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-14128347.326182602</v>
          </cell>
        </row>
        <row r="1852">
          <cell r="F1852">
            <v>-14128347.326182602</v>
          </cell>
          <cell r="Y1852">
            <v>-113686.10150402026</v>
          </cell>
        </row>
        <row r="1857">
          <cell r="F1857">
            <v>-1584587.3700411466</v>
          </cell>
          <cell r="Y1857">
            <v>-11321.987036251756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-11241834.580766117</v>
          </cell>
          <cell r="Y1889">
            <v>-85576.804255439041</v>
          </cell>
        </row>
        <row r="1893">
          <cell r="Y1893">
            <v>0</v>
          </cell>
        </row>
        <row r="1894">
          <cell r="Y1894">
            <v>984066.40217769565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984066.40217769565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263170.14222449891</v>
          </cell>
        </row>
        <row r="1928">
          <cell r="Y1928">
            <v>-14599399.154843062</v>
          </cell>
        </row>
        <row r="1934">
          <cell r="Y1934">
            <v>-1827867.3615424694</v>
          </cell>
        </row>
        <row r="1941">
          <cell r="Y1941">
            <v>-1903659.7839767339</v>
          </cell>
        </row>
        <row r="1954">
          <cell r="Y1954">
            <v>-649.69803156790942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-1535375.4419455857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-265605.01997269789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-51822.289726703915</v>
          </cell>
        </row>
        <row r="2129">
          <cell r="Y2129">
            <v>0</v>
          </cell>
        </row>
        <row r="2130">
          <cell r="Y2130">
            <v>-52150.516922938688</v>
          </cell>
        </row>
        <row r="2136">
          <cell r="Y2136">
            <v>0</v>
          </cell>
        </row>
        <row r="2140">
          <cell r="Y2140">
            <v>-1409.9473238885153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-980047.33501070621</v>
          </cell>
        </row>
        <row r="2161">
          <cell r="Y2161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0.75882088818077265</v>
          </cell>
          <cell r="C11">
            <v>0.12337075483162184</v>
          </cell>
          <cell r="D11">
            <v>0.11780835698760554</v>
          </cell>
          <cell r="E11">
            <v>0.11515328785426338</v>
          </cell>
          <cell r="F11">
            <v>2.6550691333421641E-3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0.53371384791183885</v>
          </cell>
          <cell r="C12">
            <v>0.16887985745628267</v>
          </cell>
          <cell r="D12">
            <v>0.29740629463187851</v>
          </cell>
          <cell r="E12">
            <v>0.29441056625444706</v>
          </cell>
          <cell r="F12">
            <v>2.9957283774314251E-3</v>
          </cell>
          <cell r="G12">
            <v>0</v>
          </cell>
          <cell r="H12">
            <v>0.99999999999999978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0.73250077119628121</v>
          </cell>
          <cell r="C14">
            <v>0.11019224885049846</v>
          </cell>
          <cell r="D14">
            <v>0.15730697995322038</v>
          </cell>
          <cell r="E14">
            <v>0.12157824138762542</v>
          </cell>
          <cell r="F14">
            <v>2.8838011669803289E-2</v>
          </cell>
          <cell r="G14">
            <v>6.890726895791675E-3</v>
          </cell>
          <cell r="H14">
            <v>0.99999999999999989</v>
          </cell>
        </row>
        <row r="15">
          <cell r="A15" t="str">
            <v>DDS2</v>
          </cell>
          <cell r="B15">
            <v>0.83456161209763025</v>
          </cell>
          <cell r="C15">
            <v>1.0253594452768628E-2</v>
          </cell>
          <cell r="D15">
            <v>0.15518479344960112</v>
          </cell>
          <cell r="E15">
            <v>1.2905826099431392E-2</v>
          </cell>
          <cell r="F15">
            <v>0.20647002462443814</v>
          </cell>
          <cell r="G15">
            <v>-6.4191057274268409E-2</v>
          </cell>
          <cell r="H15">
            <v>1.0000000000000002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-0.23797004355754175</v>
          </cell>
          <cell r="C25">
            <v>0.48560201710091305</v>
          </cell>
          <cell r="D25">
            <v>0.75236802645662859</v>
          </cell>
          <cell r="E25">
            <v>0.73258846312407089</v>
          </cell>
          <cell r="F25">
            <v>-2.3087618034978396E-2</v>
          </cell>
          <cell r="G25">
            <v>4.286718136753611E-2</v>
          </cell>
          <cell r="H25">
            <v>1</v>
          </cell>
        </row>
        <row r="26">
          <cell r="A26" t="str">
            <v>G</v>
          </cell>
          <cell r="B26">
            <v>0.22743138322097689</v>
          </cell>
          <cell r="C26">
            <v>0.30456016948854858</v>
          </cell>
          <cell r="D26">
            <v>0.46800844729047453</v>
          </cell>
          <cell r="E26">
            <v>0.44471785536162151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0.49930951392258588</v>
          </cell>
          <cell r="C29">
            <v>0.21864326640496584</v>
          </cell>
          <cell r="D29">
            <v>0.28204721967244845</v>
          </cell>
          <cell r="E29">
            <v>0.27544769835281174</v>
          </cell>
          <cell r="F29">
            <v>6.5995213196366831E-3</v>
          </cell>
          <cell r="G29">
            <v>0</v>
          </cell>
          <cell r="H29">
            <v>1.0000000000000002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0.2690794931539684</v>
          </cell>
          <cell r="D31">
            <v>0.73092050684603171</v>
          </cell>
          <cell r="E31">
            <v>0.73092050684603171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I</v>
          </cell>
          <cell r="B32">
            <v>0.54516588138706712</v>
          </cell>
          <cell r="C32">
            <v>0.15020955628463989</v>
          </cell>
          <cell r="D32">
            <v>0.30462456232829299</v>
          </cell>
          <cell r="E32">
            <v>0.14625986668652755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0.19852720524362477</v>
          </cell>
          <cell r="C33">
            <v>0.31438305620608642</v>
          </cell>
          <cell r="D33">
            <v>0.48708973855028881</v>
          </cell>
          <cell r="E33">
            <v>0.47428427368003251</v>
          </cell>
          <cell r="F33">
            <v>-1.4947128847792465E-2</v>
          </cell>
          <cell r="G33">
            <v>2.7752593718048762E-2</v>
          </cell>
          <cell r="H33">
            <v>1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1.7378370977639623E-2</v>
          </cell>
          <cell r="C37">
            <v>0.45155116817028357</v>
          </cell>
          <cell r="D37">
            <v>0.53107046085207688</v>
          </cell>
          <cell r="E37">
            <v>0.53107046085207688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0.68467944895178634</v>
          </cell>
          <cell r="C50">
            <v>0.31532055104821366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0.50472109618805916</v>
          </cell>
          <cell r="C51">
            <v>0.2324429839676467</v>
          </cell>
          <cell r="D51">
            <v>0.26283591984429405</v>
          </cell>
          <cell r="E51">
            <v>0.26283591984429405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0.67646114072238506</v>
          </cell>
          <cell r="C52">
            <v>0.14682403407767025</v>
          </cell>
          <cell r="D52">
            <v>0.17671482519994458</v>
          </cell>
          <cell r="E52">
            <v>0.15017777992413581</v>
          </cell>
          <cell r="F52">
            <v>1.9421573542126917E-2</v>
          </cell>
          <cell r="G52">
            <v>7.115471733681847E-3</v>
          </cell>
          <cell r="H52">
            <v>0.99999999999999978</v>
          </cell>
        </row>
        <row r="53">
          <cell r="A53" t="str">
            <v>SCHMA</v>
          </cell>
          <cell r="B53">
            <v>0.49568394801805704</v>
          </cell>
          <cell r="C53">
            <v>0.19702439905419841</v>
          </cell>
          <cell r="D53">
            <v>0.30729165292774446</v>
          </cell>
          <cell r="E53">
            <v>0.30003519341003915</v>
          </cell>
          <cell r="F53">
            <v>4.9339464289818212E-3</v>
          </cell>
          <cell r="G53">
            <v>2.3225130887234717E-3</v>
          </cell>
          <cell r="H53">
            <v>1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0.85703588802615649</v>
          </cell>
          <cell r="C55">
            <v>7.634091720767909E-2</v>
          </cell>
          <cell r="D55">
            <v>6.6623194766164337E-2</v>
          </cell>
          <cell r="E55">
            <v>7.7549490353594278E-2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0.5185853975623872</v>
          </cell>
          <cell r="C56">
            <v>0.25460395351573167</v>
          </cell>
          <cell r="D56">
            <v>0.22681064892188108</v>
          </cell>
          <cell r="E56">
            <v>0.26153901857619039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0.49742746673342875</v>
          </cell>
          <cell r="C57">
            <v>0.19644210272217674</v>
          </cell>
          <cell r="D57">
            <v>0.30613043054439443</v>
          </cell>
          <cell r="E57">
            <v>0.29896170259891236</v>
          </cell>
          <cell r="F57">
            <v>4.8574209541626771E-3</v>
          </cell>
          <cell r="G57">
            <v>2.3113069913193889E-3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1.1222336933550532</v>
          </cell>
          <cell r="C60">
            <v>0.15032397811618309</v>
          </cell>
          <cell r="D60">
            <v>-0.27255767147123605</v>
          </cell>
          <cell r="E60">
            <v>-0.38581093646311743</v>
          </cell>
          <cell r="F60">
            <v>2.1321586223432389E-4</v>
          </cell>
          <cell r="G60">
            <v>0.11304004912964703</v>
          </cell>
          <cell r="H60">
            <v>1.0000000000000002</v>
          </cell>
        </row>
        <row r="61">
          <cell r="A61" t="str">
            <v>SCHMAT-SNP</v>
          </cell>
          <cell r="B61">
            <v>0.50347962256978651</v>
          </cell>
          <cell r="C61">
            <v>0.21977114503294218</v>
          </cell>
          <cell r="D61">
            <v>0.27674923239727123</v>
          </cell>
          <cell r="E61">
            <v>0.27662272094283602</v>
          </cell>
          <cell r="F61">
            <v>1.2651145443517978E-4</v>
          </cell>
          <cell r="G61">
            <v>0</v>
          </cell>
          <cell r="H61">
            <v>0.99999999999999967</v>
          </cell>
        </row>
        <row r="62">
          <cell r="A62" t="str">
            <v>SCHMAT-SO</v>
          </cell>
          <cell r="B62">
            <v>0.4898338935961169</v>
          </cell>
          <cell r="C62">
            <v>0.18798762714563713</v>
          </cell>
          <cell r="D62">
            <v>0.32217847925824583</v>
          </cell>
          <cell r="E62">
            <v>0.29044819951094619</v>
          </cell>
          <cell r="F62">
            <v>3.1730279747299632E-2</v>
          </cell>
          <cell r="G62">
            <v>0</v>
          </cell>
          <cell r="H62">
            <v>0.99999999999999978</v>
          </cell>
        </row>
        <row r="63">
          <cell r="A63" t="str">
            <v>SCHMD</v>
          </cell>
          <cell r="B63">
            <v>0.62374965785684211</v>
          </cell>
          <cell r="C63">
            <v>0.16845780255570031</v>
          </cell>
          <cell r="D63">
            <v>0.20779253958745697</v>
          </cell>
          <cell r="E63">
            <v>0.19467999412704468</v>
          </cell>
          <cell r="F63">
            <v>-6.5698854467502107E-4</v>
          </cell>
          <cell r="G63">
            <v>1.376953400508733E-2</v>
          </cell>
          <cell r="H63">
            <v>0.99999999999999956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0.92209329047469424</v>
          </cell>
          <cell r="C65">
            <v>0.10538276099100162</v>
          </cell>
          <cell r="D65">
            <v>-2.7476051465695983E-2</v>
          </cell>
          <cell r="E65">
            <v>3.1900509001053394E-2</v>
          </cell>
          <cell r="F65">
            <v>-5.9376560466749377E-2</v>
          </cell>
          <cell r="G65">
            <v>0</v>
          </cell>
          <cell r="H65">
            <v>0.99999999999999978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0.62363302953734734</v>
          </cell>
          <cell r="C67">
            <v>0.16848245981429574</v>
          </cell>
          <cell r="D67">
            <v>0.20788451064835639</v>
          </cell>
          <cell r="E67">
            <v>0.1947436277887786</v>
          </cell>
          <cell r="F67">
            <v>-6.3403392374132496E-4</v>
          </cell>
          <cell r="G67">
            <v>1.377491678331909E-2</v>
          </cell>
          <cell r="H67">
            <v>0.99999999999999933</v>
          </cell>
        </row>
        <row r="68">
          <cell r="A68" t="str">
            <v>SCHMDT-GPS</v>
          </cell>
          <cell r="B68">
            <v>0.5035611250734281</v>
          </cell>
          <cell r="C68">
            <v>0.21979318880680054</v>
          </cell>
          <cell r="D68">
            <v>0.27664568611977131</v>
          </cell>
          <cell r="E68">
            <v>0.27664568611977131</v>
          </cell>
          <cell r="F68">
            <v>0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-1.8202268284573586</v>
          </cell>
          <cell r="C70">
            <v>1.5064221729023237</v>
          </cell>
          <cell r="D70">
            <v>1.3138046555550364</v>
          </cell>
          <cell r="E70">
            <v>1.8977071011113138</v>
          </cell>
          <cell r="F70">
            <v>4.3092506814886834E-2</v>
          </cell>
          <cell r="G70">
            <v>-0.6269949523711642</v>
          </cell>
          <cell r="H70">
            <v>1.0000000000000016</v>
          </cell>
        </row>
        <row r="71">
          <cell r="A71" t="str">
            <v>SCHMDT-SNP</v>
          </cell>
          <cell r="B71">
            <v>0.5035611250734281</v>
          </cell>
          <cell r="C71">
            <v>0.21979318880680054</v>
          </cell>
          <cell r="D71">
            <v>0.27664568611977131</v>
          </cell>
          <cell r="E71">
            <v>0.27664568611977131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0.50272470091120192</v>
          </cell>
          <cell r="C72">
            <v>-3.8582355200972407E-3</v>
          </cell>
          <cell r="D72">
            <v>0.50113353460889531</v>
          </cell>
          <cell r="E72">
            <v>0.20619848908889202</v>
          </cell>
          <cell r="F72">
            <v>0.29493504552000332</v>
          </cell>
          <cell r="G72">
            <v>0</v>
          </cell>
          <cell r="H72">
            <v>0.99999999999999989</v>
          </cell>
        </row>
        <row r="73">
          <cell r="A73" t="str">
            <v>SIT</v>
          </cell>
          <cell r="B73">
            <v>0.19852720524362483</v>
          </cell>
          <cell r="C73">
            <v>0.31438305620608659</v>
          </cell>
          <cell r="D73">
            <v>0.48708973855028898</v>
          </cell>
          <cell r="E73">
            <v>0.47428427368003268</v>
          </cell>
          <cell r="F73">
            <v>-1.494712884779247E-2</v>
          </cell>
          <cell r="G73">
            <v>2.7752593718048772E-2</v>
          </cell>
          <cell r="H73">
            <v>1.0000000000000004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0.59002884567004299</v>
          </cell>
          <cell r="C75">
            <v>0.18955104879382401</v>
          </cell>
          <cell r="D75">
            <v>0.22042010553613289</v>
          </cell>
          <cell r="E75">
            <v>0.21588007893827754</v>
          </cell>
          <cell r="F75">
            <v>4.540026597855345E-3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0.18268684674707628</v>
          </cell>
          <cell r="C22">
            <v>0.50581044471036496</v>
          </cell>
          <cell r="D22">
            <v>0.18284238538999506</v>
          </cell>
          <cell r="E22">
            <v>3.0614790675499305E-2</v>
          </cell>
          <cell r="F22">
            <v>9.8045532477064393E-2</v>
          </cell>
          <cell r="G22">
            <v>1</v>
          </cell>
        </row>
        <row r="23">
          <cell r="A23" t="str">
            <v>GENL</v>
          </cell>
          <cell r="B23">
            <v>0.18268684674707628</v>
          </cell>
          <cell r="C23">
            <v>0.50581044471036485</v>
          </cell>
          <cell r="D23">
            <v>0.18284238538999506</v>
          </cell>
          <cell r="E23">
            <v>3.0614790675499288E-2</v>
          </cell>
          <cell r="F23">
            <v>9.8045532477064365E-2</v>
          </cell>
          <cell r="G23">
            <v>0.99999999999999989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0.22311659353384922</v>
          </cell>
          <cell r="C25">
            <v>0.44443954290497611</v>
          </cell>
          <cell r="D25">
            <v>0.20343962546535679</v>
          </cell>
          <cell r="E25">
            <v>2.736194315404104E-2</v>
          </cell>
          <cell r="F25">
            <v>0.10164229494177709</v>
          </cell>
          <cell r="G25">
            <v>1.0000000000000002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0.3329335352343239</v>
          </cell>
          <cell r="G15">
            <v>0.27261009065336367</v>
          </cell>
          <cell r="H15">
            <v>9.0753753296084788E-2</v>
          </cell>
          <cell r="I15">
            <v>2.1063773402141077E-3</v>
          </cell>
          <cell r="J15">
            <v>0.18662008271271904</v>
          </cell>
          <cell r="K15">
            <v>7.2517023988570399E-3</v>
          </cell>
          <cell r="L15">
            <v>2.3093446691258723E-4</v>
          </cell>
          <cell r="M15">
            <v>4.8788843700956505E-4</v>
          </cell>
          <cell r="N15">
            <v>6.9625194927364534E-2</v>
          </cell>
          <cell r="O15">
            <v>1.9625388259976569E-2</v>
          </cell>
          <cell r="P15">
            <v>1.7755052273174355E-2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0.31510766506775362</v>
          </cell>
          <cell r="G16">
            <v>0.27294949651806655</v>
          </cell>
          <cell r="H16">
            <v>9.3000149012663152E-2</v>
          </cell>
          <cell r="I16">
            <v>2.6874737426413474E-3</v>
          </cell>
          <cell r="J16">
            <v>0.19720172280314463</v>
          </cell>
          <cell r="K16">
            <v>7.6857014938404187E-3</v>
          </cell>
          <cell r="L16">
            <v>2.4671935024126119E-4</v>
          </cell>
          <cell r="M16">
            <v>5.8857189485080129E-4</v>
          </cell>
          <cell r="N16">
            <v>6.7301238546963904E-2</v>
          </cell>
          <cell r="O16">
            <v>2.0774726128298792E-2</v>
          </cell>
          <cell r="P16">
            <v>2.2456535441535589E-2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0.35075940540089418</v>
          </cell>
          <cell r="G17">
            <v>0.27227068478866079</v>
          </cell>
          <cell r="H17">
            <v>8.850735757950641E-2</v>
          </cell>
          <cell r="I17">
            <v>1.5252809377868681E-3</v>
          </cell>
          <cell r="J17">
            <v>0.17603844262229346</v>
          </cell>
          <cell r="K17">
            <v>6.8177033038736602E-3</v>
          </cell>
          <cell r="L17">
            <v>2.151495835839133E-4</v>
          </cell>
          <cell r="M17">
            <v>3.8720497916832887E-4</v>
          </cell>
          <cell r="N17">
            <v>7.194915130776515E-2</v>
          </cell>
          <cell r="O17">
            <v>1.8476050391654349E-2</v>
          </cell>
          <cell r="P17">
            <v>1.3053569104813119E-2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0.27945592473461306</v>
          </cell>
          <cell r="G21">
            <v>0.27362830824747236</v>
          </cell>
          <cell r="H21">
            <v>9.7492940445819909E-2</v>
          </cell>
          <cell r="I21">
            <v>3.8496665474958267E-3</v>
          </cell>
          <cell r="J21">
            <v>0.21836500298399578</v>
          </cell>
          <cell r="K21">
            <v>8.5536996838071772E-3</v>
          </cell>
          <cell r="L21">
            <v>2.7828911689860904E-4</v>
          </cell>
          <cell r="M21">
            <v>7.8993881053327365E-4</v>
          </cell>
          <cell r="N21">
            <v>6.2653325786162672E-2</v>
          </cell>
          <cell r="O21">
            <v>2.3073401864943235E-2</v>
          </cell>
          <cell r="P21">
            <v>3.1859501778258061E-2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0.79506511724052986</v>
          </cell>
          <cell r="G23">
            <v>3.4185413942639006E-2</v>
          </cell>
          <cell r="H23">
            <v>9.6241930237182093E-3</v>
          </cell>
          <cell r="I23">
            <v>0</v>
          </cell>
          <cell r="J23">
            <v>7.1536387475088434E-3</v>
          </cell>
          <cell r="K23">
            <v>1.5265190285937777E-2</v>
          </cell>
          <cell r="L23">
            <v>2.9388187102450981E-3</v>
          </cell>
          <cell r="M23">
            <v>6.1385921295902153E-4</v>
          </cell>
          <cell r="N23">
            <v>0.13489005525779793</v>
          </cell>
          <cell r="O23">
            <v>1.3185678933216153E-4</v>
          </cell>
          <cell r="P23">
            <v>1.3185678933216153E-4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0.80054190078596055</v>
          </cell>
          <cell r="G29">
            <v>3.4420899198519171E-2</v>
          </cell>
          <cell r="H29">
            <v>9.6904890048238705E-3</v>
          </cell>
          <cell r="I29">
            <v>0</v>
          </cell>
          <cell r="J29">
            <v>7.2029163854440753E-3</v>
          </cell>
          <cell r="K29">
            <v>8.4818724349760306E-3</v>
          </cell>
          <cell r="L29">
            <v>2.9590626797090544E-3</v>
          </cell>
          <cell r="M29">
            <v>6.1808776476420381E-4</v>
          </cell>
          <cell r="N29">
            <v>0.13581924158362013</v>
          </cell>
          <cell r="O29">
            <v>1.3276508109155114E-4</v>
          </cell>
          <cell r="P29">
            <v>1.3276508109155114E-4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0.69060977318165673</v>
          </cell>
          <cell r="G33">
            <v>0.11723563419323522</v>
          </cell>
          <cell r="H33">
            <v>1.3443524665332229E-2</v>
          </cell>
          <cell r="I33">
            <v>0</v>
          </cell>
          <cell r="J33">
            <v>4.3248287020638508E-2</v>
          </cell>
          <cell r="K33">
            <v>9.9247322158145281E-3</v>
          </cell>
          <cell r="L33">
            <v>2.2547719302875332E-3</v>
          </cell>
          <cell r="M33">
            <v>4.7097581000937739E-4</v>
          </cell>
          <cell r="N33">
            <v>0.11692730019888024</v>
          </cell>
          <cell r="O33">
            <v>2.9425003920729052E-3</v>
          </cell>
          <cell r="P33">
            <v>2.9425003920729052E-3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F36">
            <v>0.33027079285264233</v>
          </cell>
          <cell r="G36">
            <v>0.27225439186896505</v>
          </cell>
          <cell r="H36">
            <v>9.142503255433046E-2</v>
          </cell>
          <cell r="I36">
            <v>2.5984732120268358E-3</v>
          </cell>
          <cell r="J36">
            <v>0.19061861022241913</v>
          </cell>
          <cell r="K36">
            <v>5.687123234262491E-3</v>
          </cell>
          <cell r="L36">
            <v>2.3972233978735173E-4</v>
          </cell>
          <cell r="M36">
            <v>6.1450223979842965E-4</v>
          </cell>
          <cell r="N36">
            <v>6.7983878466766526E-2</v>
          </cell>
          <cell r="O36">
            <v>2.0041623885235782E-2</v>
          </cell>
          <cell r="P36">
            <v>1.8265849123765748E-2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F38">
            <v>0.33078021683343489</v>
          </cell>
          <cell r="G38">
            <v>0.27298890499414485</v>
          </cell>
          <cell r="H38">
            <v>9.1214441053937612E-2</v>
          </cell>
          <cell r="I38">
            <v>2.2758221511082026E-3</v>
          </cell>
          <cell r="J38">
            <v>0.18864647173981891</v>
          </cell>
          <cell r="K38">
            <v>6.7193487403578401E-3</v>
          </cell>
          <cell r="L38">
            <v>2.3467064981776839E-4</v>
          </cell>
          <cell r="M38">
            <v>5.3021465214648426E-4</v>
          </cell>
          <cell r="N38">
            <v>6.894458494628336E-2</v>
          </cell>
          <cell r="O38">
            <v>1.9796956482226326E-2</v>
          </cell>
          <cell r="P38">
            <v>1.7868367756723815E-2</v>
          </cell>
          <cell r="Q38">
            <v>1</v>
          </cell>
        </row>
        <row r="39">
          <cell r="A39" t="str">
            <v>F88</v>
          </cell>
          <cell r="B39" t="str">
            <v>Seasonal Purchases - Utah Share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F40">
            <v>0.27907710631798011</v>
          </cell>
          <cell r="G40">
            <v>0.27295657173072713</v>
          </cell>
          <cell r="H40">
            <v>9.7558847005941599E-2</v>
          </cell>
          <cell r="I40">
            <v>3.8731233480098831E-3</v>
          </cell>
          <cell r="J40">
            <v>0.21959164771494188</v>
          </cell>
          <cell r="K40">
            <v>7.7384580267798051E-3</v>
          </cell>
          <cell r="L40">
            <v>2.822509354790884E-4</v>
          </cell>
          <cell r="M40">
            <v>8.0179564932706966E-4</v>
          </cell>
          <cell r="N40">
            <v>6.2716759281034234E-2</v>
          </cell>
          <cell r="O40">
            <v>2.3288618820231522E-2</v>
          </cell>
          <cell r="P40">
            <v>3.2114821169547884E-2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F41">
            <v>0.27910359070658769</v>
          </cell>
          <cell r="G41">
            <v>0.27368456163957378</v>
          </cell>
          <cell r="H41">
            <v>9.7493773577638887E-2</v>
          </cell>
          <cell r="I41">
            <v>3.8576352542499743E-3</v>
          </cell>
          <cell r="J41">
            <v>0.21870205073718121</v>
          </cell>
          <cell r="K41">
            <v>8.2049170222252554E-3</v>
          </cell>
          <cell r="L41">
            <v>2.7919034012954916E-4</v>
          </cell>
          <cell r="M41">
            <v>7.9513477205155601E-4</v>
          </cell>
          <cell r="N41">
            <v>6.2656578882328492E-2</v>
          </cell>
          <cell r="O41">
            <v>2.3119301335836565E-2</v>
          </cell>
          <cell r="P41">
            <v>3.21032657321971E-2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F42">
            <v>0.27979498555668009</v>
          </cell>
          <cell r="G42">
            <v>0.27367371521541839</v>
          </cell>
          <cell r="H42">
            <v>9.7301622347335026E-2</v>
          </cell>
          <cell r="I42">
            <v>3.8476569218884663E-3</v>
          </cell>
          <cell r="J42">
            <v>0.21833290106855613</v>
          </cell>
          <cell r="K42">
            <v>8.2101309776793606E-3</v>
          </cell>
          <cell r="L42">
            <v>2.8004168684711708E-4</v>
          </cell>
          <cell r="M42">
            <v>7.9922217746106563E-4</v>
          </cell>
          <cell r="N42">
            <v>6.2649312214350675E-2</v>
          </cell>
          <cell r="O42">
            <v>2.3012622755493869E-2</v>
          </cell>
          <cell r="P42">
            <v>3.2097789078289612E-2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F43">
            <v>0.281642748645557</v>
          </cell>
          <cell r="G43">
            <v>0.2739370338402935</v>
          </cell>
          <cell r="H43">
            <v>9.7036473536116497E-2</v>
          </cell>
          <cell r="I43">
            <v>3.8203378719877637E-3</v>
          </cell>
          <cell r="J43">
            <v>0.21689878887682401</v>
          </cell>
          <cell r="K43">
            <v>8.7113767490486493E-3</v>
          </cell>
          <cell r="L43">
            <v>2.7433456564367415E-4</v>
          </cell>
          <cell r="M43">
            <v>7.8375080146534325E-4</v>
          </cell>
          <cell r="N43">
            <v>6.2562185793477776E-2</v>
          </cell>
          <cell r="O43">
            <v>2.2716544874413529E-2</v>
          </cell>
          <cell r="P43">
            <v>3.1616424445172271E-2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F45">
            <v>0.27822435733455941</v>
          </cell>
          <cell r="G45">
            <v>0.2736618446988961</v>
          </cell>
          <cell r="H45">
            <v>9.7632835544146604E-2</v>
          </cell>
          <cell r="I45">
            <v>3.8711467529064202E-3</v>
          </cell>
          <cell r="J45">
            <v>0.2193790883576007</v>
          </cell>
          <cell r="K45">
            <v>7.9779572345957013E-3</v>
          </cell>
          <cell r="L45">
            <v>2.8101400355773061E-4</v>
          </cell>
          <cell r="M45">
            <v>8.0005396652873628E-4</v>
          </cell>
          <cell r="N45">
            <v>6.2683394421090555E-2</v>
          </cell>
          <cell r="O45">
            <v>2.3196353943467425E-2</v>
          </cell>
          <cell r="P45">
            <v>3.2291953742650724E-2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F46">
            <v>0.32783082131018582</v>
          </cell>
          <cell r="G46">
            <v>0.27416726813661968</v>
          </cell>
          <cell r="H46">
            <v>9.1611391464725508E-2</v>
          </cell>
          <cell r="I46">
            <v>2.200918706264285E-3</v>
          </cell>
          <cell r="J46">
            <v>0.18923834161925235</v>
          </cell>
          <cell r="K46">
            <v>6.7095306476601278E-3</v>
          </cell>
          <cell r="L46">
            <v>2.3636107201642904E-4</v>
          </cell>
          <cell r="M46">
            <v>5.1378310722113016E-4</v>
          </cell>
          <cell r="N46">
            <v>6.9340517611859179E-2</v>
          </cell>
          <cell r="O46">
            <v>1.9924867065668483E-2</v>
          </cell>
          <cell r="P46">
            <v>1.8226199258526952E-2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F47">
            <v>0.28492689994217996</v>
          </cell>
          <cell r="G47">
            <v>0.27232579937415669</v>
          </cell>
          <cell r="H47">
            <v>9.6072956745290594E-2</v>
          </cell>
          <cell r="I47">
            <v>3.8313291828557965E-3</v>
          </cell>
          <cell r="J47">
            <v>0.21791851161116635</v>
          </cell>
          <cell r="K47">
            <v>5.9734310561588106E-3</v>
          </cell>
          <cell r="L47">
            <v>2.8518355290553055E-4</v>
          </cell>
          <cell r="M47">
            <v>8.3192912075409284E-4</v>
          </cell>
          <cell r="N47">
            <v>6.2632335776113615E-2</v>
          </cell>
          <cell r="O47">
            <v>2.280463217764557E-2</v>
          </cell>
          <cell r="P47">
            <v>3.2396991460772885E-2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0.39045832951005677</v>
          </cell>
          <cell r="G48">
            <v>0.26470806978628553</v>
          </cell>
          <cell r="H48">
            <v>8.5605585626839675E-2</v>
          </cell>
          <cell r="I48">
            <v>4.4008353966680453E-3</v>
          </cell>
          <cell r="J48">
            <v>0.14289171181069354</v>
          </cell>
          <cell r="K48">
            <v>8.3718810714484317E-3</v>
          </cell>
          <cell r="L48">
            <v>2.9367172114554081E-4</v>
          </cell>
          <cell r="M48">
            <v>4.4316599185694659E-4</v>
          </cell>
          <cell r="N48">
            <v>7.3813392755789381E-2</v>
          </cell>
          <cell r="O48">
            <v>1.5031595286221416E-2</v>
          </cell>
          <cell r="P48">
            <v>1.3981761042994773E-2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0.32910889995835746</v>
          </cell>
          <cell r="G49">
            <v>0.27279269162763781</v>
          </cell>
          <cell r="H49">
            <v>9.1239276459887275E-2</v>
          </cell>
          <cell r="I49">
            <v>2.2333403673259994E-3</v>
          </cell>
          <cell r="J49">
            <v>0.1887729146015332</v>
          </cell>
          <cell r="K49">
            <v>7.3472668709408462E-3</v>
          </cell>
          <cell r="L49">
            <v>2.3418146162250704E-4</v>
          </cell>
          <cell r="M49">
            <v>5.0971993775871004E-4</v>
          </cell>
          <cell r="N49">
            <v>6.9115386314680075E-2</v>
          </cell>
          <cell r="O49">
            <v>1.9868062500116881E-2</v>
          </cell>
          <cell r="P49">
            <v>1.8778259900139534E-2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0.33124105907904311</v>
          </cell>
          <cell r="G50">
            <v>0.27244301164119333</v>
          </cell>
          <cell r="H50">
            <v>9.0671237221904247E-2</v>
          </cell>
          <cell r="I50">
            <v>2.1028701247274954E-3</v>
          </cell>
          <cell r="J50">
            <v>0.19002882200086871</v>
          </cell>
          <cell r="K50">
            <v>7.2355237234140802E-3</v>
          </cell>
          <cell r="L50">
            <v>2.1809028190282871E-4</v>
          </cell>
          <cell r="M50">
            <v>4.5524207083348471E-4</v>
          </cell>
          <cell r="N50">
            <v>6.8083165180373065E-2</v>
          </cell>
          <cell r="O50">
            <v>1.9766871993762796E-2</v>
          </cell>
          <cell r="P50">
            <v>1.7754106681976745E-2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0.57761837659543536</v>
          </cell>
          <cell r="G51">
            <v>0.2371592510681671</v>
          </cell>
          <cell r="H51">
            <v>6.8832017207372129E-2</v>
          </cell>
          <cell r="I51">
            <v>1.1124073311790165E-2</v>
          </cell>
          <cell r="J51">
            <v>4.5566023112245064E-4</v>
          </cell>
          <cell r="K51">
            <v>1.1618671855101395E-2</v>
          </cell>
          <cell r="L51">
            <v>4.8968633773916229E-4</v>
          </cell>
          <cell r="M51">
            <v>2.848702719044285E-4</v>
          </cell>
          <cell r="N51">
            <v>9.2318772586643741E-2</v>
          </cell>
          <cell r="O51">
            <v>4.7382331945678371E-5</v>
          </cell>
          <cell r="P51">
            <v>5.1238202778266529E-5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0.41855433276604559</v>
          </cell>
          <cell r="G52">
            <v>5.0359796690674967E-2</v>
          </cell>
          <cell r="H52">
            <v>8.575005537808858E-2</v>
          </cell>
          <cell r="I52">
            <v>2.3629653867639354E-3</v>
          </cell>
          <cell r="J52">
            <v>0.14434212980380864</v>
          </cell>
          <cell r="K52">
            <v>6.8472279467446688E-3</v>
          </cell>
          <cell r="L52">
            <v>8.9134693390886176E-5</v>
          </cell>
          <cell r="M52">
            <v>-3.3989324324310839E-5</v>
          </cell>
          <cell r="N52">
            <v>0.28979899489093547</v>
          </cell>
          <cell r="O52">
            <v>1.0136806478458114E-3</v>
          </cell>
          <cell r="P52">
            <v>9.156711200250105E-4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0.39129986710048026</v>
          </cell>
          <cell r="G53">
            <v>0.26324404794941669</v>
          </cell>
          <cell r="H53">
            <v>8.5378539000541986E-2</v>
          </cell>
          <cell r="I53">
            <v>5.2916344890605932E-3</v>
          </cell>
          <cell r="J53">
            <v>0.14203176700838702</v>
          </cell>
          <cell r="K53">
            <v>8.2987640427206674E-3</v>
          </cell>
          <cell r="L53">
            <v>2.9422344530452376E-4</v>
          </cell>
          <cell r="M53">
            <v>4.4398314595630255E-4</v>
          </cell>
          <cell r="N53">
            <v>7.5228580876107509E-2</v>
          </cell>
          <cell r="O53">
            <v>1.4859422318672417E-2</v>
          </cell>
          <cell r="P53">
            <v>1.3629170623352218E-2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0.39593990413133667</v>
          </cell>
          <cell r="G54">
            <v>0.2626206937122651</v>
          </cell>
          <cell r="H54">
            <v>8.4914709946003669E-2</v>
          </cell>
          <cell r="I54">
            <v>5.4479084699230185E-3</v>
          </cell>
          <cell r="J54">
            <v>0.13870694063173358</v>
          </cell>
          <cell r="K54">
            <v>8.3366868608218125E-3</v>
          </cell>
          <cell r="L54">
            <v>2.9717852086393233E-4</v>
          </cell>
          <cell r="M54">
            <v>4.3487041372034186E-4</v>
          </cell>
          <cell r="N54">
            <v>7.5703726236430943E-2</v>
          </cell>
          <cell r="O54">
            <v>1.4504388641501E-2</v>
          </cell>
          <cell r="P54">
            <v>1.3092992435400096E-2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0.33293353523432395</v>
          </cell>
          <cell r="G55">
            <v>0.27261009065336367</v>
          </cell>
          <cell r="H55">
            <v>9.0753753296084774E-2</v>
          </cell>
          <cell r="I55">
            <v>2.1063773402141077E-3</v>
          </cell>
          <cell r="J55">
            <v>0.18662008271271907</v>
          </cell>
          <cell r="K55">
            <v>7.2517023988570408E-3</v>
          </cell>
          <cell r="L55">
            <v>2.309344669125872E-4</v>
          </cell>
          <cell r="M55">
            <v>4.8788843700956511E-4</v>
          </cell>
          <cell r="N55">
            <v>6.9625194927364534E-2</v>
          </cell>
          <cell r="O55">
            <v>1.9625388259976565E-2</v>
          </cell>
          <cell r="P55">
            <v>1.7755052273174355E-2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0.33146140229619098</v>
          </cell>
          <cell r="G56">
            <v>0.27140469002156553</v>
          </cell>
          <cell r="H56">
            <v>9.0352467227403463E-2</v>
          </cell>
          <cell r="I56">
            <v>2.0970635669395605E-3</v>
          </cell>
          <cell r="J56">
            <v>0.19006786453427613</v>
          </cell>
          <cell r="K56">
            <v>7.2196375305601844E-3</v>
          </cell>
          <cell r="L56">
            <v>2.2991334347708558E-4</v>
          </cell>
          <cell r="M56">
            <v>4.8573113964464067E-4</v>
          </cell>
          <cell r="N56">
            <v>6.9317333051256549E-2</v>
          </cell>
          <cell r="O56">
            <v>1.9687352568832247E-2</v>
          </cell>
          <cell r="P56">
            <v>1.7676544719853794E-2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0.5739529358835106</v>
          </cell>
          <cell r="G57">
            <v>0.23566989607448438</v>
          </cell>
          <cell r="H57">
            <v>6.8893091244048674E-2</v>
          </cell>
          <cell r="I57">
            <v>1.4827987282042739E-2</v>
          </cell>
          <cell r="J57">
            <v>1.2780076853921979E-3</v>
          </cell>
          <cell r="K57">
            <v>1.1408051029894195E-2</v>
          </cell>
          <cell r="L57">
            <v>4.838732850508254E-4</v>
          </cell>
          <cell r="M57">
            <v>2.880809879990726E-4</v>
          </cell>
          <cell r="N57">
            <v>9.3024171923515558E-2</v>
          </cell>
          <cell r="O57">
            <v>8.6952302030925813E-5</v>
          </cell>
          <cell r="P57">
            <v>8.6952302030925813E-5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0.39593990413133667</v>
          </cell>
          <cell r="G58">
            <v>0.2626206937122651</v>
          </cell>
          <cell r="H58">
            <v>8.4914709946003669E-2</v>
          </cell>
          <cell r="I58">
            <v>5.4479084699230185E-3</v>
          </cell>
          <cell r="J58">
            <v>0.13870694063173358</v>
          </cell>
          <cell r="K58">
            <v>8.3366868608218125E-3</v>
          </cell>
          <cell r="L58">
            <v>2.9717852086393233E-4</v>
          </cell>
          <cell r="M58">
            <v>4.3487041372034186E-4</v>
          </cell>
          <cell r="N58">
            <v>7.5703726236430943E-2</v>
          </cell>
          <cell r="O58">
            <v>1.4504388641501E-2</v>
          </cell>
          <cell r="P58">
            <v>1.3092992435400096E-2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0.39593990413133667</v>
          </cell>
          <cell r="G59">
            <v>0.2626206937122651</v>
          </cell>
          <cell r="H59">
            <v>8.4914709946003669E-2</v>
          </cell>
          <cell r="I59">
            <v>5.4479084699230185E-3</v>
          </cell>
          <cell r="J59">
            <v>0.13870694063173358</v>
          </cell>
          <cell r="K59">
            <v>8.3366868608218125E-3</v>
          </cell>
          <cell r="L59">
            <v>2.9717852086393233E-4</v>
          </cell>
          <cell r="M59">
            <v>4.3487041372034186E-4</v>
          </cell>
          <cell r="N59">
            <v>7.5703726236430943E-2</v>
          </cell>
          <cell r="O59">
            <v>1.4504388641501E-2</v>
          </cell>
          <cell r="P59">
            <v>1.3092992435400096E-2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0.39488101325317992</v>
          </cell>
          <cell r="G61">
            <v>0.26280948922391939</v>
          </cell>
          <cell r="H61">
            <v>8.5011720702503124E-2</v>
          </cell>
          <cell r="I61">
            <v>4.43388505331733E-3</v>
          </cell>
          <cell r="J61">
            <v>0.14021759352771426</v>
          </cell>
          <cell r="K61">
            <v>8.3744446341026662E-3</v>
          </cell>
          <cell r="L61">
            <v>3.0223501915676866E-4</v>
          </cell>
          <cell r="M61">
            <v>4.4522774745416548E-4</v>
          </cell>
          <cell r="N61">
            <v>7.5437624760281638E-2</v>
          </cell>
          <cell r="O61">
            <v>1.4662716847602736E-2</v>
          </cell>
          <cell r="P61">
            <v>1.3424049230767997E-2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0.33081790990451632</v>
          </cell>
          <cell r="G62">
            <v>0.27239650050782976</v>
          </cell>
          <cell r="H62">
            <v>9.1009364732331274E-2</v>
          </cell>
          <cell r="I62">
            <v>2.1685911590666033E-3</v>
          </cell>
          <cell r="J62">
            <v>0.18815915300026828</v>
          </cell>
          <cell r="K62">
            <v>7.2919117431573793E-3</v>
          </cell>
          <cell r="L62">
            <v>2.3306066501924664E-4</v>
          </cell>
          <cell r="M62">
            <v>5.0007908066181854E-4</v>
          </cell>
          <cell r="N62">
            <v>6.9410705561719285E-2</v>
          </cell>
          <cell r="O62">
            <v>1.9756506076079997E-2</v>
          </cell>
          <cell r="P62">
            <v>1.825621756935052E-2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0.33127783968524077</v>
          </cell>
          <cell r="G63">
            <v>0.27122128251560546</v>
          </cell>
          <cell r="H63">
            <v>9.0368010087630485E-2</v>
          </cell>
          <cell r="I63">
            <v>2.0985111475570039E-3</v>
          </cell>
          <cell r="J63">
            <v>0.19037926912602063</v>
          </cell>
          <cell r="K63">
            <v>7.2160542894175971E-3</v>
          </cell>
          <cell r="L63">
            <v>2.302703093986096E-4</v>
          </cell>
          <cell r="M63">
            <v>4.8699987365836918E-4</v>
          </cell>
          <cell r="N63">
            <v>6.9339201345467866E-2</v>
          </cell>
          <cell r="O63">
            <v>1.9696364124372721E-2</v>
          </cell>
          <cell r="P63">
            <v>1.7686197495630454E-2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0.57673956317183483</v>
          </cell>
          <cell r="G64">
            <v>0.23663855672135062</v>
          </cell>
          <cell r="H64">
            <v>6.8804401698936923E-2</v>
          </cell>
          <cell r="I64">
            <v>1.1011052733648642E-2</v>
          </cell>
          <cell r="J64">
            <v>1.2223698106757365E-3</v>
          </cell>
          <cell r="K64">
            <v>1.157335181217045E-2</v>
          </cell>
          <cell r="L64">
            <v>4.9643797637292117E-4</v>
          </cell>
          <cell r="M64">
            <v>3.0329220654279365E-4</v>
          </cell>
          <cell r="N64">
            <v>9.3044903749283148E-2</v>
          </cell>
          <cell r="O64">
            <v>8.3035059591975946E-5</v>
          </cell>
          <cell r="P64">
            <v>8.3035059591975946E-5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0.39488101325317992</v>
          </cell>
          <cell r="G66">
            <v>0.26280948922391939</v>
          </cell>
          <cell r="H66">
            <v>8.5011720702503124E-2</v>
          </cell>
          <cell r="I66">
            <v>4.43388505331733E-3</v>
          </cell>
          <cell r="J66">
            <v>0.14021759352771426</v>
          </cell>
          <cell r="K66">
            <v>8.3744446341026662E-3</v>
          </cell>
          <cell r="L66">
            <v>3.0223501915676866E-4</v>
          </cell>
          <cell r="M66">
            <v>4.4522774745416548E-4</v>
          </cell>
          <cell r="N66">
            <v>7.5437624760281638E-2</v>
          </cell>
          <cell r="O66">
            <v>1.4662716847602736E-2</v>
          </cell>
          <cell r="P66">
            <v>1.3424049230767997E-2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0.33246934146505569</v>
          </cell>
          <cell r="G67">
            <v>0.27223000306191125</v>
          </cell>
          <cell r="H67">
            <v>9.0627219551780228E-2</v>
          </cell>
          <cell r="I67">
            <v>2.1034405160928397E-3</v>
          </cell>
          <cell r="J67">
            <v>0.18770723917658649</v>
          </cell>
          <cell r="K67">
            <v>7.2415916869163878E-3</v>
          </cell>
          <cell r="L67">
            <v>2.3061248570821659E-4</v>
          </cell>
          <cell r="M67">
            <v>4.8720819681568234E-4</v>
          </cell>
          <cell r="N67">
            <v>6.9528119750943432E-2</v>
          </cell>
          <cell r="O67">
            <v>1.9644926879990265E-2</v>
          </cell>
          <cell r="P67">
            <v>1.7730297228199868E-2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0.33293353523432395</v>
          </cell>
          <cell r="G68">
            <v>0.27261009065336367</v>
          </cell>
          <cell r="H68">
            <v>9.0753753296084774E-2</v>
          </cell>
          <cell r="I68">
            <v>2.1063773402141077E-3</v>
          </cell>
          <cell r="J68">
            <v>0.18662008271271907</v>
          </cell>
          <cell r="K68">
            <v>7.2517023988570408E-3</v>
          </cell>
          <cell r="L68">
            <v>2.309344669125872E-4</v>
          </cell>
          <cell r="M68">
            <v>4.8788843700956511E-4</v>
          </cell>
          <cell r="N68">
            <v>6.9625194927364534E-2</v>
          </cell>
          <cell r="O68">
            <v>1.9625388259976565E-2</v>
          </cell>
          <cell r="P68">
            <v>1.7755052273174355E-2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0.33146140229619098</v>
          </cell>
          <cell r="G69">
            <v>0.27140469002156553</v>
          </cell>
          <cell r="H69">
            <v>9.0352467227403463E-2</v>
          </cell>
          <cell r="I69">
            <v>2.0970635669395605E-3</v>
          </cell>
          <cell r="J69">
            <v>0.19006786453427613</v>
          </cell>
          <cell r="K69">
            <v>7.2196375305601844E-3</v>
          </cell>
          <cell r="L69">
            <v>2.2991334347708558E-4</v>
          </cell>
          <cell r="M69">
            <v>4.8573113964464067E-4</v>
          </cell>
          <cell r="N69">
            <v>6.9317333051256549E-2</v>
          </cell>
          <cell r="O69">
            <v>1.9687352568832247E-2</v>
          </cell>
          <cell r="P69">
            <v>1.7676544719853794E-2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0.33146140229619098</v>
          </cell>
          <cell r="G73">
            <v>0.27140469002156553</v>
          </cell>
          <cell r="H73">
            <v>9.0352467227403463E-2</v>
          </cell>
          <cell r="I73">
            <v>2.0970635669395605E-3</v>
          </cell>
          <cell r="J73">
            <v>0.19006786453427613</v>
          </cell>
          <cell r="K73">
            <v>7.2196375305601844E-3</v>
          </cell>
          <cell r="L73">
            <v>2.2991334347708558E-4</v>
          </cell>
          <cell r="M73">
            <v>4.8573113964464067E-4</v>
          </cell>
          <cell r="N73">
            <v>6.9317333051256549E-2</v>
          </cell>
          <cell r="O73">
            <v>1.9687352568832247E-2</v>
          </cell>
          <cell r="P73">
            <v>1.7676544719853794E-2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0.46014745129673001</v>
          </cell>
          <cell r="G74">
            <v>0.2524408549677436</v>
          </cell>
          <cell r="H74">
            <v>7.8964348770391116E-2</v>
          </cell>
          <cell r="I74">
            <v>8.8531438670955004E-3</v>
          </cell>
          <cell r="J74">
            <v>8.9880363511639833E-2</v>
          </cell>
          <cell r="K74">
            <v>9.4423558945220705E-3</v>
          </cell>
          <cell r="L74">
            <v>3.6468547758858051E-4</v>
          </cell>
          <cell r="M74">
            <v>3.80841633923128E-4</v>
          </cell>
          <cell r="N74">
            <v>8.1898141063940652E-2</v>
          </cell>
          <cell r="O74">
            <v>9.2857602664127067E-3</v>
          </cell>
          <cell r="P74">
            <v>8.3420532500129325E-3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0.33293353523432395</v>
          </cell>
          <cell r="G75">
            <v>0.27261009065336367</v>
          </cell>
          <cell r="H75">
            <v>9.0753753296084774E-2</v>
          </cell>
          <cell r="I75">
            <v>2.1063773402141077E-3</v>
          </cell>
          <cell r="J75">
            <v>0.18662008271271907</v>
          </cell>
          <cell r="K75">
            <v>7.2517023988570408E-3</v>
          </cell>
          <cell r="L75">
            <v>2.309344669125872E-4</v>
          </cell>
          <cell r="M75">
            <v>4.8788843700956511E-4</v>
          </cell>
          <cell r="N75">
            <v>6.9625194927364534E-2</v>
          </cell>
          <cell r="O75">
            <v>1.9625388259976565E-2</v>
          </cell>
          <cell r="P75">
            <v>1.7755052273174355E-2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0.33146140229619098</v>
          </cell>
          <cell r="G76">
            <v>0.27140469002156553</v>
          </cell>
          <cell r="H76">
            <v>9.0352467227403463E-2</v>
          </cell>
          <cell r="I76">
            <v>2.0970635669395605E-3</v>
          </cell>
          <cell r="J76">
            <v>0.19006786453427613</v>
          </cell>
          <cell r="K76">
            <v>7.2196375305601844E-3</v>
          </cell>
          <cell r="L76">
            <v>2.2991334347708558E-4</v>
          </cell>
          <cell r="M76">
            <v>4.8573113964464067E-4</v>
          </cell>
          <cell r="N76">
            <v>6.9317333051256549E-2</v>
          </cell>
          <cell r="O76">
            <v>1.9687352568832247E-2</v>
          </cell>
          <cell r="P76">
            <v>1.7676544719853794E-2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0.5739529358835106</v>
          </cell>
          <cell r="G77">
            <v>0.23566989607448438</v>
          </cell>
          <cell r="H77">
            <v>6.8893091244048674E-2</v>
          </cell>
          <cell r="I77">
            <v>1.4827987282042739E-2</v>
          </cell>
          <cell r="J77">
            <v>1.2780076853921979E-3</v>
          </cell>
          <cell r="K77">
            <v>1.1408051029894195E-2</v>
          </cell>
          <cell r="L77">
            <v>4.838732850508254E-4</v>
          </cell>
          <cell r="M77">
            <v>2.880809879990726E-4</v>
          </cell>
          <cell r="N77">
            <v>9.3024171923515558E-2</v>
          </cell>
          <cell r="O77">
            <v>8.6952302030925813E-5</v>
          </cell>
          <cell r="P77">
            <v>8.6952302030925813E-5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0.5739529358835106</v>
          </cell>
          <cell r="G78">
            <v>0.23566989607448438</v>
          </cell>
          <cell r="H78">
            <v>6.8893091244048674E-2</v>
          </cell>
          <cell r="I78">
            <v>1.4827987282042739E-2</v>
          </cell>
          <cell r="J78">
            <v>1.2780076853921979E-3</v>
          </cell>
          <cell r="K78">
            <v>1.1408051029894195E-2</v>
          </cell>
          <cell r="L78">
            <v>4.838732850508254E-4</v>
          </cell>
          <cell r="M78">
            <v>2.880809879990726E-4</v>
          </cell>
          <cell r="N78">
            <v>9.3024171923515558E-2</v>
          </cell>
          <cell r="O78">
            <v>8.6952302030925813E-5</v>
          </cell>
          <cell r="P78">
            <v>8.6952302030925813E-5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0.5739529358835106</v>
          </cell>
          <cell r="G79">
            <v>0.23566989607448438</v>
          </cell>
          <cell r="H79">
            <v>6.8893091244048674E-2</v>
          </cell>
          <cell r="I79">
            <v>1.4827987282042739E-2</v>
          </cell>
          <cell r="J79">
            <v>1.2780076853921979E-3</v>
          </cell>
          <cell r="K79">
            <v>1.1408051029894195E-2</v>
          </cell>
          <cell r="L79">
            <v>4.838732850508254E-4</v>
          </cell>
          <cell r="M79">
            <v>2.880809879990726E-4</v>
          </cell>
          <cell r="N79">
            <v>9.3024171923515558E-2</v>
          </cell>
          <cell r="O79">
            <v>8.6952302030925813E-5</v>
          </cell>
          <cell r="P79">
            <v>8.6952302030925813E-5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0.39128497873386026</v>
          </cell>
          <cell r="G80">
            <v>0.25832388186894628</v>
          </cell>
          <cell r="H80">
            <v>8.5311326881063188E-2</v>
          </cell>
          <cell r="I80">
            <v>6.3770700652306528E-3</v>
          </cell>
          <cell r="J80">
            <v>0.14275304035426253</v>
          </cell>
          <cell r="K80">
            <v>8.7783835536624985E-3</v>
          </cell>
          <cell r="L80">
            <v>3.549939540221832E-4</v>
          </cell>
          <cell r="M80">
            <v>5.3118044699141049E-4</v>
          </cell>
          <cell r="N80">
            <v>7.4198455453486634E-2</v>
          </cell>
          <cell r="O80">
            <v>1.4971085298712708E-2</v>
          </cell>
          <cell r="P80">
            <v>1.7115603389761716E-2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0.29752862327153262</v>
          </cell>
          <cell r="G81">
            <v>0.27328420275264265</v>
          </cell>
          <cell r="H81">
            <v>9.5215439701060486E-2</v>
          </cell>
          <cell r="I81">
            <v>3.2605239135698335E-3</v>
          </cell>
          <cell r="J81">
            <v>0.20763684275431549</v>
          </cell>
          <cell r="K81">
            <v>8.1136911604847133E-3</v>
          </cell>
          <cell r="L81">
            <v>2.6228566600539191E-4</v>
          </cell>
          <cell r="M81">
            <v>6.8786122530370463E-4</v>
          </cell>
          <cell r="N81">
            <v>6.5009461149175468E-2</v>
          </cell>
          <cell r="O81">
            <v>2.1908149531275546E-2</v>
          </cell>
          <cell r="P81">
            <v>2.7092918874634116E-2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0.33146283520828129</v>
          </cell>
          <cell r="G82">
            <v>0.27140586330768268</v>
          </cell>
          <cell r="H82">
            <v>9.0352857822331795E-2</v>
          </cell>
          <cell r="I82">
            <v>2.0970726325735024E-3</v>
          </cell>
          <cell r="J82">
            <v>0.19006450860891858</v>
          </cell>
          <cell r="K82">
            <v>7.2196687411501146E-3</v>
          </cell>
          <cell r="L82">
            <v>2.2991433739555484E-4</v>
          </cell>
          <cell r="M82">
            <v>4.8573323946687571E-4</v>
          </cell>
          <cell r="N82">
            <v>6.9317632711017554E-2</v>
          </cell>
          <cell r="O82">
            <v>1.9687292255388383E-2</v>
          </cell>
          <cell r="P82">
            <v>1.7676621135793835E-2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0.57395293588351048</v>
          </cell>
          <cell r="G83">
            <v>0.23566989607448433</v>
          </cell>
          <cell r="H83">
            <v>6.889309124404866E-2</v>
          </cell>
          <cell r="I83">
            <v>1.4827987282042739E-2</v>
          </cell>
          <cell r="J83">
            <v>1.2780076853921975E-3</v>
          </cell>
          <cell r="K83">
            <v>1.140805102989419E-2</v>
          </cell>
          <cell r="L83">
            <v>4.8387328505082529E-4</v>
          </cell>
          <cell r="M83">
            <v>2.8808098799907255E-4</v>
          </cell>
          <cell r="N83">
            <v>9.3024171923515545E-2</v>
          </cell>
          <cell r="O83">
            <v>8.6952302030925786E-5</v>
          </cell>
          <cell r="P83">
            <v>8.6952302030925786E-5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0.45717110673234435</v>
          </cell>
          <cell r="G86">
            <v>0.22365183716233725</v>
          </cell>
          <cell r="H86">
            <v>7.2182970686318584E-2</v>
          </cell>
          <cell r="I86">
            <v>5.1975921666243203E-3</v>
          </cell>
          <cell r="J86">
            <v>0.13093320545128567</v>
          </cell>
          <cell r="K86">
            <v>7.1347473642123281E-3</v>
          </cell>
          <cell r="L86">
            <v>6.7920965920121896E-4</v>
          </cell>
          <cell r="M86">
            <v>4.7372218094951404E-4</v>
          </cell>
          <cell r="N86">
            <v>7.6429372734086551E-2</v>
          </cell>
          <cell r="O86">
            <v>1.370308092472365E-2</v>
          </cell>
          <cell r="P86">
            <v>1.2443154937916782E-2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0.69060977318165673</v>
          </cell>
          <cell r="G96">
            <v>0.11723563419323522</v>
          </cell>
          <cell r="H96">
            <v>1.3443524665332229E-2</v>
          </cell>
          <cell r="I96">
            <v>0</v>
          </cell>
          <cell r="J96">
            <v>4.3248287020638508E-2</v>
          </cell>
          <cell r="K96">
            <v>9.9247322158145281E-3</v>
          </cell>
          <cell r="L96">
            <v>2.2547719302875332E-3</v>
          </cell>
          <cell r="M96">
            <v>4.7097581000937739E-4</v>
          </cell>
          <cell r="N96">
            <v>0.11692730019888024</v>
          </cell>
          <cell r="O96">
            <v>2.9425003920729052E-3</v>
          </cell>
          <cell r="P96">
            <v>2.9425003920729052E-3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0.55454580007144583</v>
          </cell>
          <cell r="G100">
            <v>0.23366163055648898</v>
          </cell>
          <cell r="H100">
            <v>7.0505231700654217E-2</v>
          </cell>
          <cell r="I100">
            <v>3.0578751931953477E-2</v>
          </cell>
          <cell r="J100">
            <v>3.4054379448933744E-3</v>
          </cell>
          <cell r="K100">
            <v>1.0254137391634282E-2</v>
          </cell>
          <cell r="L100">
            <v>5.9202579714308129E-4</v>
          </cell>
          <cell r="M100">
            <v>2.0905908365479977E-4</v>
          </cell>
          <cell r="N100">
            <v>9.5784531331132544E-2</v>
          </cell>
          <cell r="O100">
            <v>2.3169709549991703E-4</v>
          </cell>
          <cell r="P100">
            <v>2.3169709549991703E-4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0.86235826893202772</v>
          </cell>
          <cell r="G105">
            <v>2.5592837996875121E-2</v>
          </cell>
          <cell r="H105">
            <v>3.5820601263342471E-3</v>
          </cell>
          <cell r="I105">
            <v>7.6404524420265948E-3</v>
          </cell>
          <cell r="J105">
            <v>4.7296432902012766E-3</v>
          </cell>
          <cell r="K105">
            <v>3.1433572757685047E-3</v>
          </cell>
          <cell r="L105">
            <v>2.3882566193309516E-3</v>
          </cell>
          <cell r="M105">
            <v>4.9885803556912916E-4</v>
          </cell>
          <cell r="N105">
            <v>9.0020287086435821E-2</v>
          </cell>
          <cell r="O105">
            <v>2.2989097715358116E-5</v>
          </cell>
          <cell r="P105">
            <v>2.2989097715358116E-5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0.34691609455512024</v>
          </cell>
          <cell r="G106">
            <v>0.26162783484135405</v>
          </cell>
          <cell r="H106">
            <v>8.8932726474006199E-2</v>
          </cell>
          <cell r="I106">
            <v>5.1777146697906196E-3</v>
          </cell>
          <cell r="J106">
            <v>0.17860147418075994</v>
          </cell>
          <cell r="K106">
            <v>7.9153237085492628E-3</v>
          </cell>
          <cell r="L106">
            <v>3.5191914803707686E-4</v>
          </cell>
          <cell r="M106">
            <v>5.9072883061971916E-4</v>
          </cell>
          <cell r="N106">
            <v>6.9575389581748096E-2</v>
          </cell>
          <cell r="O106">
            <v>1.8793821061590867E-2</v>
          </cell>
          <cell r="P106">
            <v>2.151697294842413E-2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0.30581440549898015</v>
          </cell>
          <cell r="G107">
            <v>0.27308647675752384</v>
          </cell>
          <cell r="H107">
            <v>9.4178116047407237E-2</v>
          </cell>
          <cell r="I107">
            <v>3.0107592194451435E-3</v>
          </cell>
          <cell r="J107">
            <v>0.20268480662838889</v>
          </cell>
          <cell r="K107">
            <v>7.921726141386894E-3</v>
          </cell>
          <cell r="L107">
            <v>2.5548767883337112E-4</v>
          </cell>
          <cell r="M107">
            <v>6.4226118941823715E-4</v>
          </cell>
          <cell r="N107">
            <v>6.6080333512755995E-2</v>
          </cell>
          <cell r="O107">
            <v>2.1370624842668041E-2</v>
          </cell>
          <cell r="P107">
            <v>2.4955002483192247E-2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0.33288004395456611</v>
          </cell>
          <cell r="G108">
            <v>0.27171870678621096</v>
          </cell>
          <cell r="H108">
            <v>9.0623113039099493E-2</v>
          </cell>
          <cell r="I108">
            <v>2.3109312055330324E-3</v>
          </cell>
          <cell r="J108">
            <v>0.18721810926302077</v>
          </cell>
          <cell r="K108">
            <v>7.3357019318659828E-3</v>
          </cell>
          <cell r="L108">
            <v>2.3618420326831032E-4</v>
          </cell>
          <cell r="M108">
            <v>4.9768588003707413E-4</v>
          </cell>
          <cell r="N108">
            <v>6.9472004999443823E-2</v>
          </cell>
          <cell r="O108">
            <v>1.9581861189196633E-2</v>
          </cell>
          <cell r="P108">
            <v>1.8125657547757971E-2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0.54980339732568873</v>
          </cell>
          <cell r="G109">
            <v>0.23489214552262752</v>
          </cell>
          <cell r="H109">
            <v>7.0950711061295746E-2</v>
          </cell>
          <cell r="I109">
            <v>2.7937052526922794E-2</v>
          </cell>
          <cell r="J109">
            <v>8.9557607417306041E-3</v>
          </cell>
          <cell r="K109">
            <v>1.0313106544464525E-2</v>
          </cell>
          <cell r="L109">
            <v>5.7095195261179293E-4</v>
          </cell>
          <cell r="M109">
            <v>2.3062552085483299E-4</v>
          </cell>
          <cell r="N109">
            <v>9.4603155901342148E-2</v>
          </cell>
          <cell r="O109">
            <v>8.2713379679515272E-4</v>
          </cell>
          <cell r="P109">
            <v>9.1595910566649079E-4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0.86239855335147719</v>
          </cell>
          <cell r="G110">
            <v>2.4854607285035652E-2</v>
          </cell>
          <cell r="H110">
            <v>3.2595719533954157E-3</v>
          </cell>
          <cell r="I110">
            <v>8.0978233450643526E-3</v>
          </cell>
          <cell r="J110">
            <v>4.3241271332414549E-3</v>
          </cell>
          <cell r="K110">
            <v>3.202369342380424E-3</v>
          </cell>
          <cell r="L110">
            <v>2.4471698798235221E-3</v>
          </cell>
          <cell r="M110">
            <v>5.1207691206735185E-4</v>
          </cell>
          <cell r="N110">
            <v>9.0807238400404694E-2</v>
          </cell>
          <cell r="O110">
            <v>3.6962177257382196E-5</v>
          </cell>
          <cell r="P110">
            <v>5.9500219852374264E-5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0.39593990413133667</v>
          </cell>
          <cell r="G111">
            <v>0.2626206937122651</v>
          </cell>
          <cell r="H111">
            <v>8.4914709946003655E-2</v>
          </cell>
          <cell r="I111">
            <v>5.4479084699230185E-3</v>
          </cell>
          <cell r="J111">
            <v>0.13870694063173358</v>
          </cell>
          <cell r="K111">
            <v>8.3366868608218125E-3</v>
          </cell>
          <cell r="L111">
            <v>2.9717852086393233E-4</v>
          </cell>
          <cell r="M111">
            <v>4.3487041372034186E-4</v>
          </cell>
          <cell r="N111">
            <v>7.5703726236430943E-2</v>
          </cell>
          <cell r="O111">
            <v>1.4504388641501E-2</v>
          </cell>
          <cell r="P111">
            <v>1.3092992435400096E-2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0.45003656976339573</v>
          </cell>
          <cell r="G112">
            <v>0.23376747953762961</v>
          </cell>
          <cell r="H112">
            <v>7.5440933951881575E-2</v>
          </cell>
          <cell r="I112">
            <v>9.9447222534804203E-3</v>
          </cell>
          <cell r="J112">
            <v>0.11982753837324711</v>
          </cell>
          <cell r="K112">
            <v>7.5326759188435004E-3</v>
          </cell>
          <cell r="L112">
            <v>5.8081868903783079E-4</v>
          </cell>
          <cell r="M112">
            <v>4.2203865902678693E-4</v>
          </cell>
          <cell r="N112">
            <v>7.8598968290033308E-2</v>
          </cell>
          <cell r="O112">
            <v>1.2496537703950065E-2</v>
          </cell>
          <cell r="P112">
            <v>1.1351716859474191E-2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0.33247925775564097</v>
          </cell>
          <cell r="G113">
            <v>0.2726187401296038</v>
          </cell>
          <cell r="H113">
            <v>9.0811000823005833E-2</v>
          </cell>
          <cell r="I113">
            <v>2.1211860988384901E-3</v>
          </cell>
          <cell r="J113">
            <v>0.18688974701161101</v>
          </cell>
          <cell r="K113">
            <v>7.2627625049151026E-3</v>
          </cell>
          <cell r="L113">
            <v>2.313367315388212E-4</v>
          </cell>
          <cell r="M113">
            <v>4.9045427121265214E-4</v>
          </cell>
          <cell r="N113">
            <v>6.9565970831419022E-2</v>
          </cell>
          <cell r="O113">
            <v>1.9654678179856885E-2</v>
          </cell>
          <cell r="P113">
            <v>1.7874865662357339E-2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0.33146140229619087</v>
          </cell>
          <cell r="G114">
            <v>0.27140469002156548</v>
          </cell>
          <cell r="H114">
            <v>9.0352467227403421E-2</v>
          </cell>
          <cell r="I114">
            <v>2.0970635669395601E-3</v>
          </cell>
          <cell r="J114">
            <v>0.19006786453427613</v>
          </cell>
          <cell r="K114">
            <v>7.2196375305601853E-3</v>
          </cell>
          <cell r="L114">
            <v>2.2991334347708552E-4</v>
          </cell>
          <cell r="M114">
            <v>4.8573113964464062E-4</v>
          </cell>
          <cell r="N114">
            <v>6.9317333051256522E-2</v>
          </cell>
          <cell r="O114">
            <v>1.9687352568832247E-2</v>
          </cell>
          <cell r="P114">
            <v>1.767654471985379E-2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0.55454580007144583</v>
          </cell>
          <cell r="G115">
            <v>0.23366163055648895</v>
          </cell>
          <cell r="H115">
            <v>7.0505231700654203E-2</v>
          </cell>
          <cell r="I115">
            <v>3.057875193195347E-2</v>
          </cell>
          <cell r="J115">
            <v>3.4054379448933744E-3</v>
          </cell>
          <cell r="K115">
            <v>1.0254137391634282E-2</v>
          </cell>
          <cell r="L115">
            <v>5.9202579714308107E-4</v>
          </cell>
          <cell r="M115">
            <v>2.0905908365479971E-4</v>
          </cell>
          <cell r="N115">
            <v>9.5784531331132516E-2</v>
          </cell>
          <cell r="O115">
            <v>2.3169709549991698E-4</v>
          </cell>
          <cell r="P115">
            <v>2.3169709549991698E-4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0.86284679695736199</v>
          </cell>
          <cell r="G116">
            <v>2.4673612868819531E-2</v>
          </cell>
          <cell r="H116">
            <v>3.1873230922813659E-3</v>
          </cell>
          <cell r="I116">
            <v>8.0888216349666153E-3</v>
          </cell>
          <cell r="J116">
            <v>4.1797274739349081E-3</v>
          </cell>
          <cell r="K116">
            <v>3.1940205480307181E-3</v>
          </cell>
          <cell r="L116">
            <v>2.4483797443338581E-3</v>
          </cell>
          <cell r="M116">
            <v>5.1141652856710068E-4</v>
          </cell>
          <cell r="N116">
            <v>9.0829203500974801E-2</v>
          </cell>
          <cell r="O116">
            <v>2.0348825364479716E-5</v>
          </cell>
          <cell r="P116">
            <v>2.0348825364479716E-5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0.36291502004735204</v>
          </cell>
          <cell r="G118">
            <v>0.26873303635525853</v>
          </cell>
          <cell r="H118">
            <v>8.7404307664736863E-2</v>
          </cell>
          <cell r="I118">
            <v>5.6263487687379923E-3</v>
          </cell>
          <cell r="J118">
            <v>0.15894079068656969</v>
          </cell>
          <cell r="K118">
            <v>7.9135453075103151E-3</v>
          </cell>
          <cell r="L118">
            <v>3.1622595314719643E-4</v>
          </cell>
          <cell r="M118">
            <v>6.0013630389558451E-4</v>
          </cell>
          <cell r="N118">
            <v>7.2696262505916404E-2</v>
          </cell>
          <cell r="O118">
            <v>1.6393465152462337E-2</v>
          </cell>
          <cell r="P118">
            <v>1.8460861204237303E-2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0.31114267940700896</v>
          </cell>
          <cell r="G119">
            <v>0.27877944859878495</v>
          </cell>
          <cell r="H119">
            <v>9.3550057519757285E-2</v>
          </cell>
          <cell r="I119">
            <v>2.8663313905332027E-3</v>
          </cell>
          <cell r="J119">
            <v>0.19394882610956868</v>
          </cell>
          <cell r="K119">
            <v>7.63643327021616E-3</v>
          </cell>
          <cell r="L119">
            <v>2.3950696992560097E-4</v>
          </cell>
          <cell r="M119">
            <v>6.6065780598196545E-4</v>
          </cell>
          <cell r="N119">
            <v>6.7923849558387372E-2</v>
          </cell>
          <cell r="O119">
            <v>2.0124843929691241E-2</v>
          </cell>
          <cell r="P119">
            <v>2.3127365440144786E-2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0.32687647823364613</v>
          </cell>
          <cell r="G120">
            <v>0.28463106212936795</v>
          </cell>
          <cell r="H120">
            <v>9.1350625580580783E-2</v>
          </cell>
          <cell r="I120">
            <v>2.3967633025696569E-3</v>
          </cell>
          <cell r="J120">
            <v>0.18001093228787673</v>
          </cell>
          <cell r="K120">
            <v>7.0618679456209048E-3</v>
          </cell>
          <cell r="L120">
            <v>2.0753038960689502E-4</v>
          </cell>
          <cell r="M120">
            <v>5.9266426155809323E-4</v>
          </cell>
          <cell r="N120">
            <v>7.0523264151926252E-2</v>
          </cell>
          <cell r="O120">
            <v>1.8076917492750467E-2</v>
          </cell>
          <cell r="P120">
            <v>1.8271894224496051E-2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0.56130069472595967</v>
          </cell>
          <cell r="G121">
            <v>0.2397843705785199</v>
          </cell>
          <cell r="H121">
            <v>6.7490510263440592E-2</v>
          </cell>
          <cell r="I121">
            <v>2.0774854981060294E-2</v>
          </cell>
          <cell r="J121">
            <v>3.5635625424511709E-3</v>
          </cell>
          <cell r="K121">
            <v>1.0604293269247193E-2</v>
          </cell>
          <cell r="L121">
            <v>4.8404877510644094E-4</v>
          </cell>
          <cell r="M121">
            <v>3.469874466612015E-4</v>
          </cell>
          <cell r="N121">
            <v>9.4979316518516571E-2</v>
          </cell>
          <cell r="O121">
            <v>3.1865546295926168E-4</v>
          </cell>
          <cell r="P121">
            <v>3.5270543607797839E-4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0.88736645199394937</v>
          </cell>
          <cell r="G122">
            <v>2.1154657439795412E-2</v>
          </cell>
          <cell r="H122">
            <v>-9.8839609118332272E-4</v>
          </cell>
          <cell r="I122">
            <v>8.2601730060492904E-3</v>
          </cell>
          <cell r="J122">
            <v>-1.890095635943616E-3</v>
          </cell>
          <cell r="K122">
            <v>3.0478105840977807E-3</v>
          </cell>
          <cell r="L122">
            <v>2.5206273772457317E-3</v>
          </cell>
          <cell r="M122">
            <v>5.2568159064511741E-4</v>
          </cell>
          <cell r="N122">
            <v>8.0311699385698168E-2</v>
          </cell>
          <cell r="O122">
            <v>-1.7007769085157574E-4</v>
          </cell>
          <cell r="P122">
            <v>-1.3853195950257506E-4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0.38573521963283786</v>
          </cell>
          <cell r="G123">
            <v>0.27658155686736469</v>
          </cell>
          <cell r="H123">
            <v>8.5809995142821532E-2</v>
          </cell>
          <cell r="I123">
            <v>6.0073453561877268E-3</v>
          </cell>
          <cell r="J123">
            <v>0.1323871140801898</v>
          </cell>
          <cell r="K123">
            <v>8.0241564947196257E-3</v>
          </cell>
          <cell r="L123">
            <v>2.6646764948736975E-4</v>
          </cell>
          <cell r="M123">
            <v>5.7472910827803926E-4</v>
          </cell>
          <cell r="N123">
            <v>7.7629843096128887E-2</v>
          </cell>
          <cell r="O123">
            <v>1.3257222280020638E-2</v>
          </cell>
          <cell r="P123">
            <v>1.3726343241116969E-2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0.36178861210198698</v>
          </cell>
          <cell r="G125">
            <v>0.40885866791325781</v>
          </cell>
          <cell r="H125">
            <v>8.7274781493680467E-2</v>
          </cell>
          <cell r="I125">
            <v>1.3855137423424089E-2</v>
          </cell>
          <cell r="J125">
            <v>9.4869287521968035E-3</v>
          </cell>
          <cell r="K125">
            <v>6.0821251545547985E-3</v>
          </cell>
          <cell r="L125">
            <v>2.7037568682898802E-5</v>
          </cell>
          <cell r="M125">
            <v>1.9097553951545605E-3</v>
          </cell>
          <cell r="N125">
            <v>0.10214807996175654</v>
          </cell>
          <cell r="O125">
            <v>-5.6452571541118603E-3</v>
          </cell>
          <cell r="P125">
            <v>1.421413023594629E-2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0.14038346234486507</v>
          </cell>
          <cell r="G126">
            <v>0.71318574498991649</v>
          </cell>
          <cell r="H126">
            <v>0.11842203170051734</v>
          </cell>
          <cell r="I126">
            <v>1.1060434979082505E-2</v>
          </cell>
          <cell r="J126">
            <v>-0.12085475304450499</v>
          </cell>
          <cell r="K126">
            <v>3.3622719516811168E-4</v>
          </cell>
          <cell r="L126">
            <v>-4.3774400615966349E-4</v>
          </cell>
          <cell r="M126">
            <v>5.279651421631666E-3</v>
          </cell>
          <cell r="N126">
            <v>0.13162705179441272</v>
          </cell>
          <cell r="O126">
            <v>-3.6425052993483052E-2</v>
          </cell>
          <cell r="P126">
            <v>3.7422945618559834E-2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0.28148037534607262</v>
          </cell>
          <cell r="G127">
            <v>0.39901081200512756</v>
          </cell>
          <cell r="H127">
            <v>9.8169621122604647E-2</v>
          </cell>
          <cell r="I127">
            <v>4.3593145459427246E-3</v>
          </cell>
          <cell r="J127">
            <v>9.8849079409230267E-2</v>
          </cell>
          <cell r="K127">
            <v>5.1764946969195293E-3</v>
          </cell>
          <cell r="L127">
            <v>3.1742575416249624E-5</v>
          </cell>
          <cell r="M127">
            <v>1.643252752715722E-3</v>
          </cell>
          <cell r="N127">
            <v>8.5916514614877676E-2</v>
          </cell>
          <cell r="O127">
            <v>3.5425281012199513E-3</v>
          </cell>
          <cell r="P127">
            <v>2.1820264829873048E-2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0.50308082342474425</v>
          </cell>
          <cell r="G128">
            <v>0.2928146238880775</v>
          </cell>
          <cell r="H128">
            <v>6.7673158748372139E-2</v>
          </cell>
          <cell r="I128">
            <v>2.099679626077226E-2</v>
          </cell>
          <cell r="J128">
            <v>7.2398855852942232E-4</v>
          </cell>
          <cell r="K128">
            <v>8.8378337321451915E-3</v>
          </cell>
          <cell r="L128">
            <v>2.2020509054368839E-4</v>
          </cell>
          <cell r="M128">
            <v>7.6731347979933898E-4</v>
          </cell>
          <cell r="N128">
            <v>0.10476570215521881</v>
          </cell>
          <cell r="O128">
            <v>4.2130568806219436E-5</v>
          </cell>
          <cell r="P128">
            <v>7.7424092991167456E-5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0.50139742707528989</v>
          </cell>
          <cell r="G129">
            <v>0.12033252263872518</v>
          </cell>
          <cell r="H129">
            <v>6.8114651595801032E-2</v>
          </cell>
          <cell r="I129">
            <v>6.0714193682481297E-3</v>
          </cell>
          <cell r="J129">
            <v>8.9423350243807501E-2</v>
          </cell>
          <cell r="K129">
            <v>6.0029540948875063E-3</v>
          </cell>
          <cell r="L129">
            <v>7.7865419244107701E-4</v>
          </cell>
          <cell r="M129">
            <v>2.4738599267528489E-4</v>
          </cell>
          <cell r="N129">
            <v>0.19772037452580613</v>
          </cell>
          <cell r="O129">
            <v>5.0536599669946591E-3</v>
          </cell>
          <cell r="P129">
            <v>4.857600305322788E-3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0.35003193557026691</v>
          </cell>
          <cell r="G130">
            <v>0.33718781650695512</v>
          </cell>
          <cell r="H130">
            <v>8.8825758651886022E-2</v>
          </cell>
          <cell r="I130">
            <v>8.8083305543686825E-3</v>
          </cell>
          <cell r="J130">
            <v>9.7541188902669079E-2</v>
          </cell>
          <cell r="K130">
            <v>6.7166567176732356E-3</v>
          </cell>
          <cell r="L130">
            <v>1.3640099412637528E-4</v>
          </cell>
          <cell r="M130">
            <v>1.1759849285107031E-3</v>
          </cell>
          <cell r="N130">
            <v>8.7144287010571989E-2</v>
          </cell>
          <cell r="O130">
            <v>6.9992584159977748E-3</v>
          </cell>
          <cell r="P130">
            <v>1.543234021073161E-2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0.3856856628537067</v>
          </cell>
          <cell r="G131">
            <v>0.2587265979626876</v>
          </cell>
          <cell r="H131">
            <v>8.4028318824677803E-2</v>
          </cell>
          <cell r="I131">
            <v>7.2373745199493652E-3</v>
          </cell>
          <cell r="J131">
            <v>0.15149665204258275</v>
          </cell>
          <cell r="K131">
            <v>7.8623508660907518E-3</v>
          </cell>
          <cell r="L131">
            <v>2.9850537202399588E-4</v>
          </cell>
          <cell r="M131">
            <v>4.5538109804565572E-4</v>
          </cell>
          <cell r="N131">
            <v>7.4013040352536308E-2</v>
          </cell>
          <cell r="O131">
            <v>1.5863516775958177E-2</v>
          </cell>
          <cell r="P131">
            <v>1.4332599331741113E-2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0.33292648772097772</v>
          </cell>
          <cell r="G132">
            <v>0.27261022483853048</v>
          </cell>
          <cell r="H132">
            <v>9.0754641415634926E-2</v>
          </cell>
          <cell r="I132">
            <v>2.1066070784884934E-3</v>
          </cell>
          <cell r="J132">
            <v>0.18662426619711922</v>
          </cell>
          <cell r="K132">
            <v>7.2518739817523199E-3</v>
          </cell>
          <cell r="L132">
            <v>2.3094070751542381E-4</v>
          </cell>
          <cell r="M132">
            <v>4.8792824252852368E-4</v>
          </cell>
          <cell r="N132">
            <v>6.9624276143964117E-2</v>
          </cell>
          <cell r="O132">
            <v>1.9625842654286102E-2</v>
          </cell>
          <cell r="P132">
            <v>1.7756911019202796E-2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0.33146140229619098</v>
          </cell>
          <cell r="G133">
            <v>0.27140469002156553</v>
          </cell>
          <cell r="H133">
            <v>9.0352467227403463E-2</v>
          </cell>
          <cell r="I133">
            <v>2.0970635669395601E-3</v>
          </cell>
          <cell r="J133">
            <v>0.19006786453427613</v>
          </cell>
          <cell r="K133">
            <v>7.2196375305601844E-3</v>
          </cell>
          <cell r="L133">
            <v>2.2991334347708555E-4</v>
          </cell>
          <cell r="M133">
            <v>4.8573113964464062E-4</v>
          </cell>
          <cell r="N133">
            <v>6.9317333051256549E-2</v>
          </cell>
          <cell r="O133">
            <v>1.9687352568832247E-2</v>
          </cell>
          <cell r="P133">
            <v>1.7676544719853794E-2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0.60299989761271666</v>
          </cell>
          <cell r="G134">
            <v>0.20441163728761835</v>
          </cell>
          <cell r="H134">
            <v>5.71319705394066E-2</v>
          </cell>
          <cell r="I134">
            <v>2.8826795619965689E-2</v>
          </cell>
          <cell r="J134">
            <v>2.364544331504459E-3</v>
          </cell>
          <cell r="K134">
            <v>1.0521175550498769E-2</v>
          </cell>
          <cell r="L134">
            <v>5.5387744663401648E-4</v>
          </cell>
          <cell r="M134">
            <v>3.1898428376861589E-4</v>
          </cell>
          <cell r="N134">
            <v>9.2549362497726731E-2</v>
          </cell>
          <cell r="O134">
            <v>1.6087741508017108E-4</v>
          </cell>
          <cell r="P134">
            <v>1.6087741508017108E-4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L6">
            <v>7.9056500159581822E-2</v>
          </cell>
        </row>
        <row r="19">
          <cell r="K19">
            <v>0.47599999999999998</v>
          </cell>
        </row>
        <row r="20">
          <cell r="K20">
            <v>3.0000000000000001E-3</v>
          </cell>
        </row>
        <row r="21">
          <cell r="K21">
            <v>0.52100000000000002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1">
          <cell r="E61">
            <v>6.6413560461439841E-2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zoomScale="80" zoomScaleNormal="80" workbookViewId="0">
      <selection activeCell="C61" sqref="C61"/>
    </sheetView>
  </sheetViews>
  <sheetFormatPr defaultColWidth="9" defaultRowHeight="15.75"/>
  <cols>
    <col min="1" max="1" width="4.625" style="118" customWidth="1"/>
    <col min="2" max="2" width="1.625" style="118" customWidth="1"/>
    <col min="3" max="3" width="35.625" style="118" customWidth="1"/>
    <col min="4" max="4" width="1.5" style="134" customWidth="1"/>
    <col min="5" max="5" width="6.875" style="118" bestFit="1" customWidth="1"/>
    <col min="6" max="6" width="0.75" style="134" customWidth="1"/>
    <col min="7" max="7" width="10.125" style="134" bestFit="1" customWidth="1"/>
    <col min="8" max="8" width="0.75" style="134" customWidth="1"/>
    <col min="9" max="9" width="11.125" style="134" bestFit="1" customWidth="1"/>
    <col min="10" max="10" width="1.75" style="134" customWidth="1"/>
    <col min="11" max="11" width="9.875" style="134" bestFit="1" customWidth="1"/>
    <col min="12" max="12" width="1.75" style="134" customWidth="1"/>
    <col min="13" max="13" width="7.375" style="134" bestFit="1" customWidth="1"/>
    <col min="14" max="14" width="1.875" style="134" customWidth="1"/>
    <col min="15" max="15" width="9.875" style="134" bestFit="1" customWidth="1"/>
    <col min="16" max="16" width="1.75" style="134" customWidth="1"/>
    <col min="17" max="17" width="9.875" style="134" bestFit="1" customWidth="1"/>
    <col min="18" max="18" width="1.75" style="134" customWidth="1"/>
    <col min="19" max="19" width="7.375" style="134" bestFit="1" customWidth="1"/>
    <col min="20" max="20" width="1.875" style="134" customWidth="1"/>
    <col min="21" max="21" width="9.875" style="134" bestFit="1" customWidth="1"/>
    <col min="22" max="22" width="2.125" style="118" customWidth="1"/>
    <col min="23" max="23" width="6.125" style="118" bestFit="1" customWidth="1"/>
    <col min="24" max="24" width="1.5" style="118" customWidth="1"/>
    <col min="25" max="25" width="5.125" style="118" bestFit="1" customWidth="1"/>
    <col min="26" max="26" width="1.125" style="118" customWidth="1"/>
    <col min="27" max="27" width="7.25" style="118" bestFit="1" customWidth="1"/>
    <col min="28" max="28" width="1.125" style="118" customWidth="1"/>
    <col min="29" max="29" width="5.125" style="118" bestFit="1" customWidth="1"/>
    <col min="30" max="16384" width="9" style="118"/>
  </cols>
  <sheetData>
    <row r="1" spans="1:29">
      <c r="A1" s="365" t="s">
        <v>354</v>
      </c>
      <c r="B1" s="115"/>
      <c r="C1" s="115"/>
      <c r="D1" s="116"/>
      <c r="E1" s="115"/>
      <c r="F1" s="116"/>
      <c r="G1" s="116"/>
      <c r="H1" s="116"/>
      <c r="I1" s="116"/>
      <c r="J1" s="116"/>
      <c r="K1" s="117"/>
      <c r="L1" s="116"/>
      <c r="M1" s="117"/>
      <c r="N1" s="117"/>
      <c r="O1" s="117"/>
      <c r="P1" s="116"/>
      <c r="Q1" s="117"/>
      <c r="R1" s="116"/>
      <c r="S1" s="117"/>
      <c r="T1" s="117"/>
      <c r="U1" s="117"/>
      <c r="V1" s="121"/>
      <c r="W1" s="121"/>
      <c r="X1" s="121"/>
      <c r="Y1" s="121"/>
      <c r="Z1" s="121"/>
      <c r="AA1" s="121"/>
      <c r="AB1" s="121"/>
      <c r="AC1" s="121"/>
    </row>
    <row r="2" spans="1:29" s="120" customFormat="1">
      <c r="A2" s="115" t="s">
        <v>265</v>
      </c>
      <c r="B2" s="115"/>
      <c r="C2" s="115"/>
      <c r="D2" s="116"/>
      <c r="E2" s="115"/>
      <c r="F2" s="116"/>
      <c r="G2" s="116"/>
      <c r="H2" s="116"/>
      <c r="I2" s="116"/>
      <c r="J2" s="116"/>
      <c r="K2" s="117"/>
      <c r="L2" s="116"/>
      <c r="M2" s="117"/>
      <c r="N2" s="117"/>
      <c r="O2" s="117"/>
      <c r="P2" s="116"/>
      <c r="Q2" s="117"/>
      <c r="R2" s="116"/>
      <c r="S2" s="117"/>
      <c r="T2" s="117"/>
      <c r="U2" s="117"/>
      <c r="V2" s="121"/>
      <c r="W2" s="121"/>
      <c r="X2" s="121"/>
      <c r="Y2" s="121"/>
      <c r="Z2" s="121"/>
      <c r="AA2" s="121"/>
      <c r="AB2" s="121"/>
      <c r="AC2" s="121"/>
    </row>
    <row r="3" spans="1:29" s="120" customFormat="1">
      <c r="A3" s="115" t="s">
        <v>351</v>
      </c>
      <c r="B3" s="115"/>
      <c r="C3" s="115"/>
      <c r="D3" s="116"/>
      <c r="E3" s="115"/>
      <c r="F3" s="116"/>
      <c r="G3" s="116"/>
      <c r="H3" s="116"/>
      <c r="I3" s="116"/>
      <c r="J3" s="116"/>
      <c r="K3" s="117"/>
      <c r="L3" s="116"/>
      <c r="M3" s="117"/>
      <c r="N3" s="117"/>
      <c r="O3" s="117"/>
      <c r="P3" s="116"/>
      <c r="Q3" s="117"/>
      <c r="R3" s="116"/>
      <c r="S3" s="117"/>
      <c r="T3" s="117"/>
      <c r="U3" s="117"/>
      <c r="V3" s="121"/>
      <c r="W3" s="121"/>
      <c r="X3" s="121"/>
      <c r="Y3" s="121"/>
      <c r="Z3" s="121"/>
      <c r="AA3" s="121"/>
      <c r="AB3" s="121"/>
      <c r="AC3" s="121"/>
    </row>
    <row r="4" spans="1:29" s="120" customFormat="1">
      <c r="A4" s="115" t="s">
        <v>266</v>
      </c>
      <c r="B4" s="115"/>
      <c r="C4" s="115"/>
      <c r="D4" s="116"/>
      <c r="E4" s="115"/>
      <c r="F4" s="116"/>
      <c r="G4" s="116"/>
      <c r="H4" s="116"/>
      <c r="I4" s="116"/>
      <c r="J4" s="116"/>
      <c r="K4" s="117"/>
      <c r="L4" s="116"/>
      <c r="M4" s="117"/>
      <c r="N4" s="117"/>
      <c r="O4" s="117"/>
      <c r="P4" s="116"/>
      <c r="Q4" s="117"/>
      <c r="R4" s="116"/>
      <c r="S4" s="117"/>
      <c r="T4" s="117"/>
      <c r="U4" s="117"/>
      <c r="V4" s="121"/>
      <c r="W4" s="121"/>
      <c r="X4" s="121"/>
      <c r="Y4" s="121"/>
      <c r="Z4" s="121"/>
      <c r="AA4" s="121"/>
      <c r="AB4" s="121"/>
      <c r="AC4" s="121"/>
    </row>
    <row r="5" spans="1:29" s="120" customFormat="1">
      <c r="A5" s="115" t="s">
        <v>2</v>
      </c>
      <c r="B5" s="115"/>
      <c r="C5" s="115"/>
      <c r="D5" s="116"/>
      <c r="E5" s="115"/>
      <c r="F5" s="116"/>
      <c r="G5" s="116"/>
      <c r="H5" s="116"/>
      <c r="I5" s="116"/>
      <c r="J5" s="116"/>
      <c r="K5" s="117"/>
      <c r="L5" s="116"/>
      <c r="M5" s="117"/>
      <c r="N5" s="117"/>
      <c r="O5" s="117"/>
      <c r="P5" s="116"/>
      <c r="Q5" s="117"/>
      <c r="R5" s="116"/>
      <c r="S5" s="117"/>
      <c r="T5" s="117"/>
      <c r="U5" s="117"/>
      <c r="V5" s="121"/>
      <c r="W5" s="121"/>
      <c r="X5" s="121"/>
      <c r="Y5" s="121"/>
      <c r="Z5" s="121"/>
      <c r="AA5" s="121"/>
      <c r="AB5" s="121"/>
      <c r="AC5" s="121"/>
    </row>
    <row r="6" spans="1:29">
      <c r="A6" s="115" t="s">
        <v>3</v>
      </c>
      <c r="B6" s="115"/>
      <c r="C6" s="115"/>
      <c r="D6" s="116"/>
      <c r="E6" s="115"/>
      <c r="F6" s="116"/>
      <c r="G6" s="116"/>
      <c r="H6" s="116"/>
      <c r="I6" s="116"/>
      <c r="J6" s="116"/>
      <c r="K6" s="117"/>
      <c r="L6" s="116"/>
      <c r="M6" s="117"/>
      <c r="N6" s="117"/>
      <c r="O6" s="117"/>
      <c r="P6" s="116"/>
      <c r="Q6" s="117"/>
      <c r="R6" s="116"/>
      <c r="S6" s="117"/>
      <c r="T6" s="117"/>
      <c r="U6" s="117"/>
      <c r="V6" s="121"/>
      <c r="W6" s="121"/>
      <c r="X6" s="121"/>
      <c r="Y6" s="121"/>
      <c r="Z6" s="121"/>
      <c r="AA6" s="121"/>
      <c r="AB6" s="121"/>
      <c r="AC6" s="121"/>
    </row>
    <row r="7" spans="1:29">
      <c r="A7" s="115"/>
      <c r="B7" s="115"/>
      <c r="C7" s="115"/>
      <c r="D7" s="116"/>
      <c r="E7" s="115"/>
      <c r="F7" s="116"/>
      <c r="G7" s="116"/>
      <c r="H7" s="116"/>
      <c r="I7" s="116"/>
      <c r="J7" s="116"/>
      <c r="K7" s="117"/>
      <c r="L7" s="116"/>
      <c r="M7" s="117"/>
      <c r="N7" s="117"/>
      <c r="O7" s="117"/>
      <c r="P7" s="116"/>
      <c r="Q7" s="117"/>
      <c r="R7" s="116"/>
      <c r="S7" s="117"/>
      <c r="T7" s="117"/>
      <c r="U7" s="117"/>
    </row>
    <row r="8" spans="1:29" ht="12" customHeight="1">
      <c r="A8" s="115"/>
      <c r="B8" s="115"/>
      <c r="C8" s="115"/>
      <c r="D8" s="116"/>
      <c r="E8" s="115"/>
      <c r="F8" s="116"/>
      <c r="G8" s="116"/>
      <c r="H8" s="116"/>
      <c r="I8" s="116"/>
      <c r="J8" s="116"/>
      <c r="P8" s="116"/>
    </row>
    <row r="9" spans="1:29">
      <c r="D9" s="124"/>
      <c r="E9" s="125"/>
      <c r="F9" s="124"/>
      <c r="G9" s="124" t="s">
        <v>267</v>
      </c>
      <c r="H9" s="124"/>
      <c r="I9" s="124"/>
      <c r="J9" s="124"/>
      <c r="W9" s="157" t="s">
        <v>275</v>
      </c>
      <c r="X9" s="157"/>
      <c r="Y9" s="198"/>
      <c r="Z9" s="157"/>
      <c r="AA9" s="157"/>
      <c r="AB9" s="157"/>
      <c r="AC9" s="198"/>
    </row>
    <row r="10" spans="1:29" s="128" customFormat="1">
      <c r="A10" s="128" t="s">
        <v>268</v>
      </c>
      <c r="D10" s="124"/>
      <c r="E10" s="125" t="s">
        <v>269</v>
      </c>
      <c r="F10" s="124"/>
      <c r="G10" s="126" t="s">
        <v>85</v>
      </c>
      <c r="H10" s="124"/>
      <c r="I10" s="124" t="s">
        <v>270</v>
      </c>
      <c r="J10" s="126"/>
      <c r="K10" s="157" t="s">
        <v>322</v>
      </c>
      <c r="L10" s="157"/>
      <c r="M10" s="123"/>
      <c r="N10" s="123"/>
      <c r="O10" s="123"/>
      <c r="P10" s="124"/>
      <c r="Q10" s="157" t="s">
        <v>357</v>
      </c>
      <c r="R10" s="157"/>
      <c r="S10" s="123"/>
      <c r="T10" s="123"/>
      <c r="U10" s="123"/>
      <c r="W10" s="157" t="s">
        <v>313</v>
      </c>
      <c r="X10" s="157"/>
      <c r="Y10" s="198"/>
      <c r="Z10" s="126"/>
      <c r="AA10" s="157" t="s">
        <v>314</v>
      </c>
      <c r="AB10" s="157"/>
      <c r="AC10" s="198"/>
    </row>
    <row r="11" spans="1:29" s="128" customFormat="1">
      <c r="A11" s="197" t="s">
        <v>271</v>
      </c>
      <c r="C11" s="129" t="s">
        <v>272</v>
      </c>
      <c r="E11" s="129" t="s">
        <v>271</v>
      </c>
      <c r="G11" s="122" t="s">
        <v>273</v>
      </c>
      <c r="I11" s="122" t="s">
        <v>273</v>
      </c>
      <c r="K11" s="207" t="s">
        <v>313</v>
      </c>
      <c r="L11" s="126"/>
      <c r="M11" s="195" t="s">
        <v>312</v>
      </c>
      <c r="N11" s="196"/>
      <c r="O11" s="195" t="s">
        <v>314</v>
      </c>
      <c r="P11" s="126"/>
      <c r="Q11" s="207" t="s">
        <v>313</v>
      </c>
      <c r="R11" s="126"/>
      <c r="S11" s="195" t="s">
        <v>312</v>
      </c>
      <c r="T11" s="196"/>
      <c r="U11" s="195" t="s">
        <v>314</v>
      </c>
      <c r="W11" s="130" t="s">
        <v>274</v>
      </c>
      <c r="Y11" s="199" t="s">
        <v>321</v>
      </c>
      <c r="AA11" s="130" t="s">
        <v>274</v>
      </c>
      <c r="AC11" s="199" t="s">
        <v>321</v>
      </c>
    </row>
    <row r="12" spans="1:29" s="128" customFormat="1">
      <c r="C12" s="131">
        <v>-1</v>
      </c>
      <c r="D12" s="132"/>
      <c r="E12" s="131">
        <f>MIN($A12:D12)-1</f>
        <v>-2</v>
      </c>
      <c r="F12" s="132"/>
      <c r="G12" s="131">
        <f>MIN($A12:F12)-1</f>
        <v>-3</v>
      </c>
      <c r="H12" s="132"/>
      <c r="I12" s="131">
        <f>MIN($A12:H12)-1</f>
        <v>-4</v>
      </c>
      <c r="J12" s="132"/>
      <c r="K12" s="131">
        <f>MIN($A12:J12)-1</f>
        <v>-5</v>
      </c>
      <c r="L12" s="132"/>
      <c r="M12" s="131">
        <f>MIN($A12:L12)-1</f>
        <v>-6</v>
      </c>
      <c r="N12" s="131"/>
      <c r="O12" s="131">
        <f>MIN($A12:N12)-1</f>
        <v>-7</v>
      </c>
      <c r="P12" s="132"/>
      <c r="Q12" s="131">
        <f>MIN($A12:P12)-1</f>
        <v>-8</v>
      </c>
      <c r="R12" s="132"/>
      <c r="S12" s="131">
        <f>MIN($A12:R12)-1</f>
        <v>-9</v>
      </c>
      <c r="T12" s="131"/>
      <c r="U12" s="131">
        <f>MIN($A12:T12)-1</f>
        <v>-10</v>
      </c>
      <c r="W12" s="131">
        <f>MIN($A12:V12)-1</f>
        <v>-11</v>
      </c>
      <c r="X12" s="132"/>
      <c r="Y12" s="131">
        <f>MIN($A12:X12)-1</f>
        <v>-12</v>
      </c>
      <c r="Z12" s="132"/>
      <c r="AA12" s="131">
        <f>MIN($A12:Z12)-1</f>
        <v>-13</v>
      </c>
      <c r="AB12" s="132"/>
      <c r="AC12" s="131">
        <f>MIN($A12:AB12)-1</f>
        <v>-14</v>
      </c>
    </row>
    <row r="13" spans="1:29" s="128" customFormat="1">
      <c r="D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W13" s="200"/>
      <c r="X13" s="200"/>
      <c r="Y13" s="201"/>
      <c r="Z13" s="200"/>
      <c r="AA13" s="200"/>
      <c r="AB13" s="200"/>
      <c r="AC13" s="201"/>
    </row>
    <row r="14" spans="1:29" ht="18.75" customHeight="1">
      <c r="C14" s="128" t="s">
        <v>276</v>
      </c>
      <c r="W14" s="202"/>
      <c r="X14" s="202"/>
      <c r="Y14" s="203"/>
      <c r="Z14" s="202"/>
      <c r="AA14" s="202"/>
      <c r="AB14" s="202"/>
      <c r="AC14" s="203"/>
    </row>
    <row r="15" spans="1:29">
      <c r="A15" s="118">
        <v>1</v>
      </c>
      <c r="C15" s="118" t="s">
        <v>276</v>
      </c>
      <c r="E15" s="135" t="s">
        <v>277</v>
      </c>
      <c r="G15" s="113">
        <v>740189</v>
      </c>
      <c r="I15" s="113">
        <v>6200666.1794248829</v>
      </c>
      <c r="K15" s="158">
        <f>('Rate Design'!H29+'Rate Design'!M29+'Rate Design'!Q29+'Rate Design'!U29+'Rate Design'!H49+'Rate Design'!M49+'Rate Design'!Q49+'Rate Design'!U49)/1000</f>
        <v>699252.34860267246</v>
      </c>
      <c r="L15" s="159"/>
      <c r="M15" s="158">
        <f>('Rate Design'!Y29+'Rate Design'!Y49)/1000</f>
        <v>25318.168934045541</v>
      </c>
      <c r="N15" s="158"/>
      <c r="O15" s="158">
        <f>K15+M15</f>
        <v>724570.51753671805</v>
      </c>
      <c r="Q15" s="158">
        <f>K15</f>
        <v>699252.34860267246</v>
      </c>
      <c r="R15" s="159"/>
      <c r="S15" s="158">
        <f>('Rate Design'!AC29+'Rate Design'!AC49)/1000</f>
        <v>27966.242725616637</v>
      </c>
      <c r="T15" s="158"/>
      <c r="U15" s="158">
        <f>Q15+S15</f>
        <v>727218.59132828913</v>
      </c>
      <c r="W15" s="158">
        <f>Q15-K15</f>
        <v>0</v>
      </c>
      <c r="X15" s="137"/>
      <c r="Y15" s="204">
        <f>W15/K15</f>
        <v>0</v>
      </c>
      <c r="Z15" s="137"/>
      <c r="AA15" s="158">
        <f>U15-O15</f>
        <v>2648.0737915710779</v>
      </c>
      <c r="AB15" s="137"/>
      <c r="AC15" s="204">
        <f>AA15/O15</f>
        <v>3.654680569357951E-3</v>
      </c>
    </row>
    <row r="16" spans="1:29">
      <c r="A16" s="118">
        <f>MAX(A$14:A15)+1</f>
        <v>2</v>
      </c>
      <c r="C16" s="118" t="s">
        <v>278</v>
      </c>
      <c r="E16" s="139">
        <v>2</v>
      </c>
      <c r="G16" s="113">
        <v>447</v>
      </c>
      <c r="I16" s="113">
        <v>3185.6706103628849</v>
      </c>
      <c r="K16" s="158">
        <f>('Rate Design'!H71+'Rate Design'!M71+'Rate Design'!Q71+'Rate Design'!U71)/1000</f>
        <v>358.96779339679358</v>
      </c>
      <c r="L16" s="159"/>
      <c r="M16" s="158">
        <f>'Rate Design'!Y71/1000</f>
        <v>12.809924701154308</v>
      </c>
      <c r="N16" s="158"/>
      <c r="O16" s="158">
        <f>K16+M16</f>
        <v>371.77771809794791</v>
      </c>
      <c r="Q16" s="158">
        <f t="shared" ref="Q16:Q17" si="0">K16</f>
        <v>358.96779339679358</v>
      </c>
      <c r="R16" s="159"/>
      <c r="S16" s="158">
        <f>'Rate Design'!AC71/1000</f>
        <v>14.149738254081162</v>
      </c>
      <c r="T16" s="158"/>
      <c r="U16" s="158">
        <f>Q16+S16</f>
        <v>373.11753165087475</v>
      </c>
      <c r="W16" s="158">
        <f t="shared" ref="W16:W17" si="1">Q16-K16</f>
        <v>0</v>
      </c>
      <c r="X16" s="137"/>
      <c r="Y16" s="204">
        <f t="shared" ref="Y16:Y18" si="2">W16/K16</f>
        <v>0</v>
      </c>
      <c r="Z16" s="137"/>
      <c r="AA16" s="158">
        <f t="shared" ref="AA16:AA17" si="3">U16-O16</f>
        <v>1.3398135529268416</v>
      </c>
      <c r="AB16" s="137"/>
      <c r="AC16" s="204">
        <f t="shared" ref="AC16:AC17" si="4">AA16/O16</f>
        <v>3.6038027232548043E-3</v>
      </c>
    </row>
    <row r="17" spans="1:29">
      <c r="A17" s="118">
        <f>MAX(A$14:A16)+1</f>
        <v>3</v>
      </c>
      <c r="C17" s="140" t="s">
        <v>279</v>
      </c>
      <c r="E17" s="141" t="s">
        <v>280</v>
      </c>
      <c r="G17" s="142"/>
      <c r="I17" s="142"/>
      <c r="K17" s="160">
        <v>33.04027</v>
      </c>
      <c r="L17" s="159"/>
      <c r="M17" s="160"/>
      <c r="N17" s="160"/>
      <c r="O17" s="160">
        <f>K17+M17</f>
        <v>33.04027</v>
      </c>
      <c r="Q17" s="160">
        <f t="shared" si="0"/>
        <v>33.04027</v>
      </c>
      <c r="R17" s="159"/>
      <c r="S17" s="160"/>
      <c r="T17" s="160"/>
      <c r="U17" s="160">
        <f>Q17+S17</f>
        <v>33.04027</v>
      </c>
      <c r="W17" s="160">
        <f t="shared" si="1"/>
        <v>0</v>
      </c>
      <c r="X17" s="137"/>
      <c r="Y17" s="205">
        <f t="shared" si="2"/>
        <v>0</v>
      </c>
      <c r="Z17" s="137"/>
      <c r="AA17" s="160">
        <f t="shared" si="3"/>
        <v>0</v>
      </c>
      <c r="AB17" s="137"/>
      <c r="AC17" s="205">
        <f t="shared" si="4"/>
        <v>0</v>
      </c>
    </row>
    <row r="18" spans="1:29">
      <c r="A18" s="118">
        <f>MAX(A$14:A17)+1</f>
        <v>4</v>
      </c>
      <c r="C18" s="128" t="s">
        <v>281</v>
      </c>
      <c r="G18" s="113">
        <f>SUM(G15:G17)</f>
        <v>740636</v>
      </c>
      <c r="I18" s="113">
        <f>SUM(I15:I17)</f>
        <v>6203851.8500352455</v>
      </c>
      <c r="K18" s="158">
        <f>SUM(K15:K17)</f>
        <v>699644.35666606924</v>
      </c>
      <c r="L18" s="159"/>
      <c r="M18" s="158">
        <f>SUM(M15:M17)</f>
        <v>25330.978858746697</v>
      </c>
      <c r="N18" s="158"/>
      <c r="O18" s="158">
        <f>SUM(O15:O17)</f>
        <v>724975.33552481595</v>
      </c>
      <c r="Q18" s="158">
        <f>SUM(Q15:Q17)</f>
        <v>699644.35666606924</v>
      </c>
      <c r="R18" s="159"/>
      <c r="S18" s="158">
        <f>SUM(S15:S17)</f>
        <v>27980.392463870718</v>
      </c>
      <c r="T18" s="158"/>
      <c r="U18" s="158">
        <f>SUM(U15:U17)</f>
        <v>727624.74912994006</v>
      </c>
      <c r="W18" s="158">
        <f>SUM(W15:W17)</f>
        <v>0</v>
      </c>
      <c r="X18" s="137"/>
      <c r="Y18" s="204">
        <f t="shared" si="2"/>
        <v>0</v>
      </c>
      <c r="Z18" s="137"/>
      <c r="AA18" s="158">
        <f>SUM(AA15:AA17)</f>
        <v>2649.4136051240048</v>
      </c>
      <c r="AB18" s="137"/>
      <c r="AC18" s="204">
        <f>AA18/O18</f>
        <v>3.6544879188283989E-3</v>
      </c>
    </row>
    <row r="19" spans="1:29" ht="24.75" customHeight="1">
      <c r="C19" s="128" t="s">
        <v>282</v>
      </c>
      <c r="G19" s="113"/>
      <c r="I19" s="113"/>
      <c r="K19" s="158"/>
      <c r="L19" s="159"/>
      <c r="M19" s="158"/>
      <c r="N19" s="158"/>
      <c r="O19" s="158"/>
      <c r="Q19" s="158"/>
      <c r="R19" s="159"/>
      <c r="S19" s="158"/>
      <c r="T19" s="158"/>
      <c r="U19" s="158"/>
      <c r="W19" s="158"/>
      <c r="X19" s="137"/>
      <c r="Y19" s="204"/>
      <c r="Z19" s="137"/>
      <c r="AA19" s="158"/>
      <c r="AB19" s="137"/>
      <c r="AC19" s="204"/>
    </row>
    <row r="20" spans="1:29">
      <c r="A20" s="118">
        <f>MAX(A$14:A19)+1</f>
        <v>5</v>
      </c>
      <c r="C20" s="118" t="s">
        <v>283</v>
      </c>
      <c r="E20" s="143">
        <v>6</v>
      </c>
      <c r="G20" s="113">
        <v>13072</v>
      </c>
      <c r="I20" s="113">
        <v>5783806.2612344306</v>
      </c>
      <c r="K20" s="158">
        <f>('Rate Design'!H86+'Rate Design'!M86+'Rate Design'!Q86+'Rate Design'!U86)/1000</f>
        <v>505682.78988091822</v>
      </c>
      <c r="L20" s="159"/>
      <c r="M20" s="158">
        <f>'Rate Design'!Y86/1000</f>
        <v>18297.405827617789</v>
      </c>
      <c r="N20" s="158"/>
      <c r="O20" s="158">
        <f t="shared" ref="O20:O22" si="5">K20+M20</f>
        <v>523980.19570853602</v>
      </c>
      <c r="Q20" s="158">
        <f t="shared" ref="Q20:Q22" si="6">K20</f>
        <v>505682.78988091822</v>
      </c>
      <c r="R20" s="159"/>
      <c r="S20" s="158">
        <f>'Rate Design'!AC86/1000</f>
        <v>20236.533075653373</v>
      </c>
      <c r="T20" s="158"/>
      <c r="U20" s="158">
        <f t="shared" ref="U20:U22" si="7">Q20+S20</f>
        <v>525919.32295657159</v>
      </c>
      <c r="W20" s="158">
        <f t="shared" ref="W20:W22" si="8">Q20-K20</f>
        <v>0</v>
      </c>
      <c r="X20" s="137"/>
      <c r="Y20" s="204">
        <f t="shared" ref="Y20:Y47" si="9">W20/K20</f>
        <v>0</v>
      </c>
      <c r="Z20" s="137"/>
      <c r="AA20" s="158">
        <f t="shared" ref="AA20:AA22" si="10">U20-O20</f>
        <v>1939.1272480355692</v>
      </c>
      <c r="AB20" s="137"/>
      <c r="AC20" s="204">
        <f t="shared" ref="AC20:AC47" si="11">AA20/O20</f>
        <v>3.7007643875040818E-3</v>
      </c>
    </row>
    <row r="21" spans="1:29">
      <c r="A21" s="118">
        <f>MAX(A$14:A20)+1</f>
        <v>6</v>
      </c>
      <c r="C21" s="118" t="s">
        <v>284</v>
      </c>
      <c r="E21" s="139" t="s">
        <v>285</v>
      </c>
      <c r="G21" s="113">
        <v>2276</v>
      </c>
      <c r="I21" s="113">
        <v>292031.09985016566</v>
      </c>
      <c r="K21" s="158">
        <f>('Rate Design'!H113+'Rate Design'!M113+'Rate Design'!Q113+'Rate Design'!U113)/1000</f>
        <v>34987.995354381615</v>
      </c>
      <c r="L21" s="159"/>
      <c r="M21" s="158">
        <f>'Rate Design'!Y113/1000</f>
        <v>1266.8071759956249</v>
      </c>
      <c r="N21" s="158"/>
      <c r="O21" s="158">
        <f t="shared" si="5"/>
        <v>36254.802530377237</v>
      </c>
      <c r="Q21" s="158">
        <f t="shared" si="6"/>
        <v>34987.995354381615</v>
      </c>
      <c r="R21" s="159"/>
      <c r="S21" s="158">
        <f>'Rate Design'!AC113/1000</f>
        <v>1400.8608454131513</v>
      </c>
      <c r="T21" s="158"/>
      <c r="U21" s="158">
        <f t="shared" si="7"/>
        <v>36388.856199794769</v>
      </c>
      <c r="W21" s="158">
        <f t="shared" si="8"/>
        <v>0</v>
      </c>
      <c r="X21" s="137"/>
      <c r="Y21" s="204">
        <f t="shared" si="9"/>
        <v>0</v>
      </c>
      <c r="Z21" s="137"/>
      <c r="AA21" s="158">
        <f t="shared" si="10"/>
        <v>134.05366941753164</v>
      </c>
      <c r="AB21" s="137"/>
      <c r="AC21" s="204">
        <f t="shared" si="11"/>
        <v>3.6975423960787131E-3</v>
      </c>
    </row>
    <row r="22" spans="1:29">
      <c r="A22" s="118">
        <f>MAX(A$14:A21)+1</f>
        <v>7</v>
      </c>
      <c r="C22" s="118" t="s">
        <v>286</v>
      </c>
      <c r="E22" s="139" t="s">
        <v>287</v>
      </c>
      <c r="G22" s="144">
        <v>37</v>
      </c>
      <c r="I22" s="144">
        <v>3907.4969999999998</v>
      </c>
      <c r="K22" s="160">
        <f>('Rate Design'!H101+'Rate Design'!M101+'Rate Design'!Q101+'Rate Design'!U101)/1000</f>
        <v>353.06168986871876</v>
      </c>
      <c r="L22" s="159"/>
      <c r="M22" s="160">
        <f>'Rate Design'!Y101/1000</f>
        <v>12.12227658716885</v>
      </c>
      <c r="N22" s="160"/>
      <c r="O22" s="160">
        <f t="shared" si="5"/>
        <v>365.18396645588763</v>
      </c>
      <c r="Q22" s="160">
        <f t="shared" si="6"/>
        <v>353.06168986871876</v>
      </c>
      <c r="R22" s="159"/>
      <c r="S22" s="160">
        <f>'Rate Design'!AC101/1000</f>
        <v>13.40697437765685</v>
      </c>
      <c r="T22" s="160"/>
      <c r="U22" s="160">
        <f t="shared" si="7"/>
        <v>366.46866424637562</v>
      </c>
      <c r="W22" s="160">
        <f t="shared" si="8"/>
        <v>0</v>
      </c>
      <c r="X22" s="137"/>
      <c r="Y22" s="205">
        <f t="shared" si="9"/>
        <v>0</v>
      </c>
      <c r="Z22" s="137"/>
      <c r="AA22" s="160">
        <f t="shared" si="10"/>
        <v>1.2846977904879964</v>
      </c>
      <c r="AB22" s="137"/>
      <c r="AC22" s="205">
        <f t="shared" si="11"/>
        <v>3.5179468664957975E-3</v>
      </c>
    </row>
    <row r="23" spans="1:29">
      <c r="A23" s="118">
        <f>MAX(A$14:A22)+1</f>
        <v>8</v>
      </c>
      <c r="C23" s="145" t="s">
        <v>288</v>
      </c>
      <c r="G23" s="113">
        <f>SUM(G20:G22)</f>
        <v>15385</v>
      </c>
      <c r="I23" s="113">
        <f>SUM(I20:I22)</f>
        <v>6079744.8580845967</v>
      </c>
      <c r="K23" s="158">
        <f>SUM(K20:K22)</f>
        <v>541023.84692516853</v>
      </c>
      <c r="L23" s="159"/>
      <c r="M23" s="158">
        <f>SUM(M20:M22)</f>
        <v>19576.335280200583</v>
      </c>
      <c r="N23" s="158"/>
      <c r="O23" s="158">
        <f>SUM(O20:O22)</f>
        <v>560600.18220536911</v>
      </c>
      <c r="Q23" s="158">
        <f>SUM(Q20:Q22)</f>
        <v>541023.84692516853</v>
      </c>
      <c r="R23" s="159"/>
      <c r="S23" s="158">
        <f>SUM(S20:S22)</f>
        <v>21650.800895444179</v>
      </c>
      <c r="T23" s="158"/>
      <c r="U23" s="158">
        <f>SUM(U20:U22)</f>
        <v>562674.64782061276</v>
      </c>
      <c r="W23" s="158">
        <f>SUM(W20:W22)</f>
        <v>0</v>
      </c>
      <c r="X23" s="137"/>
      <c r="Y23" s="204">
        <f t="shared" si="9"/>
        <v>0</v>
      </c>
      <c r="Z23" s="137"/>
      <c r="AA23" s="158">
        <f>SUM(AA20:AA22)</f>
        <v>2074.4656152435887</v>
      </c>
      <c r="AB23" s="137"/>
      <c r="AC23" s="204">
        <f t="shared" si="11"/>
        <v>3.7004369265146498E-3</v>
      </c>
    </row>
    <row r="24" spans="1:29" ht="23.1" customHeight="1">
      <c r="A24" s="118">
        <f>MAX(A$14:A23)+1</f>
        <v>9</v>
      </c>
      <c r="C24" s="140" t="s">
        <v>289</v>
      </c>
      <c r="E24" s="118">
        <v>8</v>
      </c>
      <c r="F24" s="113"/>
      <c r="G24" s="113">
        <v>274</v>
      </c>
      <c r="I24" s="113">
        <v>2187047.3255884075</v>
      </c>
      <c r="K24" s="158">
        <f>('Rate Design'!H165+'Rate Design'!M165+'Rate Design'!Q165+'Rate Design'!U165)/1000</f>
        <v>171335.0615628805</v>
      </c>
      <c r="L24" s="159"/>
      <c r="M24" s="158">
        <f>'Rate Design'!Y165/1000</f>
        <v>6194.012640576273</v>
      </c>
      <c r="N24" s="158"/>
      <c r="O24" s="158">
        <f t="shared" ref="O24:O26" si="12">K24+M24</f>
        <v>177529.07420345678</v>
      </c>
      <c r="Q24" s="158">
        <f t="shared" ref="Q24:Q26" si="13">K24</f>
        <v>171335.0615628805</v>
      </c>
      <c r="R24" s="159"/>
      <c r="S24" s="158">
        <f>'Rate Design'!AC165/1000</f>
        <v>6861.3233946715063</v>
      </c>
      <c r="T24" s="158"/>
      <c r="U24" s="158">
        <f t="shared" ref="U24:U26" si="14">Q24+S24</f>
        <v>178196.38495755201</v>
      </c>
      <c r="W24" s="158">
        <f t="shared" ref="W24:W26" si="15">Q24-K24</f>
        <v>0</v>
      </c>
      <c r="X24" s="137"/>
      <c r="Y24" s="204">
        <f t="shared" si="9"/>
        <v>0</v>
      </c>
      <c r="Z24" s="137"/>
      <c r="AA24" s="158">
        <f t="shared" ref="AA24:AA26" si="16">U24-O24</f>
        <v>667.31075409523328</v>
      </c>
      <c r="AB24" s="137"/>
      <c r="AC24" s="204">
        <f t="shared" si="11"/>
        <v>3.7588815076592093E-3</v>
      </c>
    </row>
    <row r="25" spans="1:29" ht="23.1" customHeight="1">
      <c r="A25" s="118">
        <f>MAX(A$14:A24)+1</f>
        <v>10</v>
      </c>
      <c r="C25" s="118" t="s">
        <v>290</v>
      </c>
      <c r="E25" s="118">
        <v>9</v>
      </c>
      <c r="G25" s="113">
        <v>149</v>
      </c>
      <c r="I25" s="113">
        <v>5027435.5407653069</v>
      </c>
      <c r="K25" s="158">
        <f>('Rate Design'!H176+'Rate Design'!M176+'Rate Design'!Q176+'Rate Design'!U176)/1000</f>
        <v>292863.44154472009</v>
      </c>
      <c r="L25" s="159"/>
      <c r="M25" s="158">
        <f>'Rate Design'!Y176/1000</f>
        <v>10614.104483373339</v>
      </c>
      <c r="N25" s="158"/>
      <c r="O25" s="158">
        <f t="shared" si="12"/>
        <v>303477.54602809343</v>
      </c>
      <c r="Q25" s="158">
        <f t="shared" si="13"/>
        <v>292863.44154472009</v>
      </c>
      <c r="R25" s="159"/>
      <c r="S25" s="158">
        <f>'Rate Design'!AC176/1000</f>
        <v>11725.222859043275</v>
      </c>
      <c r="T25" s="158"/>
      <c r="U25" s="158">
        <f t="shared" si="14"/>
        <v>304588.66440376337</v>
      </c>
      <c r="W25" s="158">
        <f t="shared" si="15"/>
        <v>0</v>
      </c>
      <c r="X25" s="137"/>
      <c r="Y25" s="204">
        <f t="shared" si="9"/>
        <v>0</v>
      </c>
      <c r="Z25" s="137"/>
      <c r="AA25" s="158">
        <f t="shared" si="16"/>
        <v>1111.118375669932</v>
      </c>
      <c r="AB25" s="137"/>
      <c r="AC25" s="204">
        <f t="shared" si="11"/>
        <v>3.6612869393871858E-3</v>
      </c>
    </row>
    <row r="26" spans="1:29">
      <c r="A26" s="118">
        <f>MAX(A$14:A25)+1</f>
        <v>11</v>
      </c>
      <c r="C26" s="118" t="s">
        <v>291</v>
      </c>
      <c r="E26" s="139" t="s">
        <v>292</v>
      </c>
      <c r="G26" s="144">
        <v>9</v>
      </c>
      <c r="I26" s="144">
        <v>42590.781425473026</v>
      </c>
      <c r="K26" s="160">
        <f>('Rate Design'!H184+'Rate Design'!M184+'Rate Design'!Q184+'Rate Design'!U184)/1000</f>
        <v>3384.3224357409481</v>
      </c>
      <c r="L26" s="159"/>
      <c r="M26" s="160">
        <f>'Rate Design'!Y184/1000</f>
        <v>122.5067909045446</v>
      </c>
      <c r="N26" s="160"/>
      <c r="O26" s="160">
        <f t="shared" si="12"/>
        <v>3506.8292266454928</v>
      </c>
      <c r="Q26" s="160">
        <f t="shared" si="13"/>
        <v>3384.3224357409481</v>
      </c>
      <c r="R26" s="159"/>
      <c r="S26" s="160">
        <f>'Rate Design'!AC184/1000</f>
        <v>135.26092256036023</v>
      </c>
      <c r="T26" s="160"/>
      <c r="U26" s="160">
        <f t="shared" si="14"/>
        <v>3519.5833583013082</v>
      </c>
      <c r="W26" s="160">
        <f t="shared" si="15"/>
        <v>0</v>
      </c>
      <c r="X26" s="137"/>
      <c r="Y26" s="205">
        <f t="shared" si="9"/>
        <v>0</v>
      </c>
      <c r="Z26" s="137"/>
      <c r="AA26" s="160">
        <f t="shared" si="16"/>
        <v>12.754131655815399</v>
      </c>
      <c r="AB26" s="137"/>
      <c r="AC26" s="205">
        <f t="shared" si="11"/>
        <v>3.6369411886120113E-3</v>
      </c>
    </row>
    <row r="27" spans="1:29">
      <c r="A27" s="118">
        <f>MAX(A$14:A26)+1</f>
        <v>12</v>
      </c>
      <c r="C27" s="145" t="s">
        <v>293</v>
      </c>
      <c r="G27" s="113">
        <f>SUM(G25:G26)</f>
        <v>158</v>
      </c>
      <c r="I27" s="113">
        <f>SUM(I25:I26)</f>
        <v>5070026.3221907802</v>
      </c>
      <c r="K27" s="158">
        <f>SUM(K25:K26)</f>
        <v>296247.76398046105</v>
      </c>
      <c r="L27" s="159"/>
      <c r="M27" s="158">
        <f>SUM(M25:M26)</f>
        <v>10736.611274277884</v>
      </c>
      <c r="N27" s="158"/>
      <c r="O27" s="158">
        <f>SUM(O25:O26)</f>
        <v>306984.3752547389</v>
      </c>
      <c r="Q27" s="158">
        <f>SUM(Q25:Q26)</f>
        <v>296247.76398046105</v>
      </c>
      <c r="R27" s="159"/>
      <c r="S27" s="158">
        <f>SUM(S25:S26)</f>
        <v>11860.483781603636</v>
      </c>
      <c r="T27" s="158"/>
      <c r="U27" s="158">
        <f>SUM(U25:U26)</f>
        <v>308108.24776206468</v>
      </c>
      <c r="W27" s="158">
        <f>SUM(W25:W26)</f>
        <v>0</v>
      </c>
      <c r="X27" s="137"/>
      <c r="Y27" s="204">
        <f t="shared" si="9"/>
        <v>0</v>
      </c>
      <c r="Z27" s="137"/>
      <c r="AA27" s="158">
        <f>SUM(AA25:AA26)</f>
        <v>1123.8725073257474</v>
      </c>
      <c r="AB27" s="137"/>
      <c r="AC27" s="204">
        <f t="shared" si="11"/>
        <v>3.6610088262412251E-3</v>
      </c>
    </row>
    <row r="28" spans="1:29" ht="23.1" customHeight="1">
      <c r="A28" s="118">
        <f>MAX(A$14:A27)+1</f>
        <v>13</v>
      </c>
      <c r="C28" s="118" t="s">
        <v>294</v>
      </c>
      <c r="E28" s="139">
        <v>10</v>
      </c>
      <c r="G28" s="113">
        <v>2784.3333333333335</v>
      </c>
      <c r="I28" s="113">
        <v>173133.39199999999</v>
      </c>
      <c r="K28" s="158">
        <f>('Rate Design'!H200+'Rate Design'!M200+'Rate Design'!Q200+'Rate Design'!U200)/1000</f>
        <v>13542.030936593606</v>
      </c>
      <c r="L28" s="159"/>
      <c r="M28" s="158">
        <f>'Rate Design'!Y200/1000</f>
        <v>490.19890564128224</v>
      </c>
      <c r="N28" s="158"/>
      <c r="O28" s="158">
        <f t="shared" ref="O28:O29" si="17">K28+M28</f>
        <v>14032.229842234889</v>
      </c>
      <c r="Q28" s="158">
        <f t="shared" ref="Q28:Q29" si="18">K28</f>
        <v>13542.030936593606</v>
      </c>
      <c r="R28" s="159"/>
      <c r="S28" s="158">
        <f>'Rate Design'!AC200/1000</f>
        <v>541.59072639399722</v>
      </c>
      <c r="T28" s="158"/>
      <c r="U28" s="158">
        <f t="shared" ref="U28:U29" si="19">Q28+S28</f>
        <v>14083.621662987603</v>
      </c>
      <c r="W28" s="158">
        <f t="shared" ref="W28:W29" si="20">Q28-K28</f>
        <v>0</v>
      </c>
      <c r="X28" s="137"/>
      <c r="Y28" s="204">
        <f t="shared" si="9"/>
        <v>0</v>
      </c>
      <c r="Z28" s="137"/>
      <c r="AA28" s="158">
        <f t="shared" ref="AA28:AA29" si="21">U28-O28</f>
        <v>51.391820752714921</v>
      </c>
      <c r="AB28" s="137"/>
      <c r="AC28" s="204">
        <f t="shared" si="11"/>
        <v>3.662412982862732E-3</v>
      </c>
    </row>
    <row r="29" spans="1:29">
      <c r="A29" s="118">
        <f>MAX(A$14:A28)+1</f>
        <v>14</v>
      </c>
      <c r="C29" s="118" t="s">
        <v>295</v>
      </c>
      <c r="E29" s="139" t="s">
        <v>296</v>
      </c>
      <c r="G29" s="144">
        <v>261</v>
      </c>
      <c r="I29" s="144">
        <v>16756.608</v>
      </c>
      <c r="K29" s="160">
        <f>('Rate Design'!H216+'Rate Design'!M216+'Rate Design'!Q216+'Rate Design'!U216)/1000</f>
        <v>1317.9403090913918</v>
      </c>
      <c r="L29" s="159"/>
      <c r="M29" s="160">
        <f>'Rate Design'!Y216/1000</f>
        <v>47.750117498199785</v>
      </c>
      <c r="N29" s="160"/>
      <c r="O29" s="160">
        <f t="shared" si="17"/>
        <v>1365.6904265895917</v>
      </c>
      <c r="Q29" s="160">
        <f t="shared" si="18"/>
        <v>1317.9403090913918</v>
      </c>
      <c r="R29" s="159"/>
      <c r="S29" s="160">
        <f>'Rate Design'!AC216/1000</f>
        <v>52.756178203656205</v>
      </c>
      <c r="T29" s="160"/>
      <c r="U29" s="160">
        <f t="shared" si="19"/>
        <v>1370.696487295048</v>
      </c>
      <c r="W29" s="160">
        <f t="shared" si="20"/>
        <v>0</v>
      </c>
      <c r="X29" s="137"/>
      <c r="Y29" s="205">
        <f t="shared" si="9"/>
        <v>0</v>
      </c>
      <c r="Z29" s="137"/>
      <c r="AA29" s="160">
        <f t="shared" si="21"/>
        <v>5.0060607054563206</v>
      </c>
      <c r="AB29" s="137"/>
      <c r="AC29" s="205">
        <f t="shared" si="11"/>
        <v>3.6655896592593671E-3</v>
      </c>
    </row>
    <row r="30" spans="1:29">
      <c r="A30" s="118">
        <f>MAX(A$14:A29)+1</f>
        <v>15</v>
      </c>
      <c r="C30" s="145" t="s">
        <v>297</v>
      </c>
      <c r="G30" s="113">
        <f>SUM(G28:G29)</f>
        <v>3045.3333333333335</v>
      </c>
      <c r="I30" s="113">
        <f>SUM(I28:I29)</f>
        <v>189890</v>
      </c>
      <c r="K30" s="158">
        <f>SUM(K28:K29)</f>
        <v>14859.971245684997</v>
      </c>
      <c r="L30" s="159"/>
      <c r="M30" s="158">
        <f>SUM(M28:M29)</f>
        <v>537.94902313948205</v>
      </c>
      <c r="N30" s="158"/>
      <c r="O30" s="158">
        <f>SUM(O28:O29)</f>
        <v>15397.92026882448</v>
      </c>
      <c r="Q30" s="158">
        <f>SUM(Q28:Q29)</f>
        <v>14859.971245684997</v>
      </c>
      <c r="R30" s="159"/>
      <c r="S30" s="158">
        <f>SUM(S28:S29)</f>
        <v>594.34690459765341</v>
      </c>
      <c r="T30" s="158"/>
      <c r="U30" s="158">
        <f>SUM(U28:U29)</f>
        <v>15454.318150282652</v>
      </c>
      <c r="W30" s="158">
        <f>SUM(W28:W29)</f>
        <v>0</v>
      </c>
      <c r="X30" s="137"/>
      <c r="Y30" s="204">
        <f t="shared" si="9"/>
        <v>0</v>
      </c>
      <c r="Z30" s="137"/>
      <c r="AA30" s="158">
        <f>SUM(AA28:AA29)</f>
        <v>56.397881458171241</v>
      </c>
      <c r="AB30" s="137"/>
      <c r="AC30" s="204">
        <f t="shared" si="11"/>
        <v>3.6626947323761413E-3</v>
      </c>
    </row>
    <row r="31" spans="1:29" ht="23.1" customHeight="1">
      <c r="A31" s="118">
        <f>MAX(A$14:A30)+1</f>
        <v>16</v>
      </c>
      <c r="C31" s="118" t="s">
        <v>298</v>
      </c>
      <c r="E31" s="118">
        <v>21</v>
      </c>
      <c r="G31" s="113">
        <v>5</v>
      </c>
      <c r="I31" s="113">
        <v>4048.7003377015881</v>
      </c>
      <c r="K31" s="158">
        <f>('Rate Design'!H383+'Rate Design'!M383+'Rate Design'!Q383+'Rate Design'!U383)/1000</f>
        <v>488.83815184061638</v>
      </c>
      <c r="L31" s="159"/>
      <c r="M31" s="158">
        <f>'Rate Design'!Y383/1000</f>
        <v>17.708827987734679</v>
      </c>
      <c r="N31" s="158"/>
      <c r="O31" s="158">
        <f t="shared" ref="O31:O37" si="22">K31+M31</f>
        <v>506.54697982835103</v>
      </c>
      <c r="Q31" s="158">
        <f t="shared" ref="Q31:Q37" si="23">K31</f>
        <v>488.83815184061638</v>
      </c>
      <c r="R31" s="159"/>
      <c r="S31" s="158">
        <f>'Rate Design'!AC383/1000</f>
        <v>19.537456964729021</v>
      </c>
      <c r="T31" s="158"/>
      <c r="U31" s="158">
        <f t="shared" ref="U31:U37" si="24">Q31+S31</f>
        <v>508.37560880534539</v>
      </c>
      <c r="W31" s="158">
        <f t="shared" ref="W31:W37" si="25">Q31-K31</f>
        <v>0</v>
      </c>
      <c r="X31" s="137"/>
      <c r="Y31" s="204">
        <f t="shared" si="9"/>
        <v>0</v>
      </c>
      <c r="Z31" s="137"/>
      <c r="AA31" s="158">
        <f t="shared" ref="AA31:AA37" si="26">U31-O31</f>
        <v>1.8286289769943664</v>
      </c>
      <c r="AB31" s="137"/>
      <c r="AC31" s="204">
        <f t="shared" si="11"/>
        <v>3.6099889049067422E-3</v>
      </c>
    </row>
    <row r="32" spans="1:29">
      <c r="A32" s="118">
        <f>MAX(A$14:A31)+1</f>
        <v>17</v>
      </c>
      <c r="C32" s="118" t="s">
        <v>299</v>
      </c>
      <c r="E32" s="143">
        <v>23</v>
      </c>
      <c r="G32" s="113">
        <v>82668</v>
      </c>
      <c r="I32" s="113">
        <v>1390888.2107534346</v>
      </c>
      <c r="K32" s="158">
        <f>('Rate Design'!H396+'Rate Design'!M396+'Rate Design'!Q396+'Rate Design'!U396)/1000</f>
        <v>142010.71815382116</v>
      </c>
      <c r="L32" s="159"/>
      <c r="M32" s="158">
        <f>'Rate Design'!Y396/1000</f>
        <v>5138.321934183643</v>
      </c>
      <c r="N32" s="158"/>
      <c r="O32" s="158">
        <f t="shared" si="22"/>
        <v>147149.04008800481</v>
      </c>
      <c r="Q32" s="158">
        <f t="shared" si="23"/>
        <v>142010.71815382116</v>
      </c>
      <c r="R32" s="159"/>
      <c r="S32" s="158">
        <f>'Rate Design'!AC396/1000</f>
        <v>5679.8931406143101</v>
      </c>
      <c r="T32" s="158"/>
      <c r="U32" s="158">
        <f t="shared" si="24"/>
        <v>147690.61129443548</v>
      </c>
      <c r="W32" s="158">
        <f t="shared" si="25"/>
        <v>0</v>
      </c>
      <c r="X32" s="137"/>
      <c r="Y32" s="204">
        <f t="shared" si="9"/>
        <v>0</v>
      </c>
      <c r="Z32" s="137"/>
      <c r="AA32" s="158">
        <f t="shared" si="26"/>
        <v>541.57120643067174</v>
      </c>
      <c r="AB32" s="137"/>
      <c r="AC32" s="204">
        <f t="shared" si="11"/>
        <v>3.6804263630043151E-3</v>
      </c>
    </row>
    <row r="33" spans="1:29">
      <c r="A33" s="118">
        <f>MAX(A$14:A32)+1</f>
        <v>18</v>
      </c>
      <c r="C33" s="118" t="s">
        <v>300</v>
      </c>
      <c r="E33" s="118">
        <v>31</v>
      </c>
      <c r="G33" s="113">
        <v>4</v>
      </c>
      <c r="I33" s="113">
        <v>56282.44502511515</v>
      </c>
      <c r="K33" s="158">
        <f>('Rate Design'!H457+'Rate Design'!M457+'Rate Design'!Q457+'Rate Design'!U457)/1000</f>
        <v>4672.4510428710246</v>
      </c>
      <c r="L33" s="159"/>
      <c r="M33" s="158">
        <f>'Rate Design'!Y457/1000</f>
        <v>169.11875237444769</v>
      </c>
      <c r="N33" s="158"/>
      <c r="O33" s="158">
        <f t="shared" si="22"/>
        <v>4841.5697952454721</v>
      </c>
      <c r="Q33" s="158">
        <f t="shared" si="23"/>
        <v>4672.4510428710246</v>
      </c>
      <c r="R33" s="159"/>
      <c r="S33" s="158">
        <f>'Rate Design'!AC457/1000</f>
        <v>186.91892281912808</v>
      </c>
      <c r="T33" s="158"/>
      <c r="U33" s="158">
        <f t="shared" si="24"/>
        <v>4859.3699656901526</v>
      </c>
      <c r="W33" s="158">
        <f t="shared" si="25"/>
        <v>0</v>
      </c>
      <c r="X33" s="137"/>
      <c r="Y33" s="204">
        <f t="shared" si="9"/>
        <v>0</v>
      </c>
      <c r="Z33" s="137"/>
      <c r="AA33" s="158">
        <f t="shared" si="26"/>
        <v>17.800170444680589</v>
      </c>
      <c r="AB33" s="137"/>
      <c r="AC33" s="204">
        <f t="shared" si="11"/>
        <v>3.6765287287938609E-3</v>
      </c>
    </row>
    <row r="34" spans="1:29">
      <c r="A34" s="118">
        <f>MAX(A$14:A33)+1</f>
        <v>19</v>
      </c>
      <c r="C34" s="140" t="s">
        <v>234</v>
      </c>
      <c r="E34" s="139" t="s">
        <v>280</v>
      </c>
      <c r="G34" s="113">
        <v>1</v>
      </c>
      <c r="I34" s="113">
        <v>535721.17000000004</v>
      </c>
      <c r="K34" s="158">
        <f>('Rate Design'!H464+'Rate Design'!M464+'Rate Design'!Q464+'Rate Design'!U464)/1000</f>
        <v>28631.806780724877</v>
      </c>
      <c r="L34" s="159"/>
      <c r="M34" s="158"/>
      <c r="N34" s="158"/>
      <c r="O34" s="158">
        <f t="shared" si="22"/>
        <v>28631.806780724877</v>
      </c>
      <c r="Q34" s="158">
        <f t="shared" si="23"/>
        <v>28631.806780724877</v>
      </c>
      <c r="R34" s="159"/>
      <c r="S34" s="158"/>
      <c r="T34" s="158"/>
      <c r="U34" s="158">
        <f t="shared" si="24"/>
        <v>28631.806780724877</v>
      </c>
      <c r="W34" s="158">
        <f t="shared" si="25"/>
        <v>0</v>
      </c>
      <c r="X34" s="137"/>
      <c r="Y34" s="204">
        <f t="shared" si="9"/>
        <v>0</v>
      </c>
      <c r="Z34" s="137"/>
      <c r="AA34" s="158">
        <f t="shared" si="26"/>
        <v>0</v>
      </c>
      <c r="AB34" s="137"/>
      <c r="AC34" s="204">
        <f t="shared" si="11"/>
        <v>0</v>
      </c>
    </row>
    <row r="35" spans="1:29">
      <c r="A35" s="118">
        <f>MAX(A$14:A34)+1</f>
        <v>20</v>
      </c>
      <c r="C35" s="140" t="s">
        <v>238</v>
      </c>
      <c r="E35" s="139" t="s">
        <v>280</v>
      </c>
      <c r="G35" s="113">
        <v>1</v>
      </c>
      <c r="I35" s="113">
        <v>795798.67578575748</v>
      </c>
      <c r="K35" s="158">
        <f>('Rate Design'!H469+'Rate Design'!M469+'Rate Design'!Q469+'Rate Design'!U469)/1000</f>
        <v>35904.399359999996</v>
      </c>
      <c r="L35" s="159"/>
      <c r="M35" s="158"/>
      <c r="N35" s="158"/>
      <c r="O35" s="158">
        <f t="shared" si="22"/>
        <v>35904.399359999996</v>
      </c>
      <c r="Q35" s="158">
        <f t="shared" si="23"/>
        <v>35904.399359999996</v>
      </c>
      <c r="R35" s="159"/>
      <c r="S35" s="158"/>
      <c r="T35" s="158"/>
      <c r="U35" s="158">
        <f t="shared" si="24"/>
        <v>35904.399359999996</v>
      </c>
      <c r="W35" s="158">
        <f t="shared" si="25"/>
        <v>0</v>
      </c>
      <c r="X35" s="137"/>
      <c r="Y35" s="204">
        <f t="shared" si="9"/>
        <v>0</v>
      </c>
      <c r="Z35" s="137"/>
      <c r="AA35" s="158">
        <f t="shared" si="26"/>
        <v>0</v>
      </c>
      <c r="AB35" s="137"/>
      <c r="AC35" s="204">
        <f t="shared" si="11"/>
        <v>0</v>
      </c>
    </row>
    <row r="36" spans="1:29">
      <c r="A36" s="118">
        <f>MAX(A$14:A35)+1</f>
        <v>21</v>
      </c>
      <c r="C36" s="140" t="s">
        <v>240</v>
      </c>
      <c r="E36" s="139" t="s">
        <v>280</v>
      </c>
      <c r="G36" s="113">
        <v>1</v>
      </c>
      <c r="I36" s="113">
        <v>621809.33325000003</v>
      </c>
      <c r="K36" s="158">
        <f>('Rate Design'!H491+'Rate Design'!M491+'Rate Design'!Q491+'Rate Design'!U491)/1000</f>
        <v>30879.891124291691</v>
      </c>
      <c r="L36" s="159"/>
      <c r="M36" s="158"/>
      <c r="N36" s="158"/>
      <c r="O36" s="158">
        <f t="shared" si="22"/>
        <v>30879.891124291691</v>
      </c>
      <c r="Q36" s="158">
        <f t="shared" si="23"/>
        <v>30879.891124291691</v>
      </c>
      <c r="R36" s="159"/>
      <c r="S36" s="158"/>
      <c r="T36" s="158"/>
      <c r="U36" s="158">
        <f t="shared" si="24"/>
        <v>30879.891124291691</v>
      </c>
      <c r="W36" s="158">
        <f t="shared" si="25"/>
        <v>0</v>
      </c>
      <c r="X36" s="137"/>
      <c r="Y36" s="204">
        <f t="shared" si="9"/>
        <v>0</v>
      </c>
      <c r="Z36" s="137"/>
      <c r="AA36" s="158">
        <f t="shared" si="26"/>
        <v>0</v>
      </c>
      <c r="AB36" s="137"/>
      <c r="AC36" s="204">
        <f t="shared" si="11"/>
        <v>0</v>
      </c>
    </row>
    <row r="37" spans="1:29">
      <c r="A37" s="118">
        <f>MAX(A$14:A36)+1</f>
        <v>22</v>
      </c>
      <c r="C37" s="140" t="s">
        <v>279</v>
      </c>
      <c r="E37" s="141" t="s">
        <v>280</v>
      </c>
      <c r="G37" s="142"/>
      <c r="I37" s="142"/>
      <c r="K37" s="160">
        <v>2927.6937100000005</v>
      </c>
      <c r="L37" s="159"/>
      <c r="M37" s="160"/>
      <c r="N37" s="160"/>
      <c r="O37" s="160">
        <f t="shared" si="22"/>
        <v>2927.6937100000005</v>
      </c>
      <c r="Q37" s="160">
        <f t="shared" si="23"/>
        <v>2927.6937100000005</v>
      </c>
      <c r="R37" s="159"/>
      <c r="S37" s="160"/>
      <c r="T37" s="160"/>
      <c r="U37" s="160">
        <f t="shared" si="24"/>
        <v>2927.6937100000005</v>
      </c>
      <c r="W37" s="160">
        <f t="shared" si="25"/>
        <v>0</v>
      </c>
      <c r="X37" s="137"/>
      <c r="Y37" s="205">
        <f t="shared" si="9"/>
        <v>0</v>
      </c>
      <c r="Z37" s="137"/>
      <c r="AA37" s="160">
        <f t="shared" si="26"/>
        <v>0</v>
      </c>
      <c r="AB37" s="137"/>
      <c r="AC37" s="205">
        <f t="shared" si="11"/>
        <v>0</v>
      </c>
    </row>
    <row r="38" spans="1:29">
      <c r="A38" s="118">
        <f>MAX(A$14:A37)+1</f>
        <v>23</v>
      </c>
      <c r="C38" s="128" t="s">
        <v>301</v>
      </c>
      <c r="G38" s="113">
        <f>SUM(G20:G22,G24:G26,G28:G29,G31:G37)</f>
        <v>101542.33333333333</v>
      </c>
      <c r="I38" s="113">
        <f>SUM(I20:I22,I24:I26,I28:I29,I31:I37)</f>
        <v>16931257.041015793</v>
      </c>
      <c r="K38" s="158">
        <f>SUM(K20:K22,K24:K26,K28:K29,K31:K37)</f>
        <v>1268982.4420377442</v>
      </c>
      <c r="L38" s="159"/>
      <c r="M38" s="158">
        <f>SUM(M20:M22,M24:M26,M28:M29,M31:M37)</f>
        <v>42370.057732740053</v>
      </c>
      <c r="N38" s="158"/>
      <c r="O38" s="158">
        <f>SUM(O20:O22,O24:O26,O28:O29,O31:O37)</f>
        <v>1311352.4997704844</v>
      </c>
      <c r="Q38" s="158">
        <f>SUM(Q20:Q22,Q24:Q26,Q28:Q29,Q31:Q37)</f>
        <v>1268982.4420377442</v>
      </c>
      <c r="R38" s="159"/>
      <c r="S38" s="158">
        <f>SUM(S20:S22,S24:S26,S28:S29,S31:S37)</f>
        <v>46853.304496715144</v>
      </c>
      <c r="T38" s="158"/>
      <c r="U38" s="158">
        <f>SUM(U20:U22,U24:U26,U28:U29,U31:U37)</f>
        <v>1315835.7465344595</v>
      </c>
      <c r="W38" s="158">
        <f>SUM(W20:W22,W24:W26,W28:W29,W31:W37)</f>
        <v>0</v>
      </c>
      <c r="X38" s="137"/>
      <c r="Y38" s="204">
        <f t="shared" si="9"/>
        <v>0</v>
      </c>
      <c r="Z38" s="137"/>
      <c r="AA38" s="158">
        <f>SUM(AA20:AA22,AA24:AA26,AA28:AA29,AA31:AA37)</f>
        <v>4483.2467639750876</v>
      </c>
      <c r="AB38" s="137"/>
      <c r="AC38" s="204">
        <f t="shared" si="11"/>
        <v>3.418796063422882E-3</v>
      </c>
    </row>
    <row r="39" spans="1:29" ht="28.5" customHeight="1">
      <c r="C39" s="128" t="s">
        <v>302</v>
      </c>
      <c r="G39" s="113"/>
      <c r="I39" s="113"/>
      <c r="K39" s="158"/>
      <c r="L39" s="159"/>
      <c r="M39" s="158"/>
      <c r="N39" s="158"/>
      <c r="O39" s="158"/>
      <c r="Q39" s="158"/>
      <c r="R39" s="159"/>
      <c r="S39" s="158"/>
      <c r="T39" s="158"/>
      <c r="U39" s="158"/>
      <c r="W39" s="158"/>
      <c r="X39" s="137"/>
      <c r="Y39" s="204"/>
      <c r="Z39" s="137"/>
      <c r="AA39" s="158"/>
      <c r="AB39" s="137"/>
      <c r="AC39" s="204"/>
    </row>
    <row r="40" spans="1:29">
      <c r="A40" s="118">
        <f>MAX(A$14:A39)+1</f>
        <v>24</v>
      </c>
      <c r="C40" s="118" t="s">
        <v>303</v>
      </c>
      <c r="E40" s="118">
        <v>7</v>
      </c>
      <c r="G40" s="113">
        <v>8046</v>
      </c>
      <c r="I40" s="113">
        <v>12440.930563737753</v>
      </c>
      <c r="K40" s="158">
        <f>('Rate Design'!H153+'Rate Design'!M153+'Rate Design'!Q153+'Rate Design'!U153)/1000</f>
        <v>3038.7774520836415</v>
      </c>
      <c r="L40" s="159"/>
      <c r="M40" s="158">
        <f>'Rate Design'!Y153/1000</f>
        <v>110.00374376542783</v>
      </c>
      <c r="N40" s="158"/>
      <c r="O40" s="158">
        <f>K40+M40</f>
        <v>3148.7811958490693</v>
      </c>
      <c r="Q40" s="158">
        <f t="shared" ref="Q40:Q44" si="27">K40</f>
        <v>3038.7774520836415</v>
      </c>
      <c r="R40" s="159"/>
      <c r="S40" s="158">
        <f>'Rate Design'!AC153/1000</f>
        <v>121.55109808334566</v>
      </c>
      <c r="T40" s="158"/>
      <c r="U40" s="158">
        <f>Q40+S40</f>
        <v>3160.328550166987</v>
      </c>
      <c r="W40" s="158">
        <f>Q40-K40</f>
        <v>0</v>
      </c>
      <c r="X40" s="137"/>
      <c r="Y40" s="204">
        <f t="shared" si="9"/>
        <v>0</v>
      </c>
      <c r="Z40" s="137"/>
      <c r="AA40" s="158">
        <f t="shared" ref="AA40:AA44" si="28">U40-O40</f>
        <v>11.54735431791778</v>
      </c>
      <c r="AB40" s="137"/>
      <c r="AC40" s="204">
        <f t="shared" si="11"/>
        <v>3.6672457054622476E-3</v>
      </c>
    </row>
    <row r="41" spans="1:29">
      <c r="A41" s="118">
        <f>MAX(A$14:A40)+1</f>
        <v>25</v>
      </c>
      <c r="C41" s="118" t="s">
        <v>304</v>
      </c>
      <c r="E41" s="118">
        <v>11</v>
      </c>
      <c r="G41" s="113">
        <v>809.41666666666663</v>
      </c>
      <c r="I41" s="113">
        <v>16496.197391013095</v>
      </c>
      <c r="K41" s="158">
        <f>('Rate Design'!H268+'Rate Design'!M268+'Rate Design'!Q268+'Rate Design'!U268)/1000</f>
        <v>5045.145723607704</v>
      </c>
      <c r="L41" s="159"/>
      <c r="M41" s="158">
        <f>'Rate Design'!Y268/1000</f>
        <v>182.63427519459893</v>
      </c>
      <c r="N41" s="158"/>
      <c r="O41" s="158">
        <f t="shared" ref="O41:O44" si="29">K41+M41</f>
        <v>5227.7799988023025</v>
      </c>
      <c r="Q41" s="158">
        <f t="shared" si="27"/>
        <v>5045.145723607704</v>
      </c>
      <c r="R41" s="159"/>
      <c r="S41" s="158">
        <f>'Rate Design'!AC268/1000</f>
        <v>201.80582894430816</v>
      </c>
      <c r="T41" s="158"/>
      <c r="U41" s="158">
        <f t="shared" ref="U41:U44" si="30">Q41+S41</f>
        <v>5246.9515525520119</v>
      </c>
      <c r="W41" s="158">
        <f t="shared" ref="W41:W44" si="31">Q41-K41</f>
        <v>0</v>
      </c>
      <c r="X41" s="137"/>
      <c r="Y41" s="204">
        <f t="shared" si="9"/>
        <v>0</v>
      </c>
      <c r="Z41" s="137"/>
      <c r="AA41" s="158">
        <f t="shared" si="28"/>
        <v>19.171553749709346</v>
      </c>
      <c r="AB41" s="137"/>
      <c r="AC41" s="204">
        <f t="shared" si="11"/>
        <v>3.6672457054622797E-3</v>
      </c>
    </row>
    <row r="42" spans="1:29">
      <c r="A42" s="118">
        <f>MAX(A$14:A41)+1</f>
        <v>26</v>
      </c>
      <c r="C42" s="118" t="s">
        <v>305</v>
      </c>
      <c r="E42" s="118">
        <v>12</v>
      </c>
      <c r="G42" s="113">
        <v>839</v>
      </c>
      <c r="I42" s="146">
        <v>56516.774129293255</v>
      </c>
      <c r="K42" s="158">
        <f>('Rate Design'!H351+'Rate Design'!M351+'Rate Design'!Q351+'Rate Design'!U351)/1000</f>
        <v>4199.7543562289402</v>
      </c>
      <c r="L42" s="159"/>
      <c r="M42" s="158">
        <f>'Rate Design'!Y351/1000</f>
        <v>152.03110769548763</v>
      </c>
      <c r="N42" s="158"/>
      <c r="O42" s="158">
        <f t="shared" si="29"/>
        <v>4351.7854639244279</v>
      </c>
      <c r="Q42" s="158">
        <f t="shared" si="27"/>
        <v>4199.7543562289402</v>
      </c>
      <c r="R42" s="159"/>
      <c r="S42" s="158">
        <f>'Rate Design'!AC351/1000</f>
        <v>167.9901742491576</v>
      </c>
      <c r="T42" s="158"/>
      <c r="U42" s="158">
        <f t="shared" si="30"/>
        <v>4367.7445304780977</v>
      </c>
      <c r="W42" s="158">
        <f t="shared" si="31"/>
        <v>0</v>
      </c>
      <c r="X42" s="137"/>
      <c r="Y42" s="204">
        <f t="shared" si="9"/>
        <v>0</v>
      </c>
      <c r="Z42" s="137"/>
      <c r="AA42" s="158">
        <f t="shared" si="28"/>
        <v>15.9590665536698</v>
      </c>
      <c r="AB42" s="137"/>
      <c r="AC42" s="204">
        <f t="shared" si="11"/>
        <v>3.6672457054622264E-3</v>
      </c>
    </row>
    <row r="43" spans="1:29">
      <c r="A43" s="118">
        <f>MAX(A$14:A42)+1</f>
        <v>27</v>
      </c>
      <c r="C43" s="118" t="s">
        <v>306</v>
      </c>
      <c r="E43" s="118">
        <v>15</v>
      </c>
      <c r="G43" s="113">
        <v>2466</v>
      </c>
      <c r="I43" s="146">
        <v>6177.9471587633907</v>
      </c>
      <c r="K43" s="158">
        <f>('Rate Design'!H366+'Rate Design'!M366+'Rate Design'!Q366+'Rate Design'!U366)/1000</f>
        <v>694.40467089555887</v>
      </c>
      <c r="L43" s="161"/>
      <c r="M43" s="162">
        <f>'Rate Design'!Y366/1000</f>
        <v>25.092778866270379</v>
      </c>
      <c r="N43" s="162"/>
      <c r="O43" s="162">
        <f t="shared" si="29"/>
        <v>719.49744976182922</v>
      </c>
      <c r="Q43" s="158">
        <f t="shared" si="27"/>
        <v>694.40467089555887</v>
      </c>
      <c r="R43" s="161"/>
      <c r="S43" s="162">
        <f>'Rate Design'!AC366/1000</f>
        <v>27.750912220748177</v>
      </c>
      <c r="T43" s="162"/>
      <c r="U43" s="162">
        <f t="shared" si="30"/>
        <v>722.15558311630707</v>
      </c>
      <c r="W43" s="162">
        <f t="shared" si="31"/>
        <v>0</v>
      </c>
      <c r="X43" s="147"/>
      <c r="Y43" s="206">
        <f t="shared" si="9"/>
        <v>0</v>
      </c>
      <c r="Z43" s="147"/>
      <c r="AA43" s="162">
        <f t="shared" si="28"/>
        <v>2.6581333544778545</v>
      </c>
      <c r="AB43" s="147"/>
      <c r="AC43" s="206">
        <f t="shared" si="11"/>
        <v>3.6944305436492652E-3</v>
      </c>
    </row>
    <row r="44" spans="1:29">
      <c r="A44" s="118">
        <f>MAX(A$14:A43)+1</f>
        <v>28</v>
      </c>
      <c r="C44" s="118" t="s">
        <v>307</v>
      </c>
      <c r="E44" s="118">
        <v>15</v>
      </c>
      <c r="G44" s="144">
        <v>515</v>
      </c>
      <c r="I44" s="144">
        <v>17536.444611929484</v>
      </c>
      <c r="K44" s="160">
        <f>('Rate Design'!H360+'Rate Design'!M360+'Rate Design'!Q360+'Rate Design'!U360)/1000</f>
        <v>1261.4695063439005</v>
      </c>
      <c r="L44" s="159"/>
      <c r="M44" s="160">
        <f>'Rate Design'!Y360/1000</f>
        <v>45.595426550066499</v>
      </c>
      <c r="N44" s="160"/>
      <c r="O44" s="160">
        <f t="shared" si="29"/>
        <v>1307.0649328939671</v>
      </c>
      <c r="Q44" s="160">
        <f t="shared" si="27"/>
        <v>1261.4695063439005</v>
      </c>
      <c r="R44" s="159"/>
      <c r="S44" s="160">
        <f>'Rate Design'!AC360/1000</f>
        <v>50.415239081785998</v>
      </c>
      <c r="T44" s="160"/>
      <c r="U44" s="160">
        <f t="shared" si="30"/>
        <v>1311.8847454256866</v>
      </c>
      <c r="W44" s="160">
        <f t="shared" si="31"/>
        <v>0</v>
      </c>
      <c r="X44" s="137"/>
      <c r="Y44" s="205">
        <f t="shared" si="9"/>
        <v>0</v>
      </c>
      <c r="Z44" s="137"/>
      <c r="AA44" s="160">
        <f t="shared" si="28"/>
        <v>4.8198125317194354</v>
      </c>
      <c r="AB44" s="137"/>
      <c r="AC44" s="205">
        <f t="shared" si="11"/>
        <v>3.6875081034022602E-3</v>
      </c>
    </row>
    <row r="45" spans="1:29">
      <c r="A45" s="118">
        <f>MAX(A$14:A44)+1</f>
        <v>29</v>
      </c>
      <c r="C45" s="145" t="s">
        <v>308</v>
      </c>
      <c r="D45" s="148"/>
      <c r="F45" s="148"/>
      <c r="G45" s="113">
        <f>SUM(G40:G44)</f>
        <v>12675.416666666666</v>
      </c>
      <c r="H45" s="148"/>
      <c r="I45" s="113">
        <f>SUM(I40:I44)</f>
        <v>109168.29385473697</v>
      </c>
      <c r="J45" s="148"/>
      <c r="K45" s="158">
        <f>SUM(K40:K44)</f>
        <v>14239.551709159747</v>
      </c>
      <c r="L45" s="158"/>
      <c r="M45" s="158">
        <f>SUM(M40:M44)</f>
        <v>515.35733207185126</v>
      </c>
      <c r="N45" s="158"/>
      <c r="O45" s="158">
        <f>SUM(O40:O44)</f>
        <v>14754.909041231596</v>
      </c>
      <c r="P45" s="148"/>
      <c r="Q45" s="158">
        <f>SUM(Q40:Q44)</f>
        <v>14239.551709159747</v>
      </c>
      <c r="R45" s="158"/>
      <c r="S45" s="158">
        <f>SUM(S40:S44)</f>
        <v>569.51325257934559</v>
      </c>
      <c r="T45" s="158"/>
      <c r="U45" s="158">
        <f>SUM(U40:U44)</f>
        <v>14809.064961739092</v>
      </c>
      <c r="W45" s="158">
        <f>SUM(W40:W44)</f>
        <v>0</v>
      </c>
      <c r="X45" s="136"/>
      <c r="Y45" s="204">
        <f t="shared" si="9"/>
        <v>0</v>
      </c>
      <c r="Z45" s="136"/>
      <c r="AA45" s="158">
        <f>SUM(AA40:AA44)</f>
        <v>54.155920507494216</v>
      </c>
      <c r="AB45" s="136"/>
      <c r="AC45" s="204">
        <f t="shared" si="11"/>
        <v>3.6703662730931891E-3</v>
      </c>
    </row>
    <row r="46" spans="1:29" ht="23.1" customHeight="1">
      <c r="A46" s="118">
        <f>MAX(A$14:A45)+1</f>
        <v>30</v>
      </c>
      <c r="C46" s="140" t="s">
        <v>309</v>
      </c>
      <c r="E46" s="139" t="s">
        <v>280</v>
      </c>
      <c r="G46" s="113">
        <v>5</v>
      </c>
      <c r="I46" s="113">
        <v>7.7366128294616923</v>
      </c>
      <c r="K46" s="158">
        <v>0.58299999999999996</v>
      </c>
      <c r="L46" s="159"/>
      <c r="M46" s="158"/>
      <c r="N46" s="158"/>
      <c r="O46" s="158">
        <f t="shared" ref="O46:O47" si="32">K46+M46</f>
        <v>0.58299999999999996</v>
      </c>
      <c r="Q46" s="158">
        <f t="shared" ref="Q46:Q47" si="33">K46</f>
        <v>0.58299999999999996</v>
      </c>
      <c r="R46" s="159"/>
      <c r="S46" s="158"/>
      <c r="T46" s="158"/>
      <c r="U46" s="158">
        <f t="shared" ref="U46:U47" si="34">Q46+S46</f>
        <v>0.58299999999999996</v>
      </c>
      <c r="W46" s="158">
        <f t="shared" ref="W46:W47" si="35">Q46-K46</f>
        <v>0</v>
      </c>
      <c r="X46" s="137"/>
      <c r="Y46" s="204">
        <f t="shared" si="9"/>
        <v>0</v>
      </c>
      <c r="Z46" s="137"/>
      <c r="AA46" s="158">
        <f t="shared" ref="AA46:AA47" si="36">U46-O46</f>
        <v>0</v>
      </c>
      <c r="AB46" s="137"/>
      <c r="AC46" s="204">
        <f t="shared" si="11"/>
        <v>0</v>
      </c>
    </row>
    <row r="47" spans="1:29">
      <c r="A47" s="118">
        <f>MAX(A$14:A46)+1</f>
        <v>31</v>
      </c>
      <c r="C47" s="140" t="s">
        <v>279</v>
      </c>
      <c r="D47" s="149"/>
      <c r="E47" s="141" t="s">
        <v>280</v>
      </c>
      <c r="F47" s="149"/>
      <c r="G47" s="150"/>
      <c r="H47" s="149"/>
      <c r="I47" s="150"/>
      <c r="J47" s="149"/>
      <c r="K47" s="160">
        <v>4.6616400000000002</v>
      </c>
      <c r="L47" s="159"/>
      <c r="M47" s="160"/>
      <c r="N47" s="160"/>
      <c r="O47" s="160">
        <f t="shared" si="32"/>
        <v>4.6616400000000002</v>
      </c>
      <c r="P47" s="149"/>
      <c r="Q47" s="160">
        <f t="shared" si="33"/>
        <v>4.6616400000000002</v>
      </c>
      <c r="R47" s="159"/>
      <c r="S47" s="160"/>
      <c r="T47" s="160"/>
      <c r="U47" s="160">
        <f t="shared" si="34"/>
        <v>4.6616400000000002</v>
      </c>
      <c r="W47" s="160">
        <f t="shared" si="35"/>
        <v>0</v>
      </c>
      <c r="X47" s="137"/>
      <c r="Y47" s="205">
        <f t="shared" si="9"/>
        <v>0</v>
      </c>
      <c r="Z47" s="137"/>
      <c r="AA47" s="160">
        <f t="shared" si="36"/>
        <v>0</v>
      </c>
      <c r="AB47" s="137"/>
      <c r="AC47" s="205">
        <f t="shared" si="11"/>
        <v>0</v>
      </c>
    </row>
    <row r="48" spans="1:29">
      <c r="A48" s="118">
        <f>MAX(A$14:A47)+1</f>
        <v>32</v>
      </c>
      <c r="C48" s="128" t="s">
        <v>310</v>
      </c>
      <c r="E48" s="151"/>
      <c r="G48" s="144">
        <f>SUM(G45:G47)</f>
        <v>12680.416666666666</v>
      </c>
      <c r="I48" s="144">
        <f>SUM(I45:I47)</f>
        <v>109176.03046756644</v>
      </c>
      <c r="K48" s="160">
        <f>SUM(K45:K47)</f>
        <v>14244.796349159747</v>
      </c>
      <c r="L48" s="159"/>
      <c r="M48" s="183">
        <f>SUM(M45:M47)</f>
        <v>515.35733207185126</v>
      </c>
      <c r="N48" s="183"/>
      <c r="O48" s="183">
        <f>SUM(O45:O47)</f>
        <v>14760.153681231597</v>
      </c>
      <c r="Q48" s="160">
        <f>SUM(Q45:Q47)</f>
        <v>14244.796349159747</v>
      </c>
      <c r="R48" s="159"/>
      <c r="S48" s="183">
        <f>SUM(S45:S47)</f>
        <v>569.51325257934559</v>
      </c>
      <c r="T48" s="183"/>
      <c r="U48" s="183">
        <f>SUM(U45:U47)</f>
        <v>14814.309601739093</v>
      </c>
      <c r="W48" s="183">
        <f>SUM(W45:W47)</f>
        <v>0</v>
      </c>
      <c r="X48" s="137"/>
      <c r="Y48" s="208">
        <f t="shared" ref="Y48:Y50" si="37">W48/K48</f>
        <v>0</v>
      </c>
      <c r="Z48" s="137"/>
      <c r="AA48" s="183">
        <f>SUM(AA45:AA47)</f>
        <v>54.155920507494216</v>
      </c>
      <c r="AB48" s="137"/>
      <c r="AC48" s="208">
        <f t="shared" ref="AC48:AC49" si="38">AA48/O48</f>
        <v>3.6690621030834288E-3</v>
      </c>
    </row>
    <row r="49" spans="1:29" ht="27.75" customHeight="1" thickBot="1">
      <c r="A49" s="118">
        <f>MAX(A$14:A48)+1</f>
        <v>33</v>
      </c>
      <c r="C49" s="128" t="s">
        <v>311</v>
      </c>
      <c r="E49" s="151"/>
      <c r="G49" s="114">
        <f>G48+G38+G18</f>
        <v>854858.75</v>
      </c>
      <c r="I49" s="114">
        <f>I48+I38+I18</f>
        <v>23244284.921518605</v>
      </c>
      <c r="K49" s="163">
        <f>K48+K38+K18</f>
        <v>1982871.5950529731</v>
      </c>
      <c r="L49" s="159"/>
      <c r="M49" s="184">
        <f>M48+M38+M18</f>
        <v>68216.3939235586</v>
      </c>
      <c r="N49" s="184"/>
      <c r="O49" s="184">
        <f>O48+O38+O18</f>
        <v>2051087.9889765321</v>
      </c>
      <c r="Q49" s="163">
        <f>Q48+Q38+Q18</f>
        <v>1982871.5950529731</v>
      </c>
      <c r="R49" s="159"/>
      <c r="S49" s="184">
        <f>S48+S38+S18</f>
        <v>75403.210213165206</v>
      </c>
      <c r="T49" s="184"/>
      <c r="U49" s="184">
        <f>U48+U38+U18</f>
        <v>2058274.8052661386</v>
      </c>
      <c r="W49" s="184">
        <f>W48+W38+W18</f>
        <v>0</v>
      </c>
      <c r="X49" s="137"/>
      <c r="Y49" s="209">
        <f t="shared" si="37"/>
        <v>0</v>
      </c>
      <c r="Z49" s="137"/>
      <c r="AA49" s="184">
        <f>AA48+AA38+AA18</f>
        <v>7186.8162896065869</v>
      </c>
      <c r="AB49" s="137"/>
      <c r="AC49" s="209">
        <f t="shared" si="38"/>
        <v>3.5039044293720041E-3</v>
      </c>
    </row>
    <row r="50" spans="1:29" ht="33" thickTop="1" thickBot="1">
      <c r="A50" s="118">
        <f>MAX(A$14:A49)+1</f>
        <v>34</v>
      </c>
      <c r="C50" s="152" t="s">
        <v>315</v>
      </c>
      <c r="E50" s="151"/>
      <c r="G50" s="114">
        <f>G49-G17-G34-G35-G36-G37-G46-G47</f>
        <v>854850.75</v>
      </c>
      <c r="I50" s="114">
        <f>I49-I17-I34-I35-I36-I37-I46-I47</f>
        <v>21290948.005870014</v>
      </c>
      <c r="K50" s="163">
        <f>K49-K17-K34-K35-K36-K37-K46-K47</f>
        <v>1884489.5191679567</v>
      </c>
      <c r="L50" s="159"/>
      <c r="M50" s="185">
        <f>M49-M17-M34-M35-M36-M37-M46-M47</f>
        <v>68216.3939235586</v>
      </c>
      <c r="N50" s="185"/>
      <c r="O50" s="185">
        <f>O49-O17-O34-O35-O36-O37-O46-O47</f>
        <v>1952705.9130915157</v>
      </c>
      <c r="Q50" s="163">
        <f>Q49-Q17-Q34-Q35-Q36-Q37-Q46-Q47</f>
        <v>1884489.5191679567</v>
      </c>
      <c r="R50" s="159"/>
      <c r="S50" s="185">
        <f>S49-S17-S34-S35-S36-S37-S46-S47</f>
        <v>75403.210213165206</v>
      </c>
      <c r="T50" s="185"/>
      <c r="U50" s="185">
        <f>U49-U17-U34-U35-U36-U37-U46-U47</f>
        <v>1959892.7293811222</v>
      </c>
      <c r="W50" s="185">
        <f>W49-W17-W34-W35-W36-W37-W46-W47</f>
        <v>0</v>
      </c>
      <c r="X50" s="137"/>
      <c r="Y50" s="210">
        <f t="shared" si="37"/>
        <v>0</v>
      </c>
      <c r="Z50" s="137"/>
      <c r="AA50" s="185">
        <f>AA49-AA17-AA34-AA35-AA36-AA37-AA46-AA47</f>
        <v>7186.8162896065869</v>
      </c>
      <c r="AB50" s="137"/>
      <c r="AC50" s="210">
        <f>AA50/O50</f>
        <v>3.6804396614073085E-3</v>
      </c>
    </row>
    <row r="51" spans="1:29" ht="16.5" thickTop="1"/>
  </sheetData>
  <printOptions horizontalCentered="1"/>
  <pageMargins left="0.25" right="0.25" top="0.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4"/>
  <sheetViews>
    <sheetView topLeftCell="A8" zoomScale="80" zoomScaleNormal="80" workbookViewId="0">
      <pane xSplit="2" ySplit="3" topLeftCell="F11" activePane="bottomRight" state="frozen"/>
      <selection activeCell="C61" sqref="C61"/>
      <selection pane="topRight" activeCell="C61" sqref="C61"/>
      <selection pane="bottomLeft" activeCell="C61" sqref="C61"/>
      <selection pane="bottomRight" activeCell="C61" sqref="C61"/>
    </sheetView>
  </sheetViews>
  <sheetFormatPr defaultColWidth="9" defaultRowHeight="15.75"/>
  <cols>
    <col min="1" max="1" width="33.25" style="7" customWidth="1"/>
    <col min="2" max="2" width="4.125" style="8" bestFit="1" customWidth="1"/>
    <col min="3" max="3" width="14.625" style="92" bestFit="1" customWidth="1"/>
    <col min="4" max="4" width="1" style="56" customWidth="1"/>
    <col min="5" max="5" width="8" style="92" bestFit="1" customWidth="1"/>
    <col min="6" max="6" width="1.875" style="56" bestFit="1" customWidth="1"/>
    <col min="7" max="7" width="1.875" style="56" customWidth="1"/>
    <col min="8" max="8" width="14" style="92" bestFit="1" customWidth="1"/>
    <col min="9" max="9" width="1" style="9" customWidth="1"/>
    <col min="10" max="10" width="9" style="7" customWidth="1"/>
    <col min="11" max="11" width="1.875" style="9" bestFit="1" customWidth="1"/>
    <col min="12" max="12" width="1.875" style="9" customWidth="1"/>
    <col min="13" max="13" width="11.375" style="8" customWidth="1"/>
    <col min="14" max="14" width="1" style="9" customWidth="1"/>
    <col min="15" max="15" width="7.5" style="7" customWidth="1"/>
    <col min="16" max="16" width="1.875" style="9" customWidth="1"/>
    <col min="17" max="17" width="13.875" style="8" customWidth="1"/>
    <col min="18" max="18" width="1" style="9" customWidth="1"/>
    <col min="19" max="19" width="8.375" style="7" customWidth="1"/>
    <col min="20" max="20" width="1.875" style="9" customWidth="1"/>
    <col min="21" max="21" width="14" style="8" bestFit="1" customWidth="1"/>
    <col min="22" max="22" width="1" style="9" customWidth="1"/>
    <col min="23" max="23" width="7" style="7" customWidth="1"/>
    <col min="24" max="24" width="1.875" style="9" customWidth="1"/>
    <col min="25" max="25" width="13.125" style="8" customWidth="1"/>
    <col min="26" max="26" width="1" style="9" customWidth="1"/>
    <col min="27" max="27" width="7.25" style="7" customWidth="1"/>
    <col min="28" max="28" width="1.875" style="9" customWidth="1"/>
    <col min="29" max="29" width="13" style="8" customWidth="1"/>
    <col min="30" max="16384" width="9" style="5"/>
  </cols>
  <sheetData>
    <row r="1" spans="1:29" s="367" customFormat="1" ht="18.75">
      <c r="A1" s="366" t="s">
        <v>356</v>
      </c>
      <c r="B1" s="2"/>
      <c r="C1" s="2"/>
      <c r="D1" s="3"/>
      <c r="E1" s="2"/>
      <c r="F1" s="3"/>
      <c r="G1" s="3"/>
      <c r="H1" s="2"/>
      <c r="I1" s="3"/>
      <c r="J1" s="2"/>
      <c r="K1" s="3"/>
      <c r="L1" s="3"/>
      <c r="M1" s="2"/>
      <c r="N1" s="3"/>
      <c r="O1" s="2"/>
      <c r="P1" s="3"/>
      <c r="Q1" s="2"/>
      <c r="R1" s="3"/>
      <c r="S1" s="2"/>
      <c r="T1" s="3"/>
      <c r="U1" s="2"/>
      <c r="V1" s="3"/>
      <c r="W1" s="2"/>
      <c r="X1" s="3"/>
      <c r="Y1" s="2"/>
      <c r="Z1" s="3"/>
      <c r="AA1" s="2"/>
      <c r="AB1" s="3"/>
      <c r="AC1" s="2"/>
    </row>
    <row r="2" spans="1:29" ht="18.75">
      <c r="A2" s="1" t="s">
        <v>0</v>
      </c>
      <c r="B2" s="2"/>
      <c r="C2" s="211"/>
      <c r="D2" s="213"/>
      <c r="E2" s="211"/>
      <c r="F2" s="213"/>
      <c r="G2" s="213"/>
      <c r="H2" s="211"/>
      <c r="I2" s="3"/>
      <c r="J2" s="4"/>
      <c r="K2" s="3"/>
      <c r="L2" s="3"/>
      <c r="M2" s="2"/>
      <c r="N2" s="3"/>
      <c r="O2" s="4"/>
      <c r="P2" s="3"/>
      <c r="Q2" s="2"/>
      <c r="R2" s="3"/>
      <c r="S2" s="4"/>
      <c r="T2" s="3"/>
      <c r="U2" s="2"/>
      <c r="V2" s="3"/>
      <c r="W2" s="4"/>
      <c r="X2" s="3"/>
      <c r="Y2" s="2"/>
      <c r="Z2" s="3"/>
      <c r="AA2" s="4"/>
      <c r="AB2" s="3"/>
      <c r="AC2" s="2"/>
    </row>
    <row r="3" spans="1:29" ht="18.75">
      <c r="A3" s="1" t="s">
        <v>1</v>
      </c>
      <c r="B3" s="2"/>
      <c r="C3" s="211"/>
      <c r="D3" s="213"/>
      <c r="E3" s="211"/>
      <c r="F3" s="213"/>
      <c r="G3" s="213"/>
      <c r="H3" s="211"/>
      <c r="I3" s="3"/>
      <c r="J3" s="4"/>
      <c r="K3" s="3"/>
      <c r="L3" s="3"/>
      <c r="M3" s="2"/>
      <c r="N3" s="3"/>
      <c r="O3" s="4"/>
      <c r="P3" s="3"/>
      <c r="Q3" s="2"/>
      <c r="R3" s="3"/>
      <c r="S3" s="4"/>
      <c r="T3" s="3"/>
      <c r="U3" s="2"/>
      <c r="V3" s="3"/>
      <c r="W3" s="4"/>
      <c r="X3" s="3"/>
      <c r="Y3" s="2"/>
      <c r="Z3" s="3"/>
      <c r="AA3" s="4"/>
      <c r="AB3" s="3"/>
      <c r="AC3" s="2"/>
    </row>
    <row r="4" spans="1:29" ht="18.75">
      <c r="A4" s="1" t="s">
        <v>2</v>
      </c>
      <c r="B4" s="2"/>
      <c r="C4" s="211"/>
      <c r="D4" s="213"/>
      <c r="E4" s="211"/>
      <c r="F4" s="213"/>
      <c r="G4" s="213"/>
      <c r="H4" s="211"/>
      <c r="I4" s="3"/>
      <c r="J4" s="4"/>
      <c r="K4" s="3"/>
      <c r="L4" s="3"/>
      <c r="M4" s="2"/>
      <c r="N4" s="3"/>
      <c r="O4" s="4"/>
      <c r="P4" s="3"/>
      <c r="Q4" s="2"/>
      <c r="R4" s="3"/>
      <c r="S4" s="4"/>
      <c r="T4" s="3"/>
      <c r="U4" s="2"/>
      <c r="V4" s="3"/>
      <c r="W4" s="4"/>
      <c r="X4" s="3"/>
      <c r="Y4" s="2"/>
      <c r="Z4" s="3"/>
      <c r="AA4" s="4"/>
      <c r="AB4" s="3"/>
      <c r="AC4" s="2"/>
    </row>
    <row r="5" spans="1:29" ht="18.75">
      <c r="A5" s="1" t="s">
        <v>3</v>
      </c>
      <c r="B5" s="2"/>
      <c r="C5" s="211"/>
      <c r="D5" s="213"/>
      <c r="E5" s="211"/>
      <c r="F5" s="213"/>
      <c r="G5" s="213"/>
      <c r="H5" s="211"/>
      <c r="I5" s="3"/>
      <c r="J5" s="4"/>
      <c r="K5" s="3"/>
      <c r="L5" s="3"/>
      <c r="M5" s="2"/>
      <c r="N5" s="3"/>
      <c r="O5" s="4"/>
      <c r="P5" s="3"/>
      <c r="Q5" s="2"/>
      <c r="R5" s="3"/>
      <c r="S5" s="4"/>
      <c r="T5" s="3"/>
      <c r="U5" s="2"/>
      <c r="V5" s="3"/>
      <c r="W5" s="4"/>
      <c r="X5" s="3"/>
      <c r="Y5" s="2"/>
      <c r="Z5" s="3"/>
      <c r="AA5" s="4"/>
      <c r="AB5" s="3"/>
      <c r="AC5" s="2"/>
    </row>
    <row r="6" spans="1:29">
      <c r="C6" s="55"/>
    </row>
    <row r="7" spans="1:29">
      <c r="C7" s="214"/>
      <c r="F7" s="215"/>
      <c r="G7" s="215"/>
      <c r="H7" s="216"/>
      <c r="K7" s="6"/>
      <c r="L7" s="6"/>
      <c r="M7" s="10"/>
      <c r="P7" s="6"/>
      <c r="Q7" s="10"/>
      <c r="T7" s="6"/>
      <c r="U7" s="10"/>
      <c r="X7" s="6"/>
      <c r="Y7" s="10"/>
      <c r="AB7" s="6"/>
      <c r="AC7" s="10"/>
    </row>
    <row r="8" spans="1:29">
      <c r="C8" s="217"/>
      <c r="E8" s="218" t="s">
        <v>359</v>
      </c>
      <c r="F8" s="218"/>
      <c r="G8" s="218"/>
      <c r="H8" s="218"/>
      <c r="J8" s="165"/>
      <c r="K8" s="165"/>
      <c r="L8" s="165"/>
      <c r="M8" s="165"/>
      <c r="O8" s="165"/>
      <c r="P8" s="165"/>
      <c r="Q8" s="165"/>
      <c r="S8" s="165"/>
      <c r="T8" s="165"/>
      <c r="U8" s="165"/>
      <c r="W8" s="11" t="s">
        <v>352</v>
      </c>
      <c r="X8" s="11"/>
      <c r="Y8" s="11"/>
      <c r="Z8" s="180"/>
      <c r="AA8" s="11"/>
      <c r="AB8" s="11"/>
      <c r="AC8" s="11"/>
    </row>
    <row r="9" spans="1:29">
      <c r="C9" s="219" t="s">
        <v>4</v>
      </c>
      <c r="E9" s="216" t="s">
        <v>5</v>
      </c>
      <c r="F9" s="215"/>
      <c r="G9" s="215"/>
      <c r="H9" s="216" t="s">
        <v>6</v>
      </c>
      <c r="J9" s="166" t="s">
        <v>316</v>
      </c>
      <c r="K9" s="167"/>
      <c r="L9" s="167"/>
      <c r="M9" s="167"/>
      <c r="O9" s="166" t="s">
        <v>317</v>
      </c>
      <c r="P9" s="167"/>
      <c r="Q9" s="167"/>
      <c r="S9" s="166" t="s">
        <v>318</v>
      </c>
      <c r="T9" s="167"/>
      <c r="U9" s="167"/>
      <c r="W9" s="166" t="s">
        <v>319</v>
      </c>
      <c r="X9" s="167"/>
      <c r="Y9" s="167"/>
      <c r="AA9" s="167" t="s">
        <v>330</v>
      </c>
      <c r="AB9" s="167"/>
      <c r="AC9" s="167"/>
    </row>
    <row r="10" spans="1:29">
      <c r="C10" s="220" t="s">
        <v>7</v>
      </c>
      <c r="E10" s="221" t="s">
        <v>8</v>
      </c>
      <c r="F10" s="215"/>
      <c r="G10" s="215"/>
      <c r="H10" s="222" t="s">
        <v>9</v>
      </c>
      <c r="J10" s="14" t="s">
        <v>8</v>
      </c>
      <c r="K10" s="6"/>
      <c r="L10" s="6"/>
      <c r="M10" s="15" t="s">
        <v>9</v>
      </c>
      <c r="O10" s="14" t="s">
        <v>8</v>
      </c>
      <c r="P10" s="6"/>
      <c r="Q10" s="15" t="s">
        <v>9</v>
      </c>
      <c r="S10" s="14" t="s">
        <v>8</v>
      </c>
      <c r="T10" s="6"/>
      <c r="U10" s="15" t="s">
        <v>9</v>
      </c>
      <c r="W10" s="14" t="s">
        <v>8</v>
      </c>
      <c r="X10" s="6"/>
      <c r="Y10" s="15" t="s">
        <v>9</v>
      </c>
      <c r="AA10" s="14" t="s">
        <v>8</v>
      </c>
      <c r="AB10" s="6"/>
      <c r="AC10" s="15" t="s">
        <v>9</v>
      </c>
    </row>
    <row r="11" spans="1:29">
      <c r="A11" s="16" t="s">
        <v>10</v>
      </c>
      <c r="C11" s="223"/>
    </row>
    <row r="12" spans="1:29">
      <c r="A12" s="17" t="s">
        <v>11</v>
      </c>
      <c r="C12" s="23">
        <v>8511800.0101599023</v>
      </c>
      <c r="E12" s="178"/>
      <c r="F12" s="224"/>
      <c r="G12" s="224"/>
      <c r="H12" s="225"/>
      <c r="J12" s="18"/>
      <c r="K12" s="19"/>
      <c r="L12" s="19"/>
      <c r="M12" s="13"/>
      <c r="O12" s="18"/>
      <c r="P12" s="19"/>
      <c r="Q12" s="13"/>
      <c r="S12" s="18"/>
      <c r="T12" s="19"/>
      <c r="U12" s="13"/>
      <c r="W12" s="18"/>
      <c r="X12" s="19"/>
      <c r="Y12" s="13"/>
      <c r="AA12" s="18"/>
      <c r="AB12" s="19"/>
      <c r="AC12" s="13"/>
    </row>
    <row r="13" spans="1:29">
      <c r="A13" s="17" t="s">
        <v>12</v>
      </c>
      <c r="C13" s="21">
        <v>8398777</v>
      </c>
      <c r="E13" s="178">
        <v>6</v>
      </c>
      <c r="F13" s="224"/>
      <c r="G13" s="224"/>
      <c r="H13" s="225">
        <v>50392662</v>
      </c>
      <c r="J13" s="18"/>
      <c r="K13" s="19"/>
      <c r="L13" s="19"/>
      <c r="M13" s="13"/>
      <c r="O13" s="18"/>
      <c r="P13" s="19"/>
      <c r="Q13" s="13"/>
      <c r="S13" s="18"/>
      <c r="T13" s="19"/>
      <c r="U13" s="13"/>
      <c r="W13" s="18"/>
      <c r="X13" s="19"/>
      <c r="Y13" s="13"/>
      <c r="AA13" s="18"/>
      <c r="AB13" s="19"/>
      <c r="AC13" s="13"/>
    </row>
    <row r="14" spans="1:29">
      <c r="A14" s="17" t="s">
        <v>13</v>
      </c>
      <c r="C14" s="21">
        <v>14094</v>
      </c>
      <c r="E14" s="178">
        <v>12</v>
      </c>
      <c r="F14" s="224"/>
      <c r="G14" s="224"/>
      <c r="H14" s="225">
        <v>169128</v>
      </c>
      <c r="J14" s="18"/>
      <c r="K14" s="19"/>
      <c r="L14" s="19"/>
      <c r="M14" s="13"/>
      <c r="O14" s="18"/>
      <c r="P14" s="19"/>
      <c r="Q14" s="13"/>
      <c r="S14" s="18"/>
      <c r="T14" s="19"/>
      <c r="U14" s="13"/>
      <c r="W14" s="18"/>
      <c r="X14" s="19"/>
      <c r="Y14" s="13"/>
      <c r="AA14" s="18"/>
      <c r="AB14" s="19"/>
      <c r="AC14" s="13"/>
    </row>
    <row r="15" spans="1:29">
      <c r="A15" s="17" t="s">
        <v>14</v>
      </c>
      <c r="C15" s="21">
        <v>23932</v>
      </c>
      <c r="E15" s="178">
        <v>0</v>
      </c>
      <c r="F15" s="224"/>
      <c r="G15" s="224"/>
      <c r="H15" s="225">
        <v>0</v>
      </c>
      <c r="J15" s="18"/>
      <c r="K15" s="19"/>
      <c r="L15" s="19"/>
      <c r="M15" s="13"/>
      <c r="O15" s="18"/>
      <c r="P15" s="19"/>
      <c r="Q15" s="13"/>
      <c r="S15" s="18"/>
      <c r="T15" s="19"/>
      <c r="U15" s="13"/>
      <c r="W15" s="18"/>
      <c r="X15" s="19"/>
      <c r="Y15" s="13"/>
      <c r="AA15" s="18"/>
      <c r="AB15" s="19"/>
      <c r="AC15" s="13"/>
    </row>
    <row r="16" spans="1:29">
      <c r="A16" s="17" t="s">
        <v>15</v>
      </c>
      <c r="C16" s="23">
        <v>1274636742</v>
      </c>
      <c r="E16" s="226">
        <v>8.8498000000000001</v>
      </c>
      <c r="F16" s="227" t="s">
        <v>16</v>
      </c>
      <c r="G16" s="227"/>
      <c r="H16" s="225">
        <v>112802802</v>
      </c>
      <c r="J16" s="170">
        <v>3.56E-2</v>
      </c>
      <c r="K16" s="25" t="s">
        <v>16</v>
      </c>
      <c r="L16" s="25"/>
      <c r="M16" s="13">
        <f>C16*J16/100</f>
        <v>453770.68015199999</v>
      </c>
      <c r="O16" s="168">
        <v>1.43E-2</v>
      </c>
      <c r="P16" s="25"/>
      <c r="Q16" s="13">
        <f>($H16+$M16)*O16</f>
        <v>1619568.9893261737</v>
      </c>
      <c r="S16" s="168">
        <v>5.4999999999999997E-3</v>
      </c>
      <c r="T16" s="25"/>
      <c r="U16" s="13">
        <f>($H16+$M16)*S16</f>
        <v>622911.149740836</v>
      </c>
      <c r="W16" s="168">
        <v>3.9199999999999999E-2</v>
      </c>
      <c r="X16" s="25"/>
      <c r="Y16" s="13">
        <f>($H16+$M16+$Q16+$U16)*W16</f>
        <v>4527562.8705133852</v>
      </c>
      <c r="AA16" s="168">
        <f>ROUND(1/($H$29-$H$13-$H$14-$E$13*$C$22-$E$14*$C$23+$M$29+$Q$29+$U$29+$H$49-$H$33-$H$34-$E$33*$C$42-$E$34*$C$43+$M$49+$Q$49+$U$49+$H$71-$H$53-$H$54-$E$53*$C$64-$E$54*$C$65+$M$71+$Q$71+$U$71)*'RateSpread-1'!P18*1000,4)</f>
        <v>4.3299999999999998E-2</v>
      </c>
      <c r="AB16" s="25"/>
      <c r="AC16" s="13">
        <f>($H16+$M16+$Q16+$U16)*AA16</f>
        <v>5001108.9870721828</v>
      </c>
    </row>
    <row r="17" spans="1:29">
      <c r="A17" s="17" t="s">
        <v>17</v>
      </c>
      <c r="C17" s="23">
        <v>1040456011</v>
      </c>
      <c r="E17" s="226">
        <v>11.542899999999999</v>
      </c>
      <c r="F17" s="227" t="s">
        <v>16</v>
      </c>
      <c r="G17" s="227"/>
      <c r="H17" s="225">
        <v>120098797</v>
      </c>
      <c r="J17" s="24">
        <f>$J$16</f>
        <v>3.56E-2</v>
      </c>
      <c r="K17" s="25" t="s">
        <v>16</v>
      </c>
      <c r="L17" s="25"/>
      <c r="M17" s="13">
        <f t="shared" ref="M17:M21" si="0">C17*J17/100</f>
        <v>370402.33991599997</v>
      </c>
      <c r="O17" s="156">
        <f>O$16</f>
        <v>1.43E-2</v>
      </c>
      <c r="P17" s="25"/>
      <c r="Q17" s="13">
        <f t="shared" ref="Q17:Q18" si="1">($H17+$M17)*O17</f>
        <v>1722709.550560799</v>
      </c>
      <c r="S17" s="156">
        <f>S$16</f>
        <v>5.4999999999999997E-3</v>
      </c>
      <c r="T17" s="25"/>
      <c r="U17" s="13">
        <f t="shared" ref="U17:U18" si="2">($H17+$M17)*S17</f>
        <v>662580.59636953799</v>
      </c>
      <c r="W17" s="156">
        <f>W$16</f>
        <v>3.9199999999999999E-2</v>
      </c>
      <c r="X17" s="25"/>
      <c r="Y17" s="13">
        <f t="shared" ref="Y17:Y18" si="3">($H17+$M17+$Q17+$U17)*W17</f>
        <v>4815895.9878843762</v>
      </c>
      <c r="AA17" s="156">
        <f>AA$16</f>
        <v>4.3299999999999998E-2</v>
      </c>
      <c r="AB17" s="25"/>
      <c r="AC17" s="13">
        <f t="shared" ref="AC17:AC18" si="4">($H17+$M17+$Q17+$U17)*AA17</f>
        <v>5319599.3947804468</v>
      </c>
    </row>
    <row r="18" spans="1:29">
      <c r="A18" s="17" t="s">
        <v>18</v>
      </c>
      <c r="C18" s="23">
        <v>358873906</v>
      </c>
      <c r="E18" s="226">
        <v>14.450799999999999</v>
      </c>
      <c r="F18" s="227" t="s">
        <v>16</v>
      </c>
      <c r="G18" s="227"/>
      <c r="H18" s="225">
        <v>51860150</v>
      </c>
      <c r="J18" s="24">
        <f>$J$16</f>
        <v>3.56E-2</v>
      </c>
      <c r="K18" s="25" t="s">
        <v>16</v>
      </c>
      <c r="L18" s="25"/>
      <c r="M18" s="13">
        <f t="shared" si="0"/>
        <v>127759.11053600001</v>
      </c>
      <c r="O18" s="156">
        <f>O$16</f>
        <v>1.43E-2</v>
      </c>
      <c r="P18" s="25"/>
      <c r="Q18" s="13">
        <f t="shared" si="1"/>
        <v>743427.10028066486</v>
      </c>
      <c r="S18" s="156">
        <f>S$16</f>
        <v>5.4999999999999997E-3</v>
      </c>
      <c r="T18" s="25"/>
      <c r="U18" s="13">
        <f t="shared" si="2"/>
        <v>285933.50010794797</v>
      </c>
      <c r="W18" s="156">
        <f>W$16</f>
        <v>3.9199999999999999E-2</v>
      </c>
      <c r="X18" s="25"/>
      <c r="Y18" s="13">
        <f t="shared" si="3"/>
        <v>2078276.972668245</v>
      </c>
      <c r="AA18" s="156">
        <f>AA$16</f>
        <v>4.3299999999999998E-2</v>
      </c>
      <c r="AB18" s="25"/>
      <c r="AC18" s="13">
        <f t="shared" si="4"/>
        <v>2295647.778483036</v>
      </c>
    </row>
    <row r="19" spans="1:29">
      <c r="A19" s="17" t="s">
        <v>19</v>
      </c>
      <c r="C19" s="23"/>
      <c r="E19" s="228"/>
      <c r="F19" s="227"/>
      <c r="G19" s="227"/>
      <c r="H19" s="225"/>
      <c r="J19" s="26"/>
      <c r="K19" s="25"/>
      <c r="L19" s="25"/>
      <c r="M19" s="13"/>
      <c r="O19" s="26"/>
      <c r="P19" s="25"/>
      <c r="Q19" s="13"/>
      <c r="S19" s="26"/>
      <c r="T19" s="25"/>
      <c r="U19" s="13"/>
      <c r="W19" s="26"/>
      <c r="X19" s="25"/>
      <c r="Y19" s="13"/>
      <c r="AA19" s="26"/>
      <c r="AB19" s="25"/>
      <c r="AC19" s="13"/>
    </row>
    <row r="20" spans="1:29">
      <c r="A20" s="27" t="s">
        <v>20</v>
      </c>
      <c r="B20" s="28"/>
      <c r="C20" s="23">
        <v>1613094234</v>
      </c>
      <c r="D20" s="229"/>
      <c r="E20" s="228">
        <v>8.8498000000000001</v>
      </c>
      <c r="F20" s="227" t="s">
        <v>16</v>
      </c>
      <c r="G20" s="227"/>
      <c r="H20" s="225">
        <v>142755614</v>
      </c>
      <c r="I20" s="29"/>
      <c r="J20" s="24">
        <f t="shared" ref="J20:J21" si="5">$J$16</f>
        <v>3.56E-2</v>
      </c>
      <c r="K20" s="25" t="s">
        <v>16</v>
      </c>
      <c r="L20" s="25"/>
      <c r="M20" s="13">
        <f t="shared" si="0"/>
        <v>574261.54730400001</v>
      </c>
      <c r="N20" s="29"/>
      <c r="O20" s="156">
        <f>O$16</f>
        <v>1.43E-2</v>
      </c>
      <c r="P20" s="25"/>
      <c r="Q20" s="13">
        <f t="shared" ref="Q20:Q21" si="6">($H20+$M20)*O20</f>
        <v>2049617.2203264474</v>
      </c>
      <c r="R20" s="29"/>
      <c r="S20" s="156">
        <f>S$16</f>
        <v>5.4999999999999997E-3</v>
      </c>
      <c r="T20" s="25"/>
      <c r="U20" s="13">
        <f t="shared" ref="U20:U21" si="7">($H20+$M20)*S20</f>
        <v>788314.31551017193</v>
      </c>
      <c r="V20" s="29"/>
      <c r="W20" s="156">
        <f>W$16</f>
        <v>3.9199999999999999E-2</v>
      </c>
      <c r="X20" s="25"/>
      <c r="Y20" s="13">
        <f t="shared" ref="Y20:Y21" si="8">($H20+$M20+$Q20+$U20)*W20</f>
        <v>5729778.0376591133</v>
      </c>
      <c r="Z20" s="29"/>
      <c r="AA20" s="156">
        <f>AA$16</f>
        <v>4.3299999999999998E-2</v>
      </c>
      <c r="AB20" s="25"/>
      <c r="AC20" s="13">
        <f t="shared" ref="AC20:AC21" si="9">($H20+$M20+$Q20+$U20)*AA20</f>
        <v>6329066.0466999896</v>
      </c>
    </row>
    <row r="21" spans="1:29">
      <c r="A21" s="27" t="s">
        <v>21</v>
      </c>
      <c r="B21" s="28"/>
      <c r="C21" s="23">
        <v>1704644903</v>
      </c>
      <c r="D21" s="229"/>
      <c r="E21" s="228">
        <v>10.7072</v>
      </c>
      <c r="F21" s="227" t="s">
        <v>16</v>
      </c>
      <c r="G21" s="227"/>
      <c r="H21" s="225">
        <v>182519739</v>
      </c>
      <c r="I21" s="29"/>
      <c r="J21" s="24">
        <f t="shared" si="5"/>
        <v>3.56E-2</v>
      </c>
      <c r="K21" s="25" t="s">
        <v>16</v>
      </c>
      <c r="L21" s="25"/>
      <c r="M21" s="13">
        <f t="shared" si="0"/>
        <v>606853.58546800003</v>
      </c>
      <c r="N21" s="29"/>
      <c r="O21" s="156">
        <f>O$16</f>
        <v>1.43E-2</v>
      </c>
      <c r="P21" s="25"/>
      <c r="Q21" s="13">
        <f t="shared" si="6"/>
        <v>2618710.2739721923</v>
      </c>
      <c r="R21" s="29"/>
      <c r="S21" s="156">
        <f>S$16</f>
        <v>5.4999999999999997E-3</v>
      </c>
      <c r="T21" s="25"/>
      <c r="U21" s="13">
        <f t="shared" si="7"/>
        <v>1007196.2592200739</v>
      </c>
      <c r="V21" s="29"/>
      <c r="W21" s="156">
        <f>W$16</f>
        <v>3.9199999999999999E-2</v>
      </c>
      <c r="X21" s="25"/>
      <c r="Y21" s="13">
        <f t="shared" si="8"/>
        <v>7320697.9654514808</v>
      </c>
      <c r="Z21" s="29"/>
      <c r="AA21" s="156">
        <f>AA$16</f>
        <v>4.3299999999999998E-2</v>
      </c>
      <c r="AB21" s="25"/>
      <c r="AC21" s="13">
        <f t="shared" si="9"/>
        <v>8086383.2118379883</v>
      </c>
    </row>
    <row r="22" spans="1:29">
      <c r="A22" s="17" t="s">
        <v>22</v>
      </c>
      <c r="C22" s="21">
        <v>98763</v>
      </c>
      <c r="E22" s="178">
        <v>8</v>
      </c>
      <c r="F22" s="224"/>
      <c r="G22" s="224"/>
      <c r="H22" s="225">
        <v>790104</v>
      </c>
      <c r="J22" s="18"/>
      <c r="K22" s="19"/>
      <c r="L22" s="19"/>
      <c r="M22" s="13"/>
      <c r="O22" s="156">
        <f>O$16</f>
        <v>1.43E-2</v>
      </c>
      <c r="P22" s="19"/>
      <c r="Q22" s="13">
        <f>($H22+$M22-$E13*$C22)*O22</f>
        <v>2824.6217999999999</v>
      </c>
      <c r="S22" s="156">
        <f>S$16</f>
        <v>5.4999999999999997E-3</v>
      </c>
      <c r="T22" s="19"/>
      <c r="U22" s="13">
        <f>($H22+$M22-$E13*$C22)*S22</f>
        <v>1086.393</v>
      </c>
      <c r="W22" s="156">
        <f>W$16</f>
        <v>3.9199999999999999E-2</v>
      </c>
      <c r="X22" s="19"/>
      <c r="Y22" s="13">
        <f>($H22-$E13*$C22+$M22+$Q22+$U22)*W22</f>
        <v>7896.3309801599999</v>
      </c>
      <c r="AA22" s="156">
        <f>AA$16</f>
        <v>4.3299999999999998E-2</v>
      </c>
      <c r="AB22" s="19"/>
      <c r="AC22" s="13">
        <f>($H22-$E13*$C22+$M22+$Q22+$U22)*AA22</f>
        <v>8722.2227408399995</v>
      </c>
    </row>
    <row r="23" spans="1:29">
      <c r="A23" s="17" t="s">
        <v>23</v>
      </c>
      <c r="C23" s="23">
        <v>166.01015990227461</v>
      </c>
      <c r="E23" s="178">
        <v>16</v>
      </c>
      <c r="F23" s="230"/>
      <c r="G23" s="230"/>
      <c r="H23" s="225">
        <v>2656</v>
      </c>
      <c r="J23" s="18"/>
      <c r="K23" s="31"/>
      <c r="L23" s="31"/>
      <c r="M23" s="13"/>
      <c r="O23" s="156">
        <f>O$16</f>
        <v>1.43E-2</v>
      </c>
      <c r="P23" s="31"/>
      <c r="Q23" s="13">
        <f>($H23+$M23-$E14*$C23)*O23</f>
        <v>9.4934565607696779</v>
      </c>
      <c r="S23" s="156">
        <f>S$16</f>
        <v>5.4999999999999997E-3</v>
      </c>
      <c r="T23" s="31"/>
      <c r="U23" s="13">
        <f>($H23+$M23-$E14*$C23)*S23</f>
        <v>3.6513294464498758</v>
      </c>
      <c r="W23" s="156">
        <f>W$16</f>
        <v>3.9199999999999999E-2</v>
      </c>
      <c r="X23" s="31"/>
      <c r="Y23" s="13">
        <f>($H23-$E14*$C23+$M23+$Q23+$U23)*W23</f>
        <v>26.539296393453029</v>
      </c>
      <c r="AA23" s="156">
        <f>AA$16</f>
        <v>4.3299999999999998E-2</v>
      </c>
      <c r="AB23" s="31"/>
      <c r="AC23" s="13">
        <f>($H23-$E14*$C23+$M23+$Q23+$U23)*AA23</f>
        <v>29.315090148890718</v>
      </c>
    </row>
    <row r="24" spans="1:29">
      <c r="A24" s="17" t="s">
        <v>24</v>
      </c>
      <c r="C24" s="23">
        <v>0</v>
      </c>
      <c r="E24" s="178">
        <v>96</v>
      </c>
      <c r="F24" s="230"/>
      <c r="G24" s="230"/>
      <c r="H24" s="225">
        <v>0</v>
      </c>
      <c r="J24" s="18"/>
      <c r="K24" s="32"/>
      <c r="L24" s="32"/>
      <c r="M24" s="13"/>
      <c r="O24" s="18"/>
      <c r="P24" s="32"/>
      <c r="Q24" s="13"/>
      <c r="S24" s="18"/>
      <c r="T24" s="32"/>
      <c r="U24" s="13"/>
      <c r="W24" s="18"/>
      <c r="X24" s="32"/>
      <c r="Y24" s="13"/>
      <c r="AA24" s="18"/>
      <c r="AB24" s="32"/>
      <c r="AC24" s="13"/>
    </row>
    <row r="25" spans="1:29">
      <c r="A25" s="35" t="s">
        <v>25</v>
      </c>
      <c r="C25" s="21">
        <v>501472</v>
      </c>
      <c r="E25" s="228"/>
      <c r="F25" s="227"/>
      <c r="G25" s="227"/>
      <c r="H25" s="231"/>
      <c r="J25" s="24">
        <f t="shared" ref="J25" si="10">$J$16</f>
        <v>3.56E-2</v>
      </c>
      <c r="K25" s="25" t="s">
        <v>16</v>
      </c>
      <c r="L25" s="25"/>
      <c r="M25" s="13">
        <f t="shared" ref="M25" si="11">C25*J25/100</f>
        <v>178.52403200000001</v>
      </c>
      <c r="O25" s="156">
        <f>O$16</f>
        <v>1.43E-2</v>
      </c>
      <c r="P25" s="25"/>
      <c r="Q25" s="13">
        <f t="shared" ref="Q25" si="12">($H25+$M25)*O25</f>
        <v>2.5528936576000003</v>
      </c>
      <c r="S25" s="156">
        <f>S$16</f>
        <v>5.4999999999999997E-3</v>
      </c>
      <c r="T25" s="25"/>
      <c r="U25" s="13">
        <f t="shared" ref="U25" si="13">($H25+$M25)*S25</f>
        <v>0.98188217599999994</v>
      </c>
      <c r="W25" s="156">
        <f>W$16</f>
        <v>3.9199999999999999E-2</v>
      </c>
      <c r="X25" s="25"/>
      <c r="Y25" s="13">
        <f>($H25+$M25+$Q25+$U25)*W25</f>
        <v>7.1367052670771205</v>
      </c>
      <c r="AA25" s="156">
        <f>AA$16</f>
        <v>4.3299999999999998E-2</v>
      </c>
      <c r="AB25" s="25"/>
      <c r="AC25" s="13">
        <f>($H25+$M25+$Q25+$U25)*AA25</f>
        <v>7.8831463791948799</v>
      </c>
    </row>
    <row r="26" spans="1:29">
      <c r="A26" s="35" t="s">
        <v>26</v>
      </c>
      <c r="B26" s="9"/>
      <c r="C26" s="23">
        <v>223485</v>
      </c>
      <c r="E26" s="228"/>
      <c r="F26" s="227"/>
      <c r="G26" s="227"/>
      <c r="H26" s="225"/>
      <c r="J26" s="26"/>
      <c r="K26" s="25"/>
      <c r="L26" s="25"/>
      <c r="M26" s="13"/>
      <c r="O26" s="26"/>
      <c r="P26" s="25"/>
      <c r="Q26" s="13"/>
      <c r="S26" s="26"/>
      <c r="T26" s="25"/>
      <c r="U26" s="13"/>
      <c r="W26" s="26"/>
      <c r="X26" s="25"/>
      <c r="Y26" s="13"/>
      <c r="AA26" s="26"/>
      <c r="AB26" s="25"/>
      <c r="AC26" s="13"/>
    </row>
    <row r="27" spans="1:29">
      <c r="A27" s="35" t="s">
        <v>27</v>
      </c>
      <c r="B27" s="9"/>
      <c r="C27" s="23">
        <v>277987</v>
      </c>
      <c r="E27" s="228"/>
      <c r="F27" s="227"/>
      <c r="G27" s="227"/>
      <c r="H27" s="225"/>
      <c r="J27" s="26"/>
      <c r="K27" s="25"/>
      <c r="L27" s="25"/>
      <c r="M27" s="13"/>
      <c r="O27" s="26"/>
      <c r="P27" s="25"/>
      <c r="Q27" s="13"/>
      <c r="S27" s="26"/>
      <c r="T27" s="25"/>
      <c r="U27" s="13"/>
      <c r="W27" s="26"/>
      <c r="X27" s="25"/>
      <c r="Y27" s="13"/>
      <c r="AA27" s="26"/>
      <c r="AB27" s="25"/>
      <c r="AC27" s="13"/>
    </row>
    <row r="28" spans="1:29">
      <c r="A28" s="17" t="s">
        <v>28</v>
      </c>
      <c r="C28" s="36">
        <v>0</v>
      </c>
      <c r="H28" s="232">
        <v>0</v>
      </c>
      <c r="M28" s="38"/>
      <c r="Q28" s="38"/>
      <c r="U28" s="38"/>
      <c r="Y28" s="38"/>
      <c r="AC28" s="38"/>
    </row>
    <row r="29" spans="1:29" s="22" customFormat="1" ht="16.5" thickBot="1">
      <c r="A29" s="17" t="s">
        <v>29</v>
      </c>
      <c r="B29" s="8"/>
      <c r="C29" s="233">
        <v>5992207268.7140274</v>
      </c>
      <c r="D29" s="56"/>
      <c r="E29" s="212"/>
      <c r="F29" s="56"/>
      <c r="G29" s="56"/>
      <c r="H29" s="234">
        <v>661391652</v>
      </c>
      <c r="I29" s="9"/>
      <c r="J29" s="39"/>
      <c r="K29" s="9"/>
      <c r="L29" s="9"/>
      <c r="M29" s="40">
        <f>SUM(M13:M28)</f>
        <v>2133225.7874080003</v>
      </c>
      <c r="N29" s="9"/>
      <c r="O29" s="39"/>
      <c r="P29" s="9"/>
      <c r="Q29" s="40">
        <f>SUM(Q13:Q28)</f>
        <v>8756869.8026164956</v>
      </c>
      <c r="R29" s="9"/>
      <c r="S29" s="39"/>
      <c r="T29" s="9"/>
      <c r="U29" s="40">
        <f>SUM(U13:U28)</f>
        <v>3368026.8471601908</v>
      </c>
      <c r="V29" s="9"/>
      <c r="W29" s="39"/>
      <c r="X29" s="9"/>
      <c r="Y29" s="40">
        <f>SUM(Y13:Y28)</f>
        <v>24480141.84115842</v>
      </c>
      <c r="Z29" s="9"/>
      <c r="AA29" s="39"/>
      <c r="AB29" s="9"/>
      <c r="AC29" s="40">
        <f>SUM(AC13:AC28)</f>
        <v>27040564.839851014</v>
      </c>
    </row>
    <row r="30" spans="1:29" ht="16.5" thickTop="1">
      <c r="C30" s="235"/>
    </row>
    <row r="31" spans="1:29">
      <c r="A31" s="16" t="s">
        <v>30</v>
      </c>
      <c r="C31" s="55"/>
    </row>
    <row r="32" spans="1:29">
      <c r="A32" s="17" t="s">
        <v>11</v>
      </c>
      <c r="C32" s="21">
        <v>370465</v>
      </c>
      <c r="E32" s="178"/>
      <c r="F32" s="224"/>
      <c r="G32" s="224"/>
      <c r="H32" s="225"/>
      <c r="J32" s="18"/>
      <c r="K32" s="42"/>
      <c r="L32" s="42"/>
      <c r="M32" s="13"/>
      <c r="O32" s="18"/>
      <c r="P32" s="42"/>
      <c r="Q32" s="13"/>
      <c r="S32" s="18"/>
      <c r="T32" s="42"/>
      <c r="U32" s="13"/>
      <c r="W32" s="18"/>
      <c r="X32" s="42"/>
      <c r="Y32" s="13"/>
      <c r="AA32" s="18"/>
      <c r="AB32" s="42"/>
      <c r="AC32" s="13"/>
    </row>
    <row r="33" spans="1:29">
      <c r="A33" s="17" t="s">
        <v>12</v>
      </c>
      <c r="C33" s="21">
        <v>369457</v>
      </c>
      <c r="E33" s="178">
        <v>6</v>
      </c>
      <c r="F33" s="224"/>
      <c r="G33" s="224"/>
      <c r="H33" s="225">
        <v>2216742</v>
      </c>
      <c r="J33" s="18"/>
      <c r="K33" s="42"/>
      <c r="L33" s="42"/>
      <c r="M33" s="13"/>
      <c r="O33" s="18"/>
      <c r="P33" s="42"/>
      <c r="Q33" s="13"/>
      <c r="S33" s="18"/>
      <c r="T33" s="42"/>
      <c r="U33" s="13"/>
      <c r="W33" s="18"/>
      <c r="X33" s="42"/>
      <c r="Y33" s="13"/>
      <c r="AA33" s="18"/>
      <c r="AB33" s="42"/>
      <c r="AC33" s="13"/>
    </row>
    <row r="34" spans="1:29">
      <c r="A34" s="17" t="s">
        <v>13</v>
      </c>
      <c r="C34" s="21">
        <v>257</v>
      </c>
      <c r="E34" s="178">
        <v>12</v>
      </c>
      <c r="F34" s="224"/>
      <c r="G34" s="224"/>
      <c r="H34" s="225">
        <v>3084</v>
      </c>
      <c r="J34" s="18"/>
      <c r="K34" s="42"/>
      <c r="L34" s="42"/>
      <c r="M34" s="13"/>
      <c r="O34" s="18"/>
      <c r="P34" s="42"/>
      <c r="Q34" s="13"/>
      <c r="S34" s="18"/>
      <c r="T34" s="42"/>
      <c r="U34" s="13"/>
      <c r="W34" s="18"/>
      <c r="X34" s="42"/>
      <c r="Y34" s="13"/>
      <c r="AA34" s="18"/>
      <c r="AB34" s="42"/>
      <c r="AC34" s="13"/>
    </row>
    <row r="35" spans="1:29">
      <c r="A35" s="17" t="s">
        <v>14</v>
      </c>
      <c r="C35" s="21">
        <v>0</v>
      </c>
      <c r="E35" s="178">
        <v>0</v>
      </c>
      <c r="F35" s="224"/>
      <c r="G35" s="224"/>
      <c r="H35" s="225">
        <v>0</v>
      </c>
      <c r="J35" s="18"/>
      <c r="K35" s="42"/>
      <c r="L35" s="42"/>
      <c r="M35" s="13"/>
      <c r="O35" s="18"/>
      <c r="P35" s="42"/>
      <c r="Q35" s="13"/>
      <c r="S35" s="18"/>
      <c r="T35" s="42"/>
      <c r="U35" s="13"/>
      <c r="W35" s="18"/>
      <c r="X35" s="42"/>
      <c r="Y35" s="13"/>
      <c r="AA35" s="18"/>
      <c r="AB35" s="42"/>
      <c r="AC35" s="13"/>
    </row>
    <row r="36" spans="1:29">
      <c r="A36" s="17" t="s">
        <v>15</v>
      </c>
      <c r="C36" s="23">
        <v>47435117</v>
      </c>
      <c r="E36" s="228">
        <v>8.8498000000000001</v>
      </c>
      <c r="F36" s="227" t="s">
        <v>16</v>
      </c>
      <c r="G36" s="227"/>
      <c r="H36" s="225">
        <v>4197913</v>
      </c>
      <c r="J36" s="24">
        <f t="shared" ref="J36:J38" si="14">$J$16</f>
        <v>3.56E-2</v>
      </c>
      <c r="K36" s="25" t="s">
        <v>16</v>
      </c>
      <c r="L36" s="25"/>
      <c r="M36" s="13">
        <f t="shared" ref="M36:M38" si="15">C36*J36/100</f>
        <v>16886.901652</v>
      </c>
      <c r="O36" s="156">
        <f>O$16</f>
        <v>1.43E-2</v>
      </c>
      <c r="P36" s="25"/>
      <c r="Q36" s="13">
        <f t="shared" ref="Q36:Q38" si="16">($H36+$M36)*O36</f>
        <v>60271.638593623597</v>
      </c>
      <c r="S36" s="156">
        <f>S$16</f>
        <v>5.4999999999999997E-3</v>
      </c>
      <c r="T36" s="25"/>
      <c r="U36" s="13">
        <f t="shared" ref="U36:U38" si="17">($H36+$M36)*S36</f>
        <v>23181.399459085998</v>
      </c>
      <c r="W36" s="156">
        <f>W$16</f>
        <v>3.9199999999999999E-2</v>
      </c>
      <c r="X36" s="25"/>
      <c r="Y36" s="13">
        <f t="shared" ref="Y36:Y38" si="18">($H36+$M36+$Q36+$U36)*W36</f>
        <v>168491.5152364246</v>
      </c>
      <c r="AA36" s="156">
        <f>AA$16</f>
        <v>4.3299999999999998E-2</v>
      </c>
      <c r="AB36" s="25"/>
      <c r="AC36" s="13">
        <f t="shared" ref="AC36:AC38" si="19">($H36+$M36+$Q36+$U36)*AA36</f>
        <v>186114.35228921392</v>
      </c>
    </row>
    <row r="37" spans="1:29">
      <c r="A37" s="17" t="s">
        <v>17</v>
      </c>
      <c r="C37" s="23">
        <v>31907309</v>
      </c>
      <c r="E37" s="228">
        <v>11.542899999999999</v>
      </c>
      <c r="F37" s="227" t="s">
        <v>16</v>
      </c>
      <c r="G37" s="227"/>
      <c r="H37" s="225">
        <v>3683029</v>
      </c>
      <c r="J37" s="24">
        <f t="shared" si="14"/>
        <v>3.56E-2</v>
      </c>
      <c r="K37" s="25" t="s">
        <v>16</v>
      </c>
      <c r="L37" s="25"/>
      <c r="M37" s="13">
        <f t="shared" si="15"/>
        <v>11359.002004</v>
      </c>
      <c r="O37" s="156">
        <f>O$16</f>
        <v>1.43E-2</v>
      </c>
      <c r="P37" s="25"/>
      <c r="Q37" s="13">
        <f t="shared" si="16"/>
        <v>52829.7484286572</v>
      </c>
      <c r="S37" s="156">
        <f>S$16</f>
        <v>5.4999999999999997E-3</v>
      </c>
      <c r="T37" s="25"/>
      <c r="U37" s="13">
        <f t="shared" si="17"/>
        <v>20319.134011021997</v>
      </c>
      <c r="W37" s="156">
        <f>W$16</f>
        <v>3.9199999999999999E-2</v>
      </c>
      <c r="X37" s="25"/>
      <c r="Y37" s="13">
        <f t="shared" si="18"/>
        <v>147687.4458701922</v>
      </c>
      <c r="AA37" s="156">
        <f>AA$16</f>
        <v>4.3299999999999998E-2</v>
      </c>
      <c r="AB37" s="25"/>
      <c r="AC37" s="13">
        <f t="shared" si="19"/>
        <v>163134.34709641128</v>
      </c>
    </row>
    <row r="38" spans="1:29">
      <c r="A38" s="17" t="s">
        <v>18</v>
      </c>
      <c r="C38" s="23">
        <v>10205740</v>
      </c>
      <c r="E38" s="228">
        <v>14.450799999999999</v>
      </c>
      <c r="F38" s="227" t="s">
        <v>16</v>
      </c>
      <c r="G38" s="227"/>
      <c r="H38" s="225">
        <v>1474811</v>
      </c>
      <c r="J38" s="24">
        <f t="shared" si="14"/>
        <v>3.56E-2</v>
      </c>
      <c r="K38" s="25" t="s">
        <v>16</v>
      </c>
      <c r="L38" s="25"/>
      <c r="M38" s="13">
        <f t="shared" si="15"/>
        <v>3633.2434399999997</v>
      </c>
      <c r="O38" s="156">
        <f>O$16</f>
        <v>1.43E-2</v>
      </c>
      <c r="P38" s="25"/>
      <c r="Q38" s="13">
        <f t="shared" si="16"/>
        <v>21141.752681192003</v>
      </c>
      <c r="S38" s="156">
        <f>S$16</f>
        <v>5.4999999999999997E-3</v>
      </c>
      <c r="T38" s="25"/>
      <c r="U38" s="13">
        <f t="shared" si="17"/>
        <v>8131.4433389200003</v>
      </c>
      <c r="W38" s="156">
        <f>W$16</f>
        <v>3.9199999999999999E-2</v>
      </c>
      <c r="X38" s="25"/>
      <c r="Y38" s="13">
        <f t="shared" si="18"/>
        <v>59102.523626836388</v>
      </c>
      <c r="AA38" s="156">
        <f>AA$16</f>
        <v>4.3299999999999998E-2</v>
      </c>
      <c r="AB38" s="25"/>
      <c r="AC38" s="13">
        <f t="shared" si="19"/>
        <v>65284.165128622844</v>
      </c>
    </row>
    <row r="39" spans="1:29">
      <c r="A39" s="17" t="s">
        <v>19</v>
      </c>
      <c r="C39" s="23"/>
      <c r="E39" s="228"/>
      <c r="F39" s="227"/>
      <c r="G39" s="227"/>
      <c r="H39" s="225"/>
      <c r="J39" s="26"/>
      <c r="K39" s="25"/>
      <c r="L39" s="25"/>
      <c r="M39" s="13"/>
      <c r="O39" s="26"/>
      <c r="P39" s="25"/>
      <c r="Q39" s="13"/>
      <c r="S39" s="26"/>
      <c r="T39" s="25"/>
      <c r="U39" s="13"/>
      <c r="W39" s="26"/>
      <c r="X39" s="25"/>
      <c r="Y39" s="13"/>
      <c r="AA39" s="26"/>
      <c r="AB39" s="25"/>
      <c r="AC39" s="13"/>
    </row>
    <row r="40" spans="1:29">
      <c r="A40" s="27" t="s">
        <v>20</v>
      </c>
      <c r="B40" s="28"/>
      <c r="C40" s="23">
        <v>64598419</v>
      </c>
      <c r="D40" s="229"/>
      <c r="E40" s="228">
        <v>8.8498000000000001</v>
      </c>
      <c r="F40" s="227" t="s">
        <v>16</v>
      </c>
      <c r="G40" s="227"/>
      <c r="H40" s="225">
        <v>5716831</v>
      </c>
      <c r="I40" s="29"/>
      <c r="J40" s="24">
        <f t="shared" ref="J40:J41" si="20">$J$16</f>
        <v>3.56E-2</v>
      </c>
      <c r="K40" s="25" t="s">
        <v>16</v>
      </c>
      <c r="L40" s="25"/>
      <c r="M40" s="13">
        <f t="shared" ref="M40:M41" si="21">C40*J40/100</f>
        <v>22997.037163999998</v>
      </c>
      <c r="N40" s="29"/>
      <c r="O40" s="156">
        <f>O$16</f>
        <v>1.43E-2</v>
      </c>
      <c r="P40" s="25"/>
      <c r="Q40" s="13">
        <f t="shared" ref="Q40:Q41" si="22">($H40+$M40)*O40</f>
        <v>82079.540931445197</v>
      </c>
      <c r="R40" s="29"/>
      <c r="S40" s="156">
        <f>S$16</f>
        <v>5.4999999999999997E-3</v>
      </c>
      <c r="T40" s="25"/>
      <c r="U40" s="13">
        <f t="shared" ref="U40:U41" si="23">($H40+$M40)*S40</f>
        <v>31569.054204401997</v>
      </c>
      <c r="V40" s="29"/>
      <c r="W40" s="156">
        <f>W$16</f>
        <v>3.9199999999999999E-2</v>
      </c>
      <c r="X40" s="25"/>
      <c r="Y40" s="13">
        <f t="shared" ref="Y40:Y41" si="24">($H40+$M40+$Q40+$U40)*W40</f>
        <v>229456.28398615398</v>
      </c>
      <c r="Z40" s="29"/>
      <c r="AA40" s="156">
        <f>AA$16</f>
        <v>4.3299999999999998E-2</v>
      </c>
      <c r="AB40" s="25"/>
      <c r="AC40" s="13">
        <f t="shared" ref="AC40:AC41" si="25">($H40+$M40+$Q40+$U40)*AA40</f>
        <v>253455.53817858337</v>
      </c>
    </row>
    <row r="41" spans="1:29">
      <c r="A41" s="27" t="s">
        <v>21</v>
      </c>
      <c r="B41" s="28"/>
      <c r="C41" s="23">
        <v>54308077</v>
      </c>
      <c r="D41" s="229"/>
      <c r="E41" s="228">
        <v>10.7072</v>
      </c>
      <c r="F41" s="227" t="s">
        <v>16</v>
      </c>
      <c r="G41" s="227"/>
      <c r="H41" s="225">
        <v>5814874</v>
      </c>
      <c r="I41" s="29"/>
      <c r="J41" s="24">
        <f t="shared" si="20"/>
        <v>3.56E-2</v>
      </c>
      <c r="K41" s="25" t="s">
        <v>16</v>
      </c>
      <c r="L41" s="25"/>
      <c r="M41" s="13">
        <f t="shared" si="21"/>
        <v>19333.675412000001</v>
      </c>
      <c r="N41" s="29"/>
      <c r="O41" s="156">
        <f>O$16</f>
        <v>1.43E-2</v>
      </c>
      <c r="P41" s="25"/>
      <c r="Q41" s="13">
        <f t="shared" si="22"/>
        <v>83429.16975839161</v>
      </c>
      <c r="R41" s="29"/>
      <c r="S41" s="156">
        <f>S$16</f>
        <v>5.4999999999999997E-3</v>
      </c>
      <c r="T41" s="25"/>
      <c r="U41" s="13">
        <f t="shared" si="23"/>
        <v>32088.142214765998</v>
      </c>
      <c r="V41" s="29"/>
      <c r="W41" s="156">
        <f>W$16</f>
        <v>3.9199999999999999E-2</v>
      </c>
      <c r="X41" s="25"/>
      <c r="Y41" s="13">
        <f t="shared" si="24"/>
        <v>233229.21950549816</v>
      </c>
      <c r="Z41" s="29"/>
      <c r="AA41" s="156">
        <f>AA$16</f>
        <v>4.3299999999999998E-2</v>
      </c>
      <c r="AB41" s="25"/>
      <c r="AC41" s="13">
        <f t="shared" si="25"/>
        <v>257623.0919537773</v>
      </c>
    </row>
    <row r="42" spans="1:29">
      <c r="A42" s="17" t="s">
        <v>22</v>
      </c>
      <c r="C42" s="21">
        <v>751</v>
      </c>
      <c r="E42" s="178">
        <v>8</v>
      </c>
      <c r="F42" s="224"/>
      <c r="G42" s="224"/>
      <c r="H42" s="225">
        <v>6008</v>
      </c>
      <c r="J42" s="18"/>
      <c r="K42" s="42"/>
      <c r="L42" s="42"/>
      <c r="M42" s="13"/>
      <c r="O42" s="156">
        <f>O$16</f>
        <v>1.43E-2</v>
      </c>
      <c r="P42" s="19"/>
      <c r="Q42" s="13">
        <f>($H42+$M42-$E33*$C42)*O42</f>
        <v>21.4786</v>
      </c>
      <c r="S42" s="156">
        <f>S$16</f>
        <v>5.4999999999999997E-3</v>
      </c>
      <c r="T42" s="19"/>
      <c r="U42" s="13">
        <f>($H42+$M42-$E33*$C42)*S42</f>
        <v>8.2609999999999992</v>
      </c>
      <c r="W42" s="156">
        <f>W$16</f>
        <v>3.9199999999999999E-2</v>
      </c>
      <c r="X42" s="19"/>
      <c r="Y42" s="13">
        <f>($H42-$E33*$C42+$M42+$Q42+$U42)*W42</f>
        <v>60.044192319999993</v>
      </c>
      <c r="AA42" s="156">
        <f>AA$16</f>
        <v>4.3299999999999998E-2</v>
      </c>
      <c r="AB42" s="19"/>
      <c r="AC42" s="13">
        <f>($H42-$E33*$C42+$M42+$Q42+$U42)*AA42</f>
        <v>66.324324679999989</v>
      </c>
    </row>
    <row r="43" spans="1:29">
      <c r="A43" s="17" t="s">
        <v>23</v>
      </c>
      <c r="C43" s="21">
        <v>0</v>
      </c>
      <c r="E43" s="178">
        <v>16</v>
      </c>
      <c r="F43" s="224"/>
      <c r="G43" s="224"/>
      <c r="H43" s="225">
        <v>0</v>
      </c>
      <c r="J43" s="18"/>
      <c r="K43" s="42"/>
      <c r="L43" s="42"/>
      <c r="M43" s="13"/>
      <c r="O43" s="156">
        <f>O$16</f>
        <v>1.43E-2</v>
      </c>
      <c r="P43" s="31"/>
      <c r="Q43" s="13">
        <f>($H43+$M43-$E34*$C43)*O43</f>
        <v>0</v>
      </c>
      <c r="S43" s="156">
        <f>S$16</f>
        <v>5.4999999999999997E-3</v>
      </c>
      <c r="T43" s="31"/>
      <c r="U43" s="13">
        <f>($H43+$M43-$E34*$C43)*S43</f>
        <v>0</v>
      </c>
      <c r="W43" s="156">
        <f>W$16</f>
        <v>3.9199999999999999E-2</v>
      </c>
      <c r="X43" s="31"/>
      <c r="Y43" s="13">
        <f>($H43-$E34*$C43+$M43+$Q43+$U43)*W43</f>
        <v>0</v>
      </c>
      <c r="AA43" s="156">
        <f>AA$16</f>
        <v>4.3299999999999998E-2</v>
      </c>
      <c r="AB43" s="31"/>
      <c r="AC43" s="13">
        <f>($H43-$E34*$C43+$M43+$Q43+$U43)*AA43</f>
        <v>0</v>
      </c>
    </row>
    <row r="44" spans="1:29">
      <c r="A44" s="17" t="s">
        <v>24</v>
      </c>
      <c r="C44" s="21">
        <v>0</v>
      </c>
      <c r="E44" s="178">
        <v>96</v>
      </c>
      <c r="F44" s="224"/>
      <c r="G44" s="224"/>
      <c r="H44" s="225">
        <v>0</v>
      </c>
      <c r="J44" s="18"/>
      <c r="K44" s="42"/>
      <c r="L44" s="42"/>
      <c r="M44" s="13"/>
      <c r="O44" s="18"/>
      <c r="P44" s="32"/>
      <c r="Q44" s="13"/>
      <c r="S44" s="18"/>
      <c r="T44" s="32"/>
      <c r="U44" s="13"/>
      <c r="W44" s="18"/>
      <c r="X44" s="32"/>
      <c r="Y44" s="13"/>
      <c r="AA44" s="18"/>
      <c r="AB44" s="32"/>
      <c r="AC44" s="13"/>
    </row>
    <row r="45" spans="1:29">
      <c r="A45" s="35" t="s">
        <v>25</v>
      </c>
      <c r="B45" s="9"/>
      <c r="C45" s="21">
        <v>4249</v>
      </c>
      <c r="E45" s="236"/>
      <c r="F45" s="227"/>
      <c r="G45" s="227"/>
      <c r="H45" s="231"/>
      <c r="J45" s="24">
        <f t="shared" ref="J45" si="26">$J$16</f>
        <v>3.56E-2</v>
      </c>
      <c r="K45" s="25" t="s">
        <v>16</v>
      </c>
      <c r="L45" s="25"/>
      <c r="M45" s="13">
        <f t="shared" ref="M45" si="27">C45*J45/100</f>
        <v>1.5126439999999999</v>
      </c>
      <c r="O45" s="156">
        <f>O$16</f>
        <v>1.43E-2</v>
      </c>
      <c r="P45" s="25"/>
      <c r="Q45" s="13">
        <f t="shared" ref="Q45" si="28">($H45+$M45)*O45</f>
        <v>2.16308092E-2</v>
      </c>
      <c r="S45" s="156">
        <f>S$16</f>
        <v>5.4999999999999997E-3</v>
      </c>
      <c r="T45" s="25"/>
      <c r="U45" s="13">
        <f t="shared" ref="U45" si="29">($H45+$M45)*S45</f>
        <v>8.3195419999999992E-3</v>
      </c>
      <c r="W45" s="156">
        <f>W$16</f>
        <v>3.9199999999999999E-2</v>
      </c>
      <c r="X45" s="25"/>
      <c r="Y45" s="13">
        <f>($H45+$M45+$Q45+$U45)*W45</f>
        <v>6.0469698567039987E-2</v>
      </c>
      <c r="AA45" s="156">
        <f>AA$16</f>
        <v>4.3299999999999998E-2</v>
      </c>
      <c r="AB45" s="25"/>
      <c r="AC45" s="13">
        <f>($H45+$M45+$Q45+$U45)*AA45</f>
        <v>6.679433540695999E-2</v>
      </c>
    </row>
    <row r="46" spans="1:29" s="22" customFormat="1">
      <c r="A46" s="35" t="s">
        <v>26</v>
      </c>
      <c r="B46" s="9"/>
      <c r="C46" s="23">
        <v>2043</v>
      </c>
      <c r="D46" s="56"/>
      <c r="E46" s="236"/>
      <c r="F46" s="227"/>
      <c r="G46" s="227"/>
      <c r="H46" s="225"/>
      <c r="I46" s="9"/>
      <c r="J46" s="45"/>
      <c r="K46" s="25"/>
      <c r="L46" s="25"/>
      <c r="M46" s="13"/>
      <c r="N46" s="9"/>
      <c r="O46" s="26"/>
      <c r="P46" s="25"/>
      <c r="Q46" s="13"/>
      <c r="R46" s="9"/>
      <c r="S46" s="26"/>
      <c r="T46" s="25"/>
      <c r="U46" s="13"/>
      <c r="V46" s="9"/>
      <c r="W46" s="26"/>
      <c r="X46" s="25"/>
      <c r="Y46" s="13"/>
      <c r="Z46" s="9"/>
      <c r="AA46" s="26"/>
      <c r="AB46" s="25"/>
      <c r="AC46" s="13"/>
    </row>
    <row r="47" spans="1:29" s="22" customFormat="1">
      <c r="A47" s="35" t="s">
        <v>27</v>
      </c>
      <c r="B47" s="8"/>
      <c r="C47" s="23">
        <v>2206</v>
      </c>
      <c r="D47" s="56"/>
      <c r="E47" s="236"/>
      <c r="F47" s="227"/>
      <c r="G47" s="227"/>
      <c r="H47" s="225"/>
      <c r="I47" s="9"/>
      <c r="J47" s="45"/>
      <c r="K47" s="25"/>
      <c r="L47" s="25"/>
      <c r="M47" s="13"/>
      <c r="N47" s="9"/>
      <c r="O47" s="26"/>
      <c r="P47" s="25"/>
      <c r="Q47" s="13"/>
      <c r="R47" s="9"/>
      <c r="S47" s="26"/>
      <c r="T47" s="25"/>
      <c r="U47" s="13"/>
      <c r="V47" s="9"/>
      <c r="W47" s="26"/>
      <c r="X47" s="25"/>
      <c r="Y47" s="13"/>
      <c r="Z47" s="9"/>
      <c r="AA47" s="26"/>
      <c r="AB47" s="25"/>
      <c r="AC47" s="13"/>
    </row>
    <row r="48" spans="1:29">
      <c r="A48" s="17" t="s">
        <v>28</v>
      </c>
      <c r="C48" s="36">
        <v>0</v>
      </c>
      <c r="H48" s="232">
        <v>0</v>
      </c>
      <c r="M48" s="38"/>
      <c r="Q48" s="38"/>
      <c r="U48" s="38"/>
      <c r="Y48" s="38"/>
      <c r="AC48" s="38"/>
    </row>
    <row r="49" spans="1:29" ht="16.5" thickBot="1">
      <c r="A49" s="17" t="s">
        <v>29</v>
      </c>
      <c r="C49" s="233">
        <v>208458910.71085531</v>
      </c>
      <c r="E49" s="212"/>
      <c r="H49" s="234">
        <v>23113292</v>
      </c>
      <c r="J49" s="39"/>
      <c r="M49" s="40">
        <f>SUM(M33:M48)</f>
        <v>74211.372315999994</v>
      </c>
      <c r="O49" s="39"/>
      <c r="Q49" s="40">
        <f>SUM(Q33:Q48)</f>
        <v>299773.35062411876</v>
      </c>
      <c r="S49" s="39"/>
      <c r="U49" s="40">
        <f>SUM(U33:U48)</f>
        <v>115297.44254773798</v>
      </c>
      <c r="W49" s="39"/>
      <c r="Y49" s="40">
        <f>SUM(Y33:Y48)</f>
        <v>838027.09288712381</v>
      </c>
      <c r="AA49" s="39"/>
      <c r="AC49" s="40">
        <f>SUM(AC33:AC48)</f>
        <v>925677.885765624</v>
      </c>
    </row>
    <row r="50" spans="1:29" ht="16.5" thickTop="1">
      <c r="C50" s="55"/>
    </row>
    <row r="51" spans="1:29">
      <c r="A51" s="16" t="s">
        <v>31</v>
      </c>
      <c r="C51" s="55"/>
    </row>
    <row r="52" spans="1:29">
      <c r="A52" s="17" t="s">
        <v>11</v>
      </c>
      <c r="C52" s="21">
        <v>5364</v>
      </c>
      <c r="E52" s="178"/>
      <c r="F52" s="224"/>
      <c r="G52" s="224"/>
      <c r="H52" s="225"/>
      <c r="J52" s="18"/>
      <c r="K52" s="42"/>
      <c r="L52" s="42"/>
      <c r="M52" s="13"/>
      <c r="O52" s="18"/>
      <c r="P52" s="42"/>
      <c r="Q52" s="13"/>
      <c r="S52" s="18"/>
      <c r="T52" s="42"/>
      <c r="U52" s="13"/>
      <c r="W52" s="18"/>
      <c r="X52" s="42"/>
      <c r="Y52" s="13"/>
      <c r="AA52" s="18"/>
      <c r="AB52" s="42"/>
      <c r="AC52" s="13"/>
    </row>
    <row r="53" spans="1:29">
      <c r="A53" s="17" t="s">
        <v>12</v>
      </c>
      <c r="C53" s="21">
        <v>5243</v>
      </c>
      <c r="E53" s="178">
        <v>6</v>
      </c>
      <c r="F53" s="224"/>
      <c r="G53" s="224"/>
      <c r="H53" s="225">
        <v>31458</v>
      </c>
      <c r="J53" s="18"/>
      <c r="K53" s="42"/>
      <c r="L53" s="42"/>
      <c r="M53" s="13"/>
      <c r="O53" s="18"/>
      <c r="P53" s="42"/>
      <c r="Q53" s="13"/>
      <c r="S53" s="18"/>
      <c r="T53" s="42"/>
      <c r="U53" s="13"/>
      <c r="W53" s="18"/>
      <c r="X53" s="42"/>
      <c r="Y53" s="13"/>
      <c r="AA53" s="18"/>
      <c r="AB53" s="42"/>
      <c r="AC53" s="13"/>
    </row>
    <row r="54" spans="1:29">
      <c r="A54" s="17" t="s">
        <v>13</v>
      </c>
      <c r="C54" s="21">
        <v>0</v>
      </c>
      <c r="E54" s="178">
        <v>12</v>
      </c>
      <c r="F54" s="224"/>
      <c r="G54" s="224"/>
      <c r="H54" s="225">
        <v>0</v>
      </c>
      <c r="J54" s="18"/>
      <c r="K54" s="42"/>
      <c r="L54" s="42"/>
      <c r="M54" s="13"/>
      <c r="O54" s="18"/>
      <c r="P54" s="42"/>
      <c r="Q54" s="13"/>
      <c r="S54" s="18"/>
      <c r="T54" s="42"/>
      <c r="U54" s="13"/>
      <c r="W54" s="18"/>
      <c r="X54" s="42"/>
      <c r="Y54" s="13"/>
      <c r="AA54" s="18"/>
      <c r="AB54" s="42"/>
      <c r="AC54" s="13"/>
    </row>
    <row r="55" spans="1:29">
      <c r="A55" s="17" t="s">
        <v>14</v>
      </c>
      <c r="C55" s="21">
        <v>1185</v>
      </c>
      <c r="E55" s="178">
        <v>0</v>
      </c>
      <c r="F55" s="224"/>
      <c r="G55" s="224"/>
      <c r="H55" s="225">
        <v>0</v>
      </c>
      <c r="J55" s="18"/>
      <c r="K55" s="42"/>
      <c r="L55" s="42"/>
      <c r="M55" s="13"/>
      <c r="O55" s="18"/>
      <c r="P55" s="42"/>
      <c r="Q55" s="13"/>
      <c r="S55" s="18"/>
      <c r="T55" s="42"/>
      <c r="U55" s="13"/>
      <c r="W55" s="18"/>
      <c r="X55" s="42"/>
      <c r="Y55" s="13"/>
      <c r="AA55" s="18"/>
      <c r="AB55" s="42"/>
      <c r="AC55" s="13"/>
    </row>
    <row r="56" spans="1:29">
      <c r="A56" s="17" t="s">
        <v>32</v>
      </c>
      <c r="C56" s="21">
        <v>280149</v>
      </c>
      <c r="E56" s="237">
        <v>4.3559999999999999</v>
      </c>
      <c r="F56" s="227" t="s">
        <v>16</v>
      </c>
      <c r="G56" s="227"/>
      <c r="H56" s="225">
        <v>12203</v>
      </c>
      <c r="J56" s="46"/>
      <c r="K56" s="25"/>
      <c r="L56" s="25"/>
      <c r="M56" s="13"/>
      <c r="O56" s="156">
        <f>O$16</f>
        <v>1.43E-2</v>
      </c>
      <c r="P56" s="25"/>
      <c r="Q56" s="13">
        <f t="shared" ref="Q56" si="30">($H56+$M56)*O56</f>
        <v>174.50290000000001</v>
      </c>
      <c r="S56" s="156">
        <f>S$16</f>
        <v>5.4999999999999997E-3</v>
      </c>
      <c r="T56" s="25"/>
      <c r="U56" s="13">
        <f t="shared" ref="U56:U60" si="31">($H56+$M56)*S56</f>
        <v>67.116500000000002</v>
      </c>
      <c r="W56" s="156">
        <f>W$16</f>
        <v>3.9199999999999999E-2</v>
      </c>
      <c r="X56" s="25"/>
      <c r="Y56" s="13">
        <f t="shared" ref="Y56:Y60" si="32">($H56+$M56+$Q56+$U56)*W56</f>
        <v>487.82908047999996</v>
      </c>
      <c r="AA56" s="156">
        <f>AA$16</f>
        <v>4.3299999999999998E-2</v>
      </c>
      <c r="AB56" s="25"/>
      <c r="AC56" s="13">
        <f t="shared" ref="AC56:AC60" si="33">($H56+$M56+$Q56+$U56)*AA56</f>
        <v>538.85202001999994</v>
      </c>
    </row>
    <row r="57" spans="1:29">
      <c r="A57" s="17" t="s">
        <v>33</v>
      </c>
      <c r="C57" s="21">
        <v>954590</v>
      </c>
      <c r="E57" s="237">
        <v>-1.6334</v>
      </c>
      <c r="F57" s="227" t="s">
        <v>16</v>
      </c>
      <c r="G57" s="227"/>
      <c r="H57" s="225">
        <v>-15592</v>
      </c>
      <c r="J57" s="46"/>
      <c r="K57" s="25"/>
      <c r="L57" s="25"/>
      <c r="M57" s="13"/>
      <c r="O57" s="156">
        <f>O$16</f>
        <v>1.43E-2</v>
      </c>
      <c r="P57" s="25"/>
      <c r="Q57" s="13">
        <f t="shared" ref="Q57:Q60" si="34">($H57+$M57)*O57</f>
        <v>-222.96559999999999</v>
      </c>
      <c r="S57" s="156">
        <f>S$16</f>
        <v>5.4999999999999997E-3</v>
      </c>
      <c r="T57" s="25"/>
      <c r="U57" s="13">
        <f t="shared" si="31"/>
        <v>-85.756</v>
      </c>
      <c r="W57" s="156">
        <f>W$16</f>
        <v>3.9199999999999999E-2</v>
      </c>
      <c r="X57" s="25"/>
      <c r="Y57" s="13">
        <f t="shared" si="32"/>
        <v>-623.30828671999996</v>
      </c>
      <c r="AA57" s="156">
        <f>AA$16</f>
        <v>4.3299999999999998E-2</v>
      </c>
      <c r="AB57" s="25"/>
      <c r="AC57" s="13">
        <f t="shared" si="33"/>
        <v>-688.50124527999992</v>
      </c>
    </row>
    <row r="58" spans="1:29">
      <c r="A58" s="17" t="s">
        <v>15</v>
      </c>
      <c r="C58" s="21">
        <v>675062</v>
      </c>
      <c r="E58" s="228">
        <v>8.8498000000000001</v>
      </c>
      <c r="F58" s="227" t="s">
        <v>16</v>
      </c>
      <c r="G58" s="227"/>
      <c r="H58" s="225">
        <v>59742</v>
      </c>
      <c r="J58" s="24">
        <f t="shared" ref="J58:J60" si="35">$J$16</f>
        <v>3.56E-2</v>
      </c>
      <c r="K58" s="25" t="s">
        <v>16</v>
      </c>
      <c r="L58" s="25"/>
      <c r="M58" s="13">
        <f t="shared" ref="M58:M60" si="36">C58*J58/100</f>
        <v>240.32207200000002</v>
      </c>
      <c r="O58" s="156">
        <f>O$16</f>
        <v>1.43E-2</v>
      </c>
      <c r="P58" s="25"/>
      <c r="Q58" s="13">
        <f t="shared" si="34"/>
        <v>857.7472056296001</v>
      </c>
      <c r="S58" s="156">
        <f>S$16</f>
        <v>5.4999999999999997E-3</v>
      </c>
      <c r="T58" s="25"/>
      <c r="U58" s="13">
        <f t="shared" si="31"/>
        <v>329.90277139599999</v>
      </c>
      <c r="W58" s="156">
        <f>W$16</f>
        <v>3.9199999999999999E-2</v>
      </c>
      <c r="X58" s="25"/>
      <c r="Y58" s="13">
        <f t="shared" si="32"/>
        <v>2397.8629043218039</v>
      </c>
      <c r="AA58" s="156">
        <f>AA$16</f>
        <v>4.3299999999999998E-2</v>
      </c>
      <c r="AB58" s="25"/>
      <c r="AC58" s="13">
        <f t="shared" si="33"/>
        <v>2648.6597897228089</v>
      </c>
    </row>
    <row r="59" spans="1:29">
      <c r="A59" s="17" t="s">
        <v>17</v>
      </c>
      <c r="C59" s="21">
        <v>474415</v>
      </c>
      <c r="E59" s="228">
        <v>11.542899999999999</v>
      </c>
      <c r="F59" s="227" t="s">
        <v>16</v>
      </c>
      <c r="G59" s="227"/>
      <c r="H59" s="225">
        <v>54761</v>
      </c>
      <c r="J59" s="24">
        <f t="shared" si="35"/>
        <v>3.56E-2</v>
      </c>
      <c r="K59" s="25" t="s">
        <v>16</v>
      </c>
      <c r="L59" s="25"/>
      <c r="M59" s="13">
        <f t="shared" si="36"/>
        <v>168.89174</v>
      </c>
      <c r="O59" s="156">
        <f>O$16</f>
        <v>1.43E-2</v>
      </c>
      <c r="P59" s="25"/>
      <c r="Q59" s="13">
        <f t="shared" si="34"/>
        <v>785.49745188199995</v>
      </c>
      <c r="S59" s="156">
        <f>S$16</f>
        <v>5.4999999999999997E-3</v>
      </c>
      <c r="T59" s="25"/>
      <c r="U59" s="13">
        <f t="shared" si="31"/>
        <v>302.11440456999998</v>
      </c>
      <c r="W59" s="156">
        <f>W$16</f>
        <v>3.9199999999999999E-2</v>
      </c>
      <c r="X59" s="25"/>
      <c r="Y59" s="13">
        <f t="shared" si="32"/>
        <v>2195.8861409809183</v>
      </c>
      <c r="AA59" s="156">
        <f>AA$16</f>
        <v>4.3299999999999998E-2</v>
      </c>
      <c r="AB59" s="25"/>
      <c r="AC59" s="13">
        <f t="shared" si="33"/>
        <v>2425.5579057263712</v>
      </c>
    </row>
    <row r="60" spans="1:29">
      <c r="A60" s="17" t="s">
        <v>18</v>
      </c>
      <c r="C60" s="21">
        <v>185128</v>
      </c>
      <c r="E60" s="228">
        <v>14.450799999999999</v>
      </c>
      <c r="F60" s="227" t="s">
        <v>16</v>
      </c>
      <c r="G60" s="227"/>
      <c r="H60" s="225">
        <v>26752</v>
      </c>
      <c r="J60" s="24">
        <f t="shared" si="35"/>
        <v>3.56E-2</v>
      </c>
      <c r="K60" s="25" t="s">
        <v>16</v>
      </c>
      <c r="L60" s="25"/>
      <c r="M60" s="13">
        <f t="shared" si="36"/>
        <v>65.905568000000002</v>
      </c>
      <c r="O60" s="156">
        <f>O$16</f>
        <v>1.43E-2</v>
      </c>
      <c r="P60" s="25"/>
      <c r="Q60" s="13">
        <f t="shared" si="34"/>
        <v>383.49604962239999</v>
      </c>
      <c r="S60" s="156">
        <f>S$16</f>
        <v>5.4999999999999997E-3</v>
      </c>
      <c r="T60" s="25"/>
      <c r="U60" s="13">
        <f t="shared" si="31"/>
        <v>147.498480624</v>
      </c>
      <c r="W60" s="156">
        <f>W$16</f>
        <v>3.9199999999999999E-2</v>
      </c>
      <c r="X60" s="25"/>
      <c r="Y60" s="13">
        <f t="shared" si="32"/>
        <v>1072.0768838512588</v>
      </c>
      <c r="AA60" s="156">
        <f>AA$16</f>
        <v>4.3299999999999998E-2</v>
      </c>
      <c r="AB60" s="25"/>
      <c r="AC60" s="13">
        <f t="shared" si="33"/>
        <v>1184.207374254069</v>
      </c>
    </row>
    <row r="61" spans="1:29">
      <c r="A61" s="17" t="s">
        <v>19</v>
      </c>
      <c r="C61" s="21"/>
      <c r="E61" s="228"/>
      <c r="F61" s="227"/>
      <c r="G61" s="227"/>
      <c r="H61" s="225"/>
      <c r="J61" s="26"/>
      <c r="K61" s="25"/>
      <c r="L61" s="25"/>
      <c r="M61" s="13"/>
      <c r="O61" s="26"/>
      <c r="P61" s="25"/>
      <c r="Q61" s="13"/>
      <c r="S61" s="26"/>
      <c r="T61" s="25"/>
      <c r="U61" s="13"/>
      <c r="W61" s="26"/>
      <c r="X61" s="25"/>
      <c r="Y61" s="13"/>
      <c r="AA61" s="26"/>
      <c r="AB61" s="25"/>
      <c r="AC61" s="13"/>
    </row>
    <row r="62" spans="1:29">
      <c r="A62" s="27" t="s">
        <v>20</v>
      </c>
      <c r="B62" s="28"/>
      <c r="C62" s="21">
        <v>912816</v>
      </c>
      <c r="D62" s="229"/>
      <c r="E62" s="228">
        <v>8.8498000000000001</v>
      </c>
      <c r="F62" s="227" t="s">
        <v>16</v>
      </c>
      <c r="G62" s="227"/>
      <c r="H62" s="225">
        <v>80782</v>
      </c>
      <c r="I62" s="29"/>
      <c r="J62" s="24">
        <f t="shared" ref="J62:J63" si="37">$J$16</f>
        <v>3.56E-2</v>
      </c>
      <c r="K62" s="25" t="s">
        <v>16</v>
      </c>
      <c r="L62" s="25"/>
      <c r="M62" s="13">
        <f t="shared" ref="M62:M63" si="38">C62*J62/100</f>
        <v>324.96249599999999</v>
      </c>
      <c r="N62" s="29"/>
      <c r="O62" s="156">
        <f>O$16</f>
        <v>1.43E-2</v>
      </c>
      <c r="P62" s="25"/>
      <c r="Q62" s="13">
        <f t="shared" ref="Q62:Q63" si="39">($H62+$M62)*O62</f>
        <v>1159.8295636927999</v>
      </c>
      <c r="R62" s="29"/>
      <c r="S62" s="156">
        <f>S$16</f>
        <v>5.4999999999999997E-3</v>
      </c>
      <c r="T62" s="25"/>
      <c r="U62" s="13">
        <f t="shared" ref="U62:U63" si="40">($H62+$M62)*S62</f>
        <v>446.08829372799994</v>
      </c>
      <c r="V62" s="29"/>
      <c r="W62" s="156">
        <f>W$16</f>
        <v>3.9199999999999999E-2</v>
      </c>
      <c r="X62" s="25"/>
      <c r="Y62" s="13">
        <f t="shared" ref="Y62:Y63" si="41">($H62+$M62+$Q62+$U62)*W62</f>
        <v>3242.3449098540946</v>
      </c>
      <c r="Z62" s="29"/>
      <c r="AA62" s="156">
        <f>AA$16</f>
        <v>4.3299999999999998E-2</v>
      </c>
      <c r="AB62" s="25"/>
      <c r="AC62" s="13">
        <f t="shared" ref="AC62:AC63" si="42">($H62+$M62+$Q62+$U62)*AA62</f>
        <v>3581.4677193031198</v>
      </c>
    </row>
    <row r="63" spans="1:29">
      <c r="A63" s="27" t="s">
        <v>21</v>
      </c>
      <c r="B63" s="28"/>
      <c r="C63" s="21">
        <v>937823</v>
      </c>
      <c r="D63" s="229"/>
      <c r="E63" s="228">
        <v>10.7072</v>
      </c>
      <c r="F63" s="227" t="s">
        <v>16</v>
      </c>
      <c r="G63" s="227"/>
      <c r="H63" s="225">
        <v>100415</v>
      </c>
      <c r="I63" s="29"/>
      <c r="J63" s="24">
        <f t="shared" si="37"/>
        <v>3.56E-2</v>
      </c>
      <c r="K63" s="25" t="s">
        <v>16</v>
      </c>
      <c r="L63" s="25"/>
      <c r="M63" s="13">
        <f t="shared" si="38"/>
        <v>333.86498800000004</v>
      </c>
      <c r="N63" s="29"/>
      <c r="O63" s="156">
        <f>O$16</f>
        <v>1.43E-2</v>
      </c>
      <c r="P63" s="25"/>
      <c r="Q63" s="13">
        <f t="shared" si="39"/>
        <v>1440.7087693284</v>
      </c>
      <c r="R63" s="29"/>
      <c r="S63" s="156">
        <f>S$16</f>
        <v>5.4999999999999997E-3</v>
      </c>
      <c r="T63" s="25"/>
      <c r="U63" s="13">
        <f t="shared" si="40"/>
        <v>554.11875743400003</v>
      </c>
      <c r="V63" s="29"/>
      <c r="W63" s="156">
        <f>W$16</f>
        <v>3.9199999999999999E-2</v>
      </c>
      <c r="X63" s="25"/>
      <c r="Y63" s="13">
        <f t="shared" si="41"/>
        <v>4027.5527465786859</v>
      </c>
      <c r="Z63" s="29"/>
      <c r="AA63" s="156">
        <f>AA$16</f>
        <v>4.3299999999999998E-2</v>
      </c>
      <c r="AB63" s="25"/>
      <c r="AC63" s="13">
        <f t="shared" si="42"/>
        <v>4448.8018858892119</v>
      </c>
    </row>
    <row r="64" spans="1:29">
      <c r="A64" s="17" t="s">
        <v>22</v>
      </c>
      <c r="C64" s="21">
        <v>121</v>
      </c>
      <c r="E64" s="178">
        <v>8</v>
      </c>
      <c r="F64" s="224"/>
      <c r="G64" s="224"/>
      <c r="H64" s="225">
        <v>968</v>
      </c>
      <c r="J64" s="18"/>
      <c r="K64" s="42"/>
      <c r="L64" s="42"/>
      <c r="M64" s="13"/>
      <c r="O64" s="156">
        <f>O$16</f>
        <v>1.43E-2</v>
      </c>
      <c r="P64" s="19"/>
      <c r="Q64" s="13">
        <f>($H64+$M64-$E53*$C64)*O64</f>
        <v>3.4605999999999999</v>
      </c>
      <c r="S64" s="156">
        <f>S$16</f>
        <v>5.4999999999999997E-3</v>
      </c>
      <c r="T64" s="19"/>
      <c r="U64" s="13">
        <f>($H64+$M64-$E53*$C64)*S64</f>
        <v>1.331</v>
      </c>
      <c r="W64" s="156">
        <f>W$16</f>
        <v>3.9199999999999999E-2</v>
      </c>
      <c r="X64" s="19"/>
      <c r="Y64" s="13">
        <f>($H64-$E53*$C64+$M64+$Q64+$U64)*W64</f>
        <v>9.6742307199999988</v>
      </c>
      <c r="AA64" s="156">
        <f>AA$16</f>
        <v>4.3299999999999998E-2</v>
      </c>
      <c r="AB64" s="19"/>
      <c r="AC64" s="13">
        <f>($H64-$E53*$C64+$M64+$Q64+$U64)*AA64</f>
        <v>10.686076279999998</v>
      </c>
    </row>
    <row r="65" spans="1:29" s="22" customFormat="1">
      <c r="A65" s="17" t="s">
        <v>23</v>
      </c>
      <c r="B65" s="8"/>
      <c r="C65" s="21">
        <v>0</v>
      </c>
      <c r="D65" s="56"/>
      <c r="E65" s="178">
        <v>16</v>
      </c>
      <c r="F65" s="224"/>
      <c r="G65" s="224"/>
      <c r="H65" s="225">
        <v>0</v>
      </c>
      <c r="I65" s="9"/>
      <c r="J65" s="18"/>
      <c r="K65" s="42"/>
      <c r="L65" s="42"/>
      <c r="M65" s="13"/>
      <c r="N65" s="9"/>
      <c r="O65" s="156">
        <f>O$16</f>
        <v>1.43E-2</v>
      </c>
      <c r="P65" s="42"/>
      <c r="Q65" s="13">
        <f>($H65+$M65-$E54*$C65)*O65</f>
        <v>0</v>
      </c>
      <c r="R65" s="9"/>
      <c r="S65" s="156">
        <f>S$16</f>
        <v>5.4999999999999997E-3</v>
      </c>
      <c r="T65" s="42"/>
      <c r="U65" s="13">
        <f>($H65+$M65-$E54*$C65)*S65</f>
        <v>0</v>
      </c>
      <c r="V65" s="9"/>
      <c r="W65" s="156">
        <f>W$16</f>
        <v>3.9199999999999999E-2</v>
      </c>
      <c r="X65" s="42"/>
      <c r="Y65" s="13">
        <f>($H65-$E54*$C65+$M65+$Q65+$U65)*W65</f>
        <v>0</v>
      </c>
      <c r="Z65" s="9"/>
      <c r="AA65" s="156">
        <f>AA$16</f>
        <v>4.3299999999999998E-2</v>
      </c>
      <c r="AB65" s="42"/>
      <c r="AC65" s="13">
        <f>($H65-$E54*$C65+$M65+$Q65+$U65)*AA65</f>
        <v>0</v>
      </c>
    </row>
    <row r="66" spans="1:29" s="22" customFormat="1">
      <c r="A66" s="17" t="s">
        <v>24</v>
      </c>
      <c r="B66" s="8"/>
      <c r="C66" s="21">
        <v>0</v>
      </c>
      <c r="D66" s="56"/>
      <c r="E66" s="178">
        <v>96</v>
      </c>
      <c r="F66" s="224"/>
      <c r="G66" s="224"/>
      <c r="H66" s="225">
        <v>0</v>
      </c>
      <c r="I66" s="9"/>
      <c r="J66" s="18"/>
      <c r="K66" s="42"/>
      <c r="L66" s="42"/>
      <c r="M66" s="13"/>
      <c r="N66" s="9"/>
      <c r="O66" s="18"/>
      <c r="P66" s="42"/>
      <c r="Q66" s="13"/>
      <c r="R66" s="9"/>
      <c r="S66" s="18"/>
      <c r="T66" s="42"/>
      <c r="U66" s="13"/>
      <c r="V66" s="9"/>
      <c r="W66" s="18"/>
      <c r="X66" s="42"/>
      <c r="Y66" s="13"/>
      <c r="Z66" s="9"/>
      <c r="AA66" s="18"/>
      <c r="AB66" s="42"/>
      <c r="AC66" s="13"/>
    </row>
    <row r="67" spans="1:29" s="22" customFormat="1">
      <c r="A67" s="35" t="s">
        <v>25</v>
      </c>
      <c r="B67" s="9"/>
      <c r="C67" s="21">
        <v>428</v>
      </c>
      <c r="D67" s="56"/>
      <c r="E67" s="236"/>
      <c r="F67" s="227"/>
      <c r="G67" s="227"/>
      <c r="H67" s="231"/>
      <c r="I67" s="9"/>
      <c r="J67" s="24">
        <f t="shared" ref="J67" si="43">$J$16</f>
        <v>3.56E-2</v>
      </c>
      <c r="K67" s="25" t="s">
        <v>16</v>
      </c>
      <c r="L67" s="25"/>
      <c r="M67" s="13">
        <f t="shared" ref="M67" si="44">C67*J67/100</f>
        <v>0.152368</v>
      </c>
      <c r="N67" s="9"/>
      <c r="O67" s="156">
        <f>O$16</f>
        <v>1.43E-2</v>
      </c>
      <c r="P67" s="25"/>
      <c r="Q67" s="13">
        <f t="shared" ref="Q67" si="45">($H67+$M67)*O67</f>
        <v>2.1788624000000003E-3</v>
      </c>
      <c r="R67" s="9"/>
      <c r="S67" s="156">
        <f>S$16</f>
        <v>5.4999999999999997E-3</v>
      </c>
      <c r="T67" s="25"/>
      <c r="U67" s="13">
        <f t="shared" ref="U67" si="46">($H67+$M67)*S67</f>
        <v>8.3802399999999993E-4</v>
      </c>
      <c r="V67" s="9"/>
      <c r="W67" s="156">
        <f>W$16</f>
        <v>3.9199999999999999E-2</v>
      </c>
      <c r="X67" s="25"/>
      <c r="Y67" s="13">
        <f>($H67+$M67+$Q67+$U67)*W67</f>
        <v>6.0910875468799999E-3</v>
      </c>
      <c r="Z67" s="9"/>
      <c r="AA67" s="156">
        <f>AA$16</f>
        <v>4.3299999999999998E-2</v>
      </c>
      <c r="AB67" s="25"/>
      <c r="AC67" s="13">
        <f>($H67+$M67+$Q67+$U67)*AA67</f>
        <v>6.7281655811199997E-3</v>
      </c>
    </row>
    <row r="68" spans="1:29">
      <c r="A68" s="35" t="s">
        <v>26</v>
      </c>
      <c r="B68" s="9"/>
      <c r="C68" s="21">
        <v>118</v>
      </c>
      <c r="E68" s="236"/>
      <c r="F68" s="227"/>
      <c r="G68" s="227"/>
      <c r="H68" s="225"/>
      <c r="J68" s="45"/>
      <c r="K68" s="25"/>
      <c r="L68" s="25"/>
      <c r="M68" s="13"/>
      <c r="O68" s="45"/>
      <c r="P68" s="25"/>
      <c r="Q68" s="13"/>
      <c r="S68" s="45"/>
      <c r="T68" s="25"/>
      <c r="U68" s="13"/>
      <c r="W68" s="45"/>
      <c r="X68" s="25"/>
      <c r="Y68" s="13"/>
      <c r="AA68" s="45"/>
      <c r="AB68" s="25"/>
      <c r="AC68" s="13"/>
    </row>
    <row r="69" spans="1:29">
      <c r="A69" s="35" t="s">
        <v>27</v>
      </c>
      <c r="C69" s="21">
        <v>310</v>
      </c>
      <c r="E69" s="236"/>
      <c r="F69" s="227"/>
      <c r="G69" s="227"/>
      <c r="H69" s="225"/>
      <c r="J69" s="45"/>
      <c r="K69" s="25"/>
      <c r="L69" s="25"/>
      <c r="M69" s="13"/>
      <c r="O69" s="45"/>
      <c r="P69" s="25"/>
      <c r="Q69" s="13"/>
      <c r="S69" s="45"/>
      <c r="T69" s="25"/>
      <c r="U69" s="13"/>
      <c r="W69" s="45"/>
      <c r="X69" s="25"/>
      <c r="Y69" s="13"/>
      <c r="AA69" s="45"/>
      <c r="AB69" s="25"/>
      <c r="AC69" s="13"/>
    </row>
    <row r="70" spans="1:29">
      <c r="A70" s="17" t="s">
        <v>28</v>
      </c>
      <c r="C70" s="36">
        <v>0</v>
      </c>
      <c r="H70" s="232">
        <v>0</v>
      </c>
      <c r="M70" s="38"/>
      <c r="Q70" s="38"/>
      <c r="U70" s="38"/>
      <c r="Y70" s="38"/>
      <c r="AC70" s="38"/>
    </row>
    <row r="71" spans="1:29" ht="16.5" thickBot="1">
      <c r="A71" s="17" t="s">
        <v>29</v>
      </c>
      <c r="C71" s="233">
        <v>3185670.6103628851</v>
      </c>
      <c r="E71" s="238"/>
      <c r="H71" s="239">
        <v>351489</v>
      </c>
      <c r="J71" s="48"/>
      <c r="M71" s="49">
        <f>SUM(M53:M70)</f>
        <v>1134.099232</v>
      </c>
      <c r="O71" s="48"/>
      <c r="Q71" s="49">
        <f>SUM(Q53:Q70)</f>
        <v>4582.2791190176004</v>
      </c>
      <c r="S71" s="48"/>
      <c r="U71" s="49">
        <f>SUM(U53:U70)</f>
        <v>1762.4150457759997</v>
      </c>
      <c r="W71" s="48"/>
      <c r="Y71" s="49">
        <f>SUM(Y53:Y70)</f>
        <v>12809.924701154308</v>
      </c>
      <c r="AA71" s="48"/>
      <c r="AC71" s="49">
        <f>SUM(AC53:AC70)</f>
        <v>14149.738254081163</v>
      </c>
    </row>
    <row r="72" spans="1:29" ht="16.5" thickTop="1">
      <c r="C72" s="55"/>
    </row>
    <row r="73" spans="1:29">
      <c r="A73" s="16" t="s">
        <v>34</v>
      </c>
      <c r="C73" s="55"/>
    </row>
    <row r="74" spans="1:29">
      <c r="A74" s="17" t="s">
        <v>35</v>
      </c>
      <c r="C74" s="55">
        <v>156864.35241617297</v>
      </c>
      <c r="E74" s="178">
        <v>54</v>
      </c>
      <c r="F74" s="224"/>
      <c r="G74" s="224"/>
      <c r="H74" s="225">
        <v>8470675</v>
      </c>
      <c r="J74" s="18"/>
      <c r="K74" s="19"/>
      <c r="L74" s="19"/>
      <c r="M74" s="13"/>
      <c r="O74" s="18"/>
      <c r="P74" s="19"/>
      <c r="Q74" s="13"/>
      <c r="S74" s="18"/>
      <c r="T74" s="19"/>
      <c r="U74" s="13"/>
      <c r="W74" s="18"/>
      <c r="X74" s="19"/>
      <c r="Y74" s="13"/>
      <c r="AA74" s="18"/>
      <c r="AB74" s="19"/>
      <c r="AC74" s="13"/>
    </row>
    <row r="75" spans="1:29">
      <c r="A75" s="17" t="s">
        <v>36</v>
      </c>
      <c r="C75" s="55">
        <v>7568683</v>
      </c>
      <c r="E75" s="178"/>
      <c r="F75" s="224"/>
      <c r="G75" s="224"/>
      <c r="H75" s="225"/>
      <c r="J75" s="18"/>
      <c r="K75" s="19"/>
      <c r="L75" s="19"/>
      <c r="M75" s="13"/>
      <c r="O75" s="18"/>
      <c r="P75" s="19"/>
      <c r="Q75" s="13"/>
      <c r="S75" s="18"/>
      <c r="T75" s="19"/>
      <c r="U75" s="13"/>
      <c r="W75" s="18"/>
      <c r="X75" s="19"/>
      <c r="Y75" s="13"/>
      <c r="AA75" s="18"/>
      <c r="AB75" s="19"/>
      <c r="AC75" s="13"/>
    </row>
    <row r="76" spans="1:29">
      <c r="A76" s="17" t="s">
        <v>37</v>
      </c>
      <c r="C76" s="55">
        <v>9009450</v>
      </c>
      <c r="E76" s="178"/>
      <c r="F76" s="224"/>
      <c r="G76" s="224"/>
      <c r="H76" s="225"/>
      <c r="J76" s="18"/>
      <c r="K76" s="19"/>
      <c r="L76" s="19"/>
      <c r="M76" s="13"/>
      <c r="O76" s="18"/>
      <c r="P76" s="19"/>
      <c r="Q76" s="13"/>
      <c r="S76" s="18"/>
      <c r="T76" s="19"/>
      <c r="U76" s="13"/>
      <c r="W76" s="18"/>
      <c r="X76" s="19"/>
      <c r="Y76" s="13"/>
      <c r="AA76" s="18"/>
      <c r="AB76" s="19"/>
      <c r="AC76" s="13"/>
    </row>
    <row r="77" spans="1:29">
      <c r="A77" s="17" t="s">
        <v>38</v>
      </c>
      <c r="C77" s="55">
        <v>679134</v>
      </c>
      <c r="E77" s="178">
        <v>-0.96</v>
      </c>
      <c r="F77" s="224"/>
      <c r="G77" s="224"/>
      <c r="H77" s="225">
        <v>-651969</v>
      </c>
      <c r="J77" s="18"/>
      <c r="K77" s="19"/>
      <c r="L77" s="19"/>
      <c r="M77" s="13"/>
      <c r="O77" s="18"/>
      <c r="P77" s="19"/>
      <c r="Q77" s="13"/>
      <c r="S77" s="18"/>
      <c r="T77" s="19"/>
      <c r="U77" s="13"/>
      <c r="W77" s="168">
        <v>3.6799999999999999E-2</v>
      </c>
      <c r="X77" s="25"/>
      <c r="Y77" s="13">
        <f t="shared" ref="Y77" si="47">($H77+$M77+$Q77+$U77)*W77</f>
        <v>-23992.459200000001</v>
      </c>
      <c r="AA77" s="168">
        <f>ROUND(1/($H$86-$H$74+$M$86+$Q$86+$U$86+$H$101-$H$89+$M$101+$Q$101+$U$101)*('RateSpread-1'!P20+'RateSpread-1'!P22)*1000,4)</f>
        <v>4.07E-2</v>
      </c>
      <c r="AB77" s="25"/>
      <c r="AC77" s="13">
        <f t="shared" ref="AC77:AC80" si="48">($H77+$M77+$Q77+$U77)*AA77</f>
        <v>-26535.138299999999</v>
      </c>
    </row>
    <row r="78" spans="1:29" s="52" customFormat="1">
      <c r="A78" s="27" t="s">
        <v>39</v>
      </c>
      <c r="B78" s="28"/>
      <c r="C78" s="58">
        <v>16578133</v>
      </c>
      <c r="D78" s="229"/>
      <c r="E78" s="240">
        <v>4.04</v>
      </c>
      <c r="F78" s="241"/>
      <c r="G78" s="241"/>
      <c r="H78" s="242">
        <v>66975657</v>
      </c>
      <c r="I78" s="29"/>
      <c r="J78" s="50"/>
      <c r="K78" s="51"/>
      <c r="L78" s="51"/>
      <c r="M78" s="30"/>
      <c r="N78" s="29"/>
      <c r="O78" s="50"/>
      <c r="P78" s="51"/>
      <c r="Q78" s="30"/>
      <c r="R78" s="29"/>
      <c r="S78" s="50"/>
      <c r="T78" s="51"/>
      <c r="U78" s="30"/>
      <c r="V78" s="29"/>
      <c r="W78" s="156">
        <f>W$77</f>
        <v>3.6799999999999999E-2</v>
      </c>
      <c r="X78" s="25"/>
      <c r="Y78" s="13">
        <f>($H78+$M78+$Q78+$U78)*W78</f>
        <v>2464704.1776000001</v>
      </c>
      <c r="Z78" s="29"/>
      <c r="AA78" s="156">
        <f>AA$77</f>
        <v>4.07E-2</v>
      </c>
      <c r="AB78" s="25"/>
      <c r="AC78" s="13">
        <f t="shared" si="48"/>
        <v>2725909.2398999999</v>
      </c>
    </row>
    <row r="79" spans="1:29" s="52" customFormat="1">
      <c r="A79" s="27" t="s">
        <v>36</v>
      </c>
      <c r="B79" s="28"/>
      <c r="C79" s="58">
        <v>7568683</v>
      </c>
      <c r="D79" s="229"/>
      <c r="E79" s="240">
        <v>14.62</v>
      </c>
      <c r="F79" s="241"/>
      <c r="G79" s="241"/>
      <c r="H79" s="242">
        <v>110654145</v>
      </c>
      <c r="I79" s="29"/>
      <c r="J79" s="50"/>
      <c r="K79" s="51"/>
      <c r="L79" s="51"/>
      <c r="M79" s="30"/>
      <c r="N79" s="29"/>
      <c r="O79" s="168">
        <v>1.7999999999999999E-2</v>
      </c>
      <c r="P79" s="25"/>
      <c r="Q79" s="13">
        <f>($H79+$M79)*O79</f>
        <v>1991774.6099999999</v>
      </c>
      <c r="R79" s="29"/>
      <c r="S79" s="168">
        <v>4.3E-3</v>
      </c>
      <c r="T79" s="25"/>
      <c r="U79" s="13">
        <f>($H79+$M79)*S79</f>
        <v>475812.8235</v>
      </c>
      <c r="V79" s="29"/>
      <c r="W79" s="156">
        <f>W$77</f>
        <v>3.6799999999999999E-2</v>
      </c>
      <c r="X79" s="25"/>
      <c r="Y79" s="13">
        <f t="shared" ref="Y79" si="49">($H79+$M79+$Q79+$U79)*W79</f>
        <v>4162879.7535528</v>
      </c>
      <c r="Z79" s="29"/>
      <c r="AA79" s="156">
        <f>AA$77</f>
        <v>4.07E-2</v>
      </c>
      <c r="AB79" s="25"/>
      <c r="AC79" s="13">
        <f t="shared" ref="AC79" si="50">($H79+$M79+$Q79+$U79)*AA79</f>
        <v>4604054.5100434506</v>
      </c>
    </row>
    <row r="80" spans="1:29" s="52" customFormat="1">
      <c r="A80" s="27" t="s">
        <v>37</v>
      </c>
      <c r="B80" s="28"/>
      <c r="C80" s="58">
        <v>9009450</v>
      </c>
      <c r="D80" s="229"/>
      <c r="E80" s="240">
        <v>10.91</v>
      </c>
      <c r="F80" s="241"/>
      <c r="G80" s="241"/>
      <c r="H80" s="242">
        <v>98293100</v>
      </c>
      <c r="I80" s="29"/>
      <c r="J80" s="50"/>
      <c r="K80" s="51"/>
      <c r="L80" s="51"/>
      <c r="M80" s="30"/>
      <c r="N80" s="29"/>
      <c r="O80" s="156">
        <f>O$79</f>
        <v>1.7999999999999999E-2</v>
      </c>
      <c r="P80" s="25"/>
      <c r="Q80" s="13">
        <f>($H80+$M80)*O80</f>
        <v>1769275.7999999998</v>
      </c>
      <c r="R80" s="29"/>
      <c r="S80" s="156">
        <f>S$79</f>
        <v>4.3E-3</v>
      </c>
      <c r="T80" s="25"/>
      <c r="U80" s="13">
        <f>($H80+$M80)*S80</f>
        <v>422660.33</v>
      </c>
      <c r="V80" s="29"/>
      <c r="W80" s="156">
        <f>W$77</f>
        <v>3.6799999999999999E-2</v>
      </c>
      <c r="X80" s="25"/>
      <c r="Y80" s="13">
        <f t="shared" ref="Y80" si="51">($H80+$M80+$Q80+$U80)*W80</f>
        <v>3697849.3295839997</v>
      </c>
      <c r="Z80" s="29"/>
      <c r="AA80" s="156">
        <f>AA$77</f>
        <v>4.07E-2</v>
      </c>
      <c r="AB80" s="25"/>
      <c r="AC80" s="13">
        <f t="shared" si="48"/>
        <v>4089740.970491</v>
      </c>
    </row>
    <row r="81" spans="1:29">
      <c r="A81" s="17" t="s">
        <v>40</v>
      </c>
      <c r="C81" s="55">
        <v>5783806261.2344303</v>
      </c>
      <c r="E81" s="237"/>
      <c r="F81" s="227"/>
      <c r="G81" s="227"/>
      <c r="H81" s="225"/>
      <c r="J81" s="46"/>
      <c r="K81" s="25"/>
      <c r="L81" s="25"/>
      <c r="M81" s="13"/>
      <c r="O81" s="46"/>
      <c r="P81" s="25"/>
      <c r="Q81" s="13"/>
      <c r="S81" s="46"/>
      <c r="T81" s="25"/>
      <c r="U81" s="13"/>
      <c r="W81" s="46"/>
      <c r="X81" s="25"/>
      <c r="Y81" s="13"/>
      <c r="AA81" s="46"/>
      <c r="AB81" s="25"/>
      <c r="AC81" s="13"/>
    </row>
    <row r="82" spans="1:29">
      <c r="A82" s="17" t="s">
        <v>41</v>
      </c>
      <c r="C82" s="55">
        <v>2573577152.0915084</v>
      </c>
      <c r="E82" s="243">
        <v>3.8127</v>
      </c>
      <c r="F82" s="227" t="s">
        <v>16</v>
      </c>
      <c r="G82" s="227"/>
      <c r="H82" s="225">
        <v>98122776</v>
      </c>
      <c r="J82" s="169">
        <v>2.7699999999999999E-2</v>
      </c>
      <c r="K82" s="25" t="s">
        <v>16</v>
      </c>
      <c r="L82" s="25"/>
      <c r="M82" s="13">
        <f>C82*J82/100</f>
        <v>712880.87112934783</v>
      </c>
      <c r="O82" s="156">
        <f>O$79</f>
        <v>1.7999999999999999E-2</v>
      </c>
      <c r="P82" s="25"/>
      <c r="Q82" s="13">
        <f>($H82+$M82)*O82</f>
        <v>1779041.8236803282</v>
      </c>
      <c r="S82" s="156">
        <f>S$79</f>
        <v>4.3E-3</v>
      </c>
      <c r="T82" s="25"/>
      <c r="U82" s="13">
        <f>($H82+$M82)*S82</f>
        <v>424993.32454585622</v>
      </c>
      <c r="W82" s="156">
        <f>W$77</f>
        <v>3.6799999999999999E-2</v>
      </c>
      <c r="X82" s="25"/>
      <c r="Y82" s="13">
        <f t="shared" ref="Y82:Y83" si="52">($H82+$M82+$Q82+$U82)*W82</f>
        <v>3718260.6663122838</v>
      </c>
      <c r="AA82" s="156">
        <f>AA$77</f>
        <v>4.07E-2</v>
      </c>
      <c r="AB82" s="25"/>
      <c r="AC82" s="13">
        <f t="shared" ref="AC82:AC83" si="53">($H82+$M82+$Q82+$U82)*AA82</f>
        <v>4112315.4651877703</v>
      </c>
    </row>
    <row r="83" spans="1:29">
      <c r="A83" s="17" t="s">
        <v>42</v>
      </c>
      <c r="C83" s="55">
        <v>3210229109.1429219</v>
      </c>
      <c r="E83" s="243">
        <v>3.5143</v>
      </c>
      <c r="F83" s="227" t="s">
        <v>16</v>
      </c>
      <c r="G83" s="227"/>
      <c r="H83" s="225">
        <v>112817082</v>
      </c>
      <c r="J83" s="53">
        <f>$J$82</f>
        <v>2.7699999999999999E-2</v>
      </c>
      <c r="K83" s="25" t="s">
        <v>16</v>
      </c>
      <c r="L83" s="25"/>
      <c r="M83" s="13">
        <f>C83*J83/100</f>
        <v>889233.46323258942</v>
      </c>
      <c r="O83" s="156">
        <f>O$79</f>
        <v>1.7999999999999999E-2</v>
      </c>
      <c r="P83" s="25"/>
      <c r="Q83" s="13">
        <f>($H83+$M83)*O83</f>
        <v>2046713.6783381866</v>
      </c>
      <c r="S83" s="156">
        <f>S$79</f>
        <v>4.3E-3</v>
      </c>
      <c r="T83" s="25"/>
      <c r="U83" s="13">
        <f>($H83+$M83)*S83</f>
        <v>488937.15649190015</v>
      </c>
      <c r="W83" s="156">
        <f>W$77</f>
        <v>3.6799999999999999E-2</v>
      </c>
      <c r="X83" s="25"/>
      <c r="Y83" s="13">
        <f t="shared" si="52"/>
        <v>4277704.3597687064</v>
      </c>
      <c r="AA83" s="156">
        <f>AA$77</f>
        <v>4.07E-2</v>
      </c>
      <c r="AB83" s="25"/>
      <c r="AC83" s="13">
        <f t="shared" si="53"/>
        <v>4731048.0283311512</v>
      </c>
    </row>
    <row r="84" spans="1:29">
      <c r="A84" s="17" t="s">
        <v>43</v>
      </c>
      <c r="C84" s="55">
        <v>0</v>
      </c>
      <c r="E84" s="178">
        <v>648</v>
      </c>
      <c r="F84" s="224"/>
      <c r="G84" s="224"/>
      <c r="H84" s="225">
        <v>0</v>
      </c>
      <c r="J84" s="18"/>
      <c r="K84" s="42"/>
      <c r="L84" s="42"/>
      <c r="M84" s="13"/>
      <c r="O84" s="18"/>
      <c r="P84" s="42"/>
      <c r="Q84" s="13"/>
      <c r="S84" s="18"/>
      <c r="T84" s="42"/>
      <c r="U84" s="13"/>
      <c r="W84" s="18"/>
      <c r="X84" s="42"/>
      <c r="Y84" s="13"/>
      <c r="AA84" s="18"/>
      <c r="AB84" s="42"/>
      <c r="AC84" s="13"/>
    </row>
    <row r="85" spans="1:29">
      <c r="A85" s="17" t="s">
        <v>28</v>
      </c>
      <c r="C85" s="36">
        <v>0</v>
      </c>
      <c r="H85" s="232">
        <v>0</v>
      </c>
      <c r="M85" s="38"/>
      <c r="Q85" s="38"/>
      <c r="U85" s="38"/>
      <c r="Y85" s="38"/>
      <c r="AC85" s="38"/>
    </row>
    <row r="86" spans="1:29" ht="16.5" thickBot="1">
      <c r="A86" s="17" t="s">
        <v>29</v>
      </c>
      <c r="C86" s="96">
        <v>5783806261.2344303</v>
      </c>
      <c r="E86" s="238"/>
      <c r="H86" s="239">
        <v>494681466</v>
      </c>
      <c r="J86" s="48"/>
      <c r="M86" s="49">
        <f>SUM(M74:M85)</f>
        <v>1602114.3343619374</v>
      </c>
      <c r="O86" s="48"/>
      <c r="Q86" s="49">
        <f>SUM(Q74:Q85)</f>
        <v>7586805.9120185152</v>
      </c>
      <c r="S86" s="48"/>
      <c r="U86" s="49">
        <f>SUM(U74:U85)</f>
        <v>1812403.6345377562</v>
      </c>
      <c r="W86" s="48"/>
      <c r="Y86" s="49">
        <f>SUM(Y74:Y85)</f>
        <v>18297405.827617791</v>
      </c>
      <c r="AA86" s="48"/>
      <c r="AC86" s="49">
        <f>SUM(AC74:AC85)</f>
        <v>20236533.075653374</v>
      </c>
    </row>
    <row r="87" spans="1:29" ht="16.5" thickTop="1"/>
    <row r="88" spans="1:29">
      <c r="A88" s="16" t="s">
        <v>46</v>
      </c>
      <c r="C88" s="55"/>
      <c r="D88" s="230"/>
      <c r="I88" s="54"/>
      <c r="N88" s="54"/>
      <c r="R88" s="54"/>
      <c r="V88" s="54"/>
      <c r="Z88" s="54"/>
    </row>
    <row r="89" spans="1:29">
      <c r="A89" s="17" t="s">
        <v>35</v>
      </c>
      <c r="C89" s="55">
        <v>438</v>
      </c>
      <c r="E89" s="178">
        <v>54</v>
      </c>
      <c r="F89" s="224"/>
      <c r="G89" s="224"/>
      <c r="H89" s="225">
        <v>23652</v>
      </c>
      <c r="J89" s="18"/>
      <c r="K89" s="19"/>
      <c r="L89" s="19"/>
      <c r="M89" s="13"/>
      <c r="O89" s="18"/>
      <c r="P89" s="19"/>
      <c r="Q89" s="13"/>
      <c r="S89" s="18"/>
      <c r="T89" s="19"/>
      <c r="U89" s="13"/>
      <c r="W89" s="18"/>
      <c r="X89" s="19"/>
      <c r="Y89" s="13"/>
      <c r="AA89" s="18"/>
      <c r="AB89" s="19"/>
      <c r="AC89" s="13"/>
    </row>
    <row r="90" spans="1:29">
      <c r="A90" s="17" t="s">
        <v>47</v>
      </c>
      <c r="C90" s="55">
        <v>6224</v>
      </c>
      <c r="E90" s="178"/>
      <c r="F90" s="224"/>
      <c r="G90" s="224"/>
      <c r="H90" s="225"/>
      <c r="J90" s="18"/>
      <c r="K90" s="19"/>
      <c r="L90" s="19"/>
      <c r="M90" s="13"/>
      <c r="O90" s="18"/>
      <c r="P90" s="19"/>
      <c r="Q90" s="13"/>
      <c r="S90" s="18"/>
      <c r="T90" s="19"/>
      <c r="U90" s="13"/>
      <c r="W90" s="18"/>
      <c r="X90" s="19"/>
      <c r="Y90" s="13"/>
      <c r="AA90" s="18"/>
      <c r="AB90" s="19"/>
      <c r="AC90" s="13"/>
    </row>
    <row r="91" spans="1:29">
      <c r="A91" s="17" t="s">
        <v>48</v>
      </c>
      <c r="C91" s="55">
        <v>4264</v>
      </c>
      <c r="E91" s="178"/>
      <c r="F91" s="224"/>
      <c r="G91" s="224"/>
      <c r="H91" s="225"/>
      <c r="J91" s="18"/>
      <c r="K91" s="19"/>
      <c r="L91" s="19"/>
      <c r="M91" s="13"/>
      <c r="O91" s="18"/>
      <c r="P91" s="19"/>
      <c r="Q91" s="13"/>
      <c r="S91" s="18"/>
      <c r="T91" s="19"/>
      <c r="U91" s="13"/>
      <c r="W91" s="18"/>
      <c r="X91" s="19"/>
      <c r="Y91" s="13"/>
      <c r="AA91" s="18"/>
      <c r="AB91" s="19"/>
      <c r="AC91" s="13"/>
    </row>
    <row r="92" spans="1:29">
      <c r="A92" s="17" t="s">
        <v>38</v>
      </c>
      <c r="C92" s="55">
        <v>0</v>
      </c>
      <c r="E92" s="178">
        <v>-0.96</v>
      </c>
      <c r="F92" s="224"/>
      <c r="G92" s="224"/>
      <c r="H92" s="225">
        <v>0</v>
      </c>
      <c r="J92" s="18"/>
      <c r="K92" s="19"/>
      <c r="L92" s="19"/>
      <c r="M92" s="13"/>
      <c r="O92" s="18"/>
      <c r="P92" s="19"/>
      <c r="Q92" s="13"/>
      <c r="S92" s="18"/>
      <c r="T92" s="19"/>
      <c r="U92" s="13"/>
      <c r="W92" s="156">
        <f>W$77</f>
        <v>3.6799999999999999E-2</v>
      </c>
      <c r="X92" s="25"/>
      <c r="Y92" s="13">
        <f t="shared" ref="Y92:Y93" si="54">($H92+$M92+$Q92+$U92)*W92</f>
        <v>0</v>
      </c>
      <c r="AA92" s="156">
        <f>AA$77</f>
        <v>4.07E-2</v>
      </c>
      <c r="AB92" s="25"/>
      <c r="AC92" s="13">
        <f t="shared" ref="AC92:AC95" si="55">($H92+$M92+$Q92+$U92)*AA92</f>
        <v>0</v>
      </c>
    </row>
    <row r="93" spans="1:29" s="52" customFormat="1">
      <c r="A93" s="27" t="s">
        <v>39</v>
      </c>
      <c r="B93" s="28"/>
      <c r="C93" s="58">
        <v>10488</v>
      </c>
      <c r="D93" s="229"/>
      <c r="E93" s="240">
        <v>4.04</v>
      </c>
      <c r="F93" s="241"/>
      <c r="G93" s="241"/>
      <c r="H93" s="242">
        <v>42372</v>
      </c>
      <c r="I93" s="29"/>
      <c r="J93" s="50"/>
      <c r="K93" s="51"/>
      <c r="L93" s="51"/>
      <c r="M93" s="30"/>
      <c r="N93" s="29"/>
      <c r="O93" s="50"/>
      <c r="P93" s="51"/>
      <c r="Q93" s="30"/>
      <c r="R93" s="29"/>
      <c r="S93" s="50"/>
      <c r="T93" s="51"/>
      <c r="U93" s="30"/>
      <c r="V93" s="29"/>
      <c r="W93" s="156">
        <f>W$77</f>
        <v>3.6799999999999999E-2</v>
      </c>
      <c r="X93" s="25"/>
      <c r="Y93" s="13">
        <f t="shared" si="54"/>
        <v>1559.2896000000001</v>
      </c>
      <c r="Z93" s="29"/>
      <c r="AA93" s="156">
        <f>AA$77</f>
        <v>4.07E-2</v>
      </c>
      <c r="AB93" s="25"/>
      <c r="AC93" s="13">
        <f t="shared" si="55"/>
        <v>1724.5404000000001</v>
      </c>
    </row>
    <row r="94" spans="1:29" s="52" customFormat="1">
      <c r="A94" s="27" t="s">
        <v>47</v>
      </c>
      <c r="B94" s="28"/>
      <c r="C94" s="58">
        <v>6224</v>
      </c>
      <c r="D94" s="229"/>
      <c r="E94" s="240">
        <v>14.62</v>
      </c>
      <c r="F94" s="241"/>
      <c r="G94" s="241"/>
      <c r="H94" s="242">
        <v>90995</v>
      </c>
      <c r="I94" s="29"/>
      <c r="J94" s="50"/>
      <c r="K94" s="51"/>
      <c r="L94" s="51"/>
      <c r="M94" s="30"/>
      <c r="N94" s="29"/>
      <c r="O94" s="156">
        <f>O$79</f>
        <v>1.7999999999999999E-2</v>
      </c>
      <c r="P94" s="25"/>
      <c r="Q94" s="13">
        <f>($H94+$M94)*O94</f>
        <v>1637.9099999999999</v>
      </c>
      <c r="R94" s="29"/>
      <c r="S94" s="156">
        <f>S$79</f>
        <v>4.3E-3</v>
      </c>
      <c r="T94" s="25"/>
      <c r="U94" s="13">
        <f>($H94+$M94)*S94</f>
        <v>391.27850000000001</v>
      </c>
      <c r="V94" s="29"/>
      <c r="W94" s="156">
        <f>W$77</f>
        <v>3.6799999999999999E-2</v>
      </c>
      <c r="X94" s="25"/>
      <c r="Y94" s="13">
        <f t="shared" ref="Y94:Y95" si="56">($H94+$M94+$Q94+$U94)*W94</f>
        <v>3423.2901368000003</v>
      </c>
      <c r="Z94" s="29"/>
      <c r="AA94" s="156">
        <f>AA$77</f>
        <v>4.07E-2</v>
      </c>
      <c r="AB94" s="25"/>
      <c r="AC94" s="13">
        <f t="shared" si="55"/>
        <v>3786.0844719500001</v>
      </c>
    </row>
    <row r="95" spans="1:29" s="52" customFormat="1">
      <c r="A95" s="27" t="s">
        <v>48</v>
      </c>
      <c r="B95" s="28"/>
      <c r="C95" s="58">
        <v>4264</v>
      </c>
      <c r="D95" s="229"/>
      <c r="E95" s="240">
        <v>10.91</v>
      </c>
      <c r="F95" s="241"/>
      <c r="G95" s="241"/>
      <c r="H95" s="242">
        <v>46520</v>
      </c>
      <c r="I95" s="29"/>
      <c r="J95" s="50"/>
      <c r="K95" s="51"/>
      <c r="L95" s="51"/>
      <c r="M95" s="30"/>
      <c r="N95" s="29"/>
      <c r="O95" s="156">
        <f>O$79</f>
        <v>1.7999999999999999E-2</v>
      </c>
      <c r="P95" s="25"/>
      <c r="Q95" s="13">
        <f>($H95+$M95)*O95</f>
        <v>837.3599999999999</v>
      </c>
      <c r="R95" s="29"/>
      <c r="S95" s="156">
        <f>S$79</f>
        <v>4.3E-3</v>
      </c>
      <c r="T95" s="25"/>
      <c r="U95" s="13">
        <f>($H95+$M95)*S95</f>
        <v>200.036</v>
      </c>
      <c r="V95" s="29"/>
      <c r="W95" s="156">
        <f>W$77</f>
        <v>3.6799999999999999E-2</v>
      </c>
      <c r="X95" s="25"/>
      <c r="Y95" s="13">
        <f t="shared" si="56"/>
        <v>1750.1121728000001</v>
      </c>
      <c r="Z95" s="29"/>
      <c r="AA95" s="156">
        <f>AA$77</f>
        <v>4.07E-2</v>
      </c>
      <c r="AB95" s="25"/>
      <c r="AC95" s="13">
        <f t="shared" si="55"/>
        <v>1935.5860172</v>
      </c>
    </row>
    <row r="96" spans="1:29">
      <c r="A96" s="17" t="s">
        <v>40</v>
      </c>
      <c r="C96" s="55">
        <v>3907497</v>
      </c>
      <c r="E96" s="243"/>
      <c r="F96" s="227"/>
      <c r="G96" s="227"/>
      <c r="H96" s="225"/>
      <c r="J96" s="46"/>
      <c r="K96" s="25"/>
      <c r="L96" s="25"/>
      <c r="M96" s="13"/>
      <c r="O96" s="46"/>
      <c r="P96" s="25"/>
      <c r="Q96" s="13"/>
      <c r="S96" s="46"/>
      <c r="T96" s="25"/>
      <c r="U96" s="13"/>
      <c r="W96" s="46"/>
      <c r="X96" s="25"/>
      <c r="Y96" s="13"/>
      <c r="AA96" s="46"/>
      <c r="AB96" s="25"/>
      <c r="AC96" s="13"/>
    </row>
    <row r="97" spans="1:29">
      <c r="A97" s="17" t="s">
        <v>44</v>
      </c>
      <c r="C97" s="55">
        <v>1628123.75</v>
      </c>
      <c r="E97" s="243">
        <v>3.8127</v>
      </c>
      <c r="F97" s="227" t="s">
        <v>16</v>
      </c>
      <c r="G97" s="227"/>
      <c r="H97" s="225">
        <v>62075</v>
      </c>
      <c r="J97" s="53">
        <f>$J$82</f>
        <v>2.7699999999999999E-2</v>
      </c>
      <c r="K97" s="25" t="s">
        <v>16</v>
      </c>
      <c r="L97" s="25"/>
      <c r="M97" s="13">
        <f>C97*J97/100</f>
        <v>450.99027875000002</v>
      </c>
      <c r="O97" s="156">
        <f>O$79</f>
        <v>1.7999999999999999E-2</v>
      </c>
      <c r="P97" s="25"/>
      <c r="Q97" s="13">
        <f>($H97+$M97)*O97</f>
        <v>1125.4678250175</v>
      </c>
      <c r="S97" s="156">
        <f>S$79</f>
        <v>4.3E-3</v>
      </c>
      <c r="T97" s="25"/>
      <c r="U97" s="13">
        <f>($H97+$M97)*S97</f>
        <v>268.86175819862501</v>
      </c>
      <c r="W97" s="156">
        <f>W$77</f>
        <v>3.6799999999999999E-2</v>
      </c>
      <c r="X97" s="25"/>
      <c r="Y97" s="13">
        <f t="shared" ref="Y97:Y98" si="57">($H97+$M97+$Q97+$U97)*W97</f>
        <v>2352.2677709203535</v>
      </c>
      <c r="AA97" s="156">
        <f>AA$77</f>
        <v>4.07E-2</v>
      </c>
      <c r="AB97" s="25"/>
      <c r="AC97" s="13">
        <f t="shared" ref="AC97:AC98" si="58">($H97+$M97+$Q97+$U97)*AA97</f>
        <v>2601.5570183820214</v>
      </c>
    </row>
    <row r="98" spans="1:29">
      <c r="A98" s="17" t="s">
        <v>45</v>
      </c>
      <c r="C98" s="55">
        <v>2279373.25</v>
      </c>
      <c r="E98" s="243">
        <v>3.5143</v>
      </c>
      <c r="F98" s="227" t="s">
        <v>16</v>
      </c>
      <c r="G98" s="227"/>
      <c r="H98" s="225">
        <v>80104</v>
      </c>
      <c r="J98" s="53">
        <f>$J$82</f>
        <v>2.7699999999999999E-2</v>
      </c>
      <c r="K98" s="25" t="s">
        <v>16</v>
      </c>
      <c r="L98" s="25"/>
      <c r="M98" s="13">
        <f>C98*J98/100</f>
        <v>631.38639024999998</v>
      </c>
      <c r="O98" s="156">
        <f>O$79</f>
        <v>1.7999999999999999E-2</v>
      </c>
      <c r="P98" s="25"/>
      <c r="Q98" s="13">
        <f>($H98+$M98)*O98</f>
        <v>1453.2369550244998</v>
      </c>
      <c r="S98" s="156">
        <f>S$79</f>
        <v>4.3E-3</v>
      </c>
      <c r="T98" s="25"/>
      <c r="U98" s="13">
        <f>($H98+$M98)*S98</f>
        <v>347.16216147807501</v>
      </c>
      <c r="W98" s="156">
        <f>W$77</f>
        <v>3.6799999999999999E-2</v>
      </c>
      <c r="X98" s="25"/>
      <c r="Y98" s="13">
        <f t="shared" si="57"/>
        <v>3037.3169066484948</v>
      </c>
      <c r="AA98" s="156">
        <f>AA$77</f>
        <v>4.07E-2</v>
      </c>
      <c r="AB98" s="25"/>
      <c r="AC98" s="13">
        <f t="shared" si="58"/>
        <v>3359.20647012483</v>
      </c>
    </row>
    <row r="99" spans="1:29">
      <c r="A99" s="17" t="s">
        <v>43</v>
      </c>
      <c r="C99" s="55">
        <v>0</v>
      </c>
      <c r="D99" s="230"/>
      <c r="E99" s="178">
        <v>648</v>
      </c>
      <c r="F99" s="224"/>
      <c r="G99" s="224"/>
      <c r="H99" s="225">
        <v>0</v>
      </c>
      <c r="I99" s="54"/>
      <c r="J99" s="18"/>
      <c r="K99" s="42"/>
      <c r="L99" s="42"/>
      <c r="M99" s="13"/>
      <c r="O99" s="18"/>
      <c r="P99" s="42"/>
      <c r="Q99" s="13"/>
      <c r="S99" s="18"/>
      <c r="T99" s="42"/>
      <c r="U99" s="13"/>
      <c r="W99" s="18"/>
      <c r="X99" s="42"/>
      <c r="Y99" s="13"/>
      <c r="AA99" s="18"/>
      <c r="AB99" s="42"/>
      <c r="AC99" s="13"/>
    </row>
    <row r="100" spans="1:29">
      <c r="A100" s="17" t="s">
        <v>28</v>
      </c>
      <c r="C100" s="36">
        <v>0</v>
      </c>
      <c r="H100" s="232">
        <v>0</v>
      </c>
      <c r="M100" s="38"/>
      <c r="Q100" s="38"/>
      <c r="U100" s="38"/>
      <c r="Y100" s="38"/>
      <c r="AC100" s="38"/>
    </row>
    <row r="101" spans="1:29" ht="16.5" thickBot="1">
      <c r="A101" s="17" t="s">
        <v>29</v>
      </c>
      <c r="C101" s="96">
        <v>3907497</v>
      </c>
      <c r="E101" s="238"/>
      <c r="H101" s="239">
        <v>345718</v>
      </c>
      <c r="J101" s="48"/>
      <c r="M101" s="49">
        <f>SUM(M89:M100)</f>
        <v>1082.376669</v>
      </c>
      <c r="O101" s="48"/>
      <c r="Q101" s="49">
        <f>SUM(Q89:Q100)</f>
        <v>5053.9747800419991</v>
      </c>
      <c r="S101" s="48"/>
      <c r="U101" s="49">
        <f>SUM(U89:U100)</f>
        <v>1207.3384196766999</v>
      </c>
      <c r="W101" s="48"/>
      <c r="Y101" s="49">
        <f>SUM(Y89:Y100)</f>
        <v>12122.27658716885</v>
      </c>
      <c r="AA101" s="48"/>
      <c r="AC101" s="49">
        <f>SUM(AC89:AC100)</f>
        <v>13406.97437765685</v>
      </c>
    </row>
    <row r="102" spans="1:29" ht="16.5" thickTop="1">
      <c r="C102" s="55"/>
    </row>
    <row r="103" spans="1:29">
      <c r="A103" s="16" t="s">
        <v>49</v>
      </c>
      <c r="C103" s="55"/>
      <c r="E103" s="243"/>
      <c r="F103" s="244"/>
      <c r="G103" s="244"/>
      <c r="J103" s="53"/>
      <c r="K103" s="59"/>
      <c r="L103" s="59"/>
      <c r="O103" s="53"/>
      <c r="P103" s="59"/>
      <c r="S103" s="53"/>
      <c r="T103" s="59"/>
      <c r="W103" s="53"/>
      <c r="X103" s="59"/>
      <c r="AA103" s="53"/>
      <c r="AB103" s="59"/>
    </row>
    <row r="104" spans="1:29">
      <c r="A104" s="17" t="s">
        <v>35</v>
      </c>
      <c r="C104" s="55">
        <v>27307</v>
      </c>
      <c r="E104" s="178">
        <v>54</v>
      </c>
      <c r="F104" s="224"/>
      <c r="G104" s="224"/>
      <c r="H104" s="225">
        <v>1474578</v>
      </c>
      <c r="J104" s="18"/>
      <c r="K104" s="42"/>
      <c r="L104" s="42"/>
      <c r="M104" s="13"/>
      <c r="O104" s="18"/>
      <c r="P104" s="42"/>
      <c r="Q104" s="13"/>
      <c r="S104" s="18"/>
      <c r="T104" s="42"/>
      <c r="U104" s="13"/>
      <c r="W104" s="18"/>
      <c r="X104" s="42"/>
      <c r="Y104" s="13"/>
      <c r="AA104" s="18"/>
      <c r="AB104" s="42"/>
      <c r="AC104" s="13"/>
    </row>
    <row r="105" spans="1:29">
      <c r="A105" s="17" t="s">
        <v>50</v>
      </c>
      <c r="C105" s="55">
        <v>918610</v>
      </c>
      <c r="D105" s="230"/>
      <c r="E105" s="178">
        <v>6.52</v>
      </c>
      <c r="F105" s="224"/>
      <c r="G105" s="224"/>
      <c r="H105" s="225">
        <v>5989337</v>
      </c>
      <c r="I105" s="54"/>
      <c r="J105" s="18"/>
      <c r="K105" s="19"/>
      <c r="L105" s="19"/>
      <c r="M105" s="13"/>
      <c r="N105" s="54"/>
      <c r="O105" s="18"/>
      <c r="P105" s="19"/>
      <c r="Q105" s="13"/>
      <c r="R105" s="54"/>
      <c r="S105" s="18"/>
      <c r="T105" s="19"/>
      <c r="U105" s="13"/>
      <c r="V105" s="54"/>
      <c r="W105" s="168">
        <v>3.78E-2</v>
      </c>
      <c r="X105" s="25"/>
      <c r="Y105" s="13">
        <f t="shared" ref="Y105:Y106" si="59">($H105+$M105+$Q105+$U105)*W105</f>
        <v>226396.93859999999</v>
      </c>
      <c r="Z105" s="54"/>
      <c r="AA105" s="168">
        <f>ROUND(1/($H$113-$H$104+$M$113+$Q$113+$U$113)*'RateSpread-1'!P21*1000,4)</f>
        <v>4.1799999999999997E-2</v>
      </c>
      <c r="AB105" s="25"/>
      <c r="AC105" s="13">
        <f t="shared" ref="AC105:AC108" si="60">($H105+$M105+$Q105+$U105)*AA105</f>
        <v>250354.28659999999</v>
      </c>
    </row>
    <row r="106" spans="1:29">
      <c r="A106" s="17" t="s">
        <v>51</v>
      </c>
      <c r="C106" s="55">
        <v>1059783</v>
      </c>
      <c r="D106" s="230"/>
      <c r="E106" s="178">
        <v>5.47</v>
      </c>
      <c r="F106" s="224"/>
      <c r="G106" s="224"/>
      <c r="H106" s="225">
        <v>5797013</v>
      </c>
      <c r="I106" s="54"/>
      <c r="J106" s="18"/>
      <c r="K106" s="19"/>
      <c r="L106" s="19"/>
      <c r="M106" s="13"/>
      <c r="N106" s="54"/>
      <c r="O106" s="18"/>
      <c r="P106" s="19"/>
      <c r="Q106" s="13"/>
      <c r="R106" s="54"/>
      <c r="S106" s="18"/>
      <c r="T106" s="19"/>
      <c r="U106" s="13"/>
      <c r="V106" s="54"/>
      <c r="W106" s="156">
        <f t="shared" ref="W106:W111" si="61">W$105</f>
        <v>3.78E-2</v>
      </c>
      <c r="X106" s="25"/>
      <c r="Y106" s="13">
        <f t="shared" si="59"/>
        <v>219127.0914</v>
      </c>
      <c r="Z106" s="54"/>
      <c r="AA106" s="156">
        <f t="shared" ref="AA106:AA108" si="62">AA$105</f>
        <v>4.1799999999999997E-2</v>
      </c>
      <c r="AB106" s="25"/>
      <c r="AC106" s="13">
        <f t="shared" si="60"/>
        <v>242315.14339999997</v>
      </c>
    </row>
    <row r="107" spans="1:29">
      <c r="A107" s="17" t="s">
        <v>38</v>
      </c>
      <c r="C107" s="55">
        <v>39296</v>
      </c>
      <c r="D107" s="230"/>
      <c r="E107" s="178">
        <v>-0.61</v>
      </c>
      <c r="F107" s="224"/>
      <c r="G107" s="224"/>
      <c r="H107" s="225">
        <v>-23971</v>
      </c>
      <c r="I107" s="54"/>
      <c r="J107" s="18"/>
      <c r="K107" s="19"/>
      <c r="L107" s="19"/>
      <c r="M107" s="13"/>
      <c r="N107" s="54"/>
      <c r="O107" s="18"/>
      <c r="P107" s="19"/>
      <c r="Q107" s="13"/>
      <c r="R107" s="54"/>
      <c r="S107" s="18"/>
      <c r="T107" s="19"/>
      <c r="U107" s="13"/>
      <c r="V107" s="54"/>
      <c r="W107" s="156">
        <f t="shared" si="61"/>
        <v>3.78E-2</v>
      </c>
      <c r="X107" s="25"/>
      <c r="Y107" s="13">
        <f t="shared" ref="Y107" si="63">($H107+$M107+$Q107+$U107)*W107</f>
        <v>-906.10379999999998</v>
      </c>
      <c r="Z107" s="54"/>
      <c r="AA107" s="156">
        <f t="shared" si="62"/>
        <v>4.1799999999999997E-2</v>
      </c>
      <c r="AB107" s="25"/>
      <c r="AC107" s="13">
        <f t="shared" si="60"/>
        <v>-1001.9877999999999</v>
      </c>
    </row>
    <row r="108" spans="1:29">
      <c r="A108" s="17" t="s">
        <v>32</v>
      </c>
      <c r="C108" s="55">
        <v>62251233</v>
      </c>
      <c r="D108" s="230"/>
      <c r="E108" s="237">
        <v>11.926600000000001</v>
      </c>
      <c r="F108" s="227" t="s">
        <v>16</v>
      </c>
      <c r="G108" s="227"/>
      <c r="H108" s="225">
        <v>7424456</v>
      </c>
      <c r="I108" s="54"/>
      <c r="J108" s="169">
        <v>3.8600000000000002E-2</v>
      </c>
      <c r="K108" s="25" t="s">
        <v>16</v>
      </c>
      <c r="L108" s="25"/>
      <c r="M108" s="13">
        <f>C108*J108/100</f>
        <v>24028.975938</v>
      </c>
      <c r="O108" s="168">
        <v>2.4899999999999999E-2</v>
      </c>
      <c r="P108" s="25"/>
      <c r="Q108" s="13">
        <f>($H108+$M108)*O108</f>
        <v>185467.27590085618</v>
      </c>
      <c r="S108" s="168">
        <v>5.7999999999999996E-3</v>
      </c>
      <c r="T108" s="25"/>
      <c r="U108" s="13">
        <f>($H108+$M108)*S108</f>
        <v>43201.212860440399</v>
      </c>
      <c r="W108" s="156">
        <f t="shared" si="61"/>
        <v>3.78E-2</v>
      </c>
      <c r="X108" s="25"/>
      <c r="Y108" s="13">
        <f t="shared" ref="Y108" si="64">($H108+$M108+$Q108+$U108)*W108</f>
        <v>290196.40096563345</v>
      </c>
      <c r="AA108" s="156">
        <f t="shared" si="62"/>
        <v>4.1799999999999997E-2</v>
      </c>
      <c r="AB108" s="25"/>
      <c r="AC108" s="13">
        <f t="shared" si="60"/>
        <v>320905.01482443057</v>
      </c>
    </row>
    <row r="109" spans="1:29">
      <c r="A109" s="17" t="s">
        <v>33</v>
      </c>
      <c r="C109" s="55">
        <v>59556790.452555798</v>
      </c>
      <c r="D109" s="230"/>
      <c r="E109" s="237">
        <v>3.5908000000000002</v>
      </c>
      <c r="F109" s="227" t="s">
        <v>16</v>
      </c>
      <c r="G109" s="227"/>
      <c r="H109" s="225">
        <v>2138565</v>
      </c>
      <c r="I109" s="54"/>
      <c r="J109" s="46">
        <f>$J$108</f>
        <v>3.8600000000000002E-2</v>
      </c>
      <c r="K109" s="25" t="s">
        <v>16</v>
      </c>
      <c r="L109" s="25"/>
      <c r="M109" s="13">
        <f t="shared" ref="M109:M111" si="65">C109*J109/100</f>
        <v>22988.921114686542</v>
      </c>
      <c r="N109" s="54"/>
      <c r="O109" s="156">
        <f>O$108</f>
        <v>2.4899999999999999E-2</v>
      </c>
      <c r="P109" s="25"/>
      <c r="Q109" s="13">
        <f t="shared" ref="Q109:Q111" si="66">($H109+$M109)*O109</f>
        <v>53822.692635755688</v>
      </c>
      <c r="R109" s="54"/>
      <c r="S109" s="156">
        <f>S$108</f>
        <v>5.7999999999999996E-3</v>
      </c>
      <c r="T109" s="25"/>
      <c r="U109" s="13">
        <f t="shared" ref="U109:U111" si="67">($H109+$M109)*S109</f>
        <v>12537.01274246518</v>
      </c>
      <c r="V109" s="54"/>
      <c r="W109" s="156">
        <f t="shared" si="61"/>
        <v>3.78E-2</v>
      </c>
      <c r="X109" s="25"/>
      <c r="Y109" s="13">
        <f t="shared" ref="Y109:Y111" si="68">($H109+$M109+$Q109+$U109)*W109</f>
        <v>84215.135081431901</v>
      </c>
      <c r="Z109" s="54"/>
      <c r="AA109" s="156">
        <f>AA$105</f>
        <v>4.1799999999999997E-2</v>
      </c>
      <c r="AB109" s="25"/>
      <c r="AC109" s="13">
        <f t="shared" ref="AC109:AC111" si="69">($H109+$M109+$Q109+$U109)*AA109</f>
        <v>93126.789587403517</v>
      </c>
    </row>
    <row r="110" spans="1:29">
      <c r="A110" s="17" t="s">
        <v>52</v>
      </c>
      <c r="C110" s="55">
        <v>90625426</v>
      </c>
      <c r="D110" s="230"/>
      <c r="E110" s="237">
        <v>9.9693000000000005</v>
      </c>
      <c r="F110" s="227" t="s">
        <v>16</v>
      </c>
      <c r="G110" s="227"/>
      <c r="H110" s="225">
        <v>9034721</v>
      </c>
      <c r="I110" s="54"/>
      <c r="J110" s="46">
        <f t="shared" ref="J110:J111" si="70">$J$108</f>
        <v>3.8600000000000002E-2</v>
      </c>
      <c r="K110" s="25" t="s">
        <v>16</v>
      </c>
      <c r="L110" s="25"/>
      <c r="M110" s="13">
        <f t="shared" si="65"/>
        <v>34981.414436000006</v>
      </c>
      <c r="N110" s="54"/>
      <c r="O110" s="156">
        <f>O$108</f>
        <v>2.4899999999999999E-2</v>
      </c>
      <c r="P110" s="25"/>
      <c r="Q110" s="13">
        <f t="shared" si="66"/>
        <v>225835.59011945638</v>
      </c>
      <c r="R110" s="54"/>
      <c r="S110" s="156">
        <f>S$108</f>
        <v>5.7999999999999996E-3</v>
      </c>
      <c r="T110" s="25"/>
      <c r="U110" s="13">
        <f t="shared" si="67"/>
        <v>52604.274003728795</v>
      </c>
      <c r="V110" s="54"/>
      <c r="W110" s="156">
        <f t="shared" si="61"/>
        <v>3.78E-2</v>
      </c>
      <c r="X110" s="25"/>
      <c r="Y110" s="13">
        <f t="shared" si="68"/>
        <v>353359.77812953724</v>
      </c>
      <c r="Z110" s="54"/>
      <c r="AA110" s="156">
        <f>AA$105</f>
        <v>4.1799999999999997E-2</v>
      </c>
      <c r="AB110" s="25"/>
      <c r="AC110" s="13">
        <f t="shared" si="69"/>
        <v>390752.34724377393</v>
      </c>
    </row>
    <row r="111" spans="1:29">
      <c r="A111" s="17" t="s">
        <v>53</v>
      </c>
      <c r="C111" s="55">
        <v>79597650.39760986</v>
      </c>
      <c r="D111" s="230"/>
      <c r="E111" s="237">
        <v>3.0059999999999998</v>
      </c>
      <c r="F111" s="227" t="s">
        <v>16</v>
      </c>
      <c r="G111" s="227"/>
      <c r="H111" s="225">
        <v>2392705</v>
      </c>
      <c r="I111" s="54"/>
      <c r="J111" s="46">
        <f t="shared" si="70"/>
        <v>3.8600000000000002E-2</v>
      </c>
      <c r="K111" s="25" t="s">
        <v>16</v>
      </c>
      <c r="L111" s="25"/>
      <c r="M111" s="13">
        <f t="shared" si="65"/>
        <v>30724.693053477407</v>
      </c>
      <c r="N111" s="54"/>
      <c r="O111" s="156">
        <f>O$108</f>
        <v>2.4899999999999999E-2</v>
      </c>
      <c r="P111" s="25"/>
      <c r="Q111" s="13">
        <f t="shared" si="66"/>
        <v>60343.399357031587</v>
      </c>
      <c r="R111" s="54"/>
      <c r="S111" s="156">
        <f>S$108</f>
        <v>5.7999999999999996E-3</v>
      </c>
      <c r="T111" s="25"/>
      <c r="U111" s="13">
        <f t="shared" si="67"/>
        <v>14055.892219710167</v>
      </c>
      <c r="V111" s="54"/>
      <c r="W111" s="156">
        <f t="shared" si="61"/>
        <v>3.78E-2</v>
      </c>
      <c r="X111" s="25"/>
      <c r="Y111" s="13">
        <f t="shared" si="68"/>
        <v>94417.93561902229</v>
      </c>
      <c r="Z111" s="54"/>
      <c r="AA111" s="156">
        <f>AA$105</f>
        <v>4.1799999999999997E-2</v>
      </c>
      <c r="AB111" s="25"/>
      <c r="AC111" s="13">
        <f t="shared" si="69"/>
        <v>104409.25155754316</v>
      </c>
    </row>
    <row r="112" spans="1:29">
      <c r="A112" s="17" t="s">
        <v>28</v>
      </c>
      <c r="C112" s="36">
        <v>0</v>
      </c>
      <c r="H112" s="232">
        <v>0</v>
      </c>
      <c r="M112" s="38"/>
      <c r="Q112" s="38"/>
      <c r="U112" s="38"/>
      <c r="Y112" s="38"/>
      <c r="AC112" s="38"/>
    </row>
    <row r="113" spans="1:29" ht="16.5" thickBot="1">
      <c r="A113" s="17" t="s">
        <v>29</v>
      </c>
      <c r="C113" s="96">
        <v>292031099.85016567</v>
      </c>
      <c r="E113" s="238"/>
      <c r="H113" s="239">
        <v>34227404</v>
      </c>
      <c r="J113" s="48"/>
      <c r="M113" s="49">
        <f>SUM(M104:M112)</f>
        <v>112724.00454216395</v>
      </c>
      <c r="O113" s="48"/>
      <c r="Q113" s="49">
        <f>SUM(Q104:Q112)</f>
        <v>525468.95801309985</v>
      </c>
      <c r="S113" s="48"/>
      <c r="U113" s="49">
        <f>SUM(U104:U112)</f>
        <v>122398.39182634454</v>
      </c>
      <c r="W113" s="48"/>
      <c r="Y113" s="49">
        <f>SUM(Y104:Y112)</f>
        <v>1266807.1759956249</v>
      </c>
      <c r="AA113" s="48"/>
      <c r="AC113" s="49">
        <f>SUM(AC104:AC112)</f>
        <v>1400860.8454131512</v>
      </c>
    </row>
    <row r="114" spans="1:29" ht="16.5" thickTop="1">
      <c r="C114" s="55"/>
    </row>
    <row r="115" spans="1:29">
      <c r="A115" s="16" t="s">
        <v>54</v>
      </c>
      <c r="C115" s="55"/>
    </row>
    <row r="116" spans="1:29">
      <c r="A116" s="27" t="s">
        <v>55</v>
      </c>
      <c r="C116" s="55"/>
      <c r="H116" s="225"/>
      <c r="M116" s="13"/>
      <c r="Q116" s="13"/>
      <c r="U116" s="13"/>
      <c r="Y116" s="13"/>
      <c r="AC116" s="13"/>
    </row>
    <row r="117" spans="1:29">
      <c r="A117" s="17" t="s">
        <v>56</v>
      </c>
      <c r="B117" s="8">
        <v>29</v>
      </c>
      <c r="C117" s="55">
        <v>24</v>
      </c>
      <c r="E117" s="178">
        <v>5.68</v>
      </c>
      <c r="F117" s="224"/>
      <c r="G117" s="224"/>
      <c r="H117" s="225">
        <v>136</v>
      </c>
      <c r="J117" s="18"/>
      <c r="K117" s="19"/>
      <c r="L117" s="19"/>
      <c r="M117" s="13"/>
      <c r="O117" s="18"/>
      <c r="P117" s="19"/>
      <c r="Q117" s="13"/>
      <c r="S117" s="18"/>
      <c r="T117" s="19"/>
      <c r="U117" s="13"/>
      <c r="W117" s="18"/>
      <c r="X117" s="19"/>
      <c r="Y117" s="13"/>
      <c r="AA117" s="18"/>
      <c r="AB117" s="19"/>
      <c r="AC117" s="13"/>
    </row>
    <row r="118" spans="1:29">
      <c r="A118" s="17" t="s">
        <v>57</v>
      </c>
      <c r="B118" s="8">
        <v>1</v>
      </c>
      <c r="C118" s="55">
        <v>45001</v>
      </c>
      <c r="E118" s="178">
        <v>16.38</v>
      </c>
      <c r="F118" s="224"/>
      <c r="G118" s="224"/>
      <c r="H118" s="225">
        <v>737116</v>
      </c>
      <c r="J118" s="18"/>
      <c r="K118" s="19"/>
      <c r="L118" s="19"/>
      <c r="M118" s="13"/>
      <c r="O118" s="18"/>
      <c r="P118" s="19"/>
      <c r="Q118" s="13"/>
      <c r="S118" s="18"/>
      <c r="T118" s="19"/>
      <c r="U118" s="13"/>
      <c r="W118" s="18"/>
      <c r="X118" s="19"/>
      <c r="Y118" s="13"/>
      <c r="AA118" s="18"/>
      <c r="AB118" s="19"/>
      <c r="AC118" s="13"/>
    </row>
    <row r="119" spans="1:29">
      <c r="A119" s="17" t="s">
        <v>58</v>
      </c>
      <c r="B119" s="8">
        <v>28</v>
      </c>
      <c r="C119" s="55">
        <v>0</v>
      </c>
      <c r="E119" s="178">
        <v>8.0500000000000007</v>
      </c>
      <c r="F119" s="224"/>
      <c r="G119" s="224"/>
      <c r="H119" s="225">
        <v>0</v>
      </c>
      <c r="J119" s="18"/>
      <c r="K119" s="19"/>
      <c r="L119" s="19"/>
      <c r="M119" s="13"/>
      <c r="O119" s="18"/>
      <c r="P119" s="19"/>
      <c r="Q119" s="13"/>
      <c r="S119" s="18"/>
      <c r="T119" s="19"/>
      <c r="U119" s="13"/>
      <c r="W119" s="18"/>
      <c r="X119" s="19"/>
      <c r="Y119" s="13"/>
      <c r="AA119" s="18"/>
      <c r="AB119" s="19"/>
      <c r="AC119" s="13"/>
    </row>
    <row r="120" spans="1:29">
      <c r="A120" s="17" t="s">
        <v>59</v>
      </c>
      <c r="B120" s="8">
        <v>2</v>
      </c>
      <c r="C120" s="55">
        <v>10830</v>
      </c>
      <c r="E120" s="178">
        <v>26.78</v>
      </c>
      <c r="F120" s="224"/>
      <c r="G120" s="224"/>
      <c r="H120" s="225">
        <v>290027</v>
      </c>
      <c r="J120" s="18"/>
      <c r="K120" s="19"/>
      <c r="L120" s="19"/>
      <c r="M120" s="13"/>
      <c r="O120" s="18"/>
      <c r="P120" s="19"/>
      <c r="Q120" s="13"/>
      <c r="S120" s="18"/>
      <c r="T120" s="19"/>
      <c r="U120" s="13"/>
      <c r="W120" s="18"/>
      <c r="X120" s="19"/>
      <c r="Y120" s="13"/>
      <c r="AA120" s="18"/>
      <c r="AB120" s="19"/>
      <c r="AC120" s="13"/>
    </row>
    <row r="121" spans="1:29">
      <c r="A121" s="27" t="s">
        <v>60</v>
      </c>
      <c r="C121" s="55"/>
      <c r="H121" s="225"/>
      <c r="M121" s="13"/>
      <c r="Q121" s="13"/>
      <c r="U121" s="13"/>
      <c r="Y121" s="13"/>
      <c r="AC121" s="13"/>
    </row>
    <row r="122" spans="1:29">
      <c r="A122" s="17" t="s">
        <v>61</v>
      </c>
      <c r="B122" s="8">
        <v>3</v>
      </c>
      <c r="C122" s="55">
        <v>3563</v>
      </c>
      <c r="E122" s="178">
        <v>14.6</v>
      </c>
      <c r="F122" s="224"/>
      <c r="G122" s="224"/>
      <c r="H122" s="225">
        <v>52020</v>
      </c>
      <c r="J122" s="18"/>
      <c r="K122" s="19"/>
      <c r="L122" s="19"/>
      <c r="M122" s="13"/>
      <c r="O122" s="18"/>
      <c r="P122" s="19"/>
      <c r="Q122" s="13"/>
      <c r="S122" s="18"/>
      <c r="T122" s="19"/>
      <c r="U122" s="13"/>
      <c r="W122" s="18"/>
      <c r="X122" s="19"/>
      <c r="Y122" s="13"/>
      <c r="AA122" s="18"/>
      <c r="AB122" s="19"/>
      <c r="AC122" s="13"/>
    </row>
    <row r="123" spans="1:29">
      <c r="A123" s="17" t="s">
        <v>62</v>
      </c>
      <c r="B123" s="8">
        <v>4</v>
      </c>
      <c r="C123" s="55">
        <v>1746</v>
      </c>
      <c r="E123" s="178">
        <v>12.23</v>
      </c>
      <c r="F123" s="224"/>
      <c r="G123" s="224"/>
      <c r="H123" s="225">
        <v>21354</v>
      </c>
      <c r="J123" s="18"/>
      <c r="K123" s="19"/>
      <c r="L123" s="19"/>
      <c r="M123" s="13"/>
      <c r="O123" s="18"/>
      <c r="P123" s="19"/>
      <c r="Q123" s="13"/>
      <c r="S123" s="18"/>
      <c r="T123" s="19"/>
      <c r="U123" s="13"/>
      <c r="W123" s="18"/>
      <c r="X123" s="19"/>
      <c r="Y123" s="13"/>
      <c r="AA123" s="18"/>
      <c r="AB123" s="19"/>
      <c r="AC123" s="13"/>
    </row>
    <row r="124" spans="1:29">
      <c r="A124" s="17" t="s">
        <v>63</v>
      </c>
      <c r="B124" s="8">
        <v>5</v>
      </c>
      <c r="C124" s="55">
        <v>23403</v>
      </c>
      <c r="E124" s="178">
        <v>15.47</v>
      </c>
      <c r="F124" s="224"/>
      <c r="G124" s="224"/>
      <c r="H124" s="225">
        <v>362044</v>
      </c>
      <c r="J124" s="18"/>
      <c r="K124" s="19"/>
      <c r="L124" s="19"/>
      <c r="M124" s="13"/>
      <c r="O124" s="18"/>
      <c r="P124" s="19"/>
      <c r="Q124" s="13"/>
      <c r="S124" s="18"/>
      <c r="T124" s="19"/>
      <c r="U124" s="13"/>
      <c r="W124" s="18"/>
      <c r="X124" s="19"/>
      <c r="Y124" s="13"/>
      <c r="AA124" s="18"/>
      <c r="AB124" s="19"/>
      <c r="AC124" s="13"/>
    </row>
    <row r="125" spans="1:29">
      <c r="A125" s="17" t="s">
        <v>64</v>
      </c>
      <c r="B125" s="8">
        <v>6</v>
      </c>
      <c r="C125" s="55">
        <v>23123</v>
      </c>
      <c r="E125" s="178">
        <v>13.31</v>
      </c>
      <c r="F125" s="224"/>
      <c r="G125" s="224"/>
      <c r="H125" s="225">
        <v>307767</v>
      </c>
      <c r="J125" s="18"/>
      <c r="K125" s="19"/>
      <c r="L125" s="19"/>
      <c r="M125" s="13"/>
      <c r="O125" s="18"/>
      <c r="P125" s="19"/>
      <c r="Q125" s="13"/>
      <c r="S125" s="18"/>
      <c r="T125" s="19"/>
      <c r="U125" s="13"/>
      <c r="W125" s="18"/>
      <c r="X125" s="19"/>
      <c r="Y125" s="13"/>
      <c r="AA125" s="18"/>
      <c r="AB125" s="19"/>
      <c r="AC125" s="13"/>
    </row>
    <row r="126" spans="1:29">
      <c r="A126" s="17" t="s">
        <v>65</v>
      </c>
      <c r="B126" s="8">
        <v>7</v>
      </c>
      <c r="C126" s="55">
        <v>2646</v>
      </c>
      <c r="E126" s="178">
        <v>19.46</v>
      </c>
      <c r="F126" s="224"/>
      <c r="G126" s="224"/>
      <c r="H126" s="225">
        <v>51491</v>
      </c>
      <c r="J126" s="18"/>
      <c r="K126" s="19"/>
      <c r="L126" s="19"/>
      <c r="M126" s="13"/>
      <c r="O126" s="18"/>
      <c r="P126" s="19"/>
      <c r="Q126" s="13"/>
      <c r="S126" s="18"/>
      <c r="T126" s="19"/>
      <c r="U126" s="13"/>
      <c r="W126" s="18"/>
      <c r="X126" s="19"/>
      <c r="Y126" s="13"/>
      <c r="AA126" s="18"/>
      <c r="AB126" s="19"/>
      <c r="AC126" s="13"/>
    </row>
    <row r="127" spans="1:29">
      <c r="A127" s="17" t="s">
        <v>66</v>
      </c>
      <c r="B127" s="8">
        <v>8</v>
      </c>
      <c r="C127" s="55">
        <v>2564</v>
      </c>
      <c r="E127" s="178">
        <v>17.13</v>
      </c>
      <c r="F127" s="224"/>
      <c r="G127" s="224"/>
      <c r="H127" s="225">
        <v>43921</v>
      </c>
      <c r="J127" s="18"/>
      <c r="K127" s="19"/>
      <c r="L127" s="19"/>
      <c r="M127" s="13"/>
      <c r="O127" s="18"/>
      <c r="P127" s="19"/>
      <c r="Q127" s="13"/>
      <c r="S127" s="18"/>
      <c r="T127" s="19"/>
      <c r="U127" s="13"/>
      <c r="W127" s="18"/>
      <c r="X127" s="19"/>
      <c r="Y127" s="13"/>
      <c r="AA127" s="18"/>
      <c r="AB127" s="19"/>
      <c r="AC127" s="13"/>
    </row>
    <row r="128" spans="1:29">
      <c r="A128" s="17" t="s">
        <v>67</v>
      </c>
      <c r="B128" s="8">
        <v>9</v>
      </c>
      <c r="C128" s="55">
        <v>114</v>
      </c>
      <c r="E128" s="178">
        <v>21.07</v>
      </c>
      <c r="F128" s="224"/>
      <c r="G128" s="224"/>
      <c r="H128" s="225">
        <v>2402</v>
      </c>
      <c r="J128" s="18"/>
      <c r="K128" s="19"/>
      <c r="L128" s="19"/>
      <c r="M128" s="13"/>
      <c r="O128" s="18"/>
      <c r="P128" s="19"/>
      <c r="Q128" s="13"/>
      <c r="S128" s="18"/>
      <c r="T128" s="19"/>
      <c r="U128" s="13"/>
      <c r="W128" s="18"/>
      <c r="X128" s="19"/>
      <c r="Y128" s="13"/>
      <c r="AA128" s="18"/>
      <c r="AB128" s="19"/>
      <c r="AC128" s="13"/>
    </row>
    <row r="129" spans="1:29">
      <c r="A129" s="17" t="s">
        <v>68</v>
      </c>
      <c r="B129" s="8">
        <v>10</v>
      </c>
      <c r="C129" s="55">
        <v>3134</v>
      </c>
      <c r="E129" s="178">
        <v>23.51</v>
      </c>
      <c r="F129" s="224"/>
      <c r="G129" s="224"/>
      <c r="H129" s="225">
        <v>73680</v>
      </c>
      <c r="J129" s="18"/>
      <c r="K129" s="19"/>
      <c r="L129" s="19"/>
      <c r="M129" s="13"/>
      <c r="O129" s="18"/>
      <c r="P129" s="19"/>
      <c r="Q129" s="13"/>
      <c r="S129" s="18"/>
      <c r="T129" s="19"/>
      <c r="U129" s="13"/>
      <c r="W129" s="18"/>
      <c r="X129" s="19"/>
      <c r="Y129" s="13"/>
      <c r="AA129" s="18"/>
      <c r="AB129" s="19"/>
      <c r="AC129" s="13"/>
    </row>
    <row r="130" spans="1:29">
      <c r="A130" s="17" t="s">
        <v>69</v>
      </c>
      <c r="B130" s="8">
        <v>11</v>
      </c>
      <c r="C130" s="55">
        <v>4178</v>
      </c>
      <c r="E130" s="178">
        <v>21.23</v>
      </c>
      <c r="F130" s="224"/>
      <c r="G130" s="224"/>
      <c r="H130" s="225">
        <v>88699</v>
      </c>
      <c r="J130" s="18"/>
      <c r="K130" s="19"/>
      <c r="L130" s="19"/>
      <c r="M130" s="13"/>
      <c r="O130" s="18"/>
      <c r="P130" s="19"/>
      <c r="Q130" s="13"/>
      <c r="S130" s="18"/>
      <c r="T130" s="19"/>
      <c r="U130" s="13"/>
      <c r="W130" s="18"/>
      <c r="X130" s="19"/>
      <c r="Y130" s="13"/>
      <c r="AA130" s="18"/>
      <c r="AB130" s="19"/>
      <c r="AC130" s="13"/>
    </row>
    <row r="131" spans="1:29">
      <c r="A131" s="17" t="s">
        <v>70</v>
      </c>
      <c r="B131" s="8">
        <v>12</v>
      </c>
      <c r="C131" s="55">
        <v>1248</v>
      </c>
      <c r="E131" s="178">
        <v>28.3</v>
      </c>
      <c r="F131" s="224"/>
      <c r="G131" s="224"/>
      <c r="H131" s="225">
        <v>35318</v>
      </c>
      <c r="J131" s="18"/>
      <c r="K131" s="19"/>
      <c r="L131" s="19"/>
      <c r="M131" s="13"/>
      <c r="O131" s="18"/>
      <c r="P131" s="19"/>
      <c r="Q131" s="13"/>
      <c r="S131" s="18"/>
      <c r="T131" s="19"/>
      <c r="U131" s="13"/>
      <c r="W131" s="18"/>
      <c r="X131" s="19"/>
      <c r="Y131" s="13"/>
      <c r="AA131" s="18"/>
      <c r="AB131" s="19"/>
      <c r="AC131" s="13"/>
    </row>
    <row r="132" spans="1:29">
      <c r="A132" s="17" t="s">
        <v>71</v>
      </c>
      <c r="B132" s="8">
        <v>13</v>
      </c>
      <c r="C132" s="55">
        <v>2456</v>
      </c>
      <c r="E132" s="178">
        <v>25.99</v>
      </c>
      <c r="F132" s="224"/>
      <c r="G132" s="224"/>
      <c r="H132" s="225">
        <v>63831</v>
      </c>
      <c r="J132" s="18"/>
      <c r="K132" s="19"/>
      <c r="L132" s="19"/>
      <c r="M132" s="13"/>
      <c r="O132" s="18"/>
      <c r="P132" s="19"/>
      <c r="Q132" s="13"/>
      <c r="S132" s="18"/>
      <c r="T132" s="19"/>
      <c r="U132" s="13"/>
      <c r="W132" s="18"/>
      <c r="X132" s="19"/>
      <c r="Y132" s="13"/>
      <c r="AA132" s="18"/>
      <c r="AB132" s="19"/>
      <c r="AC132" s="13"/>
    </row>
    <row r="133" spans="1:29">
      <c r="A133" s="27" t="s">
        <v>72</v>
      </c>
      <c r="C133" s="55"/>
      <c r="H133" s="225"/>
      <c r="M133" s="13"/>
      <c r="Q133" s="13"/>
      <c r="U133" s="13"/>
      <c r="Y133" s="13"/>
      <c r="AC133" s="13"/>
    </row>
    <row r="134" spans="1:29">
      <c r="A134" s="17" t="s">
        <v>65</v>
      </c>
      <c r="B134" s="8">
        <v>14</v>
      </c>
      <c r="C134" s="55">
        <v>4670</v>
      </c>
      <c r="E134" s="178">
        <v>19.46</v>
      </c>
      <c r="F134" s="224"/>
      <c r="G134" s="224"/>
      <c r="H134" s="225">
        <v>90878</v>
      </c>
      <c r="J134" s="18"/>
      <c r="K134" s="19"/>
      <c r="L134" s="19"/>
      <c r="M134" s="13"/>
      <c r="O134" s="18"/>
      <c r="P134" s="19"/>
      <c r="Q134" s="13"/>
      <c r="S134" s="18"/>
      <c r="T134" s="19"/>
      <c r="U134" s="13"/>
      <c r="W134" s="18"/>
      <c r="X134" s="19"/>
      <c r="Y134" s="13"/>
      <c r="AA134" s="18"/>
      <c r="AB134" s="19"/>
      <c r="AC134" s="13"/>
    </row>
    <row r="135" spans="1:29">
      <c r="A135" s="17" t="s">
        <v>66</v>
      </c>
      <c r="B135" s="8">
        <v>15</v>
      </c>
      <c r="C135" s="55">
        <v>4976</v>
      </c>
      <c r="E135" s="178">
        <v>17.13</v>
      </c>
      <c r="F135" s="224"/>
      <c r="G135" s="224"/>
      <c r="H135" s="225">
        <v>85239</v>
      </c>
      <c r="J135" s="18"/>
      <c r="K135" s="19"/>
      <c r="L135" s="19"/>
      <c r="M135" s="13"/>
      <c r="O135" s="18"/>
      <c r="P135" s="19"/>
      <c r="Q135" s="13"/>
      <c r="S135" s="18"/>
      <c r="T135" s="19"/>
      <c r="U135" s="13"/>
      <c r="W135" s="18"/>
      <c r="X135" s="19"/>
      <c r="Y135" s="13"/>
      <c r="AA135" s="18"/>
      <c r="AB135" s="19"/>
      <c r="AC135" s="13"/>
    </row>
    <row r="136" spans="1:29">
      <c r="A136" s="17" t="s">
        <v>68</v>
      </c>
      <c r="B136" s="8">
        <v>16</v>
      </c>
      <c r="C136" s="55">
        <v>1102</v>
      </c>
      <c r="E136" s="178">
        <v>23.51</v>
      </c>
      <c r="F136" s="224"/>
      <c r="G136" s="224"/>
      <c r="H136" s="225">
        <v>25908</v>
      </c>
      <c r="J136" s="18"/>
      <c r="K136" s="19"/>
      <c r="L136" s="19"/>
      <c r="M136" s="13"/>
      <c r="O136" s="18"/>
      <c r="P136" s="19"/>
      <c r="Q136" s="13"/>
      <c r="S136" s="18"/>
      <c r="T136" s="19"/>
      <c r="U136" s="13"/>
      <c r="W136" s="18"/>
      <c r="X136" s="19"/>
      <c r="Y136" s="13"/>
      <c r="AA136" s="18"/>
      <c r="AB136" s="19"/>
      <c r="AC136" s="13"/>
    </row>
    <row r="137" spans="1:29">
      <c r="A137" s="17" t="s">
        <v>69</v>
      </c>
      <c r="B137" s="8">
        <v>17</v>
      </c>
      <c r="C137" s="55">
        <v>1570</v>
      </c>
      <c r="E137" s="178">
        <v>21.23</v>
      </c>
      <c r="F137" s="224"/>
      <c r="G137" s="224"/>
      <c r="H137" s="225">
        <v>33331</v>
      </c>
      <c r="J137" s="18"/>
      <c r="K137" s="19"/>
      <c r="L137" s="19"/>
      <c r="M137" s="13"/>
      <c r="O137" s="18"/>
      <c r="P137" s="19"/>
      <c r="Q137" s="13"/>
      <c r="S137" s="18"/>
      <c r="T137" s="19"/>
      <c r="U137" s="13"/>
      <c r="W137" s="18"/>
      <c r="X137" s="19"/>
      <c r="Y137" s="13"/>
      <c r="AA137" s="18"/>
      <c r="AB137" s="19"/>
      <c r="AC137" s="13"/>
    </row>
    <row r="138" spans="1:29">
      <c r="A138" s="17" t="s">
        <v>70</v>
      </c>
      <c r="B138" s="8">
        <v>18</v>
      </c>
      <c r="C138" s="55">
        <v>9734</v>
      </c>
      <c r="E138" s="178">
        <v>28.3</v>
      </c>
      <c r="F138" s="224"/>
      <c r="G138" s="224"/>
      <c r="H138" s="225">
        <v>275472</v>
      </c>
      <c r="J138" s="18"/>
      <c r="K138" s="19"/>
      <c r="L138" s="19"/>
      <c r="M138" s="13"/>
      <c r="O138" s="18"/>
      <c r="P138" s="19"/>
      <c r="Q138" s="13"/>
      <c r="S138" s="18"/>
      <c r="T138" s="19"/>
      <c r="U138" s="13"/>
      <c r="W138" s="18"/>
      <c r="X138" s="19"/>
      <c r="Y138" s="13"/>
      <c r="AA138" s="18"/>
      <c r="AB138" s="19"/>
      <c r="AC138" s="13"/>
    </row>
    <row r="139" spans="1:29">
      <c r="A139" s="17" t="s">
        <v>71</v>
      </c>
      <c r="B139" s="8">
        <v>19</v>
      </c>
      <c r="C139" s="55">
        <v>11772</v>
      </c>
      <c r="E139" s="178">
        <v>25.99</v>
      </c>
      <c r="F139" s="224"/>
      <c r="G139" s="224"/>
      <c r="H139" s="225">
        <v>305954</v>
      </c>
      <c r="J139" s="18"/>
      <c r="K139" s="19"/>
      <c r="L139" s="19"/>
      <c r="M139" s="13"/>
      <c r="O139" s="18"/>
      <c r="P139" s="19"/>
      <c r="Q139" s="13"/>
      <c r="S139" s="18"/>
      <c r="T139" s="19"/>
      <c r="U139" s="13"/>
      <c r="W139" s="18"/>
      <c r="X139" s="19"/>
      <c r="Y139" s="13"/>
      <c r="AA139" s="18"/>
      <c r="AB139" s="19"/>
      <c r="AC139" s="13"/>
    </row>
    <row r="140" spans="1:29">
      <c r="A140" s="27" t="s">
        <v>73</v>
      </c>
      <c r="C140" s="55"/>
    </row>
    <row r="141" spans="1:29">
      <c r="A141" s="17" t="s">
        <v>74</v>
      </c>
      <c r="B141" s="8">
        <v>20</v>
      </c>
      <c r="C141" s="55">
        <v>0</v>
      </c>
      <c r="E141" s="178">
        <v>29.4</v>
      </c>
      <c r="F141" s="224"/>
      <c r="G141" s="224"/>
      <c r="H141" s="225">
        <v>0</v>
      </c>
      <c r="J141" s="18"/>
      <c r="K141" s="19"/>
      <c r="L141" s="19"/>
      <c r="M141" s="13"/>
      <c r="O141" s="18"/>
      <c r="P141" s="19"/>
      <c r="Q141" s="13"/>
      <c r="S141" s="18"/>
      <c r="T141" s="19"/>
      <c r="U141" s="13"/>
      <c r="W141" s="18"/>
      <c r="X141" s="19"/>
      <c r="Y141" s="13"/>
      <c r="AA141" s="18"/>
      <c r="AB141" s="19"/>
      <c r="AC141" s="13"/>
    </row>
    <row r="142" spans="1:29">
      <c r="A142" s="17" t="s">
        <v>75</v>
      </c>
      <c r="B142" s="8">
        <v>21</v>
      </c>
      <c r="C142" s="55">
        <v>265</v>
      </c>
      <c r="E142" s="178">
        <v>21.79</v>
      </c>
      <c r="F142" s="224"/>
      <c r="G142" s="224"/>
      <c r="H142" s="225">
        <v>5774</v>
      </c>
      <c r="J142" s="18"/>
      <c r="K142" s="19"/>
      <c r="L142" s="19"/>
      <c r="M142" s="13"/>
      <c r="O142" s="18"/>
      <c r="P142" s="19"/>
      <c r="Q142" s="13"/>
      <c r="S142" s="18"/>
      <c r="T142" s="19"/>
      <c r="U142" s="13"/>
      <c r="W142" s="18"/>
      <c r="X142" s="19"/>
      <c r="Y142" s="13"/>
      <c r="AA142" s="18"/>
      <c r="AB142" s="19"/>
      <c r="AC142" s="13"/>
    </row>
    <row r="143" spans="1:29">
      <c r="A143" s="17" t="s">
        <v>76</v>
      </c>
      <c r="B143" s="8">
        <v>22</v>
      </c>
      <c r="C143" s="55">
        <v>110</v>
      </c>
      <c r="E143" s="178">
        <v>34.340000000000003</v>
      </c>
      <c r="F143" s="224"/>
      <c r="G143" s="224"/>
      <c r="H143" s="225">
        <v>3777</v>
      </c>
      <c r="J143" s="18"/>
      <c r="K143" s="19"/>
      <c r="L143" s="19"/>
      <c r="M143" s="13"/>
      <c r="O143" s="18"/>
      <c r="P143" s="19"/>
      <c r="Q143" s="13"/>
      <c r="S143" s="18"/>
      <c r="T143" s="19"/>
      <c r="U143" s="13"/>
      <c r="W143" s="18"/>
      <c r="X143" s="19"/>
      <c r="Y143" s="13"/>
      <c r="AA143" s="18"/>
      <c r="AB143" s="19"/>
      <c r="AC143" s="13"/>
    </row>
    <row r="144" spans="1:29">
      <c r="A144" s="17" t="s">
        <v>77</v>
      </c>
      <c r="B144" s="8">
        <v>23</v>
      </c>
      <c r="C144" s="55">
        <v>97</v>
      </c>
      <c r="E144" s="178">
        <v>27.43</v>
      </c>
      <c r="F144" s="224"/>
      <c r="G144" s="224"/>
      <c r="H144" s="225">
        <v>2661</v>
      </c>
      <c r="J144" s="18"/>
      <c r="K144" s="19"/>
      <c r="L144" s="19"/>
      <c r="M144" s="13"/>
      <c r="O144" s="18"/>
      <c r="P144" s="19"/>
      <c r="Q144" s="13"/>
      <c r="S144" s="18"/>
      <c r="T144" s="19"/>
      <c r="U144" s="13"/>
      <c r="W144" s="18"/>
      <c r="X144" s="19"/>
      <c r="Y144" s="13"/>
      <c r="AA144" s="18"/>
      <c r="AB144" s="19"/>
      <c r="AC144" s="13"/>
    </row>
    <row r="145" spans="1:29" s="20" customFormat="1">
      <c r="A145" s="17" t="s">
        <v>78</v>
      </c>
      <c r="B145" s="8">
        <v>24</v>
      </c>
      <c r="C145" s="55">
        <v>469</v>
      </c>
      <c r="D145" s="56"/>
      <c r="E145" s="178">
        <v>36.69</v>
      </c>
      <c r="F145" s="224"/>
      <c r="G145" s="224"/>
      <c r="H145" s="225">
        <v>17208</v>
      </c>
      <c r="I145" s="9"/>
      <c r="J145" s="18"/>
      <c r="K145" s="19"/>
      <c r="L145" s="19"/>
      <c r="M145" s="13"/>
      <c r="N145" s="9"/>
      <c r="O145" s="18"/>
      <c r="P145" s="19"/>
      <c r="Q145" s="13"/>
      <c r="R145" s="9"/>
      <c r="S145" s="18"/>
      <c r="T145" s="19"/>
      <c r="U145" s="13"/>
      <c r="V145" s="9"/>
      <c r="W145" s="18"/>
      <c r="X145" s="19"/>
      <c r="Y145" s="13"/>
      <c r="Z145" s="9"/>
      <c r="AA145" s="18"/>
      <c r="AB145" s="19"/>
      <c r="AC145" s="13"/>
    </row>
    <row r="146" spans="1:29">
      <c r="A146" s="17" t="s">
        <v>79</v>
      </c>
      <c r="B146" s="8">
        <v>25</v>
      </c>
      <c r="C146" s="55">
        <v>630</v>
      </c>
      <c r="E146" s="178">
        <v>29.72</v>
      </c>
      <c r="F146" s="224"/>
      <c r="G146" s="224"/>
      <c r="H146" s="225">
        <v>18724</v>
      </c>
      <c r="J146" s="18"/>
      <c r="K146" s="19"/>
      <c r="L146" s="19"/>
      <c r="M146" s="13"/>
      <c r="O146" s="18"/>
      <c r="P146" s="19"/>
      <c r="Q146" s="13"/>
      <c r="S146" s="18"/>
      <c r="T146" s="19"/>
      <c r="U146" s="13"/>
      <c r="W146" s="18"/>
      <c r="X146" s="19"/>
      <c r="Y146" s="13"/>
      <c r="AA146" s="18"/>
      <c r="AB146" s="19"/>
      <c r="AC146" s="13"/>
    </row>
    <row r="147" spans="1:29">
      <c r="A147" s="17" t="s">
        <v>80</v>
      </c>
      <c r="B147" s="8">
        <v>26</v>
      </c>
      <c r="C147" s="55">
        <v>24</v>
      </c>
      <c r="E147" s="178">
        <v>57.58</v>
      </c>
      <c r="F147" s="224"/>
      <c r="G147" s="224"/>
      <c r="H147" s="225">
        <v>1382</v>
      </c>
      <c r="J147" s="18"/>
      <c r="K147" s="19"/>
      <c r="L147" s="19"/>
      <c r="M147" s="13"/>
      <c r="O147" s="18"/>
      <c r="P147" s="19"/>
      <c r="Q147" s="13"/>
      <c r="S147" s="18"/>
      <c r="T147" s="19"/>
      <c r="U147" s="13"/>
      <c r="W147" s="18"/>
      <c r="X147" s="19"/>
      <c r="Y147" s="13"/>
      <c r="AA147" s="18"/>
      <c r="AB147" s="19"/>
      <c r="AC147" s="13"/>
    </row>
    <row r="148" spans="1:29">
      <c r="A148" s="17" t="s">
        <v>81</v>
      </c>
      <c r="B148" s="8">
        <v>27</v>
      </c>
      <c r="C148" s="55">
        <v>60</v>
      </c>
      <c r="E148" s="178">
        <v>49.1</v>
      </c>
      <c r="F148" s="224"/>
      <c r="G148" s="224"/>
      <c r="H148" s="225">
        <v>2946</v>
      </c>
      <c r="J148" s="18"/>
      <c r="K148" s="19"/>
      <c r="L148" s="19"/>
      <c r="M148" s="13"/>
      <c r="O148" s="18"/>
      <c r="P148" s="19"/>
      <c r="Q148" s="13"/>
      <c r="S148" s="18"/>
      <c r="T148" s="19"/>
      <c r="U148" s="13"/>
      <c r="W148" s="18"/>
      <c r="X148" s="19"/>
      <c r="Y148" s="13"/>
      <c r="AA148" s="18"/>
      <c r="AB148" s="19"/>
      <c r="AC148" s="13"/>
    </row>
    <row r="149" spans="1:29">
      <c r="A149" s="17" t="s">
        <v>82</v>
      </c>
      <c r="B149" s="12"/>
      <c r="C149" s="55">
        <v>159509</v>
      </c>
      <c r="H149" s="225">
        <v>2999060</v>
      </c>
      <c r="I149" s="43"/>
      <c r="K149" s="43"/>
      <c r="L149" s="43"/>
      <c r="M149" s="47"/>
      <c r="N149" s="43"/>
      <c r="P149" s="43"/>
      <c r="Q149" s="47"/>
      <c r="R149" s="43"/>
      <c r="T149" s="43"/>
      <c r="U149" s="47"/>
      <c r="V149" s="43"/>
      <c r="X149" s="43"/>
      <c r="Y149" s="47"/>
      <c r="Z149" s="43"/>
      <c r="AB149" s="43"/>
      <c r="AC149" s="47"/>
    </row>
    <row r="150" spans="1:29">
      <c r="A150" s="17" t="s">
        <v>83</v>
      </c>
      <c r="C150" s="23">
        <v>12440930.563737754</v>
      </c>
      <c r="H150" s="225"/>
      <c r="M150" s="47"/>
      <c r="Q150" s="47"/>
      <c r="U150" s="47"/>
      <c r="Y150" s="47"/>
      <c r="AC150" s="47"/>
    </row>
    <row r="151" spans="1:29">
      <c r="A151" s="17" t="s">
        <v>84</v>
      </c>
      <c r="C151" s="62">
        <v>0</v>
      </c>
      <c r="E151" s="245"/>
      <c r="H151" s="246">
        <v>0</v>
      </c>
      <c r="J151" s="63"/>
      <c r="M151" s="64"/>
      <c r="O151" s="63"/>
      <c r="Q151" s="64"/>
      <c r="S151" s="63"/>
      <c r="U151" s="64"/>
      <c r="W151" s="63"/>
      <c r="Y151" s="64"/>
      <c r="AA151" s="63"/>
      <c r="AC151" s="64"/>
    </row>
    <row r="152" spans="1:29">
      <c r="A152" s="17" t="s">
        <v>85</v>
      </c>
      <c r="C152" s="55">
        <v>8046</v>
      </c>
    </row>
    <row r="153" spans="1:29" ht="16.5" thickBot="1">
      <c r="A153" s="17" t="s">
        <v>86</v>
      </c>
      <c r="C153" s="65">
        <v>12440930.563737754</v>
      </c>
      <c r="E153" s="212"/>
      <c r="H153" s="234">
        <v>2999060</v>
      </c>
      <c r="J153" s="169">
        <v>8.2199999999999995E-2</v>
      </c>
      <c r="K153" s="25" t="s">
        <v>16</v>
      </c>
      <c r="L153" s="25"/>
      <c r="M153" s="40">
        <f>C153*J153/100</f>
        <v>10226.444923392433</v>
      </c>
      <c r="O153" s="168">
        <v>8.5000000000000006E-3</v>
      </c>
      <c r="P153" s="25"/>
      <c r="Q153" s="40">
        <f>($H153+$M153)*O153</f>
        <v>25578.934781848839</v>
      </c>
      <c r="S153" s="168">
        <v>1.2999999999999999E-3</v>
      </c>
      <c r="T153" s="25"/>
      <c r="U153" s="40">
        <f>($H153+$M153)*S153</f>
        <v>3912.0723784004099</v>
      </c>
      <c r="W153" s="168">
        <v>3.6200000000000003E-2</v>
      </c>
      <c r="X153" s="25"/>
      <c r="Y153" s="40">
        <f>($H153+$M153+$Q153+$U153)*W153</f>
        <v>110003.74376542783</v>
      </c>
      <c r="AA153" s="168">
        <f>ROUND(1/($H$153+$M$153+$Q$153+$U$153+$H$268+$M$268+$Q$268+$U$268+$H$351+$M$351+$Q$351+$U$351)*SUM('RateSpread-1'!P40+'RateSpread-1'!P41+'RateSpread-1'!P42)*1000,4)</f>
        <v>0.04</v>
      </c>
      <c r="AB153" s="25"/>
      <c r="AC153" s="40">
        <f>($H153+$M153+$Q153+$U153)*AA153</f>
        <v>121551.09808334567</v>
      </c>
    </row>
    <row r="154" spans="1:29" ht="16.5" thickTop="1">
      <c r="D154" s="230"/>
      <c r="I154" s="54"/>
      <c r="N154" s="54"/>
      <c r="R154" s="54"/>
      <c r="V154" s="54"/>
      <c r="Z154" s="54"/>
    </row>
    <row r="155" spans="1:29">
      <c r="A155" s="16" t="s">
        <v>87</v>
      </c>
      <c r="C155" s="55"/>
    </row>
    <row r="156" spans="1:29">
      <c r="A156" s="17" t="s">
        <v>35</v>
      </c>
      <c r="C156" s="55">
        <v>3282</v>
      </c>
      <c r="E156" s="178">
        <v>70</v>
      </c>
      <c r="F156" s="224"/>
      <c r="G156" s="224"/>
      <c r="H156" s="225">
        <v>229740</v>
      </c>
      <c r="J156" s="18"/>
      <c r="K156" s="42"/>
      <c r="L156" s="42"/>
      <c r="M156" s="13"/>
      <c r="O156" s="18"/>
      <c r="P156" s="42"/>
      <c r="Q156" s="13"/>
      <c r="S156" s="18"/>
      <c r="T156" s="42"/>
      <c r="U156" s="13"/>
      <c r="W156" s="18"/>
      <c r="X156" s="42"/>
      <c r="Y156" s="13"/>
      <c r="AA156" s="18"/>
      <c r="AB156" s="42"/>
      <c r="AC156" s="13"/>
    </row>
    <row r="157" spans="1:29">
      <c r="A157" s="17" t="s">
        <v>39</v>
      </c>
      <c r="C157" s="55">
        <v>5010201</v>
      </c>
      <c r="E157" s="178">
        <v>4.76</v>
      </c>
      <c r="F157" s="224"/>
      <c r="G157" s="224"/>
      <c r="H157" s="225">
        <v>23848557</v>
      </c>
      <c r="J157" s="18"/>
      <c r="K157" s="42"/>
      <c r="L157" s="42"/>
      <c r="M157" s="13"/>
      <c r="O157" s="18"/>
      <c r="P157" s="42"/>
      <c r="Q157" s="13"/>
      <c r="S157" s="18"/>
      <c r="T157" s="42"/>
      <c r="U157" s="13"/>
      <c r="W157" s="168">
        <v>3.6200000000000003E-2</v>
      </c>
      <c r="X157" s="19"/>
      <c r="Y157" s="13">
        <f t="shared" ref="Y157:Y158" si="71">($H157+$M157+$Q157+$U157)*W157</f>
        <v>863317.76340000005</v>
      </c>
      <c r="AA157" s="168">
        <f>ROUND(1/($H$165-$H$156+$M$165+$Q$165+$U$165)*'RateSpread-1'!P24*1000,4)</f>
        <v>4.0099999999999997E-2</v>
      </c>
      <c r="AB157" s="19"/>
      <c r="AC157" s="13">
        <f t="shared" ref="AC157:AC158" si="72">($H157+$M157+$Q157+$U157)*AA157</f>
        <v>956327.13569999987</v>
      </c>
    </row>
    <row r="158" spans="1:29">
      <c r="A158" s="17" t="s">
        <v>88</v>
      </c>
      <c r="C158" s="55">
        <v>2097818</v>
      </c>
      <c r="E158" s="178">
        <v>15.56</v>
      </c>
      <c r="F158" s="224"/>
      <c r="G158" s="224"/>
      <c r="H158" s="225">
        <v>32642048</v>
      </c>
      <c r="J158" s="18"/>
      <c r="K158" s="19"/>
      <c r="L158" s="19"/>
      <c r="M158" s="13"/>
      <c r="O158" s="168">
        <v>1.8599999999999998E-2</v>
      </c>
      <c r="P158" s="19"/>
      <c r="Q158" s="13">
        <f>($H158+$M158)*O158</f>
        <v>607142.09279999998</v>
      </c>
      <c r="S158" s="168">
        <v>5.1999999999999998E-3</v>
      </c>
      <c r="T158" s="19"/>
      <c r="U158" s="13">
        <f>($H158+$M158)*S158</f>
        <v>169738.6496</v>
      </c>
      <c r="W158" s="171">
        <f t="shared" ref="W158:W163" si="73">W$157</f>
        <v>3.6200000000000003E-2</v>
      </c>
      <c r="X158" s="19"/>
      <c r="Y158" s="13">
        <f t="shared" si="71"/>
        <v>1209765.22047488</v>
      </c>
      <c r="AA158" s="171">
        <f t="shared" ref="AA158:AA163" si="74">AA$157</f>
        <v>4.0099999999999997E-2</v>
      </c>
      <c r="AB158" s="19"/>
      <c r="AC158" s="13">
        <f t="shared" si="72"/>
        <v>1340099.0425702399</v>
      </c>
    </row>
    <row r="159" spans="1:29">
      <c r="A159" s="17" t="s">
        <v>89</v>
      </c>
      <c r="C159" s="55">
        <v>2761958</v>
      </c>
      <c r="E159" s="178">
        <v>11.19</v>
      </c>
      <c r="F159" s="224"/>
      <c r="G159" s="224"/>
      <c r="H159" s="225">
        <v>30906310</v>
      </c>
      <c r="J159" s="18"/>
      <c r="K159" s="19"/>
      <c r="L159" s="19"/>
      <c r="M159" s="13"/>
      <c r="O159" s="171">
        <f>O$158</f>
        <v>1.8599999999999998E-2</v>
      </c>
      <c r="P159" s="19"/>
      <c r="Q159" s="13">
        <f>($H159+$M159)*O159</f>
        <v>574857.36599999992</v>
      </c>
      <c r="S159" s="171">
        <f>S$158</f>
        <v>5.1999999999999998E-3</v>
      </c>
      <c r="T159" s="19"/>
      <c r="U159" s="13">
        <f>($H159+$M159)*S159</f>
        <v>160712.81200000001</v>
      </c>
      <c r="W159" s="171">
        <f t="shared" si="73"/>
        <v>3.6200000000000003E-2</v>
      </c>
      <c r="X159" s="19"/>
      <c r="Y159" s="13">
        <f t="shared" ref="Y159:Y163" si="75">($H159+$M159+$Q159+$U159)*W159</f>
        <v>1145436.0624436</v>
      </c>
      <c r="AA159" s="171">
        <f t="shared" si="74"/>
        <v>4.0099999999999997E-2</v>
      </c>
      <c r="AB159" s="19"/>
      <c r="AC159" s="13">
        <f t="shared" ref="AC159:AC163" si="76">($H159+$M159+$Q159+$U159)*AA159</f>
        <v>1268839.3951377999</v>
      </c>
    </row>
    <row r="160" spans="1:29">
      <c r="A160" s="17" t="s">
        <v>38</v>
      </c>
      <c r="C160" s="55">
        <v>2132830</v>
      </c>
      <c r="E160" s="178">
        <v>-1.1299999999999999</v>
      </c>
      <c r="F160" s="224"/>
      <c r="G160" s="224"/>
      <c r="H160" s="225">
        <v>-2410098</v>
      </c>
      <c r="J160" s="18"/>
      <c r="K160" s="19"/>
      <c r="L160" s="19"/>
      <c r="M160" s="13"/>
      <c r="O160" s="18"/>
      <c r="P160" s="19"/>
      <c r="Q160" s="13"/>
      <c r="S160" s="18"/>
      <c r="T160" s="19"/>
      <c r="U160" s="13"/>
      <c r="W160" s="171">
        <f t="shared" si="73"/>
        <v>3.6200000000000003E-2</v>
      </c>
      <c r="X160" s="19"/>
      <c r="Y160" s="13">
        <f t="shared" ref="Y160" si="77">($H160+$M160+$Q160+$U160)*W160</f>
        <v>-87245.547600000005</v>
      </c>
      <c r="AA160" s="171">
        <f t="shared" si="74"/>
        <v>4.0099999999999997E-2</v>
      </c>
      <c r="AB160" s="19"/>
      <c r="AC160" s="13">
        <f t="shared" si="76"/>
        <v>-96644.929799999998</v>
      </c>
    </row>
    <row r="161" spans="1:29">
      <c r="A161" s="17" t="s">
        <v>32</v>
      </c>
      <c r="C161" s="55">
        <v>260094535</v>
      </c>
      <c r="E161" s="247">
        <v>5.0473999999999997</v>
      </c>
      <c r="F161" s="227" t="s">
        <v>16</v>
      </c>
      <c r="G161" s="227"/>
      <c r="H161" s="225">
        <v>13128012</v>
      </c>
      <c r="J161" s="177">
        <v>2.4799999999999999E-2</v>
      </c>
      <c r="K161" s="25" t="s">
        <v>16</v>
      </c>
      <c r="L161" s="25"/>
      <c r="M161" s="13">
        <f>C161*J161/100</f>
        <v>64503.444679999993</v>
      </c>
      <c r="O161" s="171">
        <f>O$158</f>
        <v>1.8599999999999998E-2</v>
      </c>
      <c r="P161" s="25"/>
      <c r="Q161" s="13">
        <f t="shared" ref="Q161:Q163" si="78">($H161+$M161)*O161</f>
        <v>245380.78727104797</v>
      </c>
      <c r="S161" s="171">
        <f>S$158</f>
        <v>5.1999999999999998E-3</v>
      </c>
      <c r="T161" s="25"/>
      <c r="U161" s="13">
        <f t="shared" ref="U161:U163" si="79">($H161+$M161)*S161</f>
        <v>68601.080312335995</v>
      </c>
      <c r="W161" s="171">
        <f t="shared" si="73"/>
        <v>3.6200000000000003E-2</v>
      </c>
      <c r="X161" s="25"/>
      <c r="Y161" s="13">
        <f t="shared" si="75"/>
        <v>488935.20270393457</v>
      </c>
      <c r="AA161" s="171">
        <f t="shared" si="74"/>
        <v>4.0099999999999997E-2</v>
      </c>
      <c r="AB161" s="25"/>
      <c r="AC161" s="13">
        <f t="shared" si="76"/>
        <v>541610.54222176166</v>
      </c>
    </row>
    <row r="162" spans="1:29">
      <c r="A162" s="17" t="s">
        <v>52</v>
      </c>
      <c r="C162" s="55">
        <v>625992212</v>
      </c>
      <c r="E162" s="247">
        <v>3.9510999999999998</v>
      </c>
      <c r="F162" s="227" t="s">
        <v>16</v>
      </c>
      <c r="G162" s="227"/>
      <c r="H162" s="225">
        <v>24733578</v>
      </c>
      <c r="J162" s="66">
        <f>$J$161</f>
        <v>2.4799999999999999E-2</v>
      </c>
      <c r="K162" s="25" t="s">
        <v>16</v>
      </c>
      <c r="L162" s="25"/>
      <c r="M162" s="13">
        <f t="shared" ref="M162:M163" si="80">C162*J162/100</f>
        <v>155246.06857599999</v>
      </c>
      <c r="O162" s="171">
        <f>O$158</f>
        <v>1.8599999999999998E-2</v>
      </c>
      <c r="P162" s="25"/>
      <c r="Q162" s="13">
        <f t="shared" si="78"/>
        <v>462932.12767551356</v>
      </c>
      <c r="S162" s="171">
        <f>S$158</f>
        <v>5.1999999999999998E-3</v>
      </c>
      <c r="T162" s="25"/>
      <c r="U162" s="13">
        <f t="shared" si="79"/>
        <v>129421.88515659519</v>
      </c>
      <c r="W162" s="171">
        <f t="shared" si="73"/>
        <v>3.6200000000000003E-2</v>
      </c>
      <c r="X162" s="25"/>
      <c r="Y162" s="13">
        <f t="shared" si="75"/>
        <v>922418.64654697361</v>
      </c>
      <c r="AA162" s="171">
        <f t="shared" si="74"/>
        <v>4.0099999999999997E-2</v>
      </c>
      <c r="AB162" s="25"/>
      <c r="AC162" s="13">
        <f t="shared" si="76"/>
        <v>1021795.2410644651</v>
      </c>
    </row>
    <row r="163" spans="1:29">
      <c r="A163" s="17" t="s">
        <v>90</v>
      </c>
      <c r="C163" s="55">
        <v>1300960578.5884075</v>
      </c>
      <c r="E163" s="247">
        <v>3.4001999999999999</v>
      </c>
      <c r="F163" s="227" t="s">
        <v>16</v>
      </c>
      <c r="G163" s="227"/>
      <c r="H163" s="225">
        <v>44235262</v>
      </c>
      <c r="J163" s="66">
        <f>$J$161</f>
        <v>2.4799999999999999E-2</v>
      </c>
      <c r="K163" s="25" t="s">
        <v>16</v>
      </c>
      <c r="L163" s="25"/>
      <c r="M163" s="13">
        <f t="shared" si="80"/>
        <v>322638.22348992503</v>
      </c>
      <c r="O163" s="171">
        <f>O$158</f>
        <v>1.8599999999999998E-2</v>
      </c>
      <c r="P163" s="25"/>
      <c r="Q163" s="13">
        <f t="shared" si="78"/>
        <v>828776.9441569125</v>
      </c>
      <c r="S163" s="171">
        <f>S$158</f>
        <v>5.1999999999999998E-3</v>
      </c>
      <c r="T163" s="25"/>
      <c r="U163" s="13">
        <f t="shared" si="79"/>
        <v>231701.0811621476</v>
      </c>
      <c r="W163" s="171">
        <f t="shared" si="73"/>
        <v>3.6200000000000003E-2</v>
      </c>
      <c r="X163" s="25"/>
      <c r="Y163" s="13">
        <f t="shared" si="75"/>
        <v>1651385.2926068855</v>
      </c>
      <c r="AA163" s="171">
        <f t="shared" si="74"/>
        <v>4.0099999999999997E-2</v>
      </c>
      <c r="AB163" s="25"/>
      <c r="AC163" s="13">
        <f t="shared" si="76"/>
        <v>1829296.9677772403</v>
      </c>
    </row>
    <row r="164" spans="1:29">
      <c r="A164" s="17" t="s">
        <v>28</v>
      </c>
      <c r="C164" s="36">
        <v>0</v>
      </c>
      <c r="H164" s="232">
        <v>0</v>
      </c>
      <c r="M164" s="37"/>
      <c r="Q164" s="37"/>
      <c r="U164" s="37"/>
      <c r="Y164" s="37"/>
      <c r="AC164" s="37"/>
    </row>
    <row r="165" spans="1:29" ht="16.5" thickBot="1">
      <c r="A165" s="17" t="s">
        <v>29</v>
      </c>
      <c r="C165" s="96">
        <v>2187047325.5884075</v>
      </c>
      <c r="E165" s="238"/>
      <c r="H165" s="239">
        <v>167313409</v>
      </c>
      <c r="J165" s="48"/>
      <c r="M165" s="49">
        <f>SUM(M156:M164)</f>
        <v>542387.73674592504</v>
      </c>
      <c r="O165" s="48"/>
      <c r="Q165" s="49">
        <f>SUM(Q156:Q164)</f>
        <v>2719089.317903474</v>
      </c>
      <c r="S165" s="48"/>
      <c r="U165" s="49">
        <f>SUM(U156:U164)</f>
        <v>760175.50823107874</v>
      </c>
      <c r="W165" s="48"/>
      <c r="Y165" s="49">
        <f>SUM(Y156:Y164)</f>
        <v>6194012.6405762732</v>
      </c>
      <c r="AA165" s="48"/>
      <c r="AC165" s="49">
        <f>SUM(AC156:AC164)</f>
        <v>6861323.3946715062</v>
      </c>
    </row>
    <row r="166" spans="1:29" ht="16.5" thickTop="1"/>
    <row r="167" spans="1:29">
      <c r="A167" s="16" t="s">
        <v>91</v>
      </c>
      <c r="C167" s="55"/>
    </row>
    <row r="168" spans="1:29">
      <c r="A168" s="17" t="s">
        <v>35</v>
      </c>
      <c r="C168" s="55">
        <v>1791</v>
      </c>
      <c r="E168" s="178">
        <v>259</v>
      </c>
      <c r="F168" s="224"/>
      <c r="G168" s="224"/>
      <c r="H168" s="225">
        <v>463869</v>
      </c>
      <c r="J168" s="18"/>
      <c r="K168" s="19"/>
      <c r="L168" s="19"/>
      <c r="M168" s="13"/>
      <c r="O168" s="18"/>
      <c r="P168" s="19"/>
      <c r="Q168" s="13"/>
      <c r="S168" s="18"/>
      <c r="T168" s="19"/>
      <c r="U168" s="13"/>
      <c r="W168" s="18"/>
      <c r="X168" s="19"/>
      <c r="Y168" s="13"/>
      <c r="AA168" s="18"/>
      <c r="AB168" s="19"/>
      <c r="AC168" s="13"/>
    </row>
    <row r="169" spans="1:29">
      <c r="A169" s="17" t="s">
        <v>39</v>
      </c>
      <c r="C169" s="55">
        <v>9053509</v>
      </c>
      <c r="E169" s="178">
        <v>2.2200000000000002</v>
      </c>
      <c r="F169" s="224"/>
      <c r="G169" s="224"/>
      <c r="H169" s="225">
        <v>20098790</v>
      </c>
      <c r="J169" s="18"/>
      <c r="K169" s="19"/>
      <c r="L169" s="19"/>
      <c r="M169" s="13"/>
      <c r="O169" s="18"/>
      <c r="P169" s="19"/>
      <c r="Q169" s="13"/>
      <c r="S169" s="18"/>
      <c r="T169" s="19"/>
      <c r="U169" s="13"/>
      <c r="W169" s="168">
        <v>3.6299999999999999E-2</v>
      </c>
      <c r="X169" s="19"/>
      <c r="Y169" s="13">
        <f t="shared" ref="Y169:Y170" si="81">($H169+$M169+$Q169+$U169)*W169</f>
        <v>729586.07699999993</v>
      </c>
      <c r="AA169" s="168">
        <f>ROUND(1/($H$176-$H$168+$M$176+$Q$176+$U$176)*'RateSpread-1'!P25*1000,4)</f>
        <v>4.0099999999999997E-2</v>
      </c>
      <c r="AB169" s="19"/>
      <c r="AC169" s="13">
        <f t="shared" ref="AC169:AC170" si="82">($H169+$M169+$Q169+$U169)*AA169</f>
        <v>805961.47899999993</v>
      </c>
    </row>
    <row r="170" spans="1:29">
      <c r="A170" s="17" t="s">
        <v>88</v>
      </c>
      <c r="C170" s="55">
        <v>3715246</v>
      </c>
      <c r="E170" s="178">
        <v>13.96</v>
      </c>
      <c r="F170" s="224"/>
      <c r="G170" s="224"/>
      <c r="H170" s="225">
        <v>51864834</v>
      </c>
      <c r="J170" s="18"/>
      <c r="K170" s="19"/>
      <c r="L170" s="19"/>
      <c r="M170" s="13"/>
      <c r="O170" s="168">
        <v>2.1499999999999998E-2</v>
      </c>
      <c r="P170" s="19"/>
      <c r="Q170" s="13">
        <f>($H170+$M170)*O170</f>
        <v>1115093.9309999999</v>
      </c>
      <c r="S170" s="168">
        <v>5.3E-3</v>
      </c>
      <c r="T170" s="19"/>
      <c r="U170" s="13">
        <f>($H170+$M170)*S170</f>
        <v>274883.6202</v>
      </c>
      <c r="W170" s="171">
        <f>W$169</f>
        <v>3.6299999999999999E-2</v>
      </c>
      <c r="X170" s="19"/>
      <c r="Y170" s="13">
        <f t="shared" si="81"/>
        <v>1933149.65930856</v>
      </c>
      <c r="AA170" s="171">
        <f>AA$169</f>
        <v>4.0099999999999997E-2</v>
      </c>
      <c r="AB170" s="19"/>
      <c r="AC170" s="13">
        <f t="shared" si="82"/>
        <v>2135517.94320312</v>
      </c>
    </row>
    <row r="171" spans="1:29">
      <c r="A171" s="17" t="s">
        <v>89</v>
      </c>
      <c r="C171" s="55">
        <v>5150021</v>
      </c>
      <c r="E171" s="178">
        <v>9.4700000000000006</v>
      </c>
      <c r="F171" s="224"/>
      <c r="G171" s="224"/>
      <c r="H171" s="225">
        <v>48770699</v>
      </c>
      <c r="J171" s="18"/>
      <c r="K171" s="19"/>
      <c r="L171" s="19"/>
      <c r="M171" s="13"/>
      <c r="O171" s="171">
        <f>O$170</f>
        <v>2.1499999999999998E-2</v>
      </c>
      <c r="P171" s="19"/>
      <c r="Q171" s="13">
        <f t="shared" ref="Q171:Q174" si="83">($H171+$M171)*O171</f>
        <v>1048570.0284999999</v>
      </c>
      <c r="S171" s="171">
        <f>S$170</f>
        <v>5.3E-3</v>
      </c>
      <c r="T171" s="19"/>
      <c r="U171" s="13">
        <f t="shared" ref="U171:U174" si="84">($H171+$M171)*S171</f>
        <v>258484.7047</v>
      </c>
      <c r="W171" s="171">
        <f>W$169</f>
        <v>3.6299999999999999E-2</v>
      </c>
      <c r="X171" s="19"/>
      <c r="Y171" s="13">
        <f t="shared" ref="Y171:Y174" si="85">($H171+$M171+$Q171+$U171)*W171</f>
        <v>1817822.4605151599</v>
      </c>
      <c r="AA171" s="171">
        <f>AA$169</f>
        <v>4.0099999999999997E-2</v>
      </c>
      <c r="AB171" s="19"/>
      <c r="AC171" s="13">
        <f t="shared" ref="AC171:AC174" si="86">($H171+$M171+$Q171+$U171)*AA171</f>
        <v>2008117.9247013198</v>
      </c>
    </row>
    <row r="172" spans="1:29">
      <c r="A172" s="17" t="s">
        <v>92</v>
      </c>
      <c r="C172" s="55">
        <v>507349132</v>
      </c>
      <c r="E172" s="248">
        <v>4.6531000000000002</v>
      </c>
      <c r="F172" s="227" t="s">
        <v>16</v>
      </c>
      <c r="G172" s="227"/>
      <c r="H172" s="225">
        <v>23607462</v>
      </c>
      <c r="J172" s="172">
        <v>1.7500000000000002E-2</v>
      </c>
      <c r="K172" s="25" t="s">
        <v>16</v>
      </c>
      <c r="L172" s="25"/>
      <c r="M172" s="13">
        <f t="shared" ref="M172:M174" si="87">C172*J172/100</f>
        <v>88786.098100000003</v>
      </c>
      <c r="O172" s="171">
        <f>O$170</f>
        <v>2.1499999999999998E-2</v>
      </c>
      <c r="P172" s="25"/>
      <c r="Q172" s="13">
        <f t="shared" si="83"/>
        <v>509469.33410914993</v>
      </c>
      <c r="S172" s="171">
        <f>S$170</f>
        <v>5.3E-3</v>
      </c>
      <c r="T172" s="25"/>
      <c r="U172" s="13">
        <f t="shared" si="84"/>
        <v>125590.11491993</v>
      </c>
      <c r="W172" s="171">
        <f>W$169</f>
        <v>3.6299999999999999E-2</v>
      </c>
      <c r="X172" s="25"/>
      <c r="Y172" s="13">
        <f t="shared" si="85"/>
        <v>883226.46396078554</v>
      </c>
      <c r="AA172" s="171">
        <f>AA$169</f>
        <v>4.0099999999999997E-2</v>
      </c>
      <c r="AB172" s="25"/>
      <c r="AC172" s="13">
        <f t="shared" si="86"/>
        <v>975685.43263987603</v>
      </c>
    </row>
    <row r="173" spans="1:29">
      <c r="A173" s="17" t="s">
        <v>93</v>
      </c>
      <c r="C173" s="55">
        <v>1382941034</v>
      </c>
      <c r="E173" s="248">
        <v>3.4988999999999999</v>
      </c>
      <c r="F173" s="227" t="s">
        <v>16</v>
      </c>
      <c r="G173" s="227"/>
      <c r="H173" s="225">
        <v>48387724</v>
      </c>
      <c r="J173" s="68">
        <f>$J$172</f>
        <v>1.7500000000000002E-2</v>
      </c>
      <c r="K173" s="25" t="s">
        <v>16</v>
      </c>
      <c r="L173" s="25"/>
      <c r="M173" s="13">
        <f t="shared" si="87"/>
        <v>242014.68095000004</v>
      </c>
      <c r="O173" s="171">
        <f>O$170</f>
        <v>2.1499999999999998E-2</v>
      </c>
      <c r="P173" s="25"/>
      <c r="Q173" s="13">
        <f t="shared" si="83"/>
        <v>1045539.381640425</v>
      </c>
      <c r="S173" s="171">
        <f>S$170</f>
        <v>5.3E-3</v>
      </c>
      <c r="T173" s="25"/>
      <c r="U173" s="13">
        <f t="shared" si="84"/>
        <v>257737.61500903501</v>
      </c>
      <c r="W173" s="171">
        <f>W$169</f>
        <v>3.6299999999999999E-2</v>
      </c>
      <c r="X173" s="25"/>
      <c r="Y173" s="13">
        <f t="shared" si="85"/>
        <v>1812568.4690968604</v>
      </c>
      <c r="AA173" s="171">
        <f>AA$169</f>
        <v>4.0099999999999997E-2</v>
      </c>
      <c r="AB173" s="25"/>
      <c r="AC173" s="13">
        <f t="shared" si="86"/>
        <v>2002313.9286717381</v>
      </c>
    </row>
    <row r="174" spans="1:29">
      <c r="A174" s="17" t="s">
        <v>90</v>
      </c>
      <c r="C174" s="55">
        <v>3137145374.7653074</v>
      </c>
      <c r="E174" s="249">
        <v>2.9224999999999999</v>
      </c>
      <c r="F174" s="227" t="s">
        <v>16</v>
      </c>
      <c r="G174" s="227"/>
      <c r="H174" s="225">
        <v>91683074</v>
      </c>
      <c r="J174" s="68">
        <f>$J$172</f>
        <v>1.7500000000000002E-2</v>
      </c>
      <c r="K174" s="25" t="s">
        <v>16</v>
      </c>
      <c r="L174" s="25"/>
      <c r="M174" s="13">
        <f t="shared" si="87"/>
        <v>549000.44058392884</v>
      </c>
      <c r="O174" s="171">
        <f>O$170</f>
        <v>2.1499999999999998E-2</v>
      </c>
      <c r="P174" s="25"/>
      <c r="Q174" s="13">
        <f t="shared" si="83"/>
        <v>1982989.6004725543</v>
      </c>
      <c r="S174" s="171">
        <f>S$170</f>
        <v>5.3E-3</v>
      </c>
      <c r="T174" s="25"/>
      <c r="U174" s="13">
        <f t="shared" si="84"/>
        <v>488829.99453509483</v>
      </c>
      <c r="W174" s="171">
        <f>W$169</f>
        <v>3.6299999999999999E-2</v>
      </c>
      <c r="X174" s="25"/>
      <c r="Y174" s="13">
        <f t="shared" si="85"/>
        <v>3437751.3534919741</v>
      </c>
      <c r="AA174" s="171">
        <f>AA$169</f>
        <v>4.0099999999999997E-2</v>
      </c>
      <c r="AB174" s="25"/>
      <c r="AC174" s="13">
        <f t="shared" si="86"/>
        <v>3797626.1508272216</v>
      </c>
    </row>
    <row r="175" spans="1:29">
      <c r="A175" s="17" t="s">
        <v>28</v>
      </c>
      <c r="C175" s="36">
        <v>0</v>
      </c>
      <c r="H175" s="232">
        <v>0</v>
      </c>
      <c r="M175" s="37"/>
      <c r="Q175" s="37"/>
      <c r="U175" s="37"/>
      <c r="Y175" s="37"/>
      <c r="AC175" s="37"/>
    </row>
    <row r="176" spans="1:29" ht="16.5" thickBot="1">
      <c r="A176" s="17" t="s">
        <v>29</v>
      </c>
      <c r="C176" s="96">
        <v>5027435540.7653065</v>
      </c>
      <c r="E176" s="238"/>
      <c r="H176" s="239">
        <v>284876452</v>
      </c>
      <c r="J176" s="48"/>
      <c r="M176" s="49">
        <f>SUM(M168:M175)</f>
        <v>879801.21963392885</v>
      </c>
      <c r="O176" s="48"/>
      <c r="Q176" s="49">
        <f>SUM(Q168:Q175)</f>
        <v>5701662.2757221293</v>
      </c>
      <c r="S176" s="48"/>
      <c r="U176" s="49">
        <f>SUM(U168:U175)</f>
        <v>1405526.0493640597</v>
      </c>
      <c r="W176" s="48"/>
      <c r="Y176" s="49">
        <f>SUM(Y168:Y175)</f>
        <v>10614104.48337334</v>
      </c>
      <c r="AA176" s="48"/>
      <c r="AC176" s="49">
        <f>SUM(AC168:AC175)</f>
        <v>11725222.859043276</v>
      </c>
    </row>
    <row r="177" spans="1:29" ht="16.5" thickTop="1">
      <c r="C177" s="55"/>
    </row>
    <row r="178" spans="1:29">
      <c r="A178" s="16" t="s">
        <v>94</v>
      </c>
      <c r="C178" s="55"/>
      <c r="E178" s="243"/>
      <c r="F178" s="244"/>
      <c r="G178" s="244"/>
      <c r="J178" s="53"/>
      <c r="K178" s="59"/>
      <c r="L178" s="59"/>
      <c r="O178" s="53"/>
      <c r="P178" s="59"/>
      <c r="S178" s="53"/>
      <c r="T178" s="59"/>
      <c r="W178" s="53"/>
      <c r="X178" s="59"/>
      <c r="AA178" s="53"/>
      <c r="AB178" s="59"/>
    </row>
    <row r="179" spans="1:29">
      <c r="A179" s="17" t="s">
        <v>35</v>
      </c>
      <c r="C179" s="55">
        <v>108</v>
      </c>
      <c r="E179" s="178">
        <v>259</v>
      </c>
      <c r="F179" s="224"/>
      <c r="G179" s="224"/>
      <c r="H179" s="225">
        <v>27972</v>
      </c>
      <c r="J179" s="18"/>
      <c r="K179" s="42"/>
      <c r="L179" s="42"/>
      <c r="M179" s="13"/>
      <c r="O179" s="18"/>
      <c r="P179" s="42"/>
      <c r="Q179" s="13"/>
      <c r="S179" s="18"/>
      <c r="T179" s="42"/>
      <c r="U179" s="13"/>
      <c r="W179" s="18"/>
      <c r="X179" s="42"/>
      <c r="Y179" s="13"/>
      <c r="AA179" s="18"/>
      <c r="AB179" s="42"/>
      <c r="AC179" s="13"/>
    </row>
    <row r="180" spans="1:29">
      <c r="A180" s="17" t="s">
        <v>95</v>
      </c>
      <c r="C180" s="55">
        <v>235118</v>
      </c>
      <c r="E180" s="178">
        <v>2.2200000000000002</v>
      </c>
      <c r="F180" s="224"/>
      <c r="G180" s="224"/>
      <c r="H180" s="225">
        <v>521962</v>
      </c>
      <c r="J180" s="18"/>
      <c r="K180" s="42"/>
      <c r="L180" s="42"/>
      <c r="M180" s="13"/>
      <c r="O180" s="18"/>
      <c r="P180" s="42"/>
      <c r="Q180" s="13"/>
      <c r="S180" s="18"/>
      <c r="T180" s="42"/>
      <c r="U180" s="13"/>
      <c r="W180" s="168">
        <v>3.6499999999999998E-2</v>
      </c>
      <c r="X180" s="25"/>
      <c r="Y180" s="13">
        <f t="shared" ref="Y180:Y181" si="88">($H180+$M180+$Q180+$U180)*W180</f>
        <v>19051.612999999998</v>
      </c>
      <c r="AA180" s="168">
        <f>ROUND(1/($H$184-$H$179+$M$184+$Q$184+$U$184)*'RateSpread-1'!P26*1000,4)</f>
        <v>4.0300000000000002E-2</v>
      </c>
      <c r="AB180" s="25"/>
      <c r="AC180" s="13">
        <f t="shared" ref="AC180:AC181" si="89">($H180+$M180+$Q180+$U180)*AA180</f>
        <v>21035.068600000002</v>
      </c>
    </row>
    <row r="181" spans="1:29">
      <c r="A181" s="17" t="s">
        <v>96</v>
      </c>
      <c r="C181" s="55">
        <v>23805248</v>
      </c>
      <c r="E181" s="237">
        <v>8.6029</v>
      </c>
      <c r="F181" s="227" t="s">
        <v>16</v>
      </c>
      <c r="G181" s="227"/>
      <c r="H181" s="225">
        <v>2047942</v>
      </c>
      <c r="J181" s="172">
        <v>2.47E-2</v>
      </c>
      <c r="K181" s="25" t="s">
        <v>16</v>
      </c>
      <c r="L181" s="25"/>
      <c r="M181" s="13">
        <f t="shared" ref="M181:M182" si="90">C181*J181/100</f>
        <v>5879.896256</v>
      </c>
      <c r="O181" s="168">
        <v>2.3800000000000002E-2</v>
      </c>
      <c r="P181" s="19"/>
      <c r="Q181" s="13">
        <f>($H181+$M181)*O181</f>
        <v>48880.961130892807</v>
      </c>
      <c r="S181" s="168">
        <v>5.7000000000000002E-3</v>
      </c>
      <c r="T181" s="19"/>
      <c r="U181" s="13">
        <f>($H181+$M181)*S181</f>
        <v>11706.7848086592</v>
      </c>
      <c r="W181" s="156">
        <f>W$180</f>
        <v>3.6499999999999998E-2</v>
      </c>
      <c r="X181" s="25"/>
      <c r="Y181" s="13">
        <f t="shared" si="88"/>
        <v>77175.951940137631</v>
      </c>
      <c r="AA181" s="156">
        <f>AA$180</f>
        <v>4.0300000000000002E-2</v>
      </c>
      <c r="AB181" s="25"/>
      <c r="AC181" s="13">
        <f t="shared" si="89"/>
        <v>85210.708580480743</v>
      </c>
    </row>
    <row r="182" spans="1:29">
      <c r="A182" s="17" t="s">
        <v>90</v>
      </c>
      <c r="C182" s="55">
        <v>18785533.425473027</v>
      </c>
      <c r="E182" s="237">
        <v>3.6981000000000002</v>
      </c>
      <c r="F182" s="227" t="s">
        <v>16</v>
      </c>
      <c r="G182" s="227"/>
      <c r="H182" s="225">
        <v>694708</v>
      </c>
      <c r="J182" s="46">
        <f>J181</f>
        <v>2.47E-2</v>
      </c>
      <c r="K182" s="25" t="s">
        <v>16</v>
      </c>
      <c r="L182" s="25"/>
      <c r="M182" s="13">
        <f t="shared" si="90"/>
        <v>4640.0267560918383</v>
      </c>
      <c r="O182" s="156">
        <f>O181</f>
        <v>2.3800000000000002E-2</v>
      </c>
      <c r="P182" s="25"/>
      <c r="Q182" s="13">
        <f>($H182+$M182)*O182</f>
        <v>16644.483036794987</v>
      </c>
      <c r="S182" s="156">
        <f>S181</f>
        <v>5.7000000000000002E-3</v>
      </c>
      <c r="T182" s="25"/>
      <c r="U182" s="13">
        <f>($H182+$M182)*S182</f>
        <v>3986.2837525097239</v>
      </c>
      <c r="W182" s="156">
        <f>W$180</f>
        <v>3.6499999999999998E-2</v>
      </c>
      <c r="X182" s="25"/>
      <c r="Y182" s="13">
        <f t="shared" ref="Y182" si="91">($H182+$M182+$Q182+$U182)*W182</f>
        <v>26279.225964406971</v>
      </c>
      <c r="AA182" s="156">
        <f>AA$180</f>
        <v>4.0300000000000002E-2</v>
      </c>
      <c r="AB182" s="25"/>
      <c r="AC182" s="13">
        <f t="shared" ref="AC182" si="92">($H182+$M182+$Q182+$U182)*AA182</f>
        <v>29015.145379879483</v>
      </c>
    </row>
    <row r="183" spans="1:29">
      <c r="A183" s="17" t="s">
        <v>28</v>
      </c>
      <c r="C183" s="36">
        <v>0</v>
      </c>
      <c r="H183" s="232">
        <v>0</v>
      </c>
      <c r="M183" s="38"/>
      <c r="Q183" s="38"/>
      <c r="U183" s="38"/>
      <c r="Y183" s="38"/>
      <c r="AC183" s="38"/>
    </row>
    <row r="184" spans="1:29" ht="16.5" thickBot="1">
      <c r="A184" s="17" t="s">
        <v>29</v>
      </c>
      <c r="C184" s="96">
        <v>42590781.425473027</v>
      </c>
      <c r="E184" s="238"/>
      <c r="H184" s="239">
        <v>3292584</v>
      </c>
      <c r="J184" s="48"/>
      <c r="M184" s="49">
        <f>SUM(M179:M183)</f>
        <v>10519.923012091838</v>
      </c>
      <c r="O184" s="48"/>
      <c r="Q184" s="49">
        <f>SUM(Q179:Q183)</f>
        <v>65525.44416768779</v>
      </c>
      <c r="S184" s="48"/>
      <c r="U184" s="49">
        <f>SUM(U179:U183)</f>
        <v>15693.068561168924</v>
      </c>
      <c r="W184" s="48"/>
      <c r="Y184" s="49">
        <f>SUM(Y179:Y183)</f>
        <v>122506.7909045446</v>
      </c>
      <c r="AA184" s="48"/>
      <c r="AC184" s="49">
        <f>SUM(AC179:AC183)</f>
        <v>135260.92256036022</v>
      </c>
    </row>
    <row r="185" spans="1:29" ht="16.5" thickTop="1">
      <c r="C185" s="55"/>
    </row>
    <row r="186" spans="1:29">
      <c r="A186" s="16" t="s">
        <v>97</v>
      </c>
    </row>
    <row r="187" spans="1:29">
      <c r="A187" s="17" t="s">
        <v>98</v>
      </c>
      <c r="C187" s="55">
        <v>6</v>
      </c>
      <c r="E187" s="250">
        <v>125</v>
      </c>
      <c r="F187" s="230"/>
      <c r="G187" s="230"/>
      <c r="H187" s="225">
        <v>750</v>
      </c>
      <c r="J187" s="33"/>
      <c r="K187" s="32"/>
      <c r="L187" s="32"/>
      <c r="M187" s="13"/>
      <c r="O187" s="33"/>
      <c r="P187" s="32"/>
      <c r="Q187" s="13"/>
      <c r="S187" s="33"/>
      <c r="T187" s="32"/>
      <c r="U187" s="13"/>
      <c r="W187" s="33"/>
      <c r="X187" s="32"/>
      <c r="Y187" s="13"/>
      <c r="AA187" s="33"/>
      <c r="AB187" s="32"/>
      <c r="AC187" s="13"/>
    </row>
    <row r="188" spans="1:29">
      <c r="A188" s="17" t="s">
        <v>99</v>
      </c>
      <c r="C188" s="55">
        <v>2778.3333333333335</v>
      </c>
      <c r="E188" s="250">
        <v>38</v>
      </c>
      <c r="F188" s="230"/>
      <c r="G188" s="230"/>
      <c r="H188" s="225">
        <v>105577</v>
      </c>
      <c r="J188" s="33"/>
      <c r="K188" s="32"/>
      <c r="L188" s="32"/>
      <c r="M188" s="13"/>
      <c r="O188" s="33"/>
      <c r="P188" s="32"/>
      <c r="Q188" s="13"/>
      <c r="S188" s="33"/>
      <c r="T188" s="32"/>
      <c r="U188" s="13"/>
      <c r="W188" s="33"/>
      <c r="X188" s="32"/>
      <c r="Y188" s="13"/>
      <c r="AA188" s="33"/>
      <c r="AB188" s="32"/>
      <c r="AC188" s="13"/>
    </row>
    <row r="189" spans="1:29">
      <c r="A189" s="17" t="s">
        <v>100</v>
      </c>
      <c r="C189" s="55">
        <v>12565</v>
      </c>
      <c r="E189" s="250">
        <v>14</v>
      </c>
      <c r="F189" s="230"/>
      <c r="G189" s="230"/>
      <c r="H189" s="225">
        <v>175910</v>
      </c>
      <c r="J189" s="33"/>
      <c r="K189" s="32"/>
      <c r="L189" s="32"/>
      <c r="M189" s="13"/>
      <c r="O189" s="33"/>
      <c r="P189" s="32"/>
      <c r="Q189" s="13"/>
      <c r="S189" s="33"/>
      <c r="T189" s="32"/>
      <c r="U189" s="13"/>
      <c r="W189" s="33"/>
      <c r="X189" s="32"/>
      <c r="Y189" s="13"/>
      <c r="AA189" s="33"/>
      <c r="AB189" s="32"/>
      <c r="AC189" s="13"/>
    </row>
    <row r="190" spans="1:29">
      <c r="A190" s="17" t="s">
        <v>101</v>
      </c>
      <c r="C190" s="55">
        <v>323633</v>
      </c>
      <c r="E190" s="250">
        <v>7.33</v>
      </c>
      <c r="F190" s="230"/>
      <c r="G190" s="230"/>
      <c r="H190" s="225">
        <v>2372230</v>
      </c>
      <c r="J190" s="33"/>
      <c r="K190" s="32"/>
      <c r="L190" s="32"/>
      <c r="M190" s="13"/>
      <c r="O190" s="168">
        <v>1.7299999999999999E-2</v>
      </c>
      <c r="P190" s="19"/>
      <c r="Q190" s="13">
        <f>($H190+$M190)*O190</f>
        <v>41039.578999999998</v>
      </c>
      <c r="S190" s="168">
        <v>5.0000000000000001E-3</v>
      </c>
      <c r="T190" s="19"/>
      <c r="U190" s="13">
        <f>($H190+$M190)*S190</f>
        <v>11861.15</v>
      </c>
      <c r="W190" s="168">
        <v>3.7199999999999997E-2</v>
      </c>
      <c r="X190" s="19"/>
      <c r="Y190" s="13">
        <f t="shared" ref="Y190:Y193" si="93">($H190+$M190+$Q190+$U190)*W190</f>
        <v>90214.863118799985</v>
      </c>
      <c r="AA190" s="168">
        <f>ROUND(1/($H$200-$H$187-$H$188-$H$189-$H$196+$M$200+$Q$200+$U$200+$H$216-$H$203-$H$204-$H$205-$H$212+$M$216+$Q$216+$U$216)*'RateSpread-1'!P30*1000,4)</f>
        <v>4.1099999999999998E-2</v>
      </c>
      <c r="AB190" s="19"/>
      <c r="AC190" s="13">
        <f t="shared" ref="AC190:AC193" si="94">($H190+$M190+$Q190+$U190)*AA190</f>
        <v>99672.872961899993</v>
      </c>
    </row>
    <row r="191" spans="1:29">
      <c r="A191" s="17" t="s">
        <v>38</v>
      </c>
      <c r="C191" s="55">
        <v>10067</v>
      </c>
      <c r="E191" s="250">
        <v>-2.0499999999999998</v>
      </c>
      <c r="F191" s="230"/>
      <c r="G191" s="230"/>
      <c r="H191" s="225">
        <v>-20637</v>
      </c>
      <c r="J191" s="33"/>
      <c r="K191" s="32"/>
      <c r="L191" s="32"/>
      <c r="M191" s="13"/>
      <c r="O191" s="33"/>
      <c r="P191" s="32"/>
      <c r="Q191" s="13"/>
      <c r="S191" s="33"/>
      <c r="T191" s="32"/>
      <c r="U191" s="13"/>
      <c r="W191" s="156">
        <f>W$190</f>
        <v>3.7199999999999997E-2</v>
      </c>
      <c r="X191" s="25"/>
      <c r="Y191" s="13">
        <f t="shared" ref="Y191" si="95">($H191+$M191+$Q191+$U191)*W191</f>
        <v>-767.69639999999993</v>
      </c>
      <c r="AA191" s="156">
        <f>AA$190</f>
        <v>4.1099999999999998E-2</v>
      </c>
      <c r="AB191" s="25"/>
      <c r="AC191" s="13">
        <f t="shared" si="94"/>
        <v>-848.1807</v>
      </c>
    </row>
    <row r="192" spans="1:29">
      <c r="A192" s="17" t="s">
        <v>102</v>
      </c>
      <c r="C192" s="55">
        <v>71130178</v>
      </c>
      <c r="E192" s="237">
        <v>7.2971000000000004</v>
      </c>
      <c r="F192" s="227" t="s">
        <v>16</v>
      </c>
      <c r="G192" s="227"/>
      <c r="H192" s="225">
        <v>5190440</v>
      </c>
      <c r="J192" s="172">
        <v>2.5499999999999998E-2</v>
      </c>
      <c r="K192" s="25" t="s">
        <v>16</v>
      </c>
      <c r="L192" s="25"/>
      <c r="M192" s="13">
        <f t="shared" ref="M192:M193" si="96">C192*J192/100</f>
        <v>18138.195389999997</v>
      </c>
      <c r="O192" s="156">
        <f>O$190</f>
        <v>1.7299999999999999E-2</v>
      </c>
      <c r="P192" s="25"/>
      <c r="Q192" s="13">
        <f t="shared" ref="Q192:Q193" si="97">($H192+$M192)*O192</f>
        <v>90108.402780246994</v>
      </c>
      <c r="S192" s="156">
        <f>S$190</f>
        <v>5.0000000000000001E-3</v>
      </c>
      <c r="T192" s="25"/>
      <c r="U192" s="13">
        <f t="shared" ref="U192:U193" si="98">($H192+$M192)*S192</f>
        <v>26042.890976950002</v>
      </c>
      <c r="W192" s="156">
        <f>W$190</f>
        <v>3.7199999999999997E-2</v>
      </c>
      <c r="X192" s="25"/>
      <c r="Y192" s="13">
        <f t="shared" si="93"/>
        <v>198079.9369962757</v>
      </c>
      <c r="AA192" s="156">
        <f>AA$190</f>
        <v>4.1099999999999998E-2</v>
      </c>
      <c r="AB192" s="25"/>
      <c r="AC192" s="13">
        <f t="shared" si="94"/>
        <v>218846.38200394975</v>
      </c>
    </row>
    <row r="193" spans="1:29">
      <c r="A193" s="17" t="s">
        <v>103</v>
      </c>
      <c r="C193" s="36">
        <v>51830436</v>
      </c>
      <c r="E193" s="237">
        <v>5.3936000000000002</v>
      </c>
      <c r="F193" s="227" t="s">
        <v>16</v>
      </c>
      <c r="G193" s="227"/>
      <c r="H193" s="232">
        <v>2795526</v>
      </c>
      <c r="J193" s="46">
        <f>$J$192</f>
        <v>2.5499999999999998E-2</v>
      </c>
      <c r="K193" s="25" t="s">
        <v>16</v>
      </c>
      <c r="L193" s="25"/>
      <c r="M193" s="37">
        <f t="shared" si="96"/>
        <v>13216.76118</v>
      </c>
      <c r="O193" s="156">
        <f>O$190</f>
        <v>1.7299999999999999E-2</v>
      </c>
      <c r="P193" s="25"/>
      <c r="Q193" s="37">
        <f t="shared" si="97"/>
        <v>48591.249768413996</v>
      </c>
      <c r="S193" s="156">
        <f>S$190</f>
        <v>5.0000000000000001E-3</v>
      </c>
      <c r="T193" s="25"/>
      <c r="U193" s="37">
        <f t="shared" si="98"/>
        <v>14043.713805899999</v>
      </c>
      <c r="W193" s="156">
        <f>W$190</f>
        <v>3.7199999999999997E-2</v>
      </c>
      <c r="X193" s="25"/>
      <c r="Y193" s="37">
        <f t="shared" si="93"/>
        <v>106815.25136086046</v>
      </c>
      <c r="AA193" s="156">
        <f>AA$190</f>
        <v>4.1099999999999998E-2</v>
      </c>
      <c r="AB193" s="25"/>
      <c r="AC193" s="37">
        <f t="shared" si="94"/>
        <v>118013.6244874023</v>
      </c>
    </row>
    <row r="194" spans="1:29">
      <c r="A194" s="17" t="s">
        <v>104</v>
      </c>
      <c r="C194" s="251">
        <v>122960614</v>
      </c>
      <c r="E194" s="252"/>
      <c r="H194" s="232">
        <v>10619796</v>
      </c>
      <c r="J194" s="69"/>
      <c r="M194" s="37">
        <f>SUM(M187:M193)</f>
        <v>31354.956569999995</v>
      </c>
      <c r="O194" s="69"/>
      <c r="Q194" s="37">
        <f>SUM(Q187:Q193)</f>
        <v>179739.23154866102</v>
      </c>
      <c r="S194" s="69"/>
      <c r="U194" s="37">
        <f>SUM(U187:U193)</f>
        <v>51947.754782850003</v>
      </c>
      <c r="W194" s="69"/>
      <c r="Y194" s="37">
        <f>SUM(Y187:Y193)</f>
        <v>394342.35507593618</v>
      </c>
      <c r="AA194" s="69"/>
      <c r="AC194" s="37">
        <f>SUM(AC187:AC193)</f>
        <v>435684.69875325204</v>
      </c>
    </row>
    <row r="195" spans="1:29">
      <c r="A195" s="17" t="s">
        <v>105</v>
      </c>
      <c r="C195" s="55"/>
    </row>
    <row r="196" spans="1:29">
      <c r="A196" s="17" t="s">
        <v>106</v>
      </c>
      <c r="C196" s="21">
        <v>5886</v>
      </c>
      <c r="E196" s="230">
        <v>14</v>
      </c>
      <c r="F196" s="230"/>
      <c r="G196" s="230"/>
      <c r="H196" s="231">
        <v>82404</v>
      </c>
      <c r="J196" s="70"/>
      <c r="K196" s="31"/>
      <c r="L196" s="31"/>
      <c r="M196" s="34"/>
      <c r="O196" s="70"/>
      <c r="P196" s="31"/>
      <c r="Q196" s="34"/>
      <c r="S196" s="70"/>
      <c r="T196" s="31"/>
      <c r="U196" s="34"/>
      <c r="W196" s="70"/>
      <c r="X196" s="31"/>
      <c r="Y196" s="34"/>
      <c r="AA196" s="70"/>
      <c r="AB196" s="31"/>
      <c r="AC196" s="34"/>
    </row>
    <row r="197" spans="1:29">
      <c r="A197" s="17" t="s">
        <v>107</v>
      </c>
      <c r="C197" s="36">
        <v>50172778</v>
      </c>
      <c r="E197" s="243">
        <v>4.9983000000000004</v>
      </c>
      <c r="F197" s="227" t="s">
        <v>16</v>
      </c>
      <c r="G197" s="227"/>
      <c r="H197" s="246">
        <v>2507786</v>
      </c>
      <c r="J197" s="53">
        <f>$J$192</f>
        <v>2.5499999999999998E-2</v>
      </c>
      <c r="K197" s="25" t="s">
        <v>16</v>
      </c>
      <c r="L197" s="25"/>
      <c r="M197" s="71">
        <f t="shared" ref="M197" si="99">C197*J197/100</f>
        <v>12794.058389999998</v>
      </c>
      <c r="O197" s="156">
        <f>O$190</f>
        <v>1.7299999999999999E-2</v>
      </c>
      <c r="P197" s="25"/>
      <c r="Q197" s="71">
        <f t="shared" ref="Q197" si="100">($H197+$M197)*O197</f>
        <v>43606.035010146996</v>
      </c>
      <c r="S197" s="156">
        <f>S$190</f>
        <v>5.0000000000000001E-3</v>
      </c>
      <c r="T197" s="25"/>
      <c r="U197" s="71">
        <f t="shared" ref="U197" si="101">($H197+$M197)*S197</f>
        <v>12602.90029195</v>
      </c>
      <c r="W197" s="156">
        <f>W$190</f>
        <v>3.7199999999999997E-2</v>
      </c>
      <c r="X197" s="25"/>
      <c r="Y197" s="71">
        <f>($H197+$M197+$Q197+$U197)*W197</f>
        <v>95856.550565345999</v>
      </c>
      <c r="AA197" s="156">
        <f>AA$190</f>
        <v>4.1099999999999998E-2</v>
      </c>
      <c r="AB197" s="25"/>
      <c r="AC197" s="71">
        <f>($H197+$M197+$Q197+$U197)*AA197</f>
        <v>105906.02764074517</v>
      </c>
    </row>
    <row r="198" spans="1:29">
      <c r="A198" s="17" t="s">
        <v>108</v>
      </c>
      <c r="C198" s="36">
        <v>50172778</v>
      </c>
      <c r="E198" s="252"/>
      <c r="H198" s="232">
        <v>2590190</v>
      </c>
      <c r="J198" s="69"/>
      <c r="M198" s="37">
        <f>SUM(M196:M197)</f>
        <v>12794.058389999998</v>
      </c>
      <c r="O198" s="69"/>
      <c r="Q198" s="37">
        <f>SUM(Q196:Q197)</f>
        <v>43606.035010146996</v>
      </c>
      <c r="S198" s="69"/>
      <c r="U198" s="37">
        <f>SUM(U196:U197)</f>
        <v>12602.90029195</v>
      </c>
      <c r="W198" s="69"/>
      <c r="Y198" s="37">
        <f>SUM(Y196:Y197)</f>
        <v>95856.550565345999</v>
      </c>
      <c r="AA198" s="69"/>
      <c r="AC198" s="37">
        <f>SUM(AC196:AC197)</f>
        <v>105906.02764074517</v>
      </c>
    </row>
    <row r="199" spans="1:29">
      <c r="A199" s="17" t="s">
        <v>28</v>
      </c>
      <c r="C199" s="36">
        <v>0</v>
      </c>
      <c r="H199" s="232">
        <v>0</v>
      </c>
      <c r="M199" s="38"/>
      <c r="Q199" s="38"/>
      <c r="U199" s="38"/>
      <c r="Y199" s="38"/>
      <c r="AC199" s="38"/>
    </row>
    <row r="200" spans="1:29" ht="16.5" thickBot="1">
      <c r="A200" s="17" t="s">
        <v>109</v>
      </c>
      <c r="C200" s="96">
        <v>173133392</v>
      </c>
      <c r="E200" s="238"/>
      <c r="H200" s="239">
        <v>13209986</v>
      </c>
      <c r="J200" s="48"/>
      <c r="M200" s="49">
        <f>M194+M198</f>
        <v>44149.014959999993</v>
      </c>
      <c r="O200" s="48"/>
      <c r="Q200" s="49">
        <f>Q194+Q198</f>
        <v>223345.26655880801</v>
      </c>
      <c r="S200" s="48"/>
      <c r="U200" s="49">
        <f>U194+U198</f>
        <v>64550.655074800001</v>
      </c>
      <c r="W200" s="48"/>
      <c r="Y200" s="49">
        <f>Y194+Y198</f>
        <v>490198.90564128221</v>
      </c>
      <c r="AA200" s="48"/>
      <c r="AC200" s="49">
        <f>AC194+AC198</f>
        <v>541590.7263939972</v>
      </c>
    </row>
    <row r="201" spans="1:29" ht="16.5" thickTop="1">
      <c r="C201" s="55"/>
    </row>
    <row r="202" spans="1:29">
      <c r="A202" s="16" t="s">
        <v>110</v>
      </c>
      <c r="C202" s="55"/>
    </row>
    <row r="203" spans="1:29">
      <c r="A203" s="17" t="s">
        <v>98</v>
      </c>
      <c r="C203" s="55">
        <v>5</v>
      </c>
      <c r="E203" s="250">
        <v>125</v>
      </c>
      <c r="F203" s="230"/>
      <c r="G203" s="230"/>
      <c r="H203" s="225">
        <v>625</v>
      </c>
      <c r="J203" s="33"/>
      <c r="K203" s="54"/>
      <c r="L203" s="54"/>
      <c r="M203" s="13"/>
      <c r="O203" s="33"/>
      <c r="P203" s="54"/>
      <c r="Q203" s="13"/>
      <c r="S203" s="33"/>
      <c r="T203" s="54"/>
      <c r="U203" s="13"/>
      <c r="W203" s="33"/>
      <c r="X203" s="54"/>
      <c r="Y203" s="13"/>
      <c r="AA203" s="33"/>
      <c r="AB203" s="54"/>
      <c r="AC203" s="13"/>
    </row>
    <row r="204" spans="1:29">
      <c r="A204" s="17" t="s">
        <v>99</v>
      </c>
      <c r="C204" s="55">
        <v>256</v>
      </c>
      <c r="E204" s="250">
        <v>38</v>
      </c>
      <c r="F204" s="230"/>
      <c r="G204" s="230"/>
      <c r="H204" s="225">
        <v>9728</v>
      </c>
      <c r="J204" s="33"/>
      <c r="K204" s="54"/>
      <c r="L204" s="54"/>
      <c r="M204" s="13"/>
      <c r="O204" s="33"/>
      <c r="P204" s="54"/>
      <c r="Q204" s="13"/>
      <c r="S204" s="33"/>
      <c r="T204" s="54"/>
      <c r="U204" s="13"/>
      <c r="W204" s="33"/>
      <c r="X204" s="54"/>
      <c r="Y204" s="13"/>
      <c r="AA204" s="33"/>
      <c r="AB204" s="54"/>
      <c r="AC204" s="13"/>
    </row>
    <row r="205" spans="1:29">
      <c r="A205" s="17" t="s">
        <v>111</v>
      </c>
      <c r="C205" s="21">
        <v>1143</v>
      </c>
      <c r="E205" s="250">
        <v>14</v>
      </c>
      <c r="F205" s="230"/>
      <c r="G205" s="230"/>
      <c r="H205" s="225">
        <v>16002</v>
      </c>
      <c r="J205" s="33"/>
      <c r="K205" s="54"/>
      <c r="L205" s="54"/>
      <c r="M205" s="13"/>
      <c r="O205" s="33"/>
      <c r="P205" s="54"/>
      <c r="Q205" s="13"/>
      <c r="S205" s="33"/>
      <c r="T205" s="54"/>
      <c r="U205" s="13"/>
      <c r="W205" s="33"/>
      <c r="X205" s="54"/>
      <c r="Y205" s="13"/>
      <c r="AA205" s="33"/>
      <c r="AB205" s="54"/>
      <c r="AC205" s="13"/>
    </row>
    <row r="206" spans="1:29">
      <c r="A206" s="17" t="s">
        <v>101</v>
      </c>
      <c r="C206" s="21">
        <v>37541</v>
      </c>
      <c r="E206" s="250">
        <v>7.33</v>
      </c>
      <c r="F206" s="230"/>
      <c r="G206" s="230"/>
      <c r="H206" s="225">
        <v>275176</v>
      </c>
      <c r="J206" s="33"/>
      <c r="K206" s="54"/>
      <c r="L206" s="54"/>
      <c r="M206" s="13"/>
      <c r="O206" s="156">
        <f>O$190</f>
        <v>1.7299999999999999E-2</v>
      </c>
      <c r="P206" s="54"/>
      <c r="Q206" s="13">
        <f t="shared" ref="Q206" si="102">($H206+$M206)*O206</f>
        <v>4760.5447999999997</v>
      </c>
      <c r="S206" s="156">
        <f>S$190</f>
        <v>5.0000000000000001E-3</v>
      </c>
      <c r="T206" s="54"/>
      <c r="U206" s="13">
        <f t="shared" ref="U206" si="103">($H206+$M206)*S206</f>
        <v>1375.88</v>
      </c>
      <c r="W206" s="156">
        <f>W$190</f>
        <v>3.7199999999999997E-2</v>
      </c>
      <c r="X206" s="54"/>
      <c r="Y206" s="13">
        <f t="shared" ref="Y206:Y209" si="104">($H206+$M206+$Q206+$U206)*W206</f>
        <v>10464.822202559999</v>
      </c>
      <c r="AA206" s="156">
        <f>AA$190</f>
        <v>4.1099999999999998E-2</v>
      </c>
      <c r="AB206" s="54"/>
      <c r="AC206" s="13">
        <f t="shared" ref="AC206:AC209" si="105">($H206+$M206+$Q206+$U206)*AA206</f>
        <v>11561.940659279999</v>
      </c>
    </row>
    <row r="207" spans="1:29">
      <c r="A207" s="17" t="s">
        <v>112</v>
      </c>
      <c r="C207" s="21">
        <v>1037</v>
      </c>
      <c r="E207" s="250">
        <v>-2.0499999999999998</v>
      </c>
      <c r="F207" s="230"/>
      <c r="G207" s="230"/>
      <c r="H207" s="225">
        <v>-2126</v>
      </c>
      <c r="J207" s="33"/>
      <c r="K207" s="54"/>
      <c r="L207" s="54"/>
      <c r="M207" s="13"/>
      <c r="O207" s="33"/>
      <c r="P207" s="54"/>
      <c r="Q207" s="13"/>
      <c r="S207" s="33"/>
      <c r="T207" s="54"/>
      <c r="U207" s="13"/>
      <c r="W207" s="156">
        <f>W$190</f>
        <v>3.7199999999999997E-2</v>
      </c>
      <c r="X207" s="54"/>
      <c r="Y207" s="13">
        <f t="shared" ref="Y207" si="106">($H207+$M207+$Q207+$U207)*W207</f>
        <v>-79.087199999999996</v>
      </c>
      <c r="AA207" s="156">
        <f>AA$190</f>
        <v>4.1099999999999998E-2</v>
      </c>
      <c r="AB207" s="54"/>
      <c r="AC207" s="13">
        <f t="shared" si="105"/>
        <v>-87.378599999999992</v>
      </c>
    </row>
    <row r="208" spans="1:29">
      <c r="A208" s="17" t="s">
        <v>96</v>
      </c>
      <c r="C208" s="21">
        <v>2262299</v>
      </c>
      <c r="E208" s="237">
        <v>14.416399999999999</v>
      </c>
      <c r="F208" s="227" t="s">
        <v>16</v>
      </c>
      <c r="G208" s="227"/>
      <c r="H208" s="225">
        <v>326142</v>
      </c>
      <c r="J208" s="46">
        <f t="shared" ref="J208:J209" si="107">$J$192</f>
        <v>2.5499999999999998E-2</v>
      </c>
      <c r="K208" s="25" t="s">
        <v>16</v>
      </c>
      <c r="L208" s="25"/>
      <c r="M208" s="13">
        <f t="shared" ref="M208:M209" si="108">C208*J208/100</f>
        <v>576.88624500000003</v>
      </c>
      <c r="O208" s="156">
        <f>O$190</f>
        <v>1.7299999999999999E-2</v>
      </c>
      <c r="P208" s="25"/>
      <c r="Q208" s="13">
        <f t="shared" ref="Q208:Q209" si="109">($H208+$M208)*O208</f>
        <v>5652.2367320385001</v>
      </c>
      <c r="S208" s="156">
        <f>S$190</f>
        <v>5.0000000000000001E-3</v>
      </c>
      <c r="T208" s="25"/>
      <c r="U208" s="13">
        <f t="shared" ref="U208:U209" si="110">($H208+$M208)*S208</f>
        <v>1633.5944312250001</v>
      </c>
      <c r="W208" s="156">
        <f>W$190</f>
        <v>3.7199999999999997E-2</v>
      </c>
      <c r="X208" s="25"/>
      <c r="Y208" s="13">
        <f t="shared" si="104"/>
        <v>12424.9754875874</v>
      </c>
      <c r="AA208" s="156">
        <f>AA$190</f>
        <v>4.1099999999999998E-2</v>
      </c>
      <c r="AB208" s="25"/>
      <c r="AC208" s="13">
        <f t="shared" si="105"/>
        <v>13727.593885479628</v>
      </c>
    </row>
    <row r="209" spans="1:29">
      <c r="A209" s="17" t="s">
        <v>90</v>
      </c>
      <c r="C209" s="36">
        <v>8574215</v>
      </c>
      <c r="E209" s="243">
        <v>4.1542000000000003</v>
      </c>
      <c r="F209" s="227" t="s">
        <v>16</v>
      </c>
      <c r="G209" s="227"/>
      <c r="H209" s="246">
        <v>356190</v>
      </c>
      <c r="J209" s="53">
        <f t="shared" si="107"/>
        <v>2.5499999999999998E-2</v>
      </c>
      <c r="K209" s="25" t="s">
        <v>16</v>
      </c>
      <c r="L209" s="25"/>
      <c r="M209" s="71">
        <f t="shared" si="108"/>
        <v>2186.4248250000001</v>
      </c>
      <c r="O209" s="156">
        <f>O$190</f>
        <v>1.7299999999999999E-2</v>
      </c>
      <c r="P209" s="25"/>
      <c r="Q209" s="71">
        <f t="shared" si="109"/>
        <v>6199.9121494724996</v>
      </c>
      <c r="S209" s="156">
        <f>S$190</f>
        <v>5.0000000000000001E-3</v>
      </c>
      <c r="T209" s="25"/>
      <c r="U209" s="71">
        <f t="shared" si="110"/>
        <v>1791.882124125</v>
      </c>
      <c r="W209" s="156">
        <f>W$190</f>
        <v>3.7199999999999997E-2</v>
      </c>
      <c r="X209" s="25"/>
      <c r="Y209" s="71">
        <f t="shared" si="104"/>
        <v>13628.897750467828</v>
      </c>
      <c r="AA209" s="156">
        <f>AA$190</f>
        <v>4.1099999999999998E-2</v>
      </c>
      <c r="AB209" s="25"/>
      <c r="AC209" s="71">
        <f t="shared" si="105"/>
        <v>15057.733804952357</v>
      </c>
    </row>
    <row r="210" spans="1:29">
      <c r="A210" s="17" t="s">
        <v>104</v>
      </c>
      <c r="C210" s="36">
        <v>10836514</v>
      </c>
      <c r="E210" s="252"/>
      <c r="H210" s="232">
        <v>981737</v>
      </c>
      <c r="J210" s="69"/>
      <c r="M210" s="37">
        <f>SUM(M203:M209)</f>
        <v>2763.3110700000002</v>
      </c>
      <c r="O210" s="69"/>
      <c r="Q210" s="37">
        <f>SUM(Q203:Q209)</f>
        <v>16612.693681510998</v>
      </c>
      <c r="S210" s="69"/>
      <c r="U210" s="37">
        <f>SUM(U203:U209)</f>
        <v>4801.3565553500002</v>
      </c>
      <c r="W210" s="69"/>
      <c r="Y210" s="37">
        <f>SUM(Y203:Y209)</f>
        <v>36439.608240615227</v>
      </c>
      <c r="AA210" s="69"/>
      <c r="AC210" s="37">
        <f>SUM(AC203:AC209)</f>
        <v>40259.889749711983</v>
      </c>
    </row>
    <row r="211" spans="1:29">
      <c r="A211" s="17" t="s">
        <v>105</v>
      </c>
      <c r="C211" s="55"/>
    </row>
    <row r="212" spans="1:29">
      <c r="A212" s="17" t="s">
        <v>106</v>
      </c>
      <c r="C212" s="21">
        <v>570</v>
      </c>
      <c r="E212" s="230">
        <v>14</v>
      </c>
      <c r="F212" s="230"/>
      <c r="G212" s="230"/>
      <c r="H212" s="231">
        <v>7980</v>
      </c>
      <c r="J212" s="70"/>
      <c r="K212" s="54"/>
      <c r="L212" s="54"/>
      <c r="M212" s="34"/>
      <c r="O212" s="70"/>
      <c r="P212" s="54"/>
      <c r="Q212" s="34"/>
      <c r="S212" s="70"/>
      <c r="T212" s="54"/>
      <c r="U212" s="34"/>
      <c r="W212" s="70"/>
      <c r="X212" s="54"/>
      <c r="Y212" s="34"/>
      <c r="AA212" s="70"/>
      <c r="AB212" s="54"/>
      <c r="AC212" s="34"/>
    </row>
    <row r="213" spans="1:29">
      <c r="A213" s="17" t="s">
        <v>107</v>
      </c>
      <c r="C213" s="36">
        <v>5920094</v>
      </c>
      <c r="E213" s="243">
        <v>4.9983000000000004</v>
      </c>
      <c r="F213" s="227" t="s">
        <v>16</v>
      </c>
      <c r="G213" s="227"/>
      <c r="H213" s="246">
        <v>295904</v>
      </c>
      <c r="J213" s="53">
        <f>$J$192</f>
        <v>2.5499999999999998E-2</v>
      </c>
      <c r="K213" s="25" t="s">
        <v>16</v>
      </c>
      <c r="L213" s="25"/>
      <c r="M213" s="71">
        <f t="shared" ref="M213" si="111">C213*J213/100</f>
        <v>1509.6239699999999</v>
      </c>
      <c r="O213" s="156">
        <f>O$190</f>
        <v>1.7299999999999999E-2</v>
      </c>
      <c r="P213" s="25"/>
      <c r="Q213" s="71">
        <f t="shared" ref="Q213" si="112">($H213+$M213)*O213</f>
        <v>5145.255694681</v>
      </c>
      <c r="S213" s="156">
        <f>S$190</f>
        <v>5.0000000000000001E-3</v>
      </c>
      <c r="T213" s="25"/>
      <c r="U213" s="71">
        <f t="shared" ref="U213" si="113">($H213+$M213)*S213</f>
        <v>1487.0681198500001</v>
      </c>
      <c r="W213" s="156">
        <f>W$190</f>
        <v>3.7199999999999997E-2</v>
      </c>
      <c r="X213" s="25"/>
      <c r="Y213" s="71">
        <f>($H213+$M213+$Q213+$U213)*W213</f>
        <v>11310.509257584554</v>
      </c>
      <c r="AA213" s="156">
        <f>AA$190</f>
        <v>4.1099999999999998E-2</v>
      </c>
      <c r="AB213" s="25"/>
      <c r="AC213" s="71">
        <f>($H213+$M213+$Q213+$U213)*AA213</f>
        <v>12496.288453944226</v>
      </c>
    </row>
    <row r="214" spans="1:29">
      <c r="A214" s="17" t="s">
        <v>108</v>
      </c>
      <c r="C214" s="36">
        <v>5920094</v>
      </c>
      <c r="E214" s="252"/>
      <c r="H214" s="232">
        <v>303884</v>
      </c>
      <c r="J214" s="69"/>
      <c r="M214" s="37">
        <f>SUM(M212:M213)</f>
        <v>1509.6239699999999</v>
      </c>
      <c r="O214" s="69"/>
      <c r="Q214" s="37">
        <f>SUM(Q212:Q213)</f>
        <v>5145.255694681</v>
      </c>
      <c r="S214" s="69"/>
      <c r="U214" s="37">
        <f>SUM(U212:U213)</f>
        <v>1487.0681198500001</v>
      </c>
      <c r="W214" s="69"/>
      <c r="Y214" s="37">
        <f>SUM(Y212:Y213)</f>
        <v>11310.509257584554</v>
      </c>
      <c r="AA214" s="69"/>
      <c r="AC214" s="37">
        <f>SUM(AC212:AC213)</f>
        <v>12496.288453944226</v>
      </c>
    </row>
    <row r="215" spans="1:29">
      <c r="A215" s="17" t="s">
        <v>28</v>
      </c>
      <c r="C215" s="36">
        <v>0</v>
      </c>
      <c r="H215" s="232">
        <v>0</v>
      </c>
      <c r="M215" s="38"/>
      <c r="Q215" s="38"/>
      <c r="U215" s="38"/>
      <c r="Y215" s="38"/>
      <c r="AC215" s="38"/>
    </row>
    <row r="216" spans="1:29" ht="16.5" thickBot="1">
      <c r="A216" s="17" t="s">
        <v>113</v>
      </c>
      <c r="C216" s="96">
        <v>16756608</v>
      </c>
      <c r="E216" s="238"/>
      <c r="H216" s="239">
        <v>1285621</v>
      </c>
      <c r="J216" s="48"/>
      <c r="M216" s="49">
        <f>M210+M214</f>
        <v>4272.9350400000003</v>
      </c>
      <c r="O216" s="48"/>
      <c r="Q216" s="49">
        <f>Q210+Q214</f>
        <v>21757.949376191998</v>
      </c>
      <c r="S216" s="48"/>
      <c r="U216" s="49">
        <f>U210+U214</f>
        <v>6288.4246751999999</v>
      </c>
      <c r="W216" s="48"/>
      <c r="Y216" s="49">
        <f>Y210+Y214</f>
        <v>47750.117498199783</v>
      </c>
      <c r="AA216" s="48"/>
      <c r="AC216" s="49">
        <f>AC210+AC214</f>
        <v>52756.178203656207</v>
      </c>
    </row>
    <row r="217" spans="1:29" ht="16.5" thickTop="1">
      <c r="C217" s="55"/>
    </row>
    <row r="218" spans="1:29">
      <c r="A218" s="16" t="s">
        <v>114</v>
      </c>
      <c r="B218" s="7"/>
      <c r="C218" s="55"/>
      <c r="I218" s="44"/>
      <c r="K218" s="44"/>
      <c r="L218" s="44"/>
      <c r="M218" s="7"/>
      <c r="N218" s="44"/>
      <c r="P218" s="44"/>
      <c r="Q218" s="7"/>
      <c r="R218" s="44"/>
      <c r="T218" s="44"/>
      <c r="U218" s="7"/>
      <c r="V218" s="44"/>
      <c r="X218" s="44"/>
      <c r="Y218" s="7"/>
      <c r="Z218" s="44"/>
      <c r="AB218" s="44"/>
      <c r="AC218" s="7"/>
    </row>
    <row r="219" spans="1:29">
      <c r="A219" s="27" t="s">
        <v>115</v>
      </c>
      <c r="B219" s="7"/>
      <c r="C219" s="21"/>
      <c r="E219" s="224"/>
      <c r="F219" s="224"/>
      <c r="G219" s="224"/>
      <c r="H219" s="231"/>
      <c r="I219" s="44"/>
      <c r="J219" s="57"/>
      <c r="K219" s="57"/>
      <c r="L219" s="57"/>
      <c r="M219" s="73"/>
      <c r="N219" s="44"/>
      <c r="O219" s="57"/>
      <c r="P219" s="57"/>
      <c r="Q219" s="73"/>
      <c r="R219" s="44"/>
      <c r="S219" s="57"/>
      <c r="T219" s="57"/>
      <c r="U219" s="73"/>
      <c r="V219" s="44"/>
      <c r="W219" s="57"/>
      <c r="X219" s="57"/>
      <c r="Y219" s="73"/>
      <c r="Z219" s="44"/>
      <c r="AA219" s="57"/>
      <c r="AB219" s="57"/>
      <c r="AC219" s="73"/>
    </row>
    <row r="220" spans="1:29">
      <c r="A220" s="17" t="s">
        <v>116</v>
      </c>
      <c r="B220" s="7"/>
      <c r="C220" s="55">
        <v>34757</v>
      </c>
      <c r="E220" s="178">
        <v>11.8</v>
      </c>
      <c r="F220" s="224"/>
      <c r="G220" s="224"/>
      <c r="H220" s="225">
        <v>410133</v>
      </c>
      <c r="I220" s="44"/>
      <c r="J220" s="18"/>
      <c r="K220" s="57"/>
      <c r="L220" s="57"/>
      <c r="M220" s="74"/>
      <c r="N220" s="44"/>
      <c r="O220" s="18"/>
      <c r="P220" s="57"/>
      <c r="Q220" s="74"/>
      <c r="R220" s="44"/>
      <c r="S220" s="18"/>
      <c r="T220" s="57"/>
      <c r="U220" s="74"/>
      <c r="V220" s="44"/>
      <c r="W220" s="18"/>
      <c r="X220" s="57"/>
      <c r="Y220" s="74"/>
      <c r="Z220" s="44"/>
      <c r="AA220" s="18"/>
      <c r="AB220" s="57"/>
      <c r="AC220" s="74"/>
    </row>
    <row r="221" spans="1:29" s="72" customFormat="1">
      <c r="A221" s="17" t="s">
        <v>117</v>
      </c>
      <c r="B221" s="7"/>
      <c r="C221" s="55">
        <v>218738</v>
      </c>
      <c r="D221" s="56"/>
      <c r="E221" s="178">
        <v>12.78</v>
      </c>
      <c r="F221" s="224"/>
      <c r="G221" s="224"/>
      <c r="H221" s="225">
        <v>2795472</v>
      </c>
      <c r="I221" s="44"/>
      <c r="J221" s="18"/>
      <c r="K221" s="57"/>
      <c r="L221" s="57"/>
      <c r="M221" s="74"/>
      <c r="N221" s="44"/>
      <c r="O221" s="18"/>
      <c r="P221" s="57"/>
      <c r="Q221" s="74"/>
      <c r="R221" s="44"/>
      <c r="S221" s="18"/>
      <c r="T221" s="57"/>
      <c r="U221" s="74"/>
      <c r="V221" s="44"/>
      <c r="W221" s="18"/>
      <c r="X221" s="57"/>
      <c r="Y221" s="74"/>
      <c r="Z221" s="44"/>
      <c r="AA221" s="18"/>
      <c r="AB221" s="57"/>
      <c r="AC221" s="74"/>
    </row>
    <row r="222" spans="1:29" s="72" customFormat="1">
      <c r="A222" s="17" t="s">
        <v>118</v>
      </c>
      <c r="B222" s="7"/>
      <c r="C222" s="55">
        <v>132</v>
      </c>
      <c r="D222" s="56"/>
      <c r="E222" s="178">
        <v>11.5</v>
      </c>
      <c r="F222" s="224"/>
      <c r="G222" s="224"/>
      <c r="H222" s="225">
        <v>1518</v>
      </c>
      <c r="I222" s="44"/>
      <c r="J222" s="18"/>
      <c r="K222" s="57"/>
      <c r="L222" s="57"/>
      <c r="M222" s="74"/>
      <c r="N222" s="44"/>
      <c r="O222" s="18"/>
      <c r="P222" s="57"/>
      <c r="Q222" s="74"/>
      <c r="R222" s="44"/>
      <c r="S222" s="18"/>
      <c r="T222" s="57"/>
      <c r="U222" s="74"/>
      <c r="V222" s="44"/>
      <c r="W222" s="18"/>
      <c r="X222" s="57"/>
      <c r="Y222" s="74"/>
      <c r="Z222" s="44"/>
      <c r="AA222" s="18"/>
      <c r="AB222" s="57"/>
      <c r="AC222" s="74"/>
    </row>
    <row r="223" spans="1:29" s="72" customFormat="1">
      <c r="A223" s="17" t="s">
        <v>119</v>
      </c>
      <c r="B223" s="7"/>
      <c r="C223" s="55">
        <v>409</v>
      </c>
      <c r="D223" s="56"/>
      <c r="E223" s="178">
        <v>46.54</v>
      </c>
      <c r="F223" s="224"/>
      <c r="G223" s="224"/>
      <c r="H223" s="225">
        <v>19035</v>
      </c>
      <c r="I223" s="44"/>
      <c r="J223" s="18"/>
      <c r="K223" s="57"/>
      <c r="L223" s="57"/>
      <c r="M223" s="74"/>
      <c r="N223" s="44"/>
      <c r="O223" s="18"/>
      <c r="P223" s="57"/>
      <c r="Q223" s="74"/>
      <c r="R223" s="44"/>
      <c r="S223" s="18"/>
      <c r="T223" s="57"/>
      <c r="U223" s="74"/>
      <c r="V223" s="44"/>
      <c r="W223" s="18"/>
      <c r="X223" s="57"/>
      <c r="Y223" s="74"/>
      <c r="Z223" s="44"/>
      <c r="AA223" s="18"/>
      <c r="AB223" s="57"/>
      <c r="AC223" s="74"/>
    </row>
    <row r="224" spans="1:29" s="72" customFormat="1">
      <c r="A224" s="17" t="s">
        <v>120</v>
      </c>
      <c r="B224" s="7"/>
      <c r="C224" s="55">
        <v>60</v>
      </c>
      <c r="D224" s="56"/>
      <c r="E224" s="178">
        <v>38.049999999999997</v>
      </c>
      <c r="F224" s="224"/>
      <c r="G224" s="224"/>
      <c r="H224" s="225">
        <v>2283</v>
      </c>
      <c r="I224" s="44"/>
      <c r="J224" s="18"/>
      <c r="K224" s="57"/>
      <c r="L224" s="57"/>
      <c r="M224" s="74"/>
      <c r="N224" s="44"/>
      <c r="O224" s="18"/>
      <c r="P224" s="57"/>
      <c r="Q224" s="74"/>
      <c r="R224" s="44"/>
      <c r="S224" s="18"/>
      <c r="T224" s="57"/>
      <c r="U224" s="74"/>
      <c r="V224" s="44"/>
      <c r="W224" s="18"/>
      <c r="X224" s="57"/>
      <c r="Y224" s="74"/>
      <c r="Z224" s="44"/>
      <c r="AA224" s="18"/>
      <c r="AB224" s="57"/>
      <c r="AC224" s="74"/>
    </row>
    <row r="225" spans="1:29" s="72" customFormat="1">
      <c r="A225" s="17" t="s">
        <v>121</v>
      </c>
      <c r="B225" s="7"/>
      <c r="C225" s="55">
        <v>21158</v>
      </c>
      <c r="D225" s="56"/>
      <c r="E225" s="178">
        <v>16.940000000000001</v>
      </c>
      <c r="F225" s="224"/>
      <c r="G225" s="224"/>
      <c r="H225" s="225">
        <v>358417</v>
      </c>
      <c r="I225" s="44"/>
      <c r="J225" s="18"/>
      <c r="K225" s="57"/>
      <c r="L225" s="57"/>
      <c r="M225" s="74"/>
      <c r="N225" s="44"/>
      <c r="O225" s="18"/>
      <c r="P225" s="57"/>
      <c r="Q225" s="74"/>
      <c r="R225" s="44"/>
      <c r="S225" s="18"/>
      <c r="T225" s="57"/>
      <c r="U225" s="74"/>
      <c r="V225" s="44"/>
      <c r="W225" s="18"/>
      <c r="X225" s="57"/>
      <c r="Y225" s="74"/>
      <c r="Z225" s="44"/>
      <c r="AA225" s="18"/>
      <c r="AB225" s="57"/>
      <c r="AC225" s="74"/>
    </row>
    <row r="226" spans="1:29" s="72" customFormat="1">
      <c r="A226" s="17" t="s">
        <v>122</v>
      </c>
      <c r="B226" s="7"/>
      <c r="C226" s="55">
        <v>96</v>
      </c>
      <c r="D226" s="56"/>
      <c r="E226" s="178">
        <v>15.25</v>
      </c>
      <c r="F226" s="224"/>
      <c r="G226" s="224"/>
      <c r="H226" s="225">
        <v>1464</v>
      </c>
      <c r="I226" s="44"/>
      <c r="J226" s="18"/>
      <c r="K226" s="57"/>
      <c r="L226" s="57"/>
      <c r="M226" s="74"/>
      <c r="N226" s="44"/>
      <c r="O226" s="18"/>
      <c r="P226" s="57"/>
      <c r="Q226" s="74"/>
      <c r="R226" s="44"/>
      <c r="S226" s="18"/>
      <c r="T226" s="57"/>
      <c r="U226" s="74"/>
      <c r="V226" s="44"/>
      <c r="W226" s="18"/>
      <c r="X226" s="57"/>
      <c r="Y226" s="74"/>
      <c r="Z226" s="44"/>
      <c r="AA226" s="18"/>
      <c r="AB226" s="57"/>
      <c r="AC226" s="74"/>
    </row>
    <row r="227" spans="1:29" s="72" customFormat="1">
      <c r="A227" s="17" t="s">
        <v>123</v>
      </c>
      <c r="B227" s="7"/>
      <c r="C227" s="55">
        <v>2421</v>
      </c>
      <c r="D227" s="56"/>
      <c r="E227" s="178">
        <v>47.83</v>
      </c>
      <c r="F227" s="224"/>
      <c r="G227" s="224"/>
      <c r="H227" s="225">
        <v>115796</v>
      </c>
      <c r="I227" s="44"/>
      <c r="J227" s="18"/>
      <c r="K227" s="57"/>
      <c r="L227" s="57"/>
      <c r="M227" s="74"/>
      <c r="N227" s="44"/>
      <c r="O227" s="18"/>
      <c r="P227" s="57"/>
      <c r="Q227" s="74"/>
      <c r="R227" s="44"/>
      <c r="S227" s="18"/>
      <c r="T227" s="57"/>
      <c r="U227" s="74"/>
      <c r="V227" s="44"/>
      <c r="W227" s="18"/>
      <c r="X227" s="57"/>
      <c r="Y227" s="74"/>
      <c r="Z227" s="44"/>
      <c r="AA227" s="18"/>
      <c r="AB227" s="57"/>
      <c r="AC227" s="74"/>
    </row>
    <row r="228" spans="1:29" s="72" customFormat="1">
      <c r="A228" s="17" t="s">
        <v>124</v>
      </c>
      <c r="B228" s="7"/>
      <c r="C228" s="55">
        <v>886</v>
      </c>
      <c r="D228" s="56"/>
      <c r="E228" s="178">
        <v>39.340000000000003</v>
      </c>
      <c r="F228" s="224"/>
      <c r="G228" s="224"/>
      <c r="H228" s="225">
        <v>34855</v>
      </c>
      <c r="I228" s="44"/>
      <c r="J228" s="18"/>
      <c r="K228" s="57"/>
      <c r="L228" s="57"/>
      <c r="M228" s="74"/>
      <c r="N228" s="44"/>
      <c r="O228" s="18"/>
      <c r="P228" s="57"/>
      <c r="Q228" s="74"/>
      <c r="R228" s="44"/>
      <c r="S228" s="18"/>
      <c r="T228" s="57"/>
      <c r="U228" s="74"/>
      <c r="V228" s="44"/>
      <c r="W228" s="18"/>
      <c r="X228" s="57"/>
      <c r="Y228" s="74"/>
      <c r="Z228" s="44"/>
      <c r="AA228" s="18"/>
      <c r="AB228" s="57"/>
      <c r="AC228" s="74"/>
    </row>
    <row r="229" spans="1:29" s="72" customFormat="1">
      <c r="A229" s="17" t="s">
        <v>125</v>
      </c>
      <c r="B229" s="7"/>
      <c r="C229" s="55">
        <v>26178</v>
      </c>
      <c r="D229" s="56"/>
      <c r="E229" s="178">
        <v>21.14</v>
      </c>
      <c r="F229" s="224"/>
      <c r="G229" s="224"/>
      <c r="H229" s="225">
        <v>553403</v>
      </c>
      <c r="I229" s="44"/>
      <c r="J229" s="18"/>
      <c r="K229" s="57"/>
      <c r="L229" s="57"/>
      <c r="M229" s="74"/>
      <c r="N229" s="44"/>
      <c r="O229" s="18"/>
      <c r="P229" s="57"/>
      <c r="Q229" s="74"/>
      <c r="R229" s="44"/>
      <c r="S229" s="18"/>
      <c r="T229" s="57"/>
      <c r="U229" s="74"/>
      <c r="V229" s="44"/>
      <c r="W229" s="18"/>
      <c r="X229" s="57"/>
      <c r="Y229" s="74"/>
      <c r="Z229" s="44"/>
      <c r="AA229" s="18"/>
      <c r="AB229" s="57"/>
      <c r="AC229" s="74"/>
    </row>
    <row r="230" spans="1:29" s="72" customFormat="1">
      <c r="A230" s="17" t="s">
        <v>126</v>
      </c>
      <c r="B230" s="7"/>
      <c r="C230" s="55">
        <v>12</v>
      </c>
      <c r="D230" s="56"/>
      <c r="E230" s="178">
        <v>19.03</v>
      </c>
      <c r="F230" s="224"/>
      <c r="G230" s="224"/>
      <c r="H230" s="225">
        <v>228</v>
      </c>
      <c r="I230" s="44"/>
      <c r="J230" s="18"/>
      <c r="K230" s="57"/>
      <c r="L230" s="57"/>
      <c r="M230" s="74"/>
      <c r="N230" s="44"/>
      <c r="O230" s="18"/>
      <c r="P230" s="57"/>
      <c r="Q230" s="74"/>
      <c r="R230" s="44"/>
      <c r="S230" s="18"/>
      <c r="T230" s="57"/>
      <c r="U230" s="74"/>
      <c r="V230" s="44"/>
      <c r="W230" s="18"/>
      <c r="X230" s="57"/>
      <c r="Y230" s="74"/>
      <c r="Z230" s="44"/>
      <c r="AA230" s="18"/>
      <c r="AB230" s="57"/>
      <c r="AC230" s="74"/>
    </row>
    <row r="231" spans="1:29" s="72" customFormat="1">
      <c r="A231" s="17" t="s">
        <v>127</v>
      </c>
      <c r="B231" s="7"/>
      <c r="C231" s="55">
        <v>1253</v>
      </c>
      <c r="D231" s="56"/>
      <c r="E231" s="178">
        <v>51.48</v>
      </c>
      <c r="F231" s="224"/>
      <c r="G231" s="224"/>
      <c r="H231" s="225">
        <v>64504</v>
      </c>
      <c r="I231" s="44"/>
      <c r="J231" s="18"/>
      <c r="K231" s="57"/>
      <c r="L231" s="57"/>
      <c r="M231" s="74"/>
      <c r="N231" s="44"/>
      <c r="O231" s="18"/>
      <c r="P231" s="57"/>
      <c r="Q231" s="74"/>
      <c r="R231" s="44"/>
      <c r="S231" s="18"/>
      <c r="T231" s="57"/>
      <c r="U231" s="74"/>
      <c r="V231" s="44"/>
      <c r="W231" s="18"/>
      <c r="X231" s="57"/>
      <c r="Y231" s="74"/>
      <c r="Z231" s="44"/>
      <c r="AA231" s="18"/>
      <c r="AB231" s="57"/>
      <c r="AC231" s="74"/>
    </row>
    <row r="232" spans="1:29" s="72" customFormat="1">
      <c r="A232" s="17" t="s">
        <v>128</v>
      </c>
      <c r="B232" s="7"/>
      <c r="C232" s="55">
        <v>0</v>
      </c>
      <c r="D232" s="56"/>
      <c r="E232" s="178">
        <v>43.01</v>
      </c>
      <c r="F232" s="224"/>
      <c r="G232" s="224"/>
      <c r="H232" s="225">
        <v>0</v>
      </c>
      <c r="I232" s="44"/>
      <c r="J232" s="18"/>
      <c r="K232" s="57"/>
      <c r="L232" s="57"/>
      <c r="M232" s="74"/>
      <c r="N232" s="44"/>
      <c r="O232" s="18"/>
      <c r="P232" s="57"/>
      <c r="Q232" s="74"/>
      <c r="R232" s="44"/>
      <c r="S232" s="18"/>
      <c r="T232" s="57"/>
      <c r="U232" s="74"/>
      <c r="V232" s="44"/>
      <c r="W232" s="18"/>
      <c r="X232" s="57"/>
      <c r="Y232" s="74"/>
      <c r="Z232" s="44"/>
      <c r="AA232" s="18"/>
      <c r="AB232" s="57"/>
      <c r="AC232" s="74"/>
    </row>
    <row r="233" spans="1:29" s="72" customFormat="1">
      <c r="A233" s="17" t="s">
        <v>129</v>
      </c>
      <c r="B233" s="7"/>
      <c r="C233" s="55">
        <v>11406</v>
      </c>
      <c r="D233" s="56"/>
      <c r="E233" s="178">
        <v>26.02</v>
      </c>
      <c r="F233" s="224"/>
      <c r="G233" s="224"/>
      <c r="H233" s="225">
        <v>296784</v>
      </c>
      <c r="I233" s="44"/>
      <c r="J233" s="18"/>
      <c r="K233" s="57"/>
      <c r="L233" s="57"/>
      <c r="M233" s="74"/>
      <c r="N233" s="44"/>
      <c r="O233" s="18"/>
      <c r="P233" s="57"/>
      <c r="Q233" s="74"/>
      <c r="R233" s="44"/>
      <c r="S233" s="18"/>
      <c r="T233" s="57"/>
      <c r="U233" s="74"/>
      <c r="V233" s="44"/>
      <c r="W233" s="18"/>
      <c r="X233" s="57"/>
      <c r="Y233" s="74"/>
      <c r="Z233" s="44"/>
      <c r="AA233" s="18"/>
      <c r="AB233" s="57"/>
      <c r="AC233" s="74"/>
    </row>
    <row r="234" spans="1:29" s="72" customFormat="1">
      <c r="A234" s="17" t="s">
        <v>130</v>
      </c>
      <c r="B234" s="7"/>
      <c r="C234" s="55">
        <v>0</v>
      </c>
      <c r="D234" s="56"/>
      <c r="E234" s="178">
        <v>51.54</v>
      </c>
      <c r="F234" s="224"/>
      <c r="G234" s="224"/>
      <c r="H234" s="225">
        <v>0</v>
      </c>
      <c r="I234" s="44"/>
      <c r="J234" s="18"/>
      <c r="K234" s="57"/>
      <c r="L234" s="57"/>
      <c r="M234" s="74"/>
      <c r="N234" s="44"/>
      <c r="O234" s="18"/>
      <c r="P234" s="57"/>
      <c r="Q234" s="74"/>
      <c r="R234" s="44"/>
      <c r="S234" s="18"/>
      <c r="T234" s="57"/>
      <c r="U234" s="74"/>
      <c r="V234" s="44"/>
      <c r="W234" s="18"/>
      <c r="X234" s="57"/>
      <c r="Y234" s="74"/>
      <c r="Z234" s="44"/>
      <c r="AA234" s="18"/>
      <c r="AB234" s="57"/>
      <c r="AC234" s="74"/>
    </row>
    <row r="235" spans="1:29" s="72" customFormat="1">
      <c r="A235" s="27" t="s">
        <v>131</v>
      </c>
      <c r="B235" s="7"/>
      <c r="C235" s="55"/>
      <c r="D235" s="56"/>
      <c r="E235" s="250"/>
      <c r="F235" s="230"/>
      <c r="G235" s="230"/>
      <c r="H235" s="225"/>
      <c r="I235" s="44"/>
      <c r="J235" s="33"/>
      <c r="K235" s="70"/>
      <c r="L235" s="70"/>
      <c r="M235" s="74"/>
      <c r="N235" s="44"/>
      <c r="O235" s="33"/>
      <c r="P235" s="70"/>
      <c r="Q235" s="74"/>
      <c r="R235" s="44"/>
      <c r="S235" s="33"/>
      <c r="T235" s="70"/>
      <c r="U235" s="74"/>
      <c r="V235" s="44"/>
      <c r="W235" s="33"/>
      <c r="X235" s="70"/>
      <c r="Y235" s="74"/>
      <c r="Z235" s="44"/>
      <c r="AA235" s="33"/>
      <c r="AB235" s="70"/>
      <c r="AC235" s="74"/>
    </row>
    <row r="236" spans="1:29" s="7" customFormat="1">
      <c r="A236" s="17" t="s">
        <v>132</v>
      </c>
      <c r="C236" s="55">
        <v>36</v>
      </c>
      <c r="D236" s="56"/>
      <c r="E236" s="178">
        <v>48.74</v>
      </c>
      <c r="F236" s="224"/>
      <c r="G236" s="224"/>
      <c r="H236" s="225">
        <v>1755</v>
      </c>
      <c r="I236" s="44"/>
      <c r="J236" s="18"/>
      <c r="K236" s="57"/>
      <c r="L236" s="57"/>
      <c r="M236" s="74"/>
      <c r="N236" s="44"/>
      <c r="O236" s="18"/>
      <c r="P236" s="57"/>
      <c r="Q236" s="74"/>
      <c r="R236" s="44"/>
      <c r="S236" s="18"/>
      <c r="T236" s="57"/>
      <c r="U236" s="74"/>
      <c r="V236" s="44"/>
      <c r="W236" s="18"/>
      <c r="X236" s="57"/>
      <c r="Y236" s="74"/>
      <c r="Z236" s="44"/>
      <c r="AA236" s="18"/>
      <c r="AB236" s="57"/>
      <c r="AC236" s="74"/>
    </row>
    <row r="237" spans="1:29" s="72" customFormat="1">
      <c r="A237" s="17" t="s">
        <v>133</v>
      </c>
      <c r="B237" s="7"/>
      <c r="C237" s="55">
        <v>602</v>
      </c>
      <c r="D237" s="56"/>
      <c r="E237" s="178">
        <v>40.270000000000003</v>
      </c>
      <c r="F237" s="224"/>
      <c r="G237" s="224"/>
      <c r="H237" s="225">
        <v>24243</v>
      </c>
      <c r="I237" s="44"/>
      <c r="J237" s="18"/>
      <c r="K237" s="57"/>
      <c r="L237" s="57"/>
      <c r="M237" s="74"/>
      <c r="N237" s="44"/>
      <c r="O237" s="18"/>
      <c r="P237" s="57"/>
      <c r="Q237" s="74"/>
      <c r="R237" s="44"/>
      <c r="S237" s="18"/>
      <c r="T237" s="57"/>
      <c r="U237" s="74"/>
      <c r="V237" s="44"/>
      <c r="W237" s="18"/>
      <c r="X237" s="57"/>
      <c r="Y237" s="74"/>
      <c r="Z237" s="44"/>
      <c r="AA237" s="18"/>
      <c r="AB237" s="57"/>
      <c r="AC237" s="74"/>
    </row>
    <row r="238" spans="1:29" s="72" customFormat="1">
      <c r="A238" s="17" t="s">
        <v>134</v>
      </c>
      <c r="B238" s="7"/>
      <c r="C238" s="55">
        <v>127</v>
      </c>
      <c r="D238" s="56"/>
      <c r="E238" s="178">
        <v>20.13</v>
      </c>
      <c r="F238" s="224"/>
      <c r="G238" s="224"/>
      <c r="H238" s="225">
        <v>2557</v>
      </c>
      <c r="I238" s="44"/>
      <c r="J238" s="18"/>
      <c r="K238" s="57"/>
      <c r="L238" s="57"/>
      <c r="M238" s="74"/>
      <c r="N238" s="44"/>
      <c r="O238" s="18"/>
      <c r="P238" s="57"/>
      <c r="Q238" s="74"/>
      <c r="R238" s="44"/>
      <c r="S238" s="18"/>
      <c r="T238" s="57"/>
      <c r="U238" s="74"/>
      <c r="V238" s="44"/>
      <c r="W238" s="18"/>
      <c r="X238" s="57"/>
      <c r="Y238" s="74"/>
      <c r="Z238" s="44"/>
      <c r="AA238" s="18"/>
      <c r="AB238" s="57"/>
      <c r="AC238" s="74"/>
    </row>
    <row r="239" spans="1:29" s="72" customFormat="1">
      <c r="A239" s="17" t="s">
        <v>135</v>
      </c>
      <c r="B239" s="7"/>
      <c r="C239" s="55">
        <v>0</v>
      </c>
      <c r="D239" s="56"/>
      <c r="E239" s="178">
        <v>50.65</v>
      </c>
      <c r="F239" s="224"/>
      <c r="G239" s="224"/>
      <c r="H239" s="225">
        <v>0</v>
      </c>
      <c r="I239" s="44"/>
      <c r="J239" s="18"/>
      <c r="K239" s="57"/>
      <c r="L239" s="57"/>
      <c r="M239" s="74"/>
      <c r="N239" s="44"/>
      <c r="O239" s="18"/>
      <c r="P239" s="57"/>
      <c r="Q239" s="74"/>
      <c r="R239" s="44"/>
      <c r="S239" s="18"/>
      <c r="T239" s="57"/>
      <c r="U239" s="74"/>
      <c r="V239" s="44"/>
      <c r="W239" s="18"/>
      <c r="X239" s="57"/>
      <c r="Y239" s="74"/>
      <c r="Z239" s="44"/>
      <c r="AA239" s="18"/>
      <c r="AB239" s="57"/>
      <c r="AC239" s="74"/>
    </row>
    <row r="240" spans="1:29" s="72" customFormat="1">
      <c r="A240" s="17" t="s">
        <v>136</v>
      </c>
      <c r="B240" s="7"/>
      <c r="C240" s="55">
        <v>1598</v>
      </c>
      <c r="D240" s="56"/>
      <c r="E240" s="178">
        <v>42.17</v>
      </c>
      <c r="F240" s="224"/>
      <c r="G240" s="224"/>
      <c r="H240" s="225">
        <v>67388</v>
      </c>
      <c r="I240" s="44"/>
      <c r="J240" s="18"/>
      <c r="K240" s="57"/>
      <c r="L240" s="57"/>
      <c r="M240" s="74"/>
      <c r="N240" s="44"/>
      <c r="O240" s="18"/>
      <c r="P240" s="57"/>
      <c r="Q240" s="74"/>
      <c r="R240" s="44"/>
      <c r="S240" s="18"/>
      <c r="T240" s="57"/>
      <c r="U240" s="74"/>
      <c r="V240" s="44"/>
      <c r="W240" s="18"/>
      <c r="X240" s="57"/>
      <c r="Y240" s="74"/>
      <c r="Z240" s="44"/>
      <c r="AA240" s="18"/>
      <c r="AB240" s="57"/>
      <c r="AC240" s="74"/>
    </row>
    <row r="241" spans="1:29" s="7" customFormat="1">
      <c r="A241" s="17" t="s">
        <v>137</v>
      </c>
      <c r="C241" s="55">
        <v>386</v>
      </c>
      <c r="D241" s="56"/>
      <c r="E241" s="178">
        <v>22.13</v>
      </c>
      <c r="F241" s="224"/>
      <c r="G241" s="224"/>
      <c r="H241" s="225">
        <v>8542</v>
      </c>
      <c r="I241" s="44"/>
      <c r="J241" s="18"/>
      <c r="K241" s="57"/>
      <c r="L241" s="57"/>
      <c r="M241" s="74"/>
      <c r="N241" s="44"/>
      <c r="O241" s="18"/>
      <c r="P241" s="57"/>
      <c r="Q241" s="74"/>
      <c r="R241" s="44"/>
      <c r="S241" s="18"/>
      <c r="T241" s="57"/>
      <c r="U241" s="74"/>
      <c r="V241" s="44"/>
      <c r="W241" s="18"/>
      <c r="X241" s="57"/>
      <c r="Y241" s="74"/>
      <c r="Z241" s="44"/>
      <c r="AA241" s="18"/>
      <c r="AB241" s="57"/>
      <c r="AC241" s="74"/>
    </row>
    <row r="242" spans="1:29" s="72" customFormat="1">
      <c r="A242" s="17" t="s">
        <v>138</v>
      </c>
      <c r="B242" s="7"/>
      <c r="C242" s="55">
        <v>41</v>
      </c>
      <c r="D242" s="56"/>
      <c r="E242" s="178">
        <v>53.69</v>
      </c>
      <c r="F242" s="224"/>
      <c r="G242" s="224"/>
      <c r="H242" s="225">
        <v>2201</v>
      </c>
      <c r="I242" s="44"/>
      <c r="J242" s="18"/>
      <c r="K242" s="57"/>
      <c r="L242" s="57"/>
      <c r="M242" s="74"/>
      <c r="N242" s="44"/>
      <c r="O242" s="18"/>
      <c r="P242" s="57"/>
      <c r="Q242" s="74"/>
      <c r="R242" s="44"/>
      <c r="S242" s="18"/>
      <c r="T242" s="57"/>
      <c r="U242" s="74"/>
      <c r="V242" s="44"/>
      <c r="W242" s="18"/>
      <c r="X242" s="57"/>
      <c r="Y242" s="74"/>
      <c r="Z242" s="44"/>
      <c r="AA242" s="18"/>
      <c r="AB242" s="57"/>
      <c r="AC242" s="74"/>
    </row>
    <row r="243" spans="1:29" s="72" customFormat="1">
      <c r="A243" s="17" t="s">
        <v>139</v>
      </c>
      <c r="B243" s="7"/>
      <c r="C243" s="55">
        <v>365</v>
      </c>
      <c r="D243" s="56"/>
      <c r="E243" s="178">
        <v>45.2</v>
      </c>
      <c r="F243" s="224"/>
      <c r="G243" s="224"/>
      <c r="H243" s="225">
        <v>16498</v>
      </c>
      <c r="I243" s="44"/>
      <c r="J243" s="18"/>
      <c r="K243" s="57"/>
      <c r="L243" s="57"/>
      <c r="M243" s="74"/>
      <c r="N243" s="44"/>
      <c r="O243" s="18"/>
      <c r="P243" s="57"/>
      <c r="Q243" s="74"/>
      <c r="R243" s="44"/>
      <c r="S243" s="18"/>
      <c r="T243" s="57"/>
      <c r="U243" s="74"/>
      <c r="V243" s="44"/>
      <c r="W243" s="18"/>
      <c r="X243" s="57"/>
      <c r="Y243" s="74"/>
      <c r="Z243" s="44"/>
      <c r="AA243" s="18"/>
      <c r="AB243" s="57"/>
      <c r="AC243" s="74"/>
    </row>
    <row r="244" spans="1:29" s="7" customFormat="1">
      <c r="A244" s="17" t="s">
        <v>140</v>
      </c>
      <c r="C244" s="55">
        <v>61</v>
      </c>
      <c r="D244" s="56"/>
      <c r="E244" s="224">
        <v>25.78</v>
      </c>
      <c r="F244" s="224"/>
      <c r="G244" s="224"/>
      <c r="H244" s="225">
        <v>1573</v>
      </c>
      <c r="I244" s="44"/>
      <c r="J244" s="57"/>
      <c r="K244" s="57"/>
      <c r="L244" s="57"/>
      <c r="M244" s="74"/>
      <c r="N244" s="44"/>
      <c r="O244" s="57"/>
      <c r="P244" s="57"/>
      <c r="Q244" s="74"/>
      <c r="R244" s="44"/>
      <c r="S244" s="57"/>
      <c r="T244" s="57"/>
      <c r="U244" s="74"/>
      <c r="V244" s="44"/>
      <c r="W244" s="57"/>
      <c r="X244" s="57"/>
      <c r="Y244" s="74"/>
      <c r="Z244" s="44"/>
      <c r="AA244" s="57"/>
      <c r="AB244" s="57"/>
      <c r="AC244" s="74"/>
    </row>
    <row r="245" spans="1:29" s="72" customFormat="1">
      <c r="A245" s="17" t="s">
        <v>141</v>
      </c>
      <c r="B245" s="7"/>
      <c r="C245" s="55">
        <v>0</v>
      </c>
      <c r="D245" s="56"/>
      <c r="E245" s="224">
        <v>55.33</v>
      </c>
      <c r="F245" s="224"/>
      <c r="G245" s="224"/>
      <c r="H245" s="225">
        <v>0</v>
      </c>
      <c r="I245" s="44"/>
      <c r="J245" s="57"/>
      <c r="K245" s="57"/>
      <c r="L245" s="57"/>
      <c r="M245" s="74"/>
      <c r="N245" s="44"/>
      <c r="O245" s="57"/>
      <c r="P245" s="57"/>
      <c r="Q245" s="74"/>
      <c r="R245" s="44"/>
      <c r="S245" s="57"/>
      <c r="T245" s="57"/>
      <c r="U245" s="74"/>
      <c r="V245" s="44"/>
      <c r="W245" s="57"/>
      <c r="X245" s="57"/>
      <c r="Y245" s="74"/>
      <c r="Z245" s="44"/>
      <c r="AA245" s="57"/>
      <c r="AB245" s="57"/>
      <c r="AC245" s="74"/>
    </row>
    <row r="246" spans="1:29" s="72" customFormat="1">
      <c r="A246" s="17" t="s">
        <v>142</v>
      </c>
      <c r="B246" s="7"/>
      <c r="C246" s="55">
        <v>0</v>
      </c>
      <c r="D246" s="56"/>
      <c r="E246" s="224">
        <v>46.86</v>
      </c>
      <c r="F246" s="224"/>
      <c r="G246" s="224"/>
      <c r="H246" s="225">
        <v>0</v>
      </c>
      <c r="I246" s="44"/>
      <c r="J246" s="57"/>
      <c r="K246" s="57"/>
      <c r="L246" s="57"/>
      <c r="M246" s="74"/>
      <c r="N246" s="44"/>
      <c r="O246" s="57"/>
      <c r="P246" s="57"/>
      <c r="Q246" s="74"/>
      <c r="R246" s="44"/>
      <c r="S246" s="57"/>
      <c r="T246" s="57"/>
      <c r="U246" s="74"/>
      <c r="V246" s="44"/>
      <c r="W246" s="57"/>
      <c r="X246" s="57"/>
      <c r="Y246" s="74"/>
      <c r="Z246" s="44"/>
      <c r="AA246" s="57"/>
      <c r="AB246" s="57"/>
      <c r="AC246" s="74"/>
    </row>
    <row r="247" spans="1:29" s="7" customFormat="1">
      <c r="A247" s="27" t="s">
        <v>143</v>
      </c>
      <c r="C247" s="21"/>
      <c r="D247" s="56"/>
      <c r="E247" s="224"/>
      <c r="F247" s="224"/>
      <c r="G247" s="224"/>
      <c r="H247" s="231"/>
      <c r="I247" s="44"/>
      <c r="J247" s="57"/>
      <c r="K247" s="57"/>
      <c r="L247" s="57"/>
      <c r="M247" s="73"/>
      <c r="N247" s="44"/>
      <c r="O247" s="57"/>
      <c r="P247" s="57"/>
      <c r="Q247" s="73"/>
      <c r="R247" s="44"/>
      <c r="S247" s="57"/>
      <c r="T247" s="57"/>
      <c r="U247" s="73"/>
      <c r="V247" s="44"/>
      <c r="W247" s="57"/>
      <c r="X247" s="57"/>
      <c r="Y247" s="73"/>
      <c r="Z247" s="44"/>
      <c r="AA247" s="57"/>
      <c r="AB247" s="57"/>
      <c r="AC247" s="73"/>
    </row>
    <row r="248" spans="1:29" s="72" customFormat="1">
      <c r="A248" s="17" t="s">
        <v>144</v>
      </c>
      <c r="B248" s="7"/>
      <c r="C248" s="55">
        <v>3279</v>
      </c>
      <c r="D248" s="56"/>
      <c r="E248" s="178">
        <v>11.09</v>
      </c>
      <c r="F248" s="224"/>
      <c r="G248" s="224"/>
      <c r="H248" s="225">
        <v>36364</v>
      </c>
      <c r="I248" s="44"/>
      <c r="J248" s="18"/>
      <c r="K248" s="57"/>
      <c r="L248" s="57"/>
      <c r="M248" s="74"/>
      <c r="N248" s="44"/>
      <c r="O248" s="18"/>
      <c r="P248" s="57"/>
      <c r="Q248" s="74"/>
      <c r="R248" s="44"/>
      <c r="S248" s="18"/>
      <c r="T248" s="57"/>
      <c r="U248" s="74"/>
      <c r="V248" s="44"/>
      <c r="W248" s="18"/>
      <c r="X248" s="57"/>
      <c r="Y248" s="74"/>
      <c r="Z248" s="44"/>
      <c r="AA248" s="18"/>
      <c r="AB248" s="57"/>
      <c r="AC248" s="74"/>
    </row>
    <row r="249" spans="1:29" s="72" customFormat="1">
      <c r="A249" s="17" t="s">
        <v>57</v>
      </c>
      <c r="B249" s="7"/>
      <c r="C249" s="55">
        <v>9152</v>
      </c>
      <c r="D249" s="56"/>
      <c r="E249" s="178">
        <v>13.83</v>
      </c>
      <c r="F249" s="224"/>
      <c r="G249" s="224"/>
      <c r="H249" s="225">
        <v>126572</v>
      </c>
      <c r="I249" s="44"/>
      <c r="J249" s="18"/>
      <c r="K249" s="57"/>
      <c r="L249" s="57"/>
      <c r="M249" s="74"/>
      <c r="N249" s="44"/>
      <c r="O249" s="18"/>
      <c r="P249" s="57"/>
      <c r="Q249" s="74"/>
      <c r="R249" s="44"/>
      <c r="S249" s="18"/>
      <c r="T249" s="57"/>
      <c r="U249" s="74"/>
      <c r="V249" s="44"/>
      <c r="W249" s="18"/>
      <c r="X249" s="57"/>
      <c r="Y249" s="74"/>
      <c r="Z249" s="44"/>
      <c r="AA249" s="18"/>
      <c r="AB249" s="57"/>
      <c r="AC249" s="74"/>
    </row>
    <row r="250" spans="1:29" s="72" customFormat="1">
      <c r="A250" s="17" t="s">
        <v>145</v>
      </c>
      <c r="B250" s="7"/>
      <c r="C250" s="55">
        <v>186</v>
      </c>
      <c r="D250" s="56"/>
      <c r="E250" s="178">
        <v>19.399999999999999</v>
      </c>
      <c r="F250" s="224"/>
      <c r="G250" s="224"/>
      <c r="H250" s="225">
        <v>3608</v>
      </c>
      <c r="I250" s="44"/>
      <c r="J250" s="18"/>
      <c r="K250" s="57"/>
      <c r="L250" s="57"/>
      <c r="M250" s="74"/>
      <c r="N250" s="44"/>
      <c r="O250" s="18"/>
      <c r="P250" s="57"/>
      <c r="Q250" s="74"/>
      <c r="R250" s="44"/>
      <c r="S250" s="18"/>
      <c r="T250" s="57"/>
      <c r="U250" s="74"/>
      <c r="V250" s="44"/>
      <c r="W250" s="18"/>
      <c r="X250" s="57"/>
      <c r="Y250" s="74"/>
      <c r="Z250" s="44"/>
      <c r="AA250" s="18"/>
      <c r="AB250" s="57"/>
      <c r="AC250" s="74"/>
    </row>
    <row r="251" spans="1:29" s="72" customFormat="1">
      <c r="A251" s="17" t="s">
        <v>146</v>
      </c>
      <c r="B251" s="7"/>
      <c r="C251" s="55">
        <v>0</v>
      </c>
      <c r="D251" s="56"/>
      <c r="E251" s="178">
        <v>17.46</v>
      </c>
      <c r="F251" s="224"/>
      <c r="G251" s="224"/>
      <c r="H251" s="225">
        <v>0</v>
      </c>
      <c r="I251" s="44"/>
      <c r="J251" s="18"/>
      <c r="K251" s="57"/>
      <c r="L251" s="57"/>
      <c r="M251" s="74"/>
      <c r="N251" s="44"/>
      <c r="O251" s="18"/>
      <c r="P251" s="57"/>
      <c r="Q251" s="74"/>
      <c r="R251" s="44"/>
      <c r="S251" s="18"/>
      <c r="T251" s="57"/>
      <c r="U251" s="74"/>
      <c r="V251" s="44"/>
      <c r="W251" s="18"/>
      <c r="X251" s="57"/>
      <c r="Y251" s="74"/>
      <c r="Z251" s="44"/>
      <c r="AA251" s="18"/>
      <c r="AB251" s="57"/>
      <c r="AC251" s="74"/>
    </row>
    <row r="252" spans="1:29" s="72" customFormat="1">
      <c r="A252" s="17" t="s">
        <v>59</v>
      </c>
      <c r="B252" s="7"/>
      <c r="C252" s="55">
        <v>996</v>
      </c>
      <c r="D252" s="56"/>
      <c r="E252" s="178">
        <v>24.43</v>
      </c>
      <c r="F252" s="224"/>
      <c r="G252" s="224"/>
      <c r="H252" s="225">
        <v>24332</v>
      </c>
      <c r="I252" s="44"/>
      <c r="J252" s="18"/>
      <c r="K252" s="57"/>
      <c r="L252" s="57"/>
      <c r="M252" s="74"/>
      <c r="N252" s="44"/>
      <c r="O252" s="18"/>
      <c r="P252" s="57"/>
      <c r="Q252" s="74"/>
      <c r="R252" s="44"/>
      <c r="S252" s="18"/>
      <c r="T252" s="57"/>
      <c r="U252" s="74"/>
      <c r="V252" s="44"/>
      <c r="W252" s="18"/>
      <c r="X252" s="57"/>
      <c r="Y252" s="74"/>
      <c r="Z252" s="44"/>
      <c r="AA252" s="18"/>
      <c r="AB252" s="57"/>
      <c r="AC252" s="74"/>
    </row>
    <row r="253" spans="1:29" s="72" customFormat="1">
      <c r="A253" s="27" t="s">
        <v>147</v>
      </c>
      <c r="B253" s="7"/>
      <c r="C253" s="55"/>
      <c r="D253" s="56"/>
      <c r="E253" s="92"/>
      <c r="F253" s="56"/>
      <c r="G253" s="56"/>
      <c r="H253" s="225"/>
      <c r="I253" s="44"/>
      <c r="J253" s="7"/>
      <c r="K253" s="44"/>
      <c r="L253" s="44"/>
      <c r="M253" s="74"/>
      <c r="N253" s="44"/>
      <c r="O253" s="7"/>
      <c r="P253" s="44"/>
      <c r="Q253" s="74"/>
      <c r="R253" s="44"/>
      <c r="S253" s="7"/>
      <c r="T253" s="44"/>
      <c r="U253" s="74"/>
      <c r="V253" s="44"/>
      <c r="W253" s="7"/>
      <c r="X253" s="44"/>
      <c r="Y253" s="74"/>
      <c r="Z253" s="44"/>
      <c r="AA253" s="7"/>
      <c r="AB253" s="44"/>
      <c r="AC253" s="74"/>
    </row>
    <row r="254" spans="1:29" s="72" customFormat="1">
      <c r="A254" s="17" t="s">
        <v>148</v>
      </c>
      <c r="B254" s="7"/>
      <c r="C254" s="55">
        <v>0</v>
      </c>
      <c r="D254" s="56"/>
      <c r="E254" s="178">
        <v>11.99</v>
      </c>
      <c r="F254" s="224"/>
      <c r="G254" s="224"/>
      <c r="H254" s="225">
        <v>0</v>
      </c>
      <c r="I254" s="44"/>
      <c r="J254" s="18"/>
      <c r="K254" s="57"/>
      <c r="L254" s="57"/>
      <c r="M254" s="74"/>
      <c r="N254" s="44"/>
      <c r="O254" s="18"/>
      <c r="P254" s="57"/>
      <c r="Q254" s="74"/>
      <c r="R254" s="44"/>
      <c r="S254" s="18"/>
      <c r="T254" s="57"/>
      <c r="U254" s="74"/>
      <c r="V254" s="44"/>
      <c r="W254" s="18"/>
      <c r="X254" s="57"/>
      <c r="Y254" s="74"/>
      <c r="Z254" s="44"/>
      <c r="AA254" s="18"/>
      <c r="AB254" s="57"/>
      <c r="AC254" s="74"/>
    </row>
    <row r="255" spans="1:29" s="72" customFormat="1">
      <c r="A255" s="17" t="s">
        <v>149</v>
      </c>
      <c r="B255" s="7"/>
      <c r="C255" s="55">
        <v>145</v>
      </c>
      <c r="D255" s="56"/>
      <c r="E255" s="178">
        <v>4.24</v>
      </c>
      <c r="F255" s="224"/>
      <c r="G255" s="224"/>
      <c r="H255" s="225">
        <v>615</v>
      </c>
      <c r="I255" s="44"/>
      <c r="J255" s="18"/>
      <c r="K255" s="57"/>
      <c r="L255" s="57"/>
      <c r="M255" s="74"/>
      <c r="N255" s="44"/>
      <c r="O255" s="18"/>
      <c r="P255" s="57"/>
      <c r="Q255" s="74"/>
      <c r="R255" s="44"/>
      <c r="S255" s="18"/>
      <c r="T255" s="57"/>
      <c r="U255" s="74"/>
      <c r="V255" s="44"/>
      <c r="W255" s="18"/>
      <c r="X255" s="57"/>
      <c r="Y255" s="74"/>
      <c r="Z255" s="44"/>
      <c r="AA255" s="18"/>
      <c r="AB255" s="57"/>
      <c r="AC255" s="74"/>
    </row>
    <row r="256" spans="1:29" s="72" customFormat="1">
      <c r="A256" s="17" t="s">
        <v>150</v>
      </c>
      <c r="B256" s="7"/>
      <c r="C256" s="55">
        <v>32</v>
      </c>
      <c r="D256" s="56"/>
      <c r="E256" s="178">
        <v>17.11</v>
      </c>
      <c r="F256" s="224"/>
      <c r="G256" s="224"/>
      <c r="H256" s="225">
        <v>548</v>
      </c>
      <c r="I256" s="44"/>
      <c r="J256" s="18"/>
      <c r="K256" s="57"/>
      <c r="L256" s="57"/>
      <c r="M256" s="74"/>
      <c r="N256" s="44"/>
      <c r="O256" s="18"/>
      <c r="P256" s="57"/>
      <c r="Q256" s="74"/>
      <c r="R256" s="44"/>
      <c r="S256" s="18"/>
      <c r="T256" s="57"/>
      <c r="U256" s="74"/>
      <c r="V256" s="44"/>
      <c r="W256" s="18"/>
      <c r="X256" s="57"/>
      <c r="Y256" s="74"/>
      <c r="Z256" s="44"/>
      <c r="AA256" s="18"/>
      <c r="AB256" s="57"/>
      <c r="AC256" s="74"/>
    </row>
    <row r="257" spans="1:29" s="72" customFormat="1">
      <c r="A257" s="17" t="s">
        <v>144</v>
      </c>
      <c r="B257" s="7"/>
      <c r="C257" s="55">
        <v>162</v>
      </c>
      <c r="D257" s="56"/>
      <c r="E257" s="178">
        <v>20.43</v>
      </c>
      <c r="F257" s="224"/>
      <c r="G257" s="224"/>
      <c r="H257" s="225">
        <v>3310</v>
      </c>
      <c r="I257" s="44"/>
      <c r="J257" s="18"/>
      <c r="K257" s="57"/>
      <c r="L257" s="57"/>
      <c r="M257" s="74"/>
      <c r="N257" s="44"/>
      <c r="O257" s="18"/>
      <c r="P257" s="57"/>
      <c r="Q257" s="74"/>
      <c r="R257" s="44"/>
      <c r="S257" s="18"/>
      <c r="T257" s="57"/>
      <c r="U257" s="74"/>
      <c r="V257" s="44"/>
      <c r="W257" s="18"/>
      <c r="X257" s="57"/>
      <c r="Y257" s="74"/>
      <c r="Z257" s="44"/>
      <c r="AA257" s="18"/>
      <c r="AB257" s="57"/>
      <c r="AC257" s="74"/>
    </row>
    <row r="258" spans="1:29" s="72" customFormat="1">
      <c r="A258" s="17" t="s">
        <v>151</v>
      </c>
      <c r="B258" s="7"/>
      <c r="C258" s="55">
        <v>161</v>
      </c>
      <c r="D258" s="56"/>
      <c r="E258" s="178">
        <v>23.82</v>
      </c>
      <c r="F258" s="224"/>
      <c r="G258" s="224"/>
      <c r="H258" s="225">
        <v>3835</v>
      </c>
      <c r="I258" s="44"/>
      <c r="J258" s="18"/>
      <c r="K258" s="57"/>
      <c r="L258" s="57"/>
      <c r="M258" s="74"/>
      <c r="N258" s="44"/>
      <c r="O258" s="18"/>
      <c r="P258" s="57"/>
      <c r="Q258" s="74"/>
      <c r="R258" s="44"/>
      <c r="S258" s="18"/>
      <c r="T258" s="57"/>
      <c r="U258" s="74"/>
      <c r="V258" s="44"/>
      <c r="W258" s="18"/>
      <c r="X258" s="57"/>
      <c r="Y258" s="74"/>
      <c r="Z258" s="44"/>
      <c r="AA258" s="18"/>
      <c r="AB258" s="57"/>
      <c r="AC258" s="74"/>
    </row>
    <row r="259" spans="1:29" s="72" customFormat="1">
      <c r="A259" s="17" t="s">
        <v>145</v>
      </c>
      <c r="B259" s="7"/>
      <c r="C259" s="55">
        <v>24</v>
      </c>
      <c r="D259" s="56"/>
      <c r="E259" s="178">
        <v>31.47</v>
      </c>
      <c r="F259" s="224"/>
      <c r="G259" s="224"/>
      <c r="H259" s="225">
        <v>755</v>
      </c>
      <c r="I259" s="44"/>
      <c r="J259" s="18"/>
      <c r="K259" s="57"/>
      <c r="L259" s="57"/>
      <c r="M259" s="74"/>
      <c r="N259" s="44"/>
      <c r="O259" s="18"/>
      <c r="P259" s="57"/>
      <c r="Q259" s="74"/>
      <c r="R259" s="44"/>
      <c r="S259" s="18"/>
      <c r="T259" s="57"/>
      <c r="U259" s="74"/>
      <c r="V259" s="44"/>
      <c r="W259" s="18"/>
      <c r="X259" s="57"/>
      <c r="Y259" s="74"/>
      <c r="Z259" s="44"/>
      <c r="AA259" s="18"/>
      <c r="AB259" s="57"/>
      <c r="AC259" s="74"/>
    </row>
    <row r="260" spans="1:29" s="72" customFormat="1">
      <c r="A260" s="27" t="s">
        <v>152</v>
      </c>
      <c r="B260" s="7"/>
      <c r="C260" s="21"/>
      <c r="D260" s="56"/>
      <c r="E260" s="224"/>
      <c r="F260" s="224"/>
      <c r="G260" s="224"/>
      <c r="H260" s="231"/>
      <c r="I260" s="44"/>
      <c r="J260" s="57"/>
      <c r="K260" s="57"/>
      <c r="L260" s="57"/>
      <c r="M260" s="73"/>
      <c r="N260" s="44"/>
      <c r="O260" s="57"/>
      <c r="P260" s="57"/>
      <c r="Q260" s="73"/>
      <c r="R260" s="44"/>
      <c r="S260" s="57"/>
      <c r="T260" s="57"/>
      <c r="U260" s="73"/>
      <c r="V260" s="44"/>
      <c r="W260" s="57"/>
      <c r="X260" s="57"/>
      <c r="Y260" s="73"/>
      <c r="Z260" s="44"/>
      <c r="AA260" s="57"/>
      <c r="AB260" s="57"/>
      <c r="AC260" s="73"/>
    </row>
    <row r="261" spans="1:29" s="72" customFormat="1">
      <c r="A261" s="17" t="s">
        <v>153</v>
      </c>
      <c r="B261" s="7"/>
      <c r="C261" s="55">
        <v>12</v>
      </c>
      <c r="D261" s="56"/>
      <c r="E261" s="178">
        <v>27.85</v>
      </c>
      <c r="F261" s="224"/>
      <c r="G261" s="224"/>
      <c r="H261" s="225">
        <v>334</v>
      </c>
      <c r="I261" s="44"/>
      <c r="J261" s="18"/>
      <c r="K261" s="57"/>
      <c r="L261" s="57"/>
      <c r="M261" s="74"/>
      <c r="N261" s="44"/>
      <c r="O261" s="18"/>
      <c r="P261" s="57"/>
      <c r="Q261" s="74"/>
      <c r="R261" s="44"/>
      <c r="S261" s="18"/>
      <c r="T261" s="57"/>
      <c r="U261" s="74"/>
      <c r="V261" s="44"/>
      <c r="W261" s="18"/>
      <c r="X261" s="57"/>
      <c r="Y261" s="74"/>
      <c r="Z261" s="44"/>
      <c r="AA261" s="18"/>
      <c r="AB261" s="57"/>
      <c r="AC261" s="74"/>
    </row>
    <row r="262" spans="1:29" s="72" customFormat="1">
      <c r="A262" s="27" t="s">
        <v>154</v>
      </c>
      <c r="B262" s="7"/>
      <c r="C262" s="55"/>
      <c r="D262" s="56"/>
      <c r="E262" s="178"/>
      <c r="F262" s="224"/>
      <c r="G262" s="224"/>
      <c r="H262" s="225"/>
      <c r="I262" s="44"/>
      <c r="J262" s="18"/>
      <c r="K262" s="57"/>
      <c r="L262" s="57"/>
      <c r="M262" s="74"/>
      <c r="N262" s="44"/>
      <c r="O262" s="18"/>
      <c r="P262" s="57"/>
      <c r="Q262" s="74"/>
      <c r="R262" s="44"/>
      <c r="S262" s="18"/>
      <c r="T262" s="57"/>
      <c r="U262" s="74"/>
      <c r="V262" s="44"/>
      <c r="W262" s="18"/>
      <c r="X262" s="57"/>
      <c r="Y262" s="74"/>
      <c r="Z262" s="44"/>
      <c r="AA262" s="18"/>
      <c r="AB262" s="57"/>
      <c r="AC262" s="74"/>
    </row>
    <row r="263" spans="1:29" s="72" customFormat="1">
      <c r="A263" s="17" t="s">
        <v>155</v>
      </c>
      <c r="B263" s="7"/>
      <c r="C263" s="55">
        <v>12</v>
      </c>
      <c r="D263" s="56"/>
      <c r="E263" s="178">
        <v>39.04</v>
      </c>
      <c r="F263" s="224"/>
      <c r="G263" s="224"/>
      <c r="H263" s="225">
        <v>468</v>
      </c>
      <c r="I263" s="44"/>
      <c r="J263" s="18"/>
      <c r="K263" s="57"/>
      <c r="L263" s="57"/>
      <c r="M263" s="74"/>
      <c r="N263" s="44"/>
      <c r="O263" s="18"/>
      <c r="P263" s="57"/>
      <c r="Q263" s="74"/>
      <c r="R263" s="44"/>
      <c r="S263" s="18"/>
      <c r="T263" s="57"/>
      <c r="U263" s="74"/>
      <c r="V263" s="44"/>
      <c r="W263" s="18"/>
      <c r="X263" s="57"/>
      <c r="Y263" s="74"/>
      <c r="Z263" s="44"/>
      <c r="AA263" s="18"/>
      <c r="AB263" s="57"/>
      <c r="AC263" s="74"/>
    </row>
    <row r="264" spans="1:29" s="72" customFormat="1">
      <c r="A264" s="17" t="s">
        <v>156</v>
      </c>
      <c r="B264" s="7"/>
      <c r="C264" s="36">
        <v>334883</v>
      </c>
      <c r="D264" s="56"/>
      <c r="E264" s="252"/>
      <c r="F264" s="56"/>
      <c r="G264" s="56"/>
      <c r="H264" s="232">
        <v>4979390</v>
      </c>
      <c r="I264" s="44"/>
      <c r="J264" s="69"/>
      <c r="K264" s="44"/>
      <c r="L264" s="44"/>
      <c r="M264" s="75"/>
      <c r="N264" s="44"/>
      <c r="O264" s="69"/>
      <c r="P264" s="44"/>
      <c r="Q264" s="75"/>
      <c r="R264" s="44"/>
      <c r="S264" s="69"/>
      <c r="T264" s="44"/>
      <c r="U264" s="75"/>
      <c r="V264" s="44"/>
      <c r="W264" s="69"/>
      <c r="X264" s="44"/>
      <c r="Y264" s="75"/>
      <c r="Z264" s="44"/>
      <c r="AA264" s="69"/>
      <c r="AB264" s="44"/>
      <c r="AC264" s="75"/>
    </row>
    <row r="265" spans="1:29" s="72" customFormat="1" ht="16.5" thickBot="1">
      <c r="A265" s="17" t="s">
        <v>83</v>
      </c>
      <c r="B265" s="7"/>
      <c r="C265" s="253">
        <v>16496197.391013095</v>
      </c>
      <c r="D265" s="56"/>
      <c r="E265" s="238"/>
      <c r="F265" s="56"/>
      <c r="G265" s="56"/>
      <c r="H265" s="238"/>
      <c r="I265" s="44"/>
      <c r="J265" s="48"/>
      <c r="K265" s="44"/>
      <c r="L265" s="44"/>
      <c r="M265" s="48"/>
      <c r="N265" s="44"/>
      <c r="O265" s="48"/>
      <c r="P265" s="44"/>
      <c r="Q265" s="48"/>
      <c r="R265" s="44"/>
      <c r="S265" s="48"/>
      <c r="T265" s="44"/>
      <c r="U265" s="48"/>
      <c r="V265" s="44"/>
      <c r="W265" s="48"/>
      <c r="X265" s="44"/>
      <c r="Y265" s="48"/>
      <c r="Z265" s="44"/>
      <c r="AA265" s="48"/>
      <c r="AB265" s="44"/>
      <c r="AC265" s="48"/>
    </row>
    <row r="266" spans="1:29" s="72" customFormat="1" ht="16.5" thickTop="1">
      <c r="A266" s="17" t="s">
        <v>85</v>
      </c>
      <c r="B266" s="7"/>
      <c r="C266" s="23">
        <v>809.41666666666663</v>
      </c>
      <c r="D266" s="56"/>
      <c r="E266" s="92"/>
      <c r="F266" s="56"/>
      <c r="G266" s="56"/>
      <c r="H266" s="92"/>
      <c r="I266" s="44"/>
      <c r="J266" s="7"/>
      <c r="K266" s="44"/>
      <c r="L266" s="44"/>
      <c r="M266" s="7"/>
      <c r="N266" s="44"/>
      <c r="O266" s="7"/>
      <c r="P266" s="44"/>
      <c r="Q266" s="7"/>
      <c r="R266" s="44"/>
      <c r="S266" s="7"/>
      <c r="T266" s="44"/>
      <c r="U266" s="7"/>
      <c r="V266" s="44"/>
      <c r="W266" s="7"/>
      <c r="X266" s="44"/>
      <c r="Y266" s="7"/>
      <c r="Z266" s="44"/>
      <c r="AA266" s="7"/>
      <c r="AB266" s="44"/>
      <c r="AC266" s="7"/>
    </row>
    <row r="267" spans="1:29" s="72" customFormat="1">
      <c r="A267" s="17" t="s">
        <v>84</v>
      </c>
      <c r="B267" s="7"/>
      <c r="C267" s="91">
        <v>0</v>
      </c>
      <c r="D267" s="56"/>
      <c r="E267" s="252"/>
      <c r="F267" s="56"/>
      <c r="G267" s="56"/>
      <c r="H267" s="232">
        <v>0</v>
      </c>
      <c r="I267" s="44"/>
      <c r="J267" s="69"/>
      <c r="K267" s="44"/>
      <c r="L267" s="44"/>
      <c r="M267" s="75"/>
      <c r="N267" s="44"/>
      <c r="O267" s="69"/>
      <c r="P267" s="44"/>
      <c r="Q267" s="75"/>
      <c r="R267" s="44"/>
      <c r="S267" s="69"/>
      <c r="T267" s="44"/>
      <c r="U267" s="75"/>
      <c r="V267" s="44"/>
      <c r="W267" s="69"/>
      <c r="X267" s="44"/>
      <c r="Y267" s="75"/>
      <c r="Z267" s="44"/>
      <c r="AA267" s="69"/>
      <c r="AB267" s="44"/>
      <c r="AC267" s="75"/>
    </row>
    <row r="268" spans="1:29" s="72" customFormat="1" ht="16.5" thickBot="1">
      <c r="A268" s="17" t="s">
        <v>157</v>
      </c>
      <c r="B268" s="7"/>
      <c r="C268" s="253">
        <v>16496197.391013095</v>
      </c>
      <c r="D268" s="56"/>
      <c r="E268" s="254"/>
      <c r="F268" s="255"/>
      <c r="G268" s="255"/>
      <c r="H268" s="254">
        <v>4979390</v>
      </c>
      <c r="I268" s="44"/>
      <c r="J268" s="169">
        <v>0.1018</v>
      </c>
      <c r="K268" s="25" t="s">
        <v>16</v>
      </c>
      <c r="L268" s="25"/>
      <c r="M268" s="40">
        <f>C268*J268/100</f>
        <v>16793.128944051332</v>
      </c>
      <c r="N268" s="9"/>
      <c r="O268" s="168">
        <v>8.5000000000000006E-3</v>
      </c>
      <c r="P268" s="25"/>
      <c r="Q268" s="40">
        <f>($H268+$M268)*O268</f>
        <v>42467.556596024442</v>
      </c>
      <c r="R268" s="9"/>
      <c r="S268" s="168">
        <v>1.2999999999999999E-3</v>
      </c>
      <c r="T268" s="25"/>
      <c r="U268" s="40">
        <f>($H268+$M268)*S268</f>
        <v>6495.0380676272662</v>
      </c>
      <c r="V268" s="9"/>
      <c r="W268" s="168">
        <v>3.6200000000000003E-2</v>
      </c>
      <c r="X268" s="25"/>
      <c r="Y268" s="40">
        <f>($H268+$M268+$Q268+$U268)*W268</f>
        <v>182634.27519459891</v>
      </c>
      <c r="Z268" s="9"/>
      <c r="AA268" s="168">
        <f>AA$153</f>
        <v>0.04</v>
      </c>
      <c r="AB268" s="25"/>
      <c r="AC268" s="40">
        <f>($H268+$M268+$Q268+$U268)*AA268</f>
        <v>201805.82894430816</v>
      </c>
    </row>
    <row r="269" spans="1:29" s="72" customFormat="1" ht="16.5" thickTop="1">
      <c r="A269" s="7"/>
      <c r="B269" s="7"/>
      <c r="C269" s="55"/>
      <c r="D269" s="56"/>
      <c r="E269" s="92"/>
      <c r="F269" s="56"/>
      <c r="G269" s="56"/>
      <c r="H269" s="92"/>
      <c r="I269" s="44"/>
      <c r="J269" s="7"/>
      <c r="K269" s="44"/>
      <c r="L269" s="44"/>
      <c r="M269" s="7"/>
      <c r="N269" s="44"/>
      <c r="O269" s="7"/>
      <c r="P269" s="44"/>
      <c r="Q269" s="7"/>
      <c r="R269" s="44"/>
      <c r="S269" s="7"/>
      <c r="T269" s="44"/>
      <c r="U269" s="7"/>
      <c r="V269" s="44"/>
      <c r="W269" s="7"/>
      <c r="X269" s="44"/>
      <c r="Y269" s="7"/>
      <c r="Z269" s="44"/>
      <c r="AA269" s="7"/>
      <c r="AB269" s="44"/>
      <c r="AC269" s="7"/>
    </row>
    <row r="270" spans="1:29" s="72" customFormat="1">
      <c r="A270" s="16" t="s">
        <v>158</v>
      </c>
      <c r="B270" s="7"/>
      <c r="C270" s="55"/>
      <c r="D270" s="56"/>
      <c r="E270" s="92"/>
      <c r="F270" s="56"/>
      <c r="G270" s="56"/>
      <c r="H270" s="92"/>
      <c r="I270" s="44"/>
      <c r="J270" s="7"/>
      <c r="K270" s="44"/>
      <c r="L270" s="44"/>
      <c r="M270" s="7"/>
      <c r="N270" s="44"/>
      <c r="O270" s="7"/>
      <c r="P270" s="44"/>
      <c r="Q270" s="7"/>
      <c r="R270" s="44"/>
      <c r="S270" s="7"/>
      <c r="T270" s="44"/>
      <c r="U270" s="7"/>
      <c r="V270" s="44"/>
      <c r="W270" s="7"/>
      <c r="X270" s="44"/>
      <c r="Y270" s="7"/>
      <c r="Z270" s="44"/>
      <c r="AA270" s="7"/>
      <c r="AB270" s="44"/>
      <c r="AC270" s="7"/>
    </row>
    <row r="271" spans="1:29" s="72" customFormat="1">
      <c r="A271" s="77" t="s">
        <v>159</v>
      </c>
      <c r="B271" s="7"/>
      <c r="C271" s="55"/>
      <c r="D271" s="56"/>
      <c r="E271" s="92"/>
      <c r="F271" s="56"/>
      <c r="G271" s="56"/>
      <c r="H271" s="225"/>
      <c r="I271" s="44"/>
      <c r="J271" s="7"/>
      <c r="K271" s="44"/>
      <c r="L271" s="44"/>
      <c r="M271" s="74"/>
      <c r="N271" s="44"/>
      <c r="O271" s="7"/>
      <c r="P271" s="44"/>
      <c r="Q271" s="74"/>
      <c r="R271" s="44"/>
      <c r="S271" s="7"/>
      <c r="T271" s="44"/>
      <c r="U271" s="74"/>
      <c r="V271" s="44"/>
      <c r="W271" s="7"/>
      <c r="X271" s="44"/>
      <c r="Y271" s="74"/>
      <c r="Z271" s="44"/>
      <c r="AA271" s="7"/>
      <c r="AB271" s="44"/>
      <c r="AC271" s="74"/>
    </row>
    <row r="272" spans="1:29" s="72" customFormat="1">
      <c r="A272" s="27" t="s">
        <v>160</v>
      </c>
      <c r="B272" s="7"/>
      <c r="C272" s="55"/>
      <c r="D272" s="56"/>
      <c r="E272" s="92"/>
      <c r="F272" s="56"/>
      <c r="G272" s="56"/>
      <c r="H272" s="225"/>
      <c r="I272" s="44"/>
      <c r="J272" s="7"/>
      <c r="K272" s="44"/>
      <c r="L272" s="44"/>
      <c r="M272" s="74"/>
      <c r="N272" s="44"/>
      <c r="O272" s="7"/>
      <c r="P272" s="44"/>
      <c r="Q272" s="74"/>
      <c r="R272" s="44"/>
      <c r="S272" s="7"/>
      <c r="T272" s="44"/>
      <c r="U272" s="74"/>
      <c r="V272" s="44"/>
      <c r="W272" s="7"/>
      <c r="X272" s="44"/>
      <c r="Y272" s="74"/>
      <c r="Z272" s="44"/>
      <c r="AA272" s="7"/>
      <c r="AB272" s="44"/>
      <c r="AC272" s="74"/>
    </row>
    <row r="273" spans="1:29" s="72" customFormat="1">
      <c r="A273" s="17" t="s">
        <v>161</v>
      </c>
      <c r="B273" s="7"/>
      <c r="C273" s="55">
        <v>103438</v>
      </c>
      <c r="D273" s="56"/>
      <c r="E273" s="178">
        <v>1.83</v>
      </c>
      <c r="F273" s="224"/>
      <c r="G273" s="224"/>
      <c r="H273" s="225">
        <v>189292</v>
      </c>
      <c r="I273" s="67"/>
      <c r="J273" s="18"/>
      <c r="K273" s="19"/>
      <c r="L273" s="19"/>
      <c r="M273" s="74"/>
      <c r="N273" s="67"/>
      <c r="O273" s="18"/>
      <c r="P273" s="19"/>
      <c r="Q273" s="74"/>
      <c r="R273" s="67"/>
      <c r="S273" s="18"/>
      <c r="T273" s="19"/>
      <c r="U273" s="74"/>
      <c r="V273" s="67"/>
      <c r="W273" s="18"/>
      <c r="X273" s="19"/>
      <c r="Y273" s="74"/>
      <c r="Z273" s="67"/>
      <c r="AA273" s="18"/>
      <c r="AB273" s="19"/>
      <c r="AC273" s="74"/>
    </row>
    <row r="274" spans="1:29" s="72" customFormat="1">
      <c r="A274" s="17" t="s">
        <v>162</v>
      </c>
      <c r="B274" s="7"/>
      <c r="C274" s="55">
        <v>159006</v>
      </c>
      <c r="D274" s="56"/>
      <c r="E274" s="178">
        <v>2.5</v>
      </c>
      <c r="F274" s="224"/>
      <c r="G274" s="224"/>
      <c r="H274" s="225">
        <v>397515</v>
      </c>
      <c r="I274" s="44"/>
      <c r="J274" s="18"/>
      <c r="K274" s="57"/>
      <c r="L274" s="57"/>
      <c r="M274" s="74"/>
      <c r="N274" s="44"/>
      <c r="O274" s="18"/>
      <c r="P274" s="57"/>
      <c r="Q274" s="74"/>
      <c r="R274" s="44"/>
      <c r="S274" s="18"/>
      <c r="T274" s="57"/>
      <c r="U274" s="74"/>
      <c r="V274" s="44"/>
      <c r="W274" s="18"/>
      <c r="X274" s="57"/>
      <c r="Y274" s="74"/>
      <c r="Z274" s="44"/>
      <c r="AA274" s="18"/>
      <c r="AB274" s="57"/>
      <c r="AC274" s="74"/>
    </row>
    <row r="275" spans="1:29" s="72" customFormat="1">
      <c r="A275" s="17" t="s">
        <v>163</v>
      </c>
      <c r="B275" s="7"/>
      <c r="C275" s="55">
        <v>134332</v>
      </c>
      <c r="D275" s="56"/>
      <c r="E275" s="178">
        <v>3.66</v>
      </c>
      <c r="F275" s="224"/>
      <c r="G275" s="224"/>
      <c r="H275" s="225">
        <v>491655</v>
      </c>
      <c r="I275" s="44"/>
      <c r="J275" s="18"/>
      <c r="K275" s="57"/>
      <c r="L275" s="57"/>
      <c r="M275" s="74"/>
      <c r="N275" s="44"/>
      <c r="O275" s="18"/>
      <c r="P275" s="57"/>
      <c r="Q275" s="74"/>
      <c r="R275" s="44"/>
      <c r="S275" s="18"/>
      <c r="T275" s="57"/>
      <c r="U275" s="74"/>
      <c r="V275" s="44"/>
      <c r="W275" s="18"/>
      <c r="X275" s="57"/>
      <c r="Y275" s="74"/>
      <c r="Z275" s="44"/>
      <c r="AA275" s="18"/>
      <c r="AB275" s="57"/>
      <c r="AC275" s="74"/>
    </row>
    <row r="276" spans="1:29" s="72" customFormat="1">
      <c r="A276" s="17" t="s">
        <v>164</v>
      </c>
      <c r="B276" s="7"/>
      <c r="C276" s="55">
        <v>48293</v>
      </c>
      <c r="D276" s="56"/>
      <c r="E276" s="178">
        <v>6.52</v>
      </c>
      <c r="F276" s="224"/>
      <c r="G276" s="224"/>
      <c r="H276" s="225">
        <v>314870</v>
      </c>
      <c r="I276" s="44"/>
      <c r="J276" s="18"/>
      <c r="K276" s="57"/>
      <c r="L276" s="57"/>
      <c r="M276" s="74"/>
      <c r="N276" s="44"/>
      <c r="O276" s="18"/>
      <c r="P276" s="57"/>
      <c r="Q276" s="74"/>
      <c r="R276" s="44"/>
      <c r="S276" s="18"/>
      <c r="T276" s="57"/>
      <c r="U276" s="74"/>
      <c r="V276" s="44"/>
      <c r="W276" s="18"/>
      <c r="X276" s="57"/>
      <c r="Y276" s="74"/>
      <c r="Z276" s="44"/>
      <c r="AA276" s="18"/>
      <c r="AB276" s="57"/>
      <c r="AC276" s="74"/>
    </row>
    <row r="277" spans="1:29" s="72" customFormat="1">
      <c r="A277" s="17" t="s">
        <v>165</v>
      </c>
      <c r="B277" s="7"/>
      <c r="C277" s="55">
        <v>65553</v>
      </c>
      <c r="D277" s="56"/>
      <c r="E277" s="178">
        <v>10.02</v>
      </c>
      <c r="F277" s="224"/>
      <c r="G277" s="224"/>
      <c r="H277" s="225">
        <v>656841</v>
      </c>
      <c r="I277" s="44"/>
      <c r="J277" s="18"/>
      <c r="K277" s="57"/>
      <c r="L277" s="57"/>
      <c r="M277" s="74"/>
      <c r="N277" s="44"/>
      <c r="O277" s="18"/>
      <c r="P277" s="57"/>
      <c r="Q277" s="74"/>
      <c r="R277" s="44"/>
      <c r="S277" s="18"/>
      <c r="T277" s="57"/>
      <c r="U277" s="74"/>
      <c r="V277" s="44"/>
      <c r="W277" s="18"/>
      <c r="X277" s="57"/>
      <c r="Y277" s="74"/>
      <c r="Z277" s="44"/>
      <c r="AA277" s="18"/>
      <c r="AB277" s="57"/>
      <c r="AC277" s="74"/>
    </row>
    <row r="278" spans="1:29" s="72" customFormat="1">
      <c r="A278" s="27" t="s">
        <v>166</v>
      </c>
      <c r="B278" s="7"/>
      <c r="C278" s="55"/>
      <c r="D278" s="56"/>
      <c r="E278" s="250"/>
      <c r="F278" s="230"/>
      <c r="G278" s="230"/>
      <c r="H278" s="225"/>
      <c r="I278" s="44"/>
      <c r="J278" s="33"/>
      <c r="K278" s="70"/>
      <c r="L278" s="70"/>
      <c r="M278" s="74"/>
      <c r="N278" s="44"/>
      <c r="O278" s="33"/>
      <c r="P278" s="70"/>
      <c r="Q278" s="74"/>
      <c r="R278" s="44"/>
      <c r="S278" s="33"/>
      <c r="T278" s="70"/>
      <c r="U278" s="74"/>
      <c r="V278" s="44"/>
      <c r="W278" s="33"/>
      <c r="X278" s="70"/>
      <c r="Y278" s="74"/>
      <c r="Z278" s="44"/>
      <c r="AA278" s="33"/>
      <c r="AB278" s="70"/>
      <c r="AC278" s="74"/>
    </row>
    <row r="279" spans="1:29" s="72" customFormat="1">
      <c r="A279" s="17" t="s">
        <v>167</v>
      </c>
      <c r="B279" s="7"/>
      <c r="C279" s="55">
        <v>6583</v>
      </c>
      <c r="D279" s="56"/>
      <c r="E279" s="178">
        <v>2.5499999999999998</v>
      </c>
      <c r="F279" s="224"/>
      <c r="G279" s="224"/>
      <c r="H279" s="225">
        <v>16787</v>
      </c>
      <c r="I279" s="44"/>
      <c r="J279" s="18"/>
      <c r="K279" s="57"/>
      <c r="L279" s="57"/>
      <c r="M279" s="74"/>
      <c r="N279" s="44"/>
      <c r="O279" s="18"/>
      <c r="P279" s="57"/>
      <c r="Q279" s="74"/>
      <c r="R279" s="44"/>
      <c r="S279" s="18"/>
      <c r="T279" s="57"/>
      <c r="U279" s="74"/>
      <c r="V279" s="44"/>
      <c r="W279" s="18"/>
      <c r="X279" s="57"/>
      <c r="Y279" s="74"/>
      <c r="Z279" s="44"/>
      <c r="AA279" s="18"/>
      <c r="AB279" s="57"/>
      <c r="AC279" s="74"/>
    </row>
    <row r="280" spans="1:29" s="72" customFormat="1">
      <c r="A280" s="17" t="s">
        <v>168</v>
      </c>
      <c r="B280" s="7"/>
      <c r="C280" s="55">
        <v>18818</v>
      </c>
      <c r="D280" s="56"/>
      <c r="E280" s="178">
        <v>4.46</v>
      </c>
      <c r="F280" s="224"/>
      <c r="G280" s="224"/>
      <c r="H280" s="225">
        <v>83928</v>
      </c>
      <c r="I280" s="44"/>
      <c r="J280" s="18"/>
      <c r="K280" s="57"/>
      <c r="L280" s="57"/>
      <c r="M280" s="74"/>
      <c r="N280" s="44"/>
      <c r="O280" s="18"/>
      <c r="P280" s="57"/>
      <c r="Q280" s="74"/>
      <c r="R280" s="44"/>
      <c r="S280" s="18"/>
      <c r="T280" s="57"/>
      <c r="U280" s="74"/>
      <c r="V280" s="44"/>
      <c r="W280" s="18"/>
      <c r="X280" s="57"/>
      <c r="Y280" s="74"/>
      <c r="Z280" s="44"/>
      <c r="AA280" s="18"/>
      <c r="AB280" s="57"/>
      <c r="AC280" s="74"/>
    </row>
    <row r="281" spans="1:29" s="72" customFormat="1">
      <c r="A281" s="17" t="s">
        <v>169</v>
      </c>
      <c r="B281" s="7"/>
      <c r="C281" s="55">
        <v>28281</v>
      </c>
      <c r="D281" s="56"/>
      <c r="E281" s="178">
        <v>6.17</v>
      </c>
      <c r="F281" s="224"/>
      <c r="G281" s="224"/>
      <c r="H281" s="225">
        <v>174494</v>
      </c>
      <c r="I281" s="44"/>
      <c r="J281" s="18"/>
      <c r="K281" s="57"/>
      <c r="L281" s="57"/>
      <c r="M281" s="74"/>
      <c r="N281" s="44"/>
      <c r="O281" s="18"/>
      <c r="P281" s="57"/>
      <c r="Q281" s="74"/>
      <c r="R281" s="44"/>
      <c r="S281" s="18"/>
      <c r="T281" s="57"/>
      <c r="U281" s="74"/>
      <c r="V281" s="44"/>
      <c r="W281" s="18"/>
      <c r="X281" s="57"/>
      <c r="Y281" s="74"/>
      <c r="Z281" s="44"/>
      <c r="AA281" s="18"/>
      <c r="AB281" s="57"/>
      <c r="AC281" s="74"/>
    </row>
    <row r="282" spans="1:29" s="72" customFormat="1">
      <c r="A282" s="17" t="s">
        <v>170</v>
      </c>
      <c r="B282" s="7"/>
      <c r="C282" s="55">
        <v>27914</v>
      </c>
      <c r="D282" s="56"/>
      <c r="E282" s="224">
        <v>9.77</v>
      </c>
      <c r="F282" s="224"/>
      <c r="G282" s="224"/>
      <c r="H282" s="225">
        <v>272720</v>
      </c>
      <c r="I282" s="44"/>
      <c r="J282" s="57"/>
      <c r="K282" s="57"/>
      <c r="L282" s="57"/>
      <c r="M282" s="74"/>
      <c r="N282" s="44"/>
      <c r="O282" s="57"/>
      <c r="P282" s="57"/>
      <c r="Q282" s="74"/>
      <c r="R282" s="44"/>
      <c r="S282" s="57"/>
      <c r="T282" s="57"/>
      <c r="U282" s="74"/>
      <c r="V282" s="44"/>
      <c r="W282" s="57"/>
      <c r="X282" s="57"/>
      <c r="Y282" s="74"/>
      <c r="Z282" s="44"/>
      <c r="AA282" s="57"/>
      <c r="AB282" s="57"/>
      <c r="AC282" s="74"/>
    </row>
    <row r="283" spans="1:29" s="72" customFormat="1">
      <c r="A283" s="27" t="s">
        <v>171</v>
      </c>
      <c r="B283" s="7"/>
      <c r="C283" s="55">
        <v>10059553</v>
      </c>
      <c r="D283" s="56"/>
      <c r="E283" s="256">
        <v>6.5278999999999998</v>
      </c>
      <c r="F283" s="227" t="s">
        <v>16</v>
      </c>
      <c r="G283" s="227"/>
      <c r="H283" s="225">
        <v>656678</v>
      </c>
      <c r="I283" s="44"/>
      <c r="J283" s="78"/>
      <c r="K283" s="25"/>
      <c r="L283" s="25"/>
      <c r="M283" s="74"/>
      <c r="N283" s="44"/>
      <c r="O283" s="78"/>
      <c r="P283" s="25"/>
      <c r="Q283" s="74"/>
      <c r="R283" s="44"/>
      <c r="S283" s="78"/>
      <c r="T283" s="25"/>
      <c r="U283" s="74"/>
      <c r="V283" s="44"/>
      <c r="W283" s="78"/>
      <c r="X283" s="25"/>
      <c r="Y283" s="74"/>
      <c r="Z283" s="44"/>
      <c r="AA283" s="78"/>
      <c r="AB283" s="25"/>
      <c r="AC283" s="74"/>
    </row>
    <row r="284" spans="1:29" s="72" customFormat="1">
      <c r="A284" s="27" t="s">
        <v>172</v>
      </c>
      <c r="B284" s="7"/>
      <c r="C284" s="36">
        <v>49653569.797972836</v>
      </c>
      <c r="D284" s="56"/>
      <c r="E284" s="252"/>
      <c r="F284" s="56"/>
      <c r="G284" s="56"/>
      <c r="H284" s="232">
        <v>3254780</v>
      </c>
      <c r="I284" s="44"/>
      <c r="J284" s="69"/>
      <c r="K284" s="44"/>
      <c r="L284" s="44"/>
      <c r="M284" s="75"/>
      <c r="N284" s="44"/>
      <c r="O284" s="69"/>
      <c r="P284" s="44"/>
      <c r="Q284" s="75"/>
      <c r="R284" s="44"/>
      <c r="S284" s="69"/>
      <c r="T284" s="44"/>
      <c r="U284" s="75"/>
      <c r="V284" s="44"/>
      <c r="W284" s="69"/>
      <c r="X284" s="44"/>
      <c r="Y284" s="75"/>
      <c r="Z284" s="44"/>
      <c r="AA284" s="69"/>
      <c r="AB284" s="44"/>
      <c r="AC284" s="75"/>
    </row>
    <row r="285" spans="1:29" s="72" customFormat="1">
      <c r="A285" s="27" t="s">
        <v>84</v>
      </c>
      <c r="B285" s="7"/>
      <c r="C285" s="21"/>
      <c r="D285" s="56"/>
      <c r="E285" s="256"/>
      <c r="F285" s="227"/>
      <c r="G285" s="227"/>
      <c r="H285" s="231"/>
      <c r="I285" s="44"/>
      <c r="J285" s="78"/>
      <c r="K285" s="79"/>
      <c r="L285" s="79"/>
      <c r="M285" s="73"/>
      <c r="N285" s="44"/>
      <c r="O285" s="78"/>
      <c r="P285" s="79"/>
      <c r="Q285" s="73"/>
      <c r="R285" s="44"/>
      <c r="S285" s="78"/>
      <c r="T285" s="79"/>
      <c r="U285" s="73"/>
      <c r="V285" s="44"/>
      <c r="W285" s="78"/>
      <c r="X285" s="79"/>
      <c r="Y285" s="73"/>
      <c r="Z285" s="44"/>
      <c r="AA285" s="78"/>
      <c r="AB285" s="79"/>
      <c r="AC285" s="73"/>
    </row>
    <row r="286" spans="1:29" s="72" customFormat="1">
      <c r="A286" s="27" t="s">
        <v>157</v>
      </c>
      <c r="B286" s="7"/>
      <c r="C286" s="21">
        <v>49653569.797972836</v>
      </c>
      <c r="D286" s="56"/>
      <c r="E286" s="256"/>
      <c r="F286" s="227"/>
      <c r="G286" s="227"/>
      <c r="H286" s="231">
        <v>3254780</v>
      </c>
      <c r="I286" s="44"/>
      <c r="J286" s="78"/>
      <c r="K286" s="79"/>
      <c r="L286" s="79"/>
      <c r="M286" s="73"/>
      <c r="N286" s="44"/>
      <c r="O286" s="78"/>
      <c r="P286" s="79"/>
      <c r="Q286" s="73"/>
      <c r="R286" s="44"/>
      <c r="S286" s="78"/>
      <c r="T286" s="79"/>
      <c r="U286" s="73"/>
      <c r="V286" s="44"/>
      <c r="W286" s="78"/>
      <c r="X286" s="79"/>
      <c r="Y286" s="73"/>
      <c r="Z286" s="44"/>
      <c r="AA286" s="78"/>
      <c r="AB286" s="79"/>
      <c r="AC286" s="73"/>
    </row>
    <row r="287" spans="1:29" s="72" customFormat="1">
      <c r="A287" s="27" t="s">
        <v>173</v>
      </c>
      <c r="B287" s="7"/>
      <c r="C287" s="36">
        <v>519</v>
      </c>
      <c r="D287" s="56"/>
      <c r="E287" s="252"/>
      <c r="F287" s="56"/>
      <c r="G287" s="56"/>
      <c r="H287" s="232"/>
      <c r="I287" s="44"/>
      <c r="J287" s="69"/>
      <c r="K287" s="44"/>
      <c r="L287" s="44"/>
      <c r="M287" s="75"/>
      <c r="N287" s="44"/>
      <c r="O287" s="69"/>
      <c r="P287" s="44"/>
      <c r="Q287" s="75"/>
      <c r="R287" s="44"/>
      <c r="S287" s="69"/>
      <c r="T287" s="44"/>
      <c r="U287" s="75"/>
      <c r="V287" s="44"/>
      <c r="W287" s="69"/>
      <c r="X287" s="44"/>
      <c r="Y287" s="75"/>
      <c r="Z287" s="44"/>
      <c r="AA287" s="69"/>
      <c r="AB287" s="44"/>
      <c r="AC287" s="75"/>
    </row>
    <row r="288" spans="1:29" s="72" customFormat="1">
      <c r="A288" s="80" t="s">
        <v>174</v>
      </c>
      <c r="B288" s="7"/>
      <c r="C288" s="55"/>
      <c r="D288" s="56"/>
      <c r="E288" s="92"/>
      <c r="F288" s="56"/>
      <c r="G288" s="56"/>
      <c r="H288" s="92"/>
      <c r="I288" s="44"/>
      <c r="J288" s="7"/>
      <c r="K288" s="44"/>
      <c r="L288" s="44"/>
      <c r="M288" s="7"/>
      <c r="N288" s="44"/>
      <c r="O288" s="7"/>
      <c r="P288" s="44"/>
      <c r="Q288" s="7"/>
      <c r="R288" s="44"/>
      <c r="S288" s="7"/>
      <c r="T288" s="44"/>
      <c r="U288" s="7"/>
      <c r="V288" s="44"/>
      <c r="W288" s="7"/>
      <c r="X288" s="44"/>
      <c r="Y288" s="7"/>
      <c r="Z288" s="44"/>
      <c r="AA288" s="7"/>
      <c r="AB288" s="44"/>
      <c r="AC288" s="7"/>
    </row>
    <row r="289" spans="1:29" s="72" customFormat="1">
      <c r="A289" s="27" t="s">
        <v>175</v>
      </c>
      <c r="B289" s="7"/>
      <c r="C289" s="55"/>
      <c r="D289" s="56"/>
      <c r="E289" s="92"/>
      <c r="F289" s="56"/>
      <c r="G289" s="56"/>
      <c r="H289" s="225"/>
      <c r="I289" s="44"/>
      <c r="J289" s="7"/>
      <c r="K289" s="44"/>
      <c r="L289" s="44"/>
      <c r="M289" s="74"/>
      <c r="N289" s="44"/>
      <c r="O289" s="7"/>
      <c r="P289" s="44"/>
      <c r="Q289" s="74"/>
      <c r="R289" s="44"/>
      <c r="S289" s="7"/>
      <c r="T289" s="44"/>
      <c r="U289" s="74"/>
      <c r="V289" s="44"/>
      <c r="W289" s="7"/>
      <c r="X289" s="44"/>
      <c r="Y289" s="74"/>
      <c r="Z289" s="44"/>
      <c r="AA289" s="7"/>
      <c r="AB289" s="44"/>
      <c r="AC289" s="74"/>
    </row>
    <row r="290" spans="1:29" s="72" customFormat="1">
      <c r="A290" s="17" t="s">
        <v>176</v>
      </c>
      <c r="B290" s="7"/>
      <c r="C290" s="55">
        <v>76</v>
      </c>
      <c r="D290" s="56"/>
      <c r="E290" s="178">
        <v>8.9600000000000009</v>
      </c>
      <c r="F290" s="224"/>
      <c r="G290" s="224"/>
      <c r="H290" s="225">
        <v>681</v>
      </c>
      <c r="I290" s="44"/>
      <c r="J290" s="18"/>
      <c r="K290" s="57"/>
      <c r="L290" s="57"/>
      <c r="M290" s="74"/>
      <c r="N290" s="44"/>
      <c r="O290" s="18"/>
      <c r="P290" s="57"/>
      <c r="Q290" s="74"/>
      <c r="R290" s="44"/>
      <c r="S290" s="18"/>
      <c r="T290" s="57"/>
      <c r="U290" s="74"/>
      <c r="V290" s="44"/>
      <c r="W290" s="18"/>
      <c r="X290" s="57"/>
      <c r="Y290" s="74"/>
      <c r="Z290" s="44"/>
      <c r="AA290" s="18"/>
      <c r="AB290" s="57"/>
      <c r="AC290" s="74"/>
    </row>
    <row r="291" spans="1:29" s="72" customFormat="1">
      <c r="A291" s="17" t="s">
        <v>144</v>
      </c>
      <c r="B291" s="7"/>
      <c r="C291" s="55">
        <v>91</v>
      </c>
      <c r="D291" s="56"/>
      <c r="E291" s="178">
        <v>12.19</v>
      </c>
      <c r="F291" s="224"/>
      <c r="G291" s="224"/>
      <c r="H291" s="225">
        <v>1109</v>
      </c>
      <c r="I291" s="44"/>
      <c r="J291" s="18"/>
      <c r="K291" s="57"/>
      <c r="L291" s="57"/>
      <c r="M291" s="74"/>
      <c r="N291" s="44"/>
      <c r="O291" s="18"/>
      <c r="P291" s="57"/>
      <c r="Q291" s="74"/>
      <c r="R291" s="44"/>
      <c r="S291" s="18"/>
      <c r="T291" s="57"/>
      <c r="U291" s="74"/>
      <c r="V291" s="44"/>
      <c r="W291" s="18"/>
      <c r="X291" s="57"/>
      <c r="Y291" s="74"/>
      <c r="Z291" s="44"/>
      <c r="AA291" s="18"/>
      <c r="AB291" s="57"/>
      <c r="AC291" s="74"/>
    </row>
    <row r="292" spans="1:29" s="72" customFormat="1">
      <c r="A292" s="27" t="s">
        <v>177</v>
      </c>
      <c r="B292" s="7"/>
      <c r="C292" s="55"/>
      <c r="D292" s="56"/>
      <c r="E292" s="178"/>
      <c r="F292" s="224"/>
      <c r="G292" s="224"/>
      <c r="H292" s="92"/>
      <c r="I292" s="44"/>
      <c r="J292" s="18"/>
      <c r="K292" s="57"/>
      <c r="L292" s="57"/>
      <c r="M292" s="7"/>
      <c r="N292" s="44"/>
      <c r="O292" s="18"/>
      <c r="P292" s="57"/>
      <c r="Q292" s="7"/>
      <c r="R292" s="44"/>
      <c r="S292" s="18"/>
      <c r="T292" s="57"/>
      <c r="U292" s="7"/>
      <c r="V292" s="44"/>
      <c r="W292" s="18"/>
      <c r="X292" s="57"/>
      <c r="Y292" s="7"/>
      <c r="Z292" s="44"/>
      <c r="AA292" s="18"/>
      <c r="AB292" s="57"/>
      <c r="AC292" s="7"/>
    </row>
    <row r="293" spans="1:29" s="72" customFormat="1">
      <c r="A293" s="17" t="s">
        <v>144</v>
      </c>
      <c r="B293" s="7"/>
      <c r="C293" s="55">
        <v>47</v>
      </c>
      <c r="D293" s="56"/>
      <c r="E293" s="178">
        <v>4.6399999999999997</v>
      </c>
      <c r="F293" s="224"/>
      <c r="G293" s="224"/>
      <c r="H293" s="225">
        <v>218</v>
      </c>
      <c r="I293" s="44"/>
      <c r="J293" s="18"/>
      <c r="K293" s="57"/>
      <c r="L293" s="57"/>
      <c r="M293" s="74"/>
      <c r="N293" s="44"/>
      <c r="O293" s="18"/>
      <c r="P293" s="57"/>
      <c r="Q293" s="74"/>
      <c r="R293" s="44"/>
      <c r="S293" s="18"/>
      <c r="T293" s="57"/>
      <c r="U293" s="74"/>
      <c r="V293" s="44"/>
      <c r="W293" s="18"/>
      <c r="X293" s="57"/>
      <c r="Y293" s="74"/>
      <c r="Z293" s="44"/>
      <c r="AA293" s="18"/>
      <c r="AB293" s="57"/>
      <c r="AC293" s="74"/>
    </row>
    <row r="294" spans="1:29" s="72" customFormat="1">
      <c r="A294" s="17" t="s">
        <v>57</v>
      </c>
      <c r="B294" s="7"/>
      <c r="C294" s="21">
        <v>546</v>
      </c>
      <c r="D294" s="56"/>
      <c r="E294" s="178">
        <v>7</v>
      </c>
      <c r="F294" s="56"/>
      <c r="G294" s="56"/>
      <c r="H294" s="225">
        <v>3822</v>
      </c>
      <c r="I294" s="44"/>
      <c r="J294" s="18"/>
      <c r="K294" s="44"/>
      <c r="L294" s="44"/>
      <c r="M294" s="74"/>
      <c r="N294" s="44"/>
      <c r="O294" s="18"/>
      <c r="P294" s="44"/>
      <c r="Q294" s="74"/>
      <c r="R294" s="44"/>
      <c r="S294" s="18"/>
      <c r="T294" s="44"/>
      <c r="U294" s="74"/>
      <c r="V294" s="44"/>
      <c r="W294" s="18"/>
      <c r="X294" s="44"/>
      <c r="Y294" s="74"/>
      <c r="Z294" s="44"/>
      <c r="AA294" s="18"/>
      <c r="AB294" s="44"/>
      <c r="AC294" s="74"/>
    </row>
    <row r="295" spans="1:29" s="72" customFormat="1">
      <c r="A295" s="17" t="s">
        <v>59</v>
      </c>
      <c r="B295" s="7"/>
      <c r="C295" s="55">
        <v>140</v>
      </c>
      <c r="D295" s="56"/>
      <c r="E295" s="178">
        <v>13.33</v>
      </c>
      <c r="F295" s="224"/>
      <c r="G295" s="224"/>
      <c r="H295" s="225">
        <v>1866</v>
      </c>
      <c r="I295" s="44"/>
      <c r="J295" s="18"/>
      <c r="K295" s="57"/>
      <c r="L295" s="57"/>
      <c r="M295" s="74"/>
      <c r="N295" s="44"/>
      <c r="O295" s="18"/>
      <c r="P295" s="57"/>
      <c r="Q295" s="74"/>
      <c r="R295" s="44"/>
      <c r="S295" s="18"/>
      <c r="T295" s="57"/>
      <c r="U295" s="74"/>
      <c r="V295" s="44"/>
      <c r="W295" s="18"/>
      <c r="X295" s="57"/>
      <c r="Y295" s="74"/>
      <c r="Z295" s="44"/>
      <c r="AA295" s="18"/>
      <c r="AB295" s="57"/>
      <c r="AC295" s="74"/>
    </row>
    <row r="296" spans="1:29" s="72" customFormat="1">
      <c r="A296" s="17" t="s">
        <v>178</v>
      </c>
      <c r="B296" s="7"/>
      <c r="C296" s="55">
        <v>0</v>
      </c>
      <c r="D296" s="56"/>
      <c r="E296" s="178">
        <v>28.38</v>
      </c>
      <c r="F296" s="224"/>
      <c r="G296" s="224"/>
      <c r="H296" s="225">
        <v>0</v>
      </c>
      <c r="I296" s="44"/>
      <c r="J296" s="18"/>
      <c r="K296" s="57"/>
      <c r="L296" s="57"/>
      <c r="M296" s="74"/>
      <c r="N296" s="44"/>
      <c r="O296" s="18"/>
      <c r="P296" s="57"/>
      <c r="Q296" s="74"/>
      <c r="R296" s="44"/>
      <c r="S296" s="18"/>
      <c r="T296" s="57"/>
      <c r="U296" s="74"/>
      <c r="V296" s="44"/>
      <c r="W296" s="18"/>
      <c r="X296" s="57"/>
      <c r="Y296" s="74"/>
      <c r="Z296" s="44"/>
      <c r="AA296" s="18"/>
      <c r="AB296" s="57"/>
      <c r="AC296" s="74"/>
    </row>
    <row r="297" spans="1:29" s="72" customFormat="1">
      <c r="A297" s="27" t="s">
        <v>179</v>
      </c>
      <c r="B297" s="7"/>
      <c r="C297" s="55"/>
      <c r="D297" s="56"/>
      <c r="E297" s="178"/>
      <c r="F297" s="224"/>
      <c r="G297" s="224"/>
      <c r="H297" s="225"/>
      <c r="I297" s="44"/>
      <c r="J297" s="18"/>
      <c r="K297" s="57"/>
      <c r="L297" s="57"/>
      <c r="M297" s="74"/>
      <c r="N297" s="44"/>
      <c r="O297" s="18"/>
      <c r="P297" s="57"/>
      <c r="Q297" s="74"/>
      <c r="R297" s="44"/>
      <c r="S297" s="18"/>
      <c r="T297" s="57"/>
      <c r="U297" s="74"/>
      <c r="V297" s="44"/>
      <c r="W297" s="18"/>
      <c r="X297" s="57"/>
      <c r="Y297" s="74"/>
      <c r="Z297" s="44"/>
      <c r="AA297" s="18"/>
      <c r="AB297" s="57"/>
      <c r="AC297" s="74"/>
    </row>
    <row r="298" spans="1:29" s="72" customFormat="1">
      <c r="A298" s="17" t="s">
        <v>161</v>
      </c>
      <c r="B298" s="7"/>
      <c r="C298" s="55">
        <v>34609</v>
      </c>
      <c r="D298" s="56"/>
      <c r="E298" s="178">
        <v>4.08</v>
      </c>
      <c r="F298" s="224"/>
      <c r="G298" s="224"/>
      <c r="H298" s="225">
        <v>141205</v>
      </c>
      <c r="I298" s="44"/>
      <c r="J298" s="18"/>
      <c r="K298" s="57"/>
      <c r="L298" s="57"/>
      <c r="M298" s="74"/>
      <c r="N298" s="44"/>
      <c r="O298" s="18"/>
      <c r="P298" s="57"/>
      <c r="Q298" s="74"/>
      <c r="R298" s="44"/>
      <c r="S298" s="18"/>
      <c r="T298" s="57"/>
      <c r="U298" s="74"/>
      <c r="V298" s="44"/>
      <c r="W298" s="18"/>
      <c r="X298" s="57"/>
      <c r="Y298" s="74"/>
      <c r="Z298" s="44"/>
      <c r="AA298" s="18"/>
      <c r="AB298" s="57"/>
      <c r="AC298" s="74"/>
    </row>
    <row r="299" spans="1:29" s="72" customFormat="1">
      <c r="A299" s="17" t="s">
        <v>162</v>
      </c>
      <c r="B299" s="7"/>
      <c r="C299" s="55">
        <v>15632</v>
      </c>
      <c r="D299" s="56"/>
      <c r="E299" s="178">
        <v>5.37</v>
      </c>
      <c r="F299" s="224"/>
      <c r="G299" s="224"/>
      <c r="H299" s="225">
        <v>83944</v>
      </c>
      <c r="I299" s="44"/>
      <c r="J299" s="18"/>
      <c r="K299" s="57"/>
      <c r="L299" s="57"/>
      <c r="M299" s="74"/>
      <c r="N299" s="44"/>
      <c r="O299" s="18"/>
      <c r="P299" s="57"/>
      <c r="Q299" s="74"/>
      <c r="R299" s="44"/>
      <c r="S299" s="18"/>
      <c r="T299" s="57"/>
      <c r="U299" s="74"/>
      <c r="V299" s="44"/>
      <c r="W299" s="18"/>
      <c r="X299" s="57"/>
      <c r="Y299" s="74"/>
      <c r="Z299" s="44"/>
      <c r="AA299" s="18"/>
      <c r="AB299" s="57"/>
      <c r="AC299" s="74"/>
    </row>
    <row r="300" spans="1:29" s="72" customFormat="1">
      <c r="A300" s="17" t="s">
        <v>180</v>
      </c>
      <c r="B300" s="7"/>
      <c r="C300" s="55">
        <v>8817</v>
      </c>
      <c r="D300" s="56"/>
      <c r="E300" s="178">
        <v>6.96</v>
      </c>
      <c r="F300" s="224"/>
      <c r="G300" s="224"/>
      <c r="H300" s="225">
        <v>61366</v>
      </c>
      <c r="I300" s="44"/>
      <c r="J300" s="18"/>
      <c r="K300" s="57"/>
      <c r="L300" s="57"/>
      <c r="M300" s="74"/>
      <c r="N300" s="44"/>
      <c r="O300" s="18"/>
      <c r="P300" s="57"/>
      <c r="Q300" s="74"/>
      <c r="R300" s="44"/>
      <c r="S300" s="18"/>
      <c r="T300" s="57"/>
      <c r="U300" s="74"/>
      <c r="V300" s="44"/>
      <c r="W300" s="18"/>
      <c r="X300" s="57"/>
      <c r="Y300" s="74"/>
      <c r="Z300" s="44"/>
      <c r="AA300" s="18"/>
      <c r="AB300" s="57"/>
      <c r="AC300" s="74"/>
    </row>
    <row r="301" spans="1:29" s="72" customFormat="1">
      <c r="A301" s="17" t="s">
        <v>163</v>
      </c>
      <c r="B301" s="7"/>
      <c r="C301" s="55">
        <v>2548</v>
      </c>
      <c r="D301" s="56"/>
      <c r="E301" s="178">
        <v>6.52</v>
      </c>
      <c r="F301" s="224"/>
      <c r="G301" s="224"/>
      <c r="H301" s="225">
        <v>16613</v>
      </c>
      <c r="I301" s="44"/>
      <c r="J301" s="18"/>
      <c r="K301" s="57"/>
      <c r="L301" s="57"/>
      <c r="M301" s="74"/>
      <c r="N301" s="44"/>
      <c r="O301" s="18"/>
      <c r="P301" s="57"/>
      <c r="Q301" s="74"/>
      <c r="R301" s="44"/>
      <c r="S301" s="18"/>
      <c r="T301" s="57"/>
      <c r="U301" s="74"/>
      <c r="V301" s="44"/>
      <c r="W301" s="18"/>
      <c r="X301" s="57"/>
      <c r="Y301" s="74"/>
      <c r="Z301" s="44"/>
      <c r="AA301" s="18"/>
      <c r="AB301" s="57"/>
      <c r="AC301" s="74"/>
    </row>
    <row r="302" spans="1:29" s="72" customFormat="1">
      <c r="A302" s="17" t="s">
        <v>181</v>
      </c>
      <c r="B302" s="7"/>
      <c r="C302" s="55">
        <v>799</v>
      </c>
      <c r="D302" s="56"/>
      <c r="E302" s="178">
        <v>8.27</v>
      </c>
      <c r="F302" s="224"/>
      <c r="G302" s="224"/>
      <c r="H302" s="225">
        <v>6608</v>
      </c>
      <c r="I302" s="44"/>
      <c r="J302" s="18"/>
      <c r="K302" s="57"/>
      <c r="L302" s="57"/>
      <c r="M302" s="74"/>
      <c r="N302" s="44"/>
      <c r="O302" s="18"/>
      <c r="P302" s="57"/>
      <c r="Q302" s="74"/>
      <c r="R302" s="44"/>
      <c r="S302" s="18"/>
      <c r="T302" s="57"/>
      <c r="U302" s="74"/>
      <c r="V302" s="44"/>
      <c r="W302" s="18"/>
      <c r="X302" s="57"/>
      <c r="Y302" s="74"/>
      <c r="Z302" s="44"/>
      <c r="AA302" s="18"/>
      <c r="AB302" s="57"/>
      <c r="AC302" s="74"/>
    </row>
    <row r="303" spans="1:29" s="72" customFormat="1">
      <c r="A303" s="17" t="s">
        <v>182</v>
      </c>
      <c r="B303" s="7"/>
      <c r="C303" s="55">
        <v>0</v>
      </c>
      <c r="D303" s="56"/>
      <c r="E303" s="178">
        <v>8.26</v>
      </c>
      <c r="F303" s="224"/>
      <c r="G303" s="224"/>
      <c r="H303" s="225">
        <v>0</v>
      </c>
      <c r="I303" s="44"/>
      <c r="J303" s="18"/>
      <c r="K303" s="57"/>
      <c r="L303" s="57"/>
      <c r="M303" s="74"/>
      <c r="N303" s="44"/>
      <c r="O303" s="18"/>
      <c r="P303" s="57"/>
      <c r="Q303" s="74"/>
      <c r="R303" s="44"/>
      <c r="S303" s="18"/>
      <c r="T303" s="57"/>
      <c r="U303" s="74"/>
      <c r="V303" s="44"/>
      <c r="W303" s="18"/>
      <c r="X303" s="57"/>
      <c r="Y303" s="74"/>
      <c r="Z303" s="44"/>
      <c r="AA303" s="18"/>
      <c r="AB303" s="57"/>
      <c r="AC303" s="74"/>
    </row>
    <row r="304" spans="1:29" s="72" customFormat="1">
      <c r="A304" s="17" t="s">
        <v>164</v>
      </c>
      <c r="B304" s="7"/>
      <c r="C304" s="55">
        <v>5601</v>
      </c>
      <c r="D304" s="56"/>
      <c r="E304" s="178">
        <v>9.59</v>
      </c>
      <c r="F304" s="224"/>
      <c r="G304" s="224"/>
      <c r="H304" s="225">
        <v>53714</v>
      </c>
      <c r="I304" s="44"/>
      <c r="J304" s="18"/>
      <c r="K304" s="57"/>
      <c r="L304" s="57"/>
      <c r="M304" s="74"/>
      <c r="N304" s="44"/>
      <c r="O304" s="18"/>
      <c r="P304" s="57"/>
      <c r="Q304" s="74"/>
      <c r="R304" s="44"/>
      <c r="S304" s="18"/>
      <c r="T304" s="57"/>
      <c r="U304" s="74"/>
      <c r="V304" s="44"/>
      <c r="W304" s="18"/>
      <c r="X304" s="57"/>
      <c r="Y304" s="74"/>
      <c r="Z304" s="44"/>
      <c r="AA304" s="18"/>
      <c r="AB304" s="57"/>
      <c r="AC304" s="74"/>
    </row>
    <row r="305" spans="1:29" s="72" customFormat="1">
      <c r="A305" s="17" t="s">
        <v>183</v>
      </c>
      <c r="B305" s="7"/>
      <c r="C305" s="55">
        <v>143</v>
      </c>
      <c r="D305" s="56"/>
      <c r="E305" s="178">
        <v>11.93</v>
      </c>
      <c r="F305" s="224"/>
      <c r="G305" s="224"/>
      <c r="H305" s="225">
        <v>1706</v>
      </c>
      <c r="I305" s="44"/>
      <c r="J305" s="18"/>
      <c r="K305" s="57"/>
      <c r="L305" s="57"/>
      <c r="M305" s="74"/>
      <c r="N305" s="44"/>
      <c r="O305" s="18"/>
      <c r="P305" s="57"/>
      <c r="Q305" s="74"/>
      <c r="R305" s="44"/>
      <c r="S305" s="18"/>
      <c r="T305" s="57"/>
      <c r="U305" s="74"/>
      <c r="V305" s="44"/>
      <c r="W305" s="18"/>
      <c r="X305" s="57"/>
      <c r="Y305" s="74"/>
      <c r="Z305" s="44"/>
      <c r="AA305" s="18"/>
      <c r="AB305" s="57"/>
      <c r="AC305" s="74"/>
    </row>
    <row r="306" spans="1:29" s="72" customFormat="1">
      <c r="A306" s="17" t="s">
        <v>165</v>
      </c>
      <c r="B306" s="7"/>
      <c r="C306" s="55">
        <v>10133</v>
      </c>
      <c r="D306" s="56"/>
      <c r="E306" s="178">
        <v>14</v>
      </c>
      <c r="F306" s="224"/>
      <c r="G306" s="224"/>
      <c r="H306" s="225">
        <v>141862</v>
      </c>
      <c r="I306" s="44"/>
      <c r="J306" s="18"/>
      <c r="K306" s="57"/>
      <c r="L306" s="57"/>
      <c r="M306" s="74"/>
      <c r="N306" s="44"/>
      <c r="O306" s="18"/>
      <c r="P306" s="57"/>
      <c r="Q306" s="74"/>
      <c r="R306" s="44"/>
      <c r="S306" s="18"/>
      <c r="T306" s="57"/>
      <c r="U306" s="74"/>
      <c r="V306" s="44"/>
      <c r="W306" s="18"/>
      <c r="X306" s="57"/>
      <c r="Y306" s="74"/>
      <c r="Z306" s="44"/>
      <c r="AA306" s="18"/>
      <c r="AB306" s="57"/>
      <c r="AC306" s="74"/>
    </row>
    <row r="307" spans="1:29" s="72" customFormat="1">
      <c r="A307" s="17" t="s">
        <v>184</v>
      </c>
      <c r="B307" s="7"/>
      <c r="C307" s="55">
        <v>157</v>
      </c>
      <c r="D307" s="56"/>
      <c r="E307" s="178">
        <v>15.56</v>
      </c>
      <c r="F307" s="224"/>
      <c r="G307" s="224"/>
      <c r="H307" s="225">
        <v>2443</v>
      </c>
      <c r="I307" s="44"/>
      <c r="J307" s="18"/>
      <c r="K307" s="57"/>
      <c r="L307" s="57"/>
      <c r="M307" s="74"/>
      <c r="N307" s="44"/>
      <c r="O307" s="18"/>
      <c r="P307" s="57"/>
      <c r="Q307" s="74"/>
      <c r="R307" s="44"/>
      <c r="S307" s="18"/>
      <c r="T307" s="57"/>
      <c r="U307" s="74"/>
      <c r="V307" s="44"/>
      <c r="W307" s="18"/>
      <c r="X307" s="57"/>
      <c r="Y307" s="74"/>
      <c r="Z307" s="44"/>
      <c r="AA307" s="18"/>
      <c r="AB307" s="57"/>
      <c r="AC307" s="74"/>
    </row>
    <row r="308" spans="1:29" s="72" customFormat="1">
      <c r="A308" s="27" t="s">
        <v>166</v>
      </c>
      <c r="B308" s="7"/>
      <c r="C308" s="55"/>
      <c r="D308" s="56"/>
      <c r="E308" s="178"/>
      <c r="F308" s="224"/>
      <c r="G308" s="224"/>
      <c r="H308" s="92"/>
      <c r="I308" s="44"/>
      <c r="J308" s="18"/>
      <c r="K308" s="57"/>
      <c r="L308" s="57"/>
      <c r="M308" s="7"/>
      <c r="N308" s="44"/>
      <c r="O308" s="18"/>
      <c r="P308" s="57"/>
      <c r="Q308" s="7"/>
      <c r="R308" s="44"/>
      <c r="S308" s="18"/>
      <c r="T308" s="57"/>
      <c r="U308" s="7"/>
      <c r="V308" s="44"/>
      <c r="W308" s="18"/>
      <c r="X308" s="57"/>
      <c r="Y308" s="7"/>
      <c r="Z308" s="44"/>
      <c r="AA308" s="18"/>
      <c r="AB308" s="57"/>
      <c r="AC308" s="7"/>
    </row>
    <row r="309" spans="1:29" s="72" customFormat="1">
      <c r="A309" s="17" t="s">
        <v>185</v>
      </c>
      <c r="B309" s="7"/>
      <c r="C309" s="55">
        <v>702</v>
      </c>
      <c r="D309" s="56"/>
      <c r="E309" s="178">
        <v>9.19</v>
      </c>
      <c r="F309" s="224"/>
      <c r="G309" s="224"/>
      <c r="H309" s="225">
        <v>6451</v>
      </c>
      <c r="I309" s="44"/>
      <c r="J309" s="18"/>
      <c r="K309" s="57"/>
      <c r="L309" s="57"/>
      <c r="M309" s="74"/>
      <c r="N309" s="44"/>
      <c r="O309" s="18"/>
      <c r="P309" s="57"/>
      <c r="Q309" s="74"/>
      <c r="R309" s="44"/>
      <c r="S309" s="18"/>
      <c r="T309" s="57"/>
      <c r="U309" s="74"/>
      <c r="V309" s="44"/>
      <c r="W309" s="18"/>
      <c r="X309" s="57"/>
      <c r="Y309" s="74"/>
      <c r="Z309" s="44"/>
      <c r="AA309" s="18"/>
      <c r="AB309" s="57"/>
      <c r="AC309" s="74"/>
    </row>
    <row r="310" spans="1:29" s="72" customFormat="1">
      <c r="A310" s="17" t="s">
        <v>168</v>
      </c>
      <c r="B310" s="7"/>
      <c r="C310" s="55">
        <v>1617</v>
      </c>
      <c r="D310" s="56"/>
      <c r="E310" s="178">
        <v>13.57</v>
      </c>
      <c r="F310" s="224"/>
      <c r="G310" s="224"/>
      <c r="H310" s="225">
        <v>21943</v>
      </c>
      <c r="I310" s="44"/>
      <c r="J310" s="18"/>
      <c r="K310" s="57"/>
      <c r="L310" s="57"/>
      <c r="M310" s="74"/>
      <c r="N310" s="44"/>
      <c r="O310" s="18"/>
      <c r="P310" s="57"/>
      <c r="Q310" s="74"/>
      <c r="R310" s="44"/>
      <c r="S310" s="18"/>
      <c r="T310" s="57"/>
      <c r="U310" s="74"/>
      <c r="V310" s="44"/>
      <c r="W310" s="18"/>
      <c r="X310" s="57"/>
      <c r="Y310" s="74"/>
      <c r="Z310" s="44"/>
      <c r="AA310" s="18"/>
      <c r="AB310" s="57"/>
      <c r="AC310" s="74"/>
    </row>
    <row r="311" spans="1:29" s="72" customFormat="1">
      <c r="A311" s="17" t="s">
        <v>186</v>
      </c>
      <c r="B311" s="7"/>
      <c r="C311" s="55">
        <v>225</v>
      </c>
      <c r="D311" s="56"/>
      <c r="E311" s="178">
        <v>11.09</v>
      </c>
      <c r="F311" s="224"/>
      <c r="G311" s="224"/>
      <c r="H311" s="225">
        <v>2495</v>
      </c>
      <c r="I311" s="44"/>
      <c r="J311" s="18"/>
      <c r="K311" s="57"/>
      <c r="L311" s="57"/>
      <c r="M311" s="74"/>
      <c r="N311" s="44"/>
      <c r="O311" s="18"/>
      <c r="P311" s="57"/>
      <c r="Q311" s="74"/>
      <c r="R311" s="44"/>
      <c r="S311" s="18"/>
      <c r="T311" s="57"/>
      <c r="U311" s="74"/>
      <c r="V311" s="44"/>
      <c r="W311" s="18"/>
      <c r="X311" s="57"/>
      <c r="Y311" s="74"/>
      <c r="Z311" s="44"/>
      <c r="AA311" s="18"/>
      <c r="AB311" s="57"/>
      <c r="AC311" s="74"/>
    </row>
    <row r="312" spans="1:29" s="72" customFormat="1">
      <c r="A312" s="17" t="s">
        <v>169</v>
      </c>
      <c r="B312" s="7"/>
      <c r="C312" s="55">
        <v>518</v>
      </c>
      <c r="D312" s="56"/>
      <c r="E312" s="178">
        <v>13.71</v>
      </c>
      <c r="F312" s="224"/>
      <c r="G312" s="224"/>
      <c r="H312" s="225">
        <v>7102</v>
      </c>
      <c r="I312" s="44"/>
      <c r="J312" s="18"/>
      <c r="K312" s="57"/>
      <c r="L312" s="57"/>
      <c r="M312" s="74"/>
      <c r="N312" s="44"/>
      <c r="O312" s="18"/>
      <c r="P312" s="57"/>
      <c r="Q312" s="74"/>
      <c r="R312" s="44"/>
      <c r="S312" s="18"/>
      <c r="T312" s="57"/>
      <c r="U312" s="74"/>
      <c r="V312" s="44"/>
      <c r="W312" s="18"/>
      <c r="X312" s="57"/>
      <c r="Y312" s="74"/>
      <c r="Z312" s="44"/>
      <c r="AA312" s="18"/>
      <c r="AB312" s="57"/>
      <c r="AC312" s="74"/>
    </row>
    <row r="313" spans="1:29" s="72" customFormat="1">
      <c r="A313" s="17" t="s">
        <v>187</v>
      </c>
      <c r="B313" s="7"/>
      <c r="C313" s="55">
        <v>6034</v>
      </c>
      <c r="D313" s="56"/>
      <c r="E313" s="178">
        <v>14.13</v>
      </c>
      <c r="F313" s="224"/>
      <c r="G313" s="224"/>
      <c r="H313" s="225">
        <v>85260</v>
      </c>
      <c r="I313" s="44"/>
      <c r="J313" s="18"/>
      <c r="K313" s="57"/>
      <c r="L313" s="57"/>
      <c r="M313" s="74"/>
      <c r="N313" s="44"/>
      <c r="O313" s="18"/>
      <c r="P313" s="57"/>
      <c r="Q313" s="74"/>
      <c r="R313" s="44"/>
      <c r="S313" s="18"/>
      <c r="T313" s="57"/>
      <c r="U313" s="74"/>
      <c r="V313" s="44"/>
      <c r="W313" s="18"/>
      <c r="X313" s="57"/>
      <c r="Y313" s="74"/>
      <c r="Z313" s="44"/>
      <c r="AA313" s="18"/>
      <c r="AB313" s="57"/>
      <c r="AC313" s="74"/>
    </row>
    <row r="314" spans="1:29" s="72" customFormat="1">
      <c r="A314" s="17" t="s">
        <v>170</v>
      </c>
      <c r="B314" s="7"/>
      <c r="C314" s="55">
        <v>544</v>
      </c>
      <c r="D314" s="56"/>
      <c r="E314" s="178">
        <v>14.58</v>
      </c>
      <c r="F314" s="224"/>
      <c r="G314" s="224"/>
      <c r="H314" s="225">
        <v>7932</v>
      </c>
      <c r="I314" s="44"/>
      <c r="J314" s="18"/>
      <c r="K314" s="57"/>
      <c r="L314" s="57"/>
      <c r="M314" s="74"/>
      <c r="N314" s="44"/>
      <c r="O314" s="18"/>
      <c r="P314" s="57"/>
      <c r="Q314" s="74"/>
      <c r="R314" s="44"/>
      <c r="S314" s="18"/>
      <c r="T314" s="57"/>
      <c r="U314" s="74"/>
      <c r="V314" s="44"/>
      <c r="W314" s="18"/>
      <c r="X314" s="57"/>
      <c r="Y314" s="74"/>
      <c r="Z314" s="44"/>
      <c r="AA314" s="18"/>
      <c r="AB314" s="57"/>
      <c r="AC314" s="74"/>
    </row>
    <row r="315" spans="1:29" s="72" customFormat="1">
      <c r="A315" s="17" t="s">
        <v>188</v>
      </c>
      <c r="B315" s="7"/>
      <c r="C315" s="21">
        <v>669</v>
      </c>
      <c r="D315" s="56"/>
      <c r="E315" s="224">
        <v>15.79</v>
      </c>
      <c r="F315" s="224"/>
      <c r="G315" s="224"/>
      <c r="H315" s="225">
        <v>10564</v>
      </c>
      <c r="I315" s="44"/>
      <c r="J315" s="57"/>
      <c r="K315" s="57"/>
      <c r="L315" s="57"/>
      <c r="M315" s="74"/>
      <c r="N315" s="44"/>
      <c r="O315" s="57"/>
      <c r="P315" s="57"/>
      <c r="Q315" s="74"/>
      <c r="R315" s="44"/>
      <c r="S315" s="57"/>
      <c r="T315" s="57"/>
      <c r="U315" s="74"/>
      <c r="V315" s="44"/>
      <c r="W315" s="57"/>
      <c r="X315" s="57"/>
      <c r="Y315" s="74"/>
      <c r="Z315" s="44"/>
      <c r="AA315" s="57"/>
      <c r="AB315" s="57"/>
      <c r="AC315" s="74"/>
    </row>
    <row r="316" spans="1:29" s="72" customFormat="1">
      <c r="A316" s="27" t="s">
        <v>189</v>
      </c>
      <c r="B316" s="7"/>
      <c r="C316" s="55"/>
      <c r="D316" s="56"/>
      <c r="E316" s="178"/>
      <c r="F316" s="224"/>
      <c r="G316" s="224"/>
      <c r="H316" s="225"/>
      <c r="I316" s="44"/>
      <c r="J316" s="18"/>
      <c r="K316" s="57"/>
      <c r="L316" s="57"/>
      <c r="M316" s="74"/>
      <c r="N316" s="44"/>
      <c r="O316" s="18"/>
      <c r="P316" s="57"/>
      <c r="Q316" s="74"/>
      <c r="R316" s="44"/>
      <c r="S316" s="18"/>
      <c r="T316" s="57"/>
      <c r="U316" s="74"/>
      <c r="V316" s="44"/>
      <c r="W316" s="18"/>
      <c r="X316" s="57"/>
      <c r="Y316" s="74"/>
      <c r="Z316" s="44"/>
      <c r="AA316" s="18"/>
      <c r="AB316" s="57"/>
      <c r="AC316" s="74"/>
    </row>
    <row r="317" spans="1:29" s="72" customFormat="1">
      <c r="A317" s="17" t="s">
        <v>190</v>
      </c>
      <c r="B317" s="7"/>
      <c r="C317" s="55">
        <v>0</v>
      </c>
      <c r="D317" s="56"/>
      <c r="E317" s="178">
        <v>3.75</v>
      </c>
      <c r="F317" s="224"/>
      <c r="G317" s="224"/>
      <c r="H317" s="225">
        <v>0</v>
      </c>
      <c r="I317" s="44"/>
      <c r="J317" s="18"/>
      <c r="K317" s="57"/>
      <c r="L317" s="57"/>
      <c r="M317" s="74"/>
      <c r="N317" s="44"/>
      <c r="O317" s="18"/>
      <c r="P317" s="57"/>
      <c r="Q317" s="74"/>
      <c r="R317" s="44"/>
      <c r="S317" s="18"/>
      <c r="T317" s="57"/>
      <c r="U317" s="74"/>
      <c r="V317" s="44"/>
      <c r="W317" s="18"/>
      <c r="X317" s="57"/>
      <c r="Y317" s="74"/>
      <c r="Z317" s="44"/>
      <c r="AA317" s="18"/>
      <c r="AB317" s="57"/>
      <c r="AC317" s="74"/>
    </row>
    <row r="318" spans="1:29" s="72" customFormat="1">
      <c r="A318" s="17" t="s">
        <v>191</v>
      </c>
      <c r="B318" s="7"/>
      <c r="C318" s="55">
        <v>83</v>
      </c>
      <c r="D318" s="56"/>
      <c r="E318" s="178">
        <v>13.92</v>
      </c>
      <c r="F318" s="224"/>
      <c r="G318" s="224"/>
      <c r="H318" s="225">
        <v>1155</v>
      </c>
      <c r="I318" s="44"/>
      <c r="J318" s="18"/>
      <c r="K318" s="57"/>
      <c r="L318" s="57"/>
      <c r="M318" s="74"/>
      <c r="N318" s="44"/>
      <c r="O318" s="18"/>
      <c r="P318" s="57"/>
      <c r="Q318" s="74"/>
      <c r="R318" s="44"/>
      <c r="S318" s="18"/>
      <c r="T318" s="57"/>
      <c r="U318" s="74"/>
      <c r="V318" s="44"/>
      <c r="W318" s="18"/>
      <c r="X318" s="57"/>
      <c r="Y318" s="74"/>
      <c r="Z318" s="44"/>
      <c r="AA318" s="18"/>
      <c r="AB318" s="57"/>
      <c r="AC318" s="74"/>
    </row>
    <row r="319" spans="1:29" s="72" customFormat="1">
      <c r="A319" s="27" t="s">
        <v>172</v>
      </c>
      <c r="B319" s="7"/>
      <c r="C319" s="36">
        <v>5219064.5578195509</v>
      </c>
      <c r="D319" s="56"/>
      <c r="E319" s="252"/>
      <c r="F319" s="56"/>
      <c r="G319" s="56"/>
      <c r="H319" s="232">
        <v>660059</v>
      </c>
      <c r="I319" s="44"/>
      <c r="J319" s="69"/>
      <c r="K319" s="44"/>
      <c r="L319" s="44"/>
      <c r="M319" s="75"/>
      <c r="N319" s="44"/>
      <c r="O319" s="69"/>
      <c r="P319" s="44"/>
      <c r="Q319" s="75"/>
      <c r="R319" s="44"/>
      <c r="S319" s="69"/>
      <c r="T319" s="44"/>
      <c r="U319" s="75"/>
      <c r="V319" s="44"/>
      <c r="W319" s="69"/>
      <c r="X319" s="44"/>
      <c r="Y319" s="75"/>
      <c r="Z319" s="44"/>
      <c r="AA319" s="69"/>
      <c r="AB319" s="44"/>
      <c r="AC319" s="75"/>
    </row>
    <row r="320" spans="1:29" s="72" customFormat="1">
      <c r="A320" s="27" t="s">
        <v>84</v>
      </c>
      <c r="B320" s="7"/>
      <c r="C320" s="21"/>
      <c r="D320" s="56"/>
      <c r="E320" s="178"/>
      <c r="F320" s="227"/>
      <c r="G320" s="227"/>
      <c r="H320" s="231"/>
      <c r="I320" s="44"/>
      <c r="J320" s="18"/>
      <c r="K320" s="79"/>
      <c r="L320" s="79"/>
      <c r="M320" s="73"/>
      <c r="N320" s="44"/>
      <c r="O320" s="18"/>
      <c r="P320" s="79"/>
      <c r="Q320" s="73"/>
      <c r="R320" s="44"/>
      <c r="S320" s="18"/>
      <c r="T320" s="79"/>
      <c r="U320" s="73"/>
      <c r="V320" s="44"/>
      <c r="W320" s="18"/>
      <c r="X320" s="79"/>
      <c r="Y320" s="73"/>
      <c r="Z320" s="44"/>
      <c r="AA320" s="18"/>
      <c r="AB320" s="79"/>
      <c r="AC320" s="73"/>
    </row>
    <row r="321" spans="1:29" s="72" customFormat="1">
      <c r="A321" s="27" t="s">
        <v>157</v>
      </c>
      <c r="B321" s="7"/>
      <c r="C321" s="21">
        <v>5219064.5578195509</v>
      </c>
      <c r="D321" s="56"/>
      <c r="E321" s="178"/>
      <c r="F321" s="227"/>
      <c r="G321" s="227"/>
      <c r="H321" s="231">
        <v>660059</v>
      </c>
      <c r="I321" s="44"/>
      <c r="J321" s="18"/>
      <c r="K321" s="79"/>
      <c r="L321" s="79"/>
      <c r="M321" s="73"/>
      <c r="N321" s="44"/>
      <c r="O321" s="18"/>
      <c r="P321" s="79"/>
      <c r="Q321" s="73"/>
      <c r="R321" s="44"/>
      <c r="S321" s="18"/>
      <c r="T321" s="79"/>
      <c r="U321" s="73"/>
      <c r="V321" s="44"/>
      <c r="W321" s="18"/>
      <c r="X321" s="79"/>
      <c r="Y321" s="73"/>
      <c r="Z321" s="44"/>
      <c r="AA321" s="18"/>
      <c r="AB321" s="79"/>
      <c r="AC321" s="73"/>
    </row>
    <row r="322" spans="1:29" s="72" customFormat="1">
      <c r="A322" s="27" t="s">
        <v>173</v>
      </c>
      <c r="B322" s="7"/>
      <c r="C322" s="36">
        <v>221</v>
      </c>
      <c r="D322" s="56"/>
      <c r="E322" s="252"/>
      <c r="F322" s="56"/>
      <c r="G322" s="56"/>
      <c r="H322" s="232"/>
      <c r="I322" s="44"/>
      <c r="J322" s="69"/>
      <c r="K322" s="44"/>
      <c r="L322" s="44"/>
      <c r="M322" s="75"/>
      <c r="N322" s="44"/>
      <c r="O322" s="69"/>
      <c r="P322" s="44"/>
      <c r="Q322" s="75"/>
      <c r="R322" s="44"/>
      <c r="S322" s="69"/>
      <c r="T322" s="44"/>
      <c r="U322" s="75"/>
      <c r="V322" s="44"/>
      <c r="W322" s="69"/>
      <c r="X322" s="44"/>
      <c r="Y322" s="75"/>
      <c r="Z322" s="44"/>
      <c r="AA322" s="69"/>
      <c r="AB322" s="44"/>
      <c r="AC322" s="75"/>
    </row>
    <row r="323" spans="1:29" s="72" customFormat="1">
      <c r="A323" s="80" t="s">
        <v>192</v>
      </c>
      <c r="B323" s="7"/>
      <c r="C323" s="55"/>
      <c r="D323" s="56"/>
      <c r="E323" s="178"/>
      <c r="F323" s="224"/>
      <c r="G323" s="224"/>
      <c r="H323" s="92"/>
      <c r="I323" s="44"/>
      <c r="J323" s="18"/>
      <c r="K323" s="57"/>
      <c r="L323" s="57"/>
      <c r="M323" s="7"/>
      <c r="N323" s="44"/>
      <c r="O323" s="18"/>
      <c r="P323" s="57"/>
      <c r="Q323" s="7"/>
      <c r="R323" s="44"/>
      <c r="S323" s="18"/>
      <c r="T323" s="57"/>
      <c r="U323" s="7"/>
      <c r="V323" s="44"/>
      <c r="W323" s="18"/>
      <c r="X323" s="57"/>
      <c r="Y323" s="7"/>
      <c r="Z323" s="44"/>
      <c r="AA323" s="18"/>
      <c r="AB323" s="57"/>
      <c r="AC323" s="7"/>
    </row>
    <row r="324" spans="1:29" s="72" customFormat="1">
      <c r="A324" s="27" t="s">
        <v>175</v>
      </c>
      <c r="B324" s="7"/>
      <c r="C324" s="55"/>
      <c r="D324" s="56"/>
      <c r="E324" s="178"/>
      <c r="F324" s="224"/>
      <c r="G324" s="224"/>
      <c r="H324" s="225"/>
      <c r="I324" s="44"/>
      <c r="J324" s="18"/>
      <c r="K324" s="57"/>
      <c r="L324" s="57"/>
      <c r="M324" s="74"/>
      <c r="N324" s="44"/>
      <c r="O324" s="18"/>
      <c r="P324" s="57"/>
      <c r="Q324" s="74"/>
      <c r="R324" s="44"/>
      <c r="S324" s="18"/>
      <c r="T324" s="57"/>
      <c r="U324" s="74"/>
      <c r="V324" s="44"/>
      <c r="W324" s="18"/>
      <c r="X324" s="57"/>
      <c r="Y324" s="74"/>
      <c r="Z324" s="44"/>
      <c r="AA324" s="18"/>
      <c r="AB324" s="57"/>
      <c r="AC324" s="74"/>
    </row>
    <row r="325" spans="1:29" s="72" customFormat="1">
      <c r="A325" s="17" t="s">
        <v>151</v>
      </c>
      <c r="B325" s="7"/>
      <c r="C325" s="55">
        <v>36</v>
      </c>
      <c r="D325" s="56"/>
      <c r="E325" s="178">
        <v>17.73</v>
      </c>
      <c r="F325" s="224"/>
      <c r="G325" s="224"/>
      <c r="H325" s="225">
        <v>638</v>
      </c>
      <c r="I325" s="44"/>
      <c r="J325" s="18"/>
      <c r="K325" s="57"/>
      <c r="L325" s="57"/>
      <c r="M325" s="74"/>
      <c r="N325" s="44"/>
      <c r="O325" s="18"/>
      <c r="P325" s="57"/>
      <c r="Q325" s="74"/>
      <c r="R325" s="44"/>
      <c r="S325" s="18"/>
      <c r="T325" s="57"/>
      <c r="U325" s="74"/>
      <c r="V325" s="44"/>
      <c r="W325" s="18"/>
      <c r="X325" s="57"/>
      <c r="Y325" s="74"/>
      <c r="Z325" s="44"/>
      <c r="AA325" s="18"/>
      <c r="AB325" s="57"/>
      <c r="AC325" s="74"/>
    </row>
    <row r="326" spans="1:29" s="72" customFormat="1">
      <c r="A326" s="17" t="s">
        <v>145</v>
      </c>
      <c r="B326" s="7"/>
      <c r="C326" s="55">
        <v>12</v>
      </c>
      <c r="D326" s="56"/>
      <c r="E326" s="178">
        <v>23.4</v>
      </c>
      <c r="F326" s="224"/>
      <c r="G326" s="224"/>
      <c r="H326" s="225">
        <v>281</v>
      </c>
      <c r="I326" s="44"/>
      <c r="J326" s="18"/>
      <c r="K326" s="57"/>
      <c r="L326" s="57"/>
      <c r="M326" s="74"/>
      <c r="N326" s="44"/>
      <c r="O326" s="18"/>
      <c r="P326" s="57"/>
      <c r="Q326" s="74"/>
      <c r="R326" s="44"/>
      <c r="S326" s="18"/>
      <c r="T326" s="57"/>
      <c r="U326" s="74"/>
      <c r="V326" s="44"/>
      <c r="W326" s="18"/>
      <c r="X326" s="57"/>
      <c r="Y326" s="74"/>
      <c r="Z326" s="44"/>
      <c r="AA326" s="18"/>
      <c r="AB326" s="57"/>
      <c r="AC326" s="74"/>
    </row>
    <row r="327" spans="1:29" s="72" customFormat="1">
      <c r="A327" s="27" t="s">
        <v>177</v>
      </c>
      <c r="B327" s="7"/>
      <c r="C327" s="55"/>
      <c r="D327" s="56"/>
      <c r="E327" s="92"/>
      <c r="F327" s="56"/>
      <c r="G327" s="56"/>
      <c r="H327" s="92"/>
      <c r="I327" s="44"/>
      <c r="J327" s="7"/>
      <c r="K327" s="44"/>
      <c r="L327" s="44"/>
      <c r="M327" s="7"/>
      <c r="N327" s="44"/>
      <c r="O327" s="7"/>
      <c r="P327" s="44"/>
      <c r="Q327" s="7"/>
      <c r="R327" s="44"/>
      <c r="S327" s="7"/>
      <c r="T327" s="44"/>
      <c r="U327" s="7"/>
      <c r="V327" s="44"/>
      <c r="W327" s="7"/>
      <c r="X327" s="44"/>
      <c r="Y327" s="7"/>
      <c r="Z327" s="44"/>
      <c r="AA327" s="7"/>
      <c r="AB327" s="44"/>
      <c r="AC327" s="7"/>
    </row>
    <row r="328" spans="1:29" s="72" customFormat="1">
      <c r="A328" s="17" t="s">
        <v>57</v>
      </c>
      <c r="B328" s="7"/>
      <c r="C328" s="55">
        <v>42</v>
      </c>
      <c r="D328" s="56"/>
      <c r="E328" s="178">
        <v>8.0299999999999994</v>
      </c>
      <c r="F328" s="224"/>
      <c r="G328" s="224"/>
      <c r="H328" s="225">
        <v>337</v>
      </c>
      <c r="I328" s="44"/>
      <c r="J328" s="18"/>
      <c r="K328" s="57"/>
      <c r="L328" s="57"/>
      <c r="M328" s="74"/>
      <c r="N328" s="44"/>
      <c r="O328" s="18"/>
      <c r="P328" s="57"/>
      <c r="Q328" s="74"/>
      <c r="R328" s="44"/>
      <c r="S328" s="18"/>
      <c r="T328" s="57"/>
      <c r="U328" s="74"/>
      <c r="V328" s="44"/>
      <c r="W328" s="18"/>
      <c r="X328" s="57"/>
      <c r="Y328" s="74"/>
      <c r="Z328" s="44"/>
      <c r="AA328" s="18"/>
      <c r="AB328" s="57"/>
      <c r="AC328" s="74"/>
    </row>
    <row r="329" spans="1:29" s="72" customFormat="1">
      <c r="A329" s="17" t="s">
        <v>59</v>
      </c>
      <c r="B329" s="7"/>
      <c r="C329" s="55">
        <v>0</v>
      </c>
      <c r="D329" s="56"/>
      <c r="E329" s="178">
        <v>15.3</v>
      </c>
      <c r="F329" s="224"/>
      <c r="G329" s="224"/>
      <c r="H329" s="225">
        <v>0</v>
      </c>
      <c r="I329" s="44"/>
      <c r="J329" s="18"/>
      <c r="K329" s="57"/>
      <c r="L329" s="57"/>
      <c r="M329" s="74"/>
      <c r="N329" s="44"/>
      <c r="O329" s="18"/>
      <c r="P329" s="57"/>
      <c r="Q329" s="74"/>
      <c r="R329" s="44"/>
      <c r="S329" s="18"/>
      <c r="T329" s="57"/>
      <c r="U329" s="74"/>
      <c r="V329" s="44"/>
      <c r="W329" s="18"/>
      <c r="X329" s="57"/>
      <c r="Y329" s="74"/>
      <c r="Z329" s="44"/>
      <c r="AA329" s="18"/>
      <c r="AB329" s="57"/>
      <c r="AC329" s="74"/>
    </row>
    <row r="330" spans="1:29" s="72" customFormat="1">
      <c r="A330" s="17" t="s">
        <v>178</v>
      </c>
      <c r="B330" s="7"/>
      <c r="C330" s="55">
        <v>96</v>
      </c>
      <c r="D330" s="56"/>
      <c r="E330" s="224">
        <v>32.479999999999997</v>
      </c>
      <c r="F330" s="224"/>
      <c r="G330" s="224"/>
      <c r="H330" s="225">
        <v>3118</v>
      </c>
      <c r="I330" s="44"/>
      <c r="J330" s="57"/>
      <c r="K330" s="57"/>
      <c r="L330" s="57"/>
      <c r="M330" s="74"/>
      <c r="N330" s="44"/>
      <c r="O330" s="57"/>
      <c r="P330" s="57"/>
      <c r="Q330" s="74"/>
      <c r="R330" s="44"/>
      <c r="S330" s="57"/>
      <c r="T330" s="57"/>
      <c r="U330" s="74"/>
      <c r="V330" s="44"/>
      <c r="W330" s="57"/>
      <c r="X330" s="57"/>
      <c r="Y330" s="74"/>
      <c r="Z330" s="44"/>
      <c r="AA330" s="57"/>
      <c r="AB330" s="57"/>
      <c r="AC330" s="74"/>
    </row>
    <row r="331" spans="1:29" s="72" customFormat="1">
      <c r="A331" s="27" t="s">
        <v>193</v>
      </c>
      <c r="B331" s="7"/>
      <c r="C331" s="55"/>
      <c r="D331" s="56"/>
      <c r="E331" s="250"/>
      <c r="F331" s="230"/>
      <c r="G331" s="230"/>
      <c r="H331" s="225"/>
      <c r="I331" s="44"/>
      <c r="J331" s="33"/>
      <c r="K331" s="70"/>
      <c r="L331" s="70"/>
      <c r="M331" s="74"/>
      <c r="N331" s="44"/>
      <c r="O331" s="33"/>
      <c r="P331" s="70"/>
      <c r="Q331" s="74"/>
      <c r="R331" s="44"/>
      <c r="S331" s="33"/>
      <c r="T331" s="70"/>
      <c r="U331" s="74"/>
      <c r="V331" s="44"/>
      <c r="W331" s="33"/>
      <c r="X331" s="70"/>
      <c r="Y331" s="74"/>
      <c r="Z331" s="44"/>
      <c r="AA331" s="33"/>
      <c r="AB331" s="70"/>
      <c r="AC331" s="74"/>
    </row>
    <row r="332" spans="1:29" s="72" customFormat="1">
      <c r="A332" s="17" t="s">
        <v>161</v>
      </c>
      <c r="B332" s="7"/>
      <c r="C332" s="55">
        <v>4275</v>
      </c>
      <c r="D332" s="56"/>
      <c r="E332" s="178">
        <v>4.68</v>
      </c>
      <c r="F332" s="224"/>
      <c r="G332" s="224"/>
      <c r="H332" s="225">
        <v>20007</v>
      </c>
      <c r="I332" s="44"/>
      <c r="J332" s="18"/>
      <c r="K332" s="57"/>
      <c r="L332" s="57"/>
      <c r="M332" s="74"/>
      <c r="N332" s="44"/>
      <c r="O332" s="18"/>
      <c r="P332" s="57"/>
      <c r="Q332" s="74"/>
      <c r="R332" s="44"/>
      <c r="S332" s="18"/>
      <c r="T332" s="57"/>
      <c r="U332" s="74"/>
      <c r="V332" s="44"/>
      <c r="W332" s="18"/>
      <c r="X332" s="57"/>
      <c r="Y332" s="74"/>
      <c r="Z332" s="44"/>
      <c r="AA332" s="18"/>
      <c r="AB332" s="57"/>
      <c r="AC332" s="74"/>
    </row>
    <row r="333" spans="1:29" s="72" customFormat="1">
      <c r="A333" s="17" t="s">
        <v>162</v>
      </c>
      <c r="B333" s="7"/>
      <c r="C333" s="55">
        <v>14686</v>
      </c>
      <c r="D333" s="56"/>
      <c r="E333" s="178">
        <v>6.16</v>
      </c>
      <c r="F333" s="224"/>
      <c r="G333" s="224"/>
      <c r="H333" s="225">
        <v>90466</v>
      </c>
      <c r="I333" s="44"/>
      <c r="J333" s="18"/>
      <c r="K333" s="57"/>
      <c r="L333" s="57"/>
      <c r="M333" s="74"/>
      <c r="N333" s="44"/>
      <c r="O333" s="18"/>
      <c r="P333" s="57"/>
      <c r="Q333" s="74"/>
      <c r="R333" s="44"/>
      <c r="S333" s="18"/>
      <c r="T333" s="57"/>
      <c r="U333" s="74"/>
      <c r="V333" s="44"/>
      <c r="W333" s="18"/>
      <c r="X333" s="57"/>
      <c r="Y333" s="74"/>
      <c r="Z333" s="44"/>
      <c r="AA333" s="18"/>
      <c r="AB333" s="57"/>
      <c r="AC333" s="74"/>
    </row>
    <row r="334" spans="1:29" s="72" customFormat="1">
      <c r="A334" s="17" t="s">
        <v>163</v>
      </c>
      <c r="B334" s="7"/>
      <c r="C334" s="55">
        <v>1259</v>
      </c>
      <c r="D334" s="56"/>
      <c r="E334" s="178">
        <v>7.47</v>
      </c>
      <c r="F334" s="224"/>
      <c r="G334" s="224"/>
      <c r="H334" s="225">
        <v>9405</v>
      </c>
      <c r="I334" s="44"/>
      <c r="J334" s="18"/>
      <c r="K334" s="57"/>
      <c r="L334" s="57"/>
      <c r="M334" s="74"/>
      <c r="N334" s="44"/>
      <c r="O334" s="18"/>
      <c r="P334" s="57"/>
      <c r="Q334" s="74"/>
      <c r="R334" s="44"/>
      <c r="S334" s="18"/>
      <c r="T334" s="57"/>
      <c r="U334" s="74"/>
      <c r="V334" s="44"/>
      <c r="W334" s="18"/>
      <c r="X334" s="57"/>
      <c r="Y334" s="74"/>
      <c r="Z334" s="44"/>
      <c r="AA334" s="18"/>
      <c r="AB334" s="57"/>
      <c r="AC334" s="74"/>
    </row>
    <row r="335" spans="1:29" s="72" customFormat="1">
      <c r="A335" s="17" t="s">
        <v>67</v>
      </c>
      <c r="B335" s="7"/>
      <c r="C335" s="55">
        <v>0</v>
      </c>
      <c r="D335" s="56"/>
      <c r="E335" s="178">
        <v>9.44</v>
      </c>
      <c r="F335" s="224"/>
      <c r="G335" s="224"/>
      <c r="H335" s="225">
        <v>0</v>
      </c>
      <c r="I335" s="44"/>
      <c r="J335" s="18"/>
      <c r="K335" s="57"/>
      <c r="L335" s="57"/>
      <c r="M335" s="74"/>
      <c r="N335" s="44"/>
      <c r="O335" s="18"/>
      <c r="P335" s="57"/>
      <c r="Q335" s="74"/>
      <c r="R335" s="44"/>
      <c r="S335" s="18"/>
      <c r="T335" s="57"/>
      <c r="U335" s="74"/>
      <c r="V335" s="44"/>
      <c r="W335" s="18"/>
      <c r="X335" s="57"/>
      <c r="Y335" s="74"/>
      <c r="Z335" s="44"/>
      <c r="AA335" s="18"/>
      <c r="AB335" s="57"/>
      <c r="AC335" s="74"/>
    </row>
    <row r="336" spans="1:29" s="72" customFormat="1">
      <c r="A336" s="17" t="s">
        <v>164</v>
      </c>
      <c r="B336" s="7"/>
      <c r="C336" s="55">
        <v>2408</v>
      </c>
      <c r="D336" s="56"/>
      <c r="E336" s="178">
        <v>10.99</v>
      </c>
      <c r="F336" s="224"/>
      <c r="G336" s="224"/>
      <c r="H336" s="225">
        <v>26464</v>
      </c>
      <c r="I336" s="44"/>
      <c r="J336" s="18"/>
      <c r="K336" s="57"/>
      <c r="L336" s="57"/>
      <c r="M336" s="74"/>
      <c r="N336" s="44"/>
      <c r="O336" s="18"/>
      <c r="P336" s="57"/>
      <c r="Q336" s="74"/>
      <c r="R336" s="44"/>
      <c r="S336" s="18"/>
      <c r="T336" s="57"/>
      <c r="U336" s="74"/>
      <c r="V336" s="44"/>
      <c r="W336" s="18"/>
      <c r="X336" s="57"/>
      <c r="Y336" s="74"/>
      <c r="Z336" s="44"/>
      <c r="AA336" s="18"/>
      <c r="AB336" s="57"/>
      <c r="AC336" s="74"/>
    </row>
    <row r="337" spans="1:29" s="72" customFormat="1">
      <c r="A337" s="17" t="s">
        <v>165</v>
      </c>
      <c r="B337" s="7"/>
      <c r="C337" s="55">
        <v>1967</v>
      </c>
      <c r="D337" s="56"/>
      <c r="E337" s="178">
        <v>16.02</v>
      </c>
      <c r="F337" s="224"/>
      <c r="G337" s="224"/>
      <c r="H337" s="225">
        <v>31511</v>
      </c>
      <c r="I337" s="44"/>
      <c r="J337" s="18"/>
      <c r="K337" s="57"/>
      <c r="L337" s="57"/>
      <c r="M337" s="74"/>
      <c r="N337" s="44"/>
      <c r="O337" s="18"/>
      <c r="P337" s="57"/>
      <c r="Q337" s="74"/>
      <c r="R337" s="44"/>
      <c r="S337" s="18"/>
      <c r="T337" s="57"/>
      <c r="U337" s="74"/>
      <c r="V337" s="44"/>
      <c r="W337" s="18"/>
      <c r="X337" s="57"/>
      <c r="Y337" s="74"/>
      <c r="Z337" s="44"/>
      <c r="AA337" s="18"/>
      <c r="AB337" s="57"/>
      <c r="AC337" s="74"/>
    </row>
    <row r="338" spans="1:29" s="72" customFormat="1">
      <c r="A338" s="27" t="s">
        <v>166</v>
      </c>
      <c r="B338" s="7"/>
      <c r="C338" s="55"/>
      <c r="D338" s="56"/>
      <c r="E338" s="92"/>
      <c r="F338" s="56"/>
      <c r="G338" s="56"/>
      <c r="H338" s="92"/>
      <c r="I338" s="44"/>
      <c r="J338" s="7"/>
      <c r="K338" s="44"/>
      <c r="L338" s="44"/>
      <c r="M338" s="7"/>
      <c r="N338" s="44"/>
      <c r="O338" s="7"/>
      <c r="P338" s="44"/>
      <c r="Q338" s="7"/>
      <c r="R338" s="44"/>
      <c r="S338" s="7"/>
      <c r="T338" s="44"/>
      <c r="U338" s="7"/>
      <c r="V338" s="44"/>
      <c r="W338" s="7"/>
      <c r="X338" s="44"/>
      <c r="Y338" s="7"/>
      <c r="Z338" s="44"/>
      <c r="AA338" s="7"/>
      <c r="AB338" s="44"/>
      <c r="AC338" s="7"/>
    </row>
    <row r="339" spans="1:29" s="72" customFormat="1">
      <c r="A339" s="17" t="s">
        <v>168</v>
      </c>
      <c r="B339" s="7"/>
      <c r="C339" s="55">
        <v>1188</v>
      </c>
      <c r="D339" s="56"/>
      <c r="E339" s="178">
        <v>15.58</v>
      </c>
      <c r="F339" s="224"/>
      <c r="G339" s="224"/>
      <c r="H339" s="225">
        <v>18509</v>
      </c>
      <c r="I339" s="44"/>
      <c r="J339" s="18"/>
      <c r="K339" s="57"/>
      <c r="L339" s="57"/>
      <c r="M339" s="74"/>
      <c r="N339" s="44"/>
      <c r="O339" s="18"/>
      <c r="P339" s="57"/>
      <c r="Q339" s="74"/>
      <c r="R339" s="44"/>
      <c r="S339" s="18"/>
      <c r="T339" s="57"/>
      <c r="U339" s="74"/>
      <c r="V339" s="44"/>
      <c r="W339" s="18"/>
      <c r="X339" s="57"/>
      <c r="Y339" s="74"/>
      <c r="Z339" s="44"/>
      <c r="AA339" s="18"/>
      <c r="AB339" s="57"/>
      <c r="AC339" s="74"/>
    </row>
    <row r="340" spans="1:29" s="72" customFormat="1">
      <c r="A340" s="17" t="s">
        <v>169</v>
      </c>
      <c r="B340" s="7"/>
      <c r="C340" s="55">
        <v>724</v>
      </c>
      <c r="D340" s="56"/>
      <c r="E340" s="178">
        <v>15.73</v>
      </c>
      <c r="F340" s="224"/>
      <c r="G340" s="224"/>
      <c r="H340" s="225">
        <v>11389</v>
      </c>
      <c r="I340" s="44"/>
      <c r="J340" s="18"/>
      <c r="K340" s="57"/>
      <c r="L340" s="57"/>
      <c r="M340" s="74"/>
      <c r="N340" s="44"/>
      <c r="O340" s="18"/>
      <c r="P340" s="57"/>
      <c r="Q340" s="74"/>
      <c r="R340" s="44"/>
      <c r="S340" s="18"/>
      <c r="T340" s="57"/>
      <c r="U340" s="74"/>
      <c r="V340" s="44"/>
      <c r="W340" s="18"/>
      <c r="X340" s="57"/>
      <c r="Y340" s="74"/>
      <c r="Z340" s="44"/>
      <c r="AA340" s="18"/>
      <c r="AB340" s="57"/>
      <c r="AC340" s="74"/>
    </row>
    <row r="341" spans="1:29" s="72" customFormat="1">
      <c r="A341" s="17" t="s">
        <v>170</v>
      </c>
      <c r="B341" s="7"/>
      <c r="C341" s="55">
        <v>881</v>
      </c>
      <c r="D341" s="56"/>
      <c r="E341" s="178">
        <v>16.72</v>
      </c>
      <c r="F341" s="224"/>
      <c r="G341" s="224"/>
      <c r="H341" s="225">
        <v>14730</v>
      </c>
      <c r="I341" s="44"/>
      <c r="J341" s="18"/>
      <c r="K341" s="57"/>
      <c r="L341" s="57"/>
      <c r="M341" s="74"/>
      <c r="N341" s="44"/>
      <c r="O341" s="18"/>
      <c r="P341" s="57"/>
      <c r="Q341" s="74"/>
      <c r="R341" s="44"/>
      <c r="S341" s="18"/>
      <c r="T341" s="57"/>
      <c r="U341" s="74"/>
      <c r="V341" s="44"/>
      <c r="W341" s="18"/>
      <c r="X341" s="57"/>
      <c r="Y341" s="74"/>
      <c r="Z341" s="44"/>
      <c r="AA341" s="18"/>
      <c r="AB341" s="57"/>
      <c r="AC341" s="74"/>
    </row>
    <row r="342" spans="1:29" s="72" customFormat="1">
      <c r="A342" s="17" t="s">
        <v>194</v>
      </c>
      <c r="B342" s="7"/>
      <c r="C342" s="55">
        <v>96</v>
      </c>
      <c r="D342" s="56"/>
      <c r="E342" s="178">
        <v>33.049999999999997</v>
      </c>
      <c r="F342" s="224"/>
      <c r="G342" s="224"/>
      <c r="H342" s="225">
        <v>3173</v>
      </c>
      <c r="I342" s="44"/>
      <c r="J342" s="18"/>
      <c r="K342" s="57"/>
      <c r="L342" s="57"/>
      <c r="M342" s="74"/>
      <c r="N342" s="44"/>
      <c r="O342" s="18"/>
      <c r="P342" s="57"/>
      <c r="Q342" s="74"/>
      <c r="R342" s="44"/>
      <c r="S342" s="18"/>
      <c r="T342" s="57"/>
      <c r="U342" s="74"/>
      <c r="V342" s="44"/>
      <c r="W342" s="18"/>
      <c r="X342" s="57"/>
      <c r="Y342" s="74"/>
      <c r="Z342" s="44"/>
      <c r="AA342" s="18"/>
      <c r="AB342" s="57"/>
      <c r="AC342" s="74"/>
    </row>
    <row r="343" spans="1:29" s="72" customFormat="1">
      <c r="A343" s="27" t="s">
        <v>172</v>
      </c>
      <c r="B343" s="7"/>
      <c r="C343" s="36">
        <v>1644139.7735008644</v>
      </c>
      <c r="D343" s="56"/>
      <c r="E343" s="252"/>
      <c r="F343" s="56"/>
      <c r="G343" s="56"/>
      <c r="H343" s="232">
        <v>230028</v>
      </c>
      <c r="I343" s="44"/>
      <c r="J343" s="69"/>
      <c r="K343" s="44"/>
      <c r="L343" s="44"/>
      <c r="M343" s="75"/>
      <c r="N343" s="44"/>
      <c r="O343" s="69"/>
      <c r="P343" s="44"/>
      <c r="Q343" s="75"/>
      <c r="R343" s="44"/>
      <c r="S343" s="69"/>
      <c r="T343" s="44"/>
      <c r="U343" s="75"/>
      <c r="V343" s="44"/>
      <c r="W343" s="69"/>
      <c r="X343" s="44"/>
      <c r="Y343" s="75"/>
      <c r="Z343" s="44"/>
      <c r="AA343" s="69"/>
      <c r="AB343" s="44"/>
      <c r="AC343" s="75"/>
    </row>
    <row r="344" spans="1:29" s="72" customFormat="1">
      <c r="A344" s="27" t="s">
        <v>84</v>
      </c>
      <c r="B344" s="7"/>
      <c r="C344" s="21"/>
      <c r="D344" s="56"/>
      <c r="E344" s="224"/>
      <c r="F344" s="227"/>
      <c r="G344" s="227"/>
      <c r="H344" s="231"/>
      <c r="I344" s="44"/>
      <c r="J344" s="57"/>
      <c r="K344" s="79"/>
      <c r="L344" s="79"/>
      <c r="M344" s="73"/>
      <c r="N344" s="44"/>
      <c r="O344" s="57"/>
      <c r="P344" s="79"/>
      <c r="Q344" s="73"/>
      <c r="R344" s="44"/>
      <c r="S344" s="57"/>
      <c r="T344" s="79"/>
      <c r="U344" s="73"/>
      <c r="V344" s="44"/>
      <c r="W344" s="57"/>
      <c r="X344" s="79"/>
      <c r="Y344" s="73"/>
      <c r="Z344" s="44"/>
      <c r="AA344" s="57"/>
      <c r="AB344" s="79"/>
      <c r="AC344" s="73"/>
    </row>
    <row r="345" spans="1:29" s="72" customFormat="1">
      <c r="A345" s="27" t="s">
        <v>157</v>
      </c>
      <c r="B345" s="7"/>
      <c r="C345" s="21">
        <v>1644139.7735008644</v>
      </c>
      <c r="D345" s="56"/>
      <c r="E345" s="224"/>
      <c r="F345" s="227"/>
      <c r="G345" s="227"/>
      <c r="H345" s="231">
        <v>230028</v>
      </c>
      <c r="I345" s="44"/>
      <c r="J345" s="57"/>
      <c r="K345" s="79"/>
      <c r="L345" s="79"/>
      <c r="M345" s="73"/>
      <c r="N345" s="44"/>
      <c r="O345" s="57"/>
      <c r="P345" s="79"/>
      <c r="Q345" s="73"/>
      <c r="R345" s="44"/>
      <c r="S345" s="57"/>
      <c r="T345" s="79"/>
      <c r="U345" s="73"/>
      <c r="V345" s="44"/>
      <c r="W345" s="57"/>
      <c r="X345" s="79"/>
      <c r="Y345" s="73"/>
      <c r="Z345" s="44"/>
      <c r="AA345" s="57"/>
      <c r="AB345" s="79"/>
      <c r="AC345" s="73"/>
    </row>
    <row r="346" spans="1:29" s="72" customFormat="1">
      <c r="A346" s="27" t="s">
        <v>173</v>
      </c>
      <c r="B346" s="7"/>
      <c r="C346" s="36">
        <v>99</v>
      </c>
      <c r="D346" s="56"/>
      <c r="E346" s="252"/>
      <c r="F346" s="56"/>
      <c r="G346" s="56"/>
      <c r="H346" s="232"/>
      <c r="I346" s="44"/>
      <c r="J346" s="69"/>
      <c r="K346" s="44"/>
      <c r="L346" s="44"/>
      <c r="M346" s="75"/>
      <c r="N346" s="44"/>
      <c r="O346" s="69"/>
      <c r="P346" s="44"/>
      <c r="Q346" s="75"/>
      <c r="R346" s="44"/>
      <c r="S346" s="69"/>
      <c r="T346" s="44"/>
      <c r="U346" s="75"/>
      <c r="V346" s="44"/>
      <c r="W346" s="69"/>
      <c r="X346" s="44"/>
      <c r="Y346" s="75"/>
      <c r="Z346" s="44"/>
      <c r="AA346" s="69"/>
      <c r="AB346" s="44"/>
      <c r="AC346" s="75"/>
    </row>
    <row r="347" spans="1:29" s="72" customFormat="1">
      <c r="A347" s="17"/>
      <c r="B347" s="7"/>
      <c r="C347" s="21"/>
      <c r="D347" s="56"/>
      <c r="E347" s="224"/>
      <c r="F347" s="224"/>
      <c r="G347" s="224"/>
      <c r="H347" s="231"/>
      <c r="I347" s="44"/>
      <c r="J347" s="57"/>
      <c r="K347" s="57"/>
      <c r="L347" s="57"/>
      <c r="M347" s="73"/>
      <c r="N347" s="44"/>
      <c r="O347" s="57"/>
      <c r="P347" s="57"/>
      <c r="Q347" s="73"/>
      <c r="R347" s="44"/>
      <c r="S347" s="57"/>
      <c r="T347" s="57"/>
      <c r="U347" s="73"/>
      <c r="V347" s="44"/>
      <c r="W347" s="57"/>
      <c r="X347" s="57"/>
      <c r="Y347" s="73"/>
      <c r="Z347" s="44"/>
      <c r="AA347" s="57"/>
      <c r="AB347" s="57"/>
      <c r="AC347" s="73"/>
    </row>
    <row r="348" spans="1:29" s="72" customFormat="1">
      <c r="A348" s="17" t="s">
        <v>195</v>
      </c>
      <c r="B348" s="7"/>
      <c r="C348" s="91">
        <v>56516774.129293256</v>
      </c>
      <c r="D348" s="56"/>
      <c r="E348" s="252"/>
      <c r="F348" s="56"/>
      <c r="G348" s="56"/>
      <c r="H348" s="232">
        <v>4144867</v>
      </c>
      <c r="I348" s="44"/>
      <c r="J348" s="69"/>
      <c r="K348" s="44"/>
      <c r="L348" s="44"/>
      <c r="M348" s="75"/>
      <c r="N348" s="44"/>
      <c r="O348" s="69"/>
      <c r="P348" s="44"/>
      <c r="Q348" s="75"/>
      <c r="R348" s="44"/>
      <c r="S348" s="69"/>
      <c r="T348" s="44"/>
      <c r="U348" s="75"/>
      <c r="V348" s="44"/>
      <c r="W348" s="69"/>
      <c r="X348" s="44"/>
      <c r="Y348" s="75"/>
      <c r="Z348" s="44"/>
      <c r="AA348" s="69"/>
      <c r="AB348" s="44"/>
      <c r="AC348" s="75"/>
    </row>
    <row r="349" spans="1:29" s="72" customFormat="1">
      <c r="A349" s="17" t="s">
        <v>85</v>
      </c>
      <c r="B349" s="7"/>
      <c r="C349" s="23">
        <v>839</v>
      </c>
      <c r="D349" s="56"/>
      <c r="E349" s="92"/>
      <c r="F349" s="56"/>
      <c r="G349" s="56"/>
      <c r="H349" s="92"/>
      <c r="I349" s="44"/>
      <c r="J349" s="7"/>
      <c r="K349" s="44"/>
      <c r="L349" s="44"/>
      <c r="M349" s="7"/>
      <c r="N349" s="44"/>
      <c r="O349" s="7"/>
      <c r="P349" s="44"/>
      <c r="Q349" s="7"/>
      <c r="R349" s="44"/>
      <c r="S349" s="7"/>
      <c r="T349" s="44"/>
      <c r="U349" s="7"/>
      <c r="V349" s="44"/>
      <c r="W349" s="7"/>
      <c r="X349" s="44"/>
      <c r="Y349" s="7"/>
      <c r="Z349" s="44"/>
      <c r="AA349" s="7"/>
      <c r="AB349" s="44"/>
      <c r="AC349" s="7"/>
    </row>
    <row r="350" spans="1:29" s="72" customFormat="1">
      <c r="A350" s="17" t="s">
        <v>84</v>
      </c>
      <c r="B350" s="7"/>
      <c r="C350" s="91"/>
      <c r="D350" s="56"/>
      <c r="E350" s="252"/>
      <c r="F350" s="56"/>
      <c r="G350" s="56"/>
      <c r="H350" s="232">
        <v>0</v>
      </c>
      <c r="I350" s="44"/>
      <c r="J350" s="69"/>
      <c r="K350" s="44"/>
      <c r="L350" s="44"/>
      <c r="M350" s="75"/>
      <c r="N350" s="44"/>
      <c r="O350" s="69"/>
      <c r="P350" s="44"/>
      <c r="Q350" s="75"/>
      <c r="R350" s="44"/>
      <c r="S350" s="69"/>
      <c r="T350" s="44"/>
      <c r="U350" s="75"/>
      <c r="V350" s="44"/>
      <c r="W350" s="69"/>
      <c r="X350" s="44"/>
      <c r="Y350" s="75"/>
      <c r="Z350" s="44"/>
      <c r="AA350" s="69"/>
      <c r="AB350" s="44"/>
      <c r="AC350" s="75"/>
    </row>
    <row r="351" spans="1:29" s="72" customFormat="1" ht="16.5" thickBot="1">
      <c r="A351" s="17" t="s">
        <v>157</v>
      </c>
      <c r="B351" s="7"/>
      <c r="C351" s="253">
        <v>56516774.129293256</v>
      </c>
      <c r="D351" s="56"/>
      <c r="E351" s="254"/>
      <c r="F351" s="255"/>
      <c r="G351" s="255"/>
      <c r="H351" s="254">
        <v>4144867</v>
      </c>
      <c r="I351" s="44"/>
      <c r="J351" s="169">
        <v>2.5000000000000001E-2</v>
      </c>
      <c r="K351" s="25" t="s">
        <v>16</v>
      </c>
      <c r="L351" s="25"/>
      <c r="M351" s="40">
        <f>C351*J351/100</f>
        <v>14129.193532323316</v>
      </c>
      <c r="N351" s="9"/>
      <c r="O351" s="168">
        <v>8.5000000000000006E-3</v>
      </c>
      <c r="P351" s="25"/>
      <c r="Q351" s="40">
        <f>($H351+$M351)*O351</f>
        <v>35351.46764502475</v>
      </c>
      <c r="R351" s="9"/>
      <c r="S351" s="168">
        <v>1.2999999999999999E-3</v>
      </c>
      <c r="T351" s="25"/>
      <c r="U351" s="40">
        <f>($H351+$M351)*S351</f>
        <v>5406.6950515920198</v>
      </c>
      <c r="V351" s="9"/>
      <c r="W351" s="168">
        <v>3.6200000000000003E-2</v>
      </c>
      <c r="X351" s="25"/>
      <c r="Y351" s="40">
        <f>($H351+$M351+$Q351+$U351)*W351</f>
        <v>152031.10769548765</v>
      </c>
      <c r="Z351" s="9"/>
      <c r="AA351" s="168">
        <f>AA$153</f>
        <v>0.04</v>
      </c>
      <c r="AB351" s="25"/>
      <c r="AC351" s="40">
        <f>($H351+$M351+$Q351+$U351)*AA351</f>
        <v>167990.1742491576</v>
      </c>
    </row>
    <row r="352" spans="1:29" s="72" customFormat="1" ht="16.5" thickTop="1">
      <c r="A352" s="17"/>
      <c r="B352" s="7"/>
      <c r="C352" s="257"/>
      <c r="D352" s="56"/>
      <c r="E352" s="56"/>
      <c r="F352" s="56"/>
      <c r="G352" s="56"/>
      <c r="H352" s="231"/>
      <c r="I352" s="44"/>
      <c r="J352" s="44"/>
      <c r="K352" s="44"/>
      <c r="L352" s="44"/>
      <c r="M352" s="73"/>
      <c r="N352" s="44"/>
      <c r="O352" s="44"/>
      <c r="P352" s="44"/>
      <c r="Q352" s="73"/>
      <c r="R352" s="44"/>
      <c r="S352" s="44"/>
      <c r="T352" s="44"/>
      <c r="U352" s="73"/>
      <c r="V352" s="44"/>
      <c r="W352" s="44"/>
      <c r="X352" s="44"/>
      <c r="Y352" s="73"/>
      <c r="Z352" s="44"/>
      <c r="AA352" s="44"/>
      <c r="AB352" s="44"/>
      <c r="AC352" s="73"/>
    </row>
    <row r="353" spans="1:29" s="72" customFormat="1">
      <c r="A353" s="80" t="s">
        <v>196</v>
      </c>
      <c r="B353" s="7"/>
      <c r="C353" s="55"/>
      <c r="D353" s="56"/>
      <c r="E353" s="92"/>
      <c r="F353" s="56"/>
      <c r="G353" s="56"/>
      <c r="H353" s="92"/>
      <c r="I353" s="44"/>
      <c r="J353" s="7"/>
      <c r="K353" s="44"/>
      <c r="L353" s="44"/>
      <c r="M353" s="7"/>
      <c r="N353" s="44"/>
      <c r="O353" s="7"/>
      <c r="P353" s="44"/>
      <c r="Q353" s="7"/>
      <c r="R353" s="44"/>
      <c r="S353" s="7"/>
      <c r="T353" s="44"/>
      <c r="U353" s="7"/>
      <c r="V353" s="44"/>
      <c r="W353" s="7"/>
      <c r="X353" s="44"/>
      <c r="Y353" s="7"/>
      <c r="Z353" s="44"/>
      <c r="AA353" s="7"/>
      <c r="AB353" s="44"/>
      <c r="AC353" s="7"/>
    </row>
    <row r="354" spans="1:29" s="72" customFormat="1">
      <c r="A354" s="17" t="s">
        <v>197</v>
      </c>
      <c r="B354" s="7"/>
      <c r="C354" s="55">
        <v>20286</v>
      </c>
      <c r="D354" s="56"/>
      <c r="E354" s="178">
        <v>11</v>
      </c>
      <c r="F354" s="224"/>
      <c r="G354" s="224"/>
      <c r="H354" s="225">
        <v>223146</v>
      </c>
      <c r="I354" s="44"/>
      <c r="J354" s="18"/>
      <c r="K354" s="57"/>
      <c r="L354" s="57"/>
      <c r="M354" s="74"/>
      <c r="N354" s="44"/>
      <c r="O354" s="18"/>
      <c r="P354" s="57"/>
      <c r="Q354" s="74"/>
      <c r="R354" s="44"/>
      <c r="S354" s="18"/>
      <c r="T354" s="57"/>
      <c r="U354" s="74"/>
      <c r="V354" s="44"/>
      <c r="W354" s="18"/>
      <c r="X354" s="57"/>
      <c r="Y354" s="74"/>
      <c r="Z354" s="44"/>
      <c r="AA354" s="18"/>
      <c r="AB354" s="57"/>
      <c r="AC354" s="74"/>
    </row>
    <row r="355" spans="1:29" s="72" customFormat="1">
      <c r="A355" s="17" t="s">
        <v>198</v>
      </c>
      <c r="B355" s="7"/>
      <c r="C355" s="55">
        <v>497</v>
      </c>
      <c r="D355" s="56"/>
      <c r="E355" s="178">
        <v>72.5</v>
      </c>
      <c r="F355" s="224"/>
      <c r="G355" s="224"/>
      <c r="H355" s="225">
        <v>36033</v>
      </c>
      <c r="I355" s="44"/>
      <c r="J355" s="18"/>
      <c r="K355" s="57"/>
      <c r="L355" s="57"/>
      <c r="M355" s="74"/>
      <c r="N355" s="44"/>
      <c r="O355" s="18"/>
      <c r="P355" s="57"/>
      <c r="Q355" s="74"/>
      <c r="R355" s="44"/>
      <c r="S355" s="18"/>
      <c r="T355" s="57"/>
      <c r="U355" s="74"/>
      <c r="V355" s="44"/>
      <c r="W355" s="18"/>
      <c r="X355" s="57"/>
      <c r="Y355" s="74"/>
      <c r="Z355" s="44"/>
      <c r="AA355" s="18"/>
      <c r="AB355" s="57"/>
      <c r="AC355" s="74"/>
    </row>
    <row r="356" spans="1:29" s="72" customFormat="1">
      <c r="A356" s="17" t="s">
        <v>199</v>
      </c>
      <c r="B356" s="7"/>
      <c r="C356" s="258">
        <v>0</v>
      </c>
      <c r="D356" s="56"/>
      <c r="E356" s="178">
        <v>127.5</v>
      </c>
      <c r="F356" s="224"/>
      <c r="G356" s="224"/>
      <c r="H356" s="225">
        <v>0</v>
      </c>
      <c r="I356" s="44"/>
      <c r="J356" s="18"/>
      <c r="K356" s="57"/>
      <c r="L356" s="57"/>
      <c r="M356" s="74"/>
      <c r="N356" s="44"/>
      <c r="O356" s="18"/>
      <c r="P356" s="57"/>
      <c r="Q356" s="74"/>
      <c r="R356" s="44"/>
      <c r="S356" s="18"/>
      <c r="T356" s="57"/>
      <c r="U356" s="74"/>
      <c r="V356" s="44"/>
      <c r="W356" s="18"/>
      <c r="X356" s="57"/>
      <c r="Y356" s="74"/>
      <c r="Z356" s="44"/>
      <c r="AA356" s="18"/>
      <c r="AB356" s="57"/>
      <c r="AC356" s="74"/>
    </row>
    <row r="357" spans="1:29" s="72" customFormat="1">
      <c r="A357" s="17" t="s">
        <v>200</v>
      </c>
      <c r="B357" s="7"/>
      <c r="C357" s="55">
        <v>6182</v>
      </c>
      <c r="D357" s="56"/>
      <c r="E357" s="178">
        <v>6.2</v>
      </c>
      <c r="F357" s="224"/>
      <c r="G357" s="224"/>
      <c r="H357" s="225">
        <v>38328</v>
      </c>
      <c r="I357" s="44"/>
      <c r="J357" s="18"/>
      <c r="K357" s="57"/>
      <c r="L357" s="57"/>
      <c r="M357" s="74"/>
      <c r="N357" s="44"/>
      <c r="O357" s="18"/>
      <c r="P357" s="57"/>
      <c r="Q357" s="74"/>
      <c r="R357" s="44"/>
      <c r="S357" s="18"/>
      <c r="T357" s="57"/>
      <c r="U357" s="74"/>
      <c r="V357" s="44"/>
      <c r="W357" s="18"/>
      <c r="X357" s="57"/>
      <c r="Y357" s="74"/>
      <c r="Z357" s="44"/>
      <c r="AA357" s="18"/>
      <c r="AB357" s="57"/>
      <c r="AC357" s="74"/>
    </row>
    <row r="358" spans="1:29" s="72" customFormat="1">
      <c r="A358" s="17" t="s">
        <v>201</v>
      </c>
      <c r="B358" s="7"/>
      <c r="C358" s="55">
        <v>17536444.611929484</v>
      </c>
      <c r="D358" s="56"/>
      <c r="E358" s="248">
        <v>5.3437000000000001</v>
      </c>
      <c r="F358" s="227" t="s">
        <v>16</v>
      </c>
      <c r="G358" s="227"/>
      <c r="H358" s="225">
        <v>937095</v>
      </c>
      <c r="I358" s="44"/>
      <c r="J358" s="172">
        <v>2.4899999999999999E-2</v>
      </c>
      <c r="K358" s="79" t="s">
        <v>16</v>
      </c>
      <c r="L358" s="79"/>
      <c r="M358" s="74">
        <f>C358*J358/100</f>
        <v>4366.5747083704409</v>
      </c>
      <c r="N358" s="44"/>
      <c r="O358" s="168">
        <v>2.06E-2</v>
      </c>
      <c r="P358" s="79"/>
      <c r="Q358" s="74">
        <f>($H358+$M358)*O358</f>
        <v>19394.108438992433</v>
      </c>
      <c r="R358" s="44"/>
      <c r="S358" s="168">
        <v>3.3E-3</v>
      </c>
      <c r="T358" s="79"/>
      <c r="U358" s="74">
        <f>($H358+$M358)*S358</f>
        <v>3106.8231965376226</v>
      </c>
      <c r="V358" s="44"/>
      <c r="W358" s="168">
        <v>4.7300000000000002E-2</v>
      </c>
      <c r="X358" s="79"/>
      <c r="Y358" s="74">
        <f>($H358+$M358+$Q358+$U358)*W358</f>
        <v>45595.426550066499</v>
      </c>
      <c r="Z358" s="44"/>
      <c r="AA358" s="168">
        <f>ROUND(1/($H$360-$H$354-$H$355-$H$356-$H$357+$M$360+$Q$360+$U$360)*'RateSpread-1'!P44*1000,4)</f>
        <v>5.2299999999999999E-2</v>
      </c>
      <c r="AB358" s="79"/>
      <c r="AC358" s="74">
        <f>($H358+$M358+$Q358+$U358)*AA358</f>
        <v>50415.239081786</v>
      </c>
    </row>
    <row r="359" spans="1:29" s="72" customFormat="1">
      <c r="A359" s="17" t="s">
        <v>202</v>
      </c>
      <c r="B359" s="7"/>
      <c r="C359" s="36">
        <v>0</v>
      </c>
      <c r="D359" s="56"/>
      <c r="E359" s="92"/>
      <c r="F359" s="56"/>
      <c r="G359" s="56"/>
      <c r="H359" s="232">
        <v>0</v>
      </c>
      <c r="I359" s="44"/>
      <c r="J359" s="7"/>
      <c r="K359" s="44"/>
      <c r="L359" s="44"/>
      <c r="M359" s="75"/>
      <c r="N359" s="44"/>
      <c r="O359" s="7"/>
      <c r="P359" s="44"/>
      <c r="Q359" s="75"/>
      <c r="R359" s="44"/>
      <c r="S359" s="7"/>
      <c r="T359" s="44"/>
      <c r="U359" s="75"/>
      <c r="V359" s="44"/>
      <c r="W359" s="7"/>
      <c r="X359" s="44"/>
      <c r="Y359" s="75"/>
      <c r="Z359" s="44"/>
      <c r="AA359" s="7"/>
      <c r="AB359" s="44"/>
      <c r="AC359" s="75"/>
    </row>
    <row r="360" spans="1:29" s="72" customFormat="1" ht="16.5" thickBot="1">
      <c r="A360" s="7" t="s">
        <v>157</v>
      </c>
      <c r="B360" s="7"/>
      <c r="C360" s="96">
        <v>17536444.611929484</v>
      </c>
      <c r="D360" s="56"/>
      <c r="E360" s="238"/>
      <c r="F360" s="56"/>
      <c r="G360" s="56"/>
      <c r="H360" s="239">
        <v>1234602</v>
      </c>
      <c r="I360" s="44"/>
      <c r="J360" s="48"/>
      <c r="K360" s="44"/>
      <c r="L360" s="44"/>
      <c r="M360" s="81">
        <f>SUM(M354:M359)</f>
        <v>4366.5747083704409</v>
      </c>
      <c r="N360" s="44"/>
      <c r="O360" s="48"/>
      <c r="P360" s="44"/>
      <c r="Q360" s="81">
        <f>SUM(Q354:Q359)</f>
        <v>19394.108438992433</v>
      </c>
      <c r="R360" s="44"/>
      <c r="S360" s="48"/>
      <c r="T360" s="44"/>
      <c r="U360" s="81">
        <f>SUM(U354:U359)</f>
        <v>3106.8231965376226</v>
      </c>
      <c r="V360" s="44"/>
      <c r="W360" s="48"/>
      <c r="X360" s="44"/>
      <c r="Y360" s="81">
        <f>SUM(Y354:Y359)</f>
        <v>45595.426550066499</v>
      </c>
      <c r="Z360" s="44"/>
      <c r="AA360" s="48"/>
      <c r="AB360" s="44"/>
      <c r="AC360" s="81">
        <f>SUM(AC354:AC359)</f>
        <v>50415.239081786</v>
      </c>
    </row>
    <row r="361" spans="1:29" s="72" customFormat="1" ht="16.5" thickTop="1">
      <c r="A361" s="17"/>
      <c r="B361" s="7"/>
      <c r="C361" s="257"/>
      <c r="D361" s="56"/>
      <c r="E361" s="56"/>
      <c r="F361" s="56"/>
      <c r="G361" s="56"/>
      <c r="H361" s="231"/>
      <c r="I361" s="44"/>
      <c r="J361" s="44"/>
      <c r="K361" s="44"/>
      <c r="L361" s="44"/>
      <c r="M361" s="73"/>
      <c r="N361" s="44"/>
      <c r="O361" s="44"/>
      <c r="P361" s="44"/>
      <c r="Q361" s="73"/>
      <c r="R361" s="44"/>
      <c r="S361" s="44"/>
      <c r="T361" s="44"/>
      <c r="U361" s="73"/>
      <c r="V361" s="44"/>
      <c r="W361" s="44"/>
      <c r="X361" s="44"/>
      <c r="Y361" s="73"/>
      <c r="Z361" s="44"/>
      <c r="AA361" s="44"/>
      <c r="AB361" s="44"/>
      <c r="AC361" s="73"/>
    </row>
    <row r="362" spans="1:29" s="72" customFormat="1">
      <c r="A362" s="80" t="s">
        <v>203</v>
      </c>
      <c r="B362" s="7"/>
      <c r="C362" s="55"/>
      <c r="D362" s="56"/>
      <c r="E362" s="56"/>
      <c r="F362" s="56"/>
      <c r="G362" s="56"/>
      <c r="H362" s="231"/>
      <c r="I362" s="44"/>
      <c r="J362" s="44"/>
      <c r="K362" s="44"/>
      <c r="L362" s="44"/>
      <c r="M362" s="73"/>
      <c r="N362" s="44"/>
      <c r="O362" s="44"/>
      <c r="P362" s="44"/>
      <c r="Q362" s="73"/>
      <c r="R362" s="44"/>
      <c r="S362" s="44"/>
      <c r="T362" s="44"/>
      <c r="U362" s="73"/>
      <c r="V362" s="44"/>
      <c r="W362" s="44"/>
      <c r="X362" s="44"/>
      <c r="Y362" s="73"/>
      <c r="Z362" s="44"/>
      <c r="AA362" s="44"/>
      <c r="AB362" s="44"/>
      <c r="AC362" s="73"/>
    </row>
    <row r="363" spans="1:29" s="72" customFormat="1">
      <c r="A363" s="17" t="s">
        <v>204</v>
      </c>
      <c r="B363" s="7"/>
      <c r="C363" s="55">
        <v>29596</v>
      </c>
      <c r="D363" s="56"/>
      <c r="E363" s="178">
        <v>5.5</v>
      </c>
      <c r="F363" s="224"/>
      <c r="G363" s="224"/>
      <c r="H363" s="225">
        <v>162778</v>
      </c>
      <c r="I363" s="44"/>
      <c r="J363" s="18"/>
      <c r="K363" s="57"/>
      <c r="L363" s="57"/>
      <c r="M363" s="74"/>
      <c r="N363" s="44"/>
      <c r="O363" s="18"/>
      <c r="P363" s="57"/>
      <c r="Q363" s="74"/>
      <c r="R363" s="44"/>
      <c r="S363" s="18"/>
      <c r="T363" s="57"/>
      <c r="U363" s="74"/>
      <c r="V363" s="44"/>
      <c r="W363" s="18"/>
      <c r="X363" s="57"/>
      <c r="Y363" s="74"/>
      <c r="Z363" s="44"/>
      <c r="AA363" s="18"/>
      <c r="AB363" s="57"/>
      <c r="AC363" s="74"/>
    </row>
    <row r="364" spans="1:29" s="72" customFormat="1">
      <c r="A364" s="17" t="s">
        <v>201</v>
      </c>
      <c r="B364" s="7"/>
      <c r="C364" s="55">
        <v>6177947.158763391</v>
      </c>
      <c r="D364" s="56"/>
      <c r="E364" s="249">
        <v>8.4048999999999996</v>
      </c>
      <c r="F364" s="227" t="s">
        <v>16</v>
      </c>
      <c r="G364" s="227"/>
      <c r="H364" s="225">
        <v>519250</v>
      </c>
      <c r="I364" s="44"/>
      <c r="J364" s="172">
        <v>3.7400000000000003E-2</v>
      </c>
      <c r="K364" s="79" t="s">
        <v>16</v>
      </c>
      <c r="L364" s="79"/>
      <c r="M364" s="74">
        <f>C364*J364/100</f>
        <v>2310.5522373775084</v>
      </c>
      <c r="N364" s="44"/>
      <c r="O364" s="168">
        <v>1.4200000000000001E-2</v>
      </c>
      <c r="P364" s="79"/>
      <c r="Q364" s="74">
        <f>($H364+$M364)*O364</f>
        <v>7406.159841770761</v>
      </c>
      <c r="R364" s="44"/>
      <c r="S364" s="168">
        <v>5.1000000000000004E-3</v>
      </c>
      <c r="T364" s="79"/>
      <c r="U364" s="74">
        <f>($H364+$M364)*S364</f>
        <v>2659.9588164106253</v>
      </c>
      <c r="V364" s="44"/>
      <c r="W364" s="168">
        <v>4.7199999999999999E-2</v>
      </c>
      <c r="X364" s="79"/>
      <c r="Y364" s="74">
        <f>($H364+$M364+$Q364+$U364)*W364</f>
        <v>25092.778866270379</v>
      </c>
      <c r="Z364" s="44"/>
      <c r="AA364" s="168">
        <f>ROUND(1/($H$366-$H$363+$M$366+$Q$366+$U$366)*'RateSpread-1'!P43*1000,4)</f>
        <v>5.2200000000000003E-2</v>
      </c>
      <c r="AB364" s="79"/>
      <c r="AC364" s="74">
        <f>($H364+$M364+$Q364+$U364)*AA364</f>
        <v>27750.912220748178</v>
      </c>
    </row>
    <row r="365" spans="1:29" s="72" customFormat="1">
      <c r="A365" s="17" t="s">
        <v>202</v>
      </c>
      <c r="B365" s="7"/>
      <c r="C365" s="93">
        <v>0</v>
      </c>
      <c r="D365" s="56"/>
      <c r="E365" s="92"/>
      <c r="F365" s="56"/>
      <c r="G365" s="56"/>
      <c r="H365" s="232">
        <v>0</v>
      </c>
      <c r="I365" s="44"/>
      <c r="J365" s="7"/>
      <c r="K365" s="44"/>
      <c r="L365" s="44"/>
      <c r="M365" s="75"/>
      <c r="N365" s="44"/>
      <c r="O365" s="7"/>
      <c r="P365" s="44"/>
      <c r="Q365" s="75"/>
      <c r="R365" s="44"/>
      <c r="S365" s="7"/>
      <c r="T365" s="44"/>
      <c r="U365" s="75"/>
      <c r="V365" s="44"/>
      <c r="W365" s="7"/>
      <c r="X365" s="44"/>
      <c r="Y365" s="75"/>
      <c r="Z365" s="44"/>
      <c r="AA365" s="7"/>
      <c r="AB365" s="44"/>
      <c r="AC365" s="75"/>
    </row>
    <row r="366" spans="1:29" s="72" customFormat="1" ht="16.5" thickBot="1">
      <c r="A366" s="7" t="s">
        <v>157</v>
      </c>
      <c r="B366" s="7"/>
      <c r="C366" s="96">
        <v>6177947.158763391</v>
      </c>
      <c r="D366" s="56"/>
      <c r="E366" s="238"/>
      <c r="F366" s="56"/>
      <c r="G366" s="56"/>
      <c r="H366" s="239">
        <v>682028</v>
      </c>
      <c r="I366" s="44"/>
      <c r="J366" s="48"/>
      <c r="K366" s="44"/>
      <c r="L366" s="44"/>
      <c r="M366" s="81">
        <f>SUM(M363:M365)</f>
        <v>2310.5522373775084</v>
      </c>
      <c r="N366" s="44"/>
      <c r="O366" s="48"/>
      <c r="P366" s="44"/>
      <c r="Q366" s="81">
        <f>SUM(Q363:Q365)</f>
        <v>7406.159841770761</v>
      </c>
      <c r="R366" s="44"/>
      <c r="S366" s="48"/>
      <c r="T366" s="44"/>
      <c r="U366" s="81">
        <f>SUM(U363:U365)</f>
        <v>2659.9588164106253</v>
      </c>
      <c r="V366" s="44"/>
      <c r="W366" s="48"/>
      <c r="X366" s="44"/>
      <c r="Y366" s="81">
        <f>SUM(Y363:Y365)</f>
        <v>25092.778866270379</v>
      </c>
      <c r="Z366" s="44"/>
      <c r="AA366" s="48"/>
      <c r="AB366" s="44"/>
      <c r="AC366" s="81">
        <f>SUM(AC363:AC365)</f>
        <v>27750.912220748178</v>
      </c>
    </row>
    <row r="367" spans="1:29" s="72" customFormat="1" ht="16.5" thickTop="1">
      <c r="A367" s="7"/>
      <c r="B367" s="7"/>
      <c r="C367" s="55"/>
      <c r="D367" s="56"/>
      <c r="E367" s="92"/>
      <c r="F367" s="56"/>
      <c r="G367" s="56"/>
      <c r="H367" s="92"/>
      <c r="I367" s="44"/>
      <c r="J367" s="7"/>
      <c r="K367" s="44"/>
      <c r="L367" s="44"/>
      <c r="M367" s="7"/>
      <c r="N367" s="44"/>
      <c r="O367" s="7"/>
      <c r="P367" s="44"/>
      <c r="Q367" s="7"/>
      <c r="R367" s="44"/>
      <c r="S367" s="7"/>
      <c r="T367" s="44"/>
      <c r="U367" s="7"/>
      <c r="V367" s="44"/>
      <c r="W367" s="7"/>
      <c r="X367" s="44"/>
      <c r="Y367" s="7"/>
      <c r="Z367" s="44"/>
      <c r="AA367" s="7"/>
      <c r="AB367" s="44"/>
      <c r="AC367" s="7"/>
    </row>
    <row r="368" spans="1:29" s="72" customFormat="1">
      <c r="A368" s="16" t="s">
        <v>205</v>
      </c>
      <c r="B368" s="8"/>
      <c r="C368" s="55"/>
      <c r="D368" s="56"/>
      <c r="E368" s="92"/>
      <c r="F368" s="56"/>
      <c r="G368" s="56"/>
      <c r="H368" s="92"/>
      <c r="I368" s="9"/>
      <c r="J368" s="7"/>
      <c r="K368" s="9"/>
      <c r="L368" s="9"/>
      <c r="M368" s="8"/>
      <c r="N368" s="9"/>
      <c r="O368" s="7"/>
      <c r="P368" s="9"/>
      <c r="Q368" s="8"/>
      <c r="R368" s="9"/>
      <c r="S368" s="7"/>
      <c r="T368" s="9"/>
      <c r="U368" s="8"/>
      <c r="V368" s="9"/>
      <c r="W368" s="7"/>
      <c r="X368" s="9"/>
      <c r="Y368" s="8"/>
      <c r="Z368" s="9"/>
      <c r="AA368" s="7"/>
      <c r="AB368" s="9"/>
      <c r="AC368" s="8"/>
    </row>
    <row r="369" spans="1:29" s="72" customFormat="1">
      <c r="A369" s="83" t="s">
        <v>206</v>
      </c>
      <c r="B369" s="8"/>
      <c r="C369" s="55"/>
      <c r="D369" s="56"/>
      <c r="E369" s="92"/>
      <c r="F369" s="56"/>
      <c r="G369" s="56"/>
      <c r="H369" s="92"/>
      <c r="I369" s="9"/>
      <c r="J369" s="7"/>
      <c r="K369" s="9"/>
      <c r="L369" s="9"/>
      <c r="M369" s="8"/>
      <c r="N369" s="9"/>
      <c r="O369" s="7"/>
      <c r="P369" s="9"/>
      <c r="Q369" s="8"/>
      <c r="R369" s="9"/>
      <c r="S369" s="7"/>
      <c r="T369" s="9"/>
      <c r="U369" s="8"/>
      <c r="V369" s="9"/>
      <c r="W369" s="7"/>
      <c r="X369" s="9"/>
      <c r="Y369" s="8"/>
      <c r="Z369" s="9"/>
      <c r="AA369" s="7"/>
      <c r="AB369" s="9"/>
      <c r="AC369" s="8"/>
    </row>
    <row r="370" spans="1:29" s="72" customFormat="1">
      <c r="A370" s="17" t="s">
        <v>35</v>
      </c>
      <c r="B370" s="8"/>
      <c r="C370" s="21">
        <v>36</v>
      </c>
      <c r="D370" s="56"/>
      <c r="E370" s="178">
        <v>127</v>
      </c>
      <c r="F370" s="224"/>
      <c r="G370" s="224"/>
      <c r="H370" s="225">
        <v>4572</v>
      </c>
      <c r="I370" s="9"/>
      <c r="J370" s="18"/>
      <c r="K370" s="19"/>
      <c r="L370" s="19"/>
      <c r="M370" s="13"/>
      <c r="N370" s="9"/>
      <c r="O370" s="18"/>
      <c r="P370" s="19"/>
      <c r="Q370" s="13"/>
      <c r="R370" s="9"/>
      <c r="S370" s="18"/>
      <c r="T370" s="19"/>
      <c r="U370" s="13"/>
      <c r="V370" s="9"/>
      <c r="W370" s="18"/>
      <c r="X370" s="19"/>
      <c r="Y370" s="13"/>
      <c r="Z370" s="9"/>
      <c r="AA370" s="18"/>
      <c r="AB370" s="19"/>
      <c r="AC370" s="13"/>
    </row>
    <row r="371" spans="1:29">
      <c r="A371" s="17" t="s">
        <v>207</v>
      </c>
      <c r="C371" s="21">
        <v>10893</v>
      </c>
      <c r="E371" s="178">
        <v>4.3</v>
      </c>
      <c r="F371" s="224"/>
      <c r="G371" s="224"/>
      <c r="H371" s="225">
        <v>46840</v>
      </c>
      <c r="J371" s="18"/>
      <c r="K371" s="19"/>
      <c r="L371" s="19"/>
      <c r="M371" s="13"/>
      <c r="O371" s="18"/>
      <c r="P371" s="19"/>
      <c r="Q371" s="13"/>
      <c r="S371" s="18"/>
      <c r="T371" s="19"/>
      <c r="U371" s="13"/>
      <c r="W371" s="168">
        <v>3.6799999999999999E-2</v>
      </c>
      <c r="X371" s="25"/>
      <c r="Y371" s="74">
        <f t="shared" ref="Y371:Y372" si="114">($H371+$M371+$Q371+$U371)*W371</f>
        <v>1723.712</v>
      </c>
      <c r="AA371" s="168">
        <f>ROUND(1/($H$383-$H$370-$H$377+$M$383+$Q$383+$U$383)*'RateSpread-1'!P31*1000,4)</f>
        <v>4.0599999999999997E-2</v>
      </c>
      <c r="AB371" s="25"/>
      <c r="AC371" s="74">
        <f t="shared" ref="AC371:AC372" si="115">($H371+$M371+$Q371+$U371)*AA371</f>
        <v>1901.704</v>
      </c>
    </row>
    <row r="372" spans="1:29">
      <c r="A372" s="17" t="s">
        <v>208</v>
      </c>
      <c r="C372" s="21">
        <v>423833</v>
      </c>
      <c r="E372" s="259">
        <v>6.8446999999999996</v>
      </c>
      <c r="F372" s="227" t="s">
        <v>16</v>
      </c>
      <c r="G372" s="227"/>
      <c r="H372" s="225">
        <v>29010</v>
      </c>
      <c r="J372" s="172">
        <v>3.78E-2</v>
      </c>
      <c r="K372" s="79" t="s">
        <v>16</v>
      </c>
      <c r="L372" s="79"/>
      <c r="M372" s="74">
        <f>C372*J372/100</f>
        <v>160.20887400000001</v>
      </c>
      <c r="N372" s="44"/>
      <c r="O372" s="168">
        <v>4.3400000000000001E-2</v>
      </c>
      <c r="P372" s="79"/>
      <c r="Q372" s="74">
        <f>($H372+$M372)*O372</f>
        <v>1265.9870651316</v>
      </c>
      <c r="R372" s="44"/>
      <c r="S372" s="168">
        <v>8.5000000000000006E-3</v>
      </c>
      <c r="T372" s="79"/>
      <c r="U372" s="74">
        <f>($H372+$M372)*S372</f>
        <v>247.94677542900001</v>
      </c>
      <c r="V372" s="44"/>
      <c r="W372" s="156">
        <f>W$371</f>
        <v>3.6799999999999999E-2</v>
      </c>
      <c r="X372" s="25"/>
      <c r="Y372" s="74">
        <f t="shared" si="114"/>
        <v>1129.1764518958303</v>
      </c>
      <c r="AA372" s="156">
        <f>AA$371</f>
        <v>4.0599999999999997E-2</v>
      </c>
      <c r="AB372" s="25"/>
      <c r="AC372" s="74">
        <f t="shared" si="115"/>
        <v>1245.7761942111604</v>
      </c>
    </row>
    <row r="373" spans="1:29">
      <c r="A373" s="17" t="s">
        <v>103</v>
      </c>
      <c r="C373" s="21">
        <v>0</v>
      </c>
      <c r="E373" s="259">
        <v>5.7472000000000003</v>
      </c>
      <c r="F373" s="227" t="s">
        <v>16</v>
      </c>
      <c r="G373" s="227"/>
      <c r="H373" s="225">
        <v>0</v>
      </c>
      <c r="J373" s="84">
        <f>$J$372</f>
        <v>3.78E-2</v>
      </c>
      <c r="K373" s="25" t="s">
        <v>16</v>
      </c>
      <c r="L373" s="25"/>
      <c r="M373" s="74">
        <f>C373*J373/100</f>
        <v>0</v>
      </c>
      <c r="O373" s="156">
        <f>O$372</f>
        <v>4.3400000000000001E-2</v>
      </c>
      <c r="P373" s="25"/>
      <c r="Q373" s="74">
        <f>($H373+$M373)*O373</f>
        <v>0</v>
      </c>
      <c r="S373" s="156">
        <f>S$372</f>
        <v>8.5000000000000006E-3</v>
      </c>
      <c r="T373" s="25"/>
      <c r="U373" s="74">
        <f>($H373+$M373)*S373</f>
        <v>0</v>
      </c>
      <c r="W373" s="156">
        <f>W$371</f>
        <v>3.6799999999999999E-2</v>
      </c>
      <c r="X373" s="25"/>
      <c r="Y373" s="74">
        <f t="shared" ref="Y373" si="116">($H373+$M373+$Q373+$U373)*W373</f>
        <v>0</v>
      </c>
      <c r="AA373" s="156">
        <f>AA$371</f>
        <v>4.0599999999999997E-2</v>
      </c>
      <c r="AB373" s="25"/>
      <c r="AC373" s="74">
        <f t="shared" ref="AC373" si="117">($H373+$M373+$Q373+$U373)*AA373</f>
        <v>0</v>
      </c>
    </row>
    <row r="374" spans="1:29">
      <c r="A374" s="17" t="s">
        <v>28</v>
      </c>
      <c r="C374" s="36">
        <v>0</v>
      </c>
      <c r="E374" s="259"/>
      <c r="F374" s="256"/>
      <c r="G374" s="256"/>
      <c r="H374" s="232">
        <v>0</v>
      </c>
      <c r="J374" s="84"/>
      <c r="K374" s="85"/>
      <c r="L374" s="85"/>
      <c r="M374" s="37"/>
      <c r="O374" s="84"/>
      <c r="P374" s="85"/>
      <c r="Q374" s="37"/>
      <c r="S374" s="84"/>
      <c r="T374" s="85"/>
      <c r="U374" s="37"/>
      <c r="W374" s="84"/>
      <c r="X374" s="85"/>
      <c r="Y374" s="37"/>
      <c r="AA374" s="84"/>
      <c r="AB374" s="85"/>
      <c r="AC374" s="37"/>
    </row>
    <row r="375" spans="1:29">
      <c r="A375" s="17" t="s">
        <v>209</v>
      </c>
      <c r="C375" s="55">
        <v>423833</v>
      </c>
      <c r="E375" s="243"/>
      <c r="F375" s="244"/>
      <c r="G375" s="244"/>
      <c r="H375" s="225">
        <v>80422</v>
      </c>
      <c r="J375" s="53"/>
      <c r="K375" s="59"/>
      <c r="L375" s="59"/>
      <c r="M375" s="13">
        <f>SUM(M370:M374)</f>
        <v>160.20887400000001</v>
      </c>
      <c r="O375" s="53"/>
      <c r="P375" s="59"/>
      <c r="Q375" s="13">
        <f>SUM(Q370:Q374)</f>
        <v>1265.9870651316</v>
      </c>
      <c r="S375" s="53"/>
      <c r="T375" s="59"/>
      <c r="U375" s="13">
        <f>SUM(U370:U374)</f>
        <v>247.94677542900001</v>
      </c>
      <c r="W375" s="53"/>
      <c r="X375" s="59"/>
      <c r="Y375" s="13">
        <f>SUM(Y370:Y374)</f>
        <v>2852.8884518958303</v>
      </c>
      <c r="AA375" s="53"/>
      <c r="AB375" s="59"/>
      <c r="AC375" s="13">
        <f>SUM(AC370:AC374)</f>
        <v>3147.4801942111603</v>
      </c>
    </row>
    <row r="376" spans="1:29">
      <c r="A376" s="83" t="s">
        <v>210</v>
      </c>
      <c r="C376" s="21"/>
      <c r="E376" s="243"/>
      <c r="F376" s="244"/>
      <c r="G376" s="244"/>
      <c r="J376" s="53"/>
      <c r="K376" s="59"/>
      <c r="L376" s="59"/>
      <c r="O376" s="53"/>
      <c r="P376" s="59"/>
      <c r="S376" s="53"/>
      <c r="T376" s="59"/>
      <c r="W376" s="53"/>
      <c r="X376" s="59"/>
      <c r="AA376" s="53"/>
      <c r="AB376" s="59"/>
    </row>
    <row r="377" spans="1:29">
      <c r="A377" s="17" t="s">
        <v>35</v>
      </c>
      <c r="C377" s="21">
        <v>24</v>
      </c>
      <c r="E377" s="178">
        <v>127</v>
      </c>
      <c r="F377" s="224"/>
      <c r="G377" s="224"/>
      <c r="H377" s="225">
        <v>3048</v>
      </c>
      <c r="J377" s="18"/>
      <c r="K377" s="19"/>
      <c r="L377" s="19"/>
      <c r="M377" s="13"/>
      <c r="O377" s="18"/>
      <c r="P377" s="19"/>
      <c r="Q377" s="13"/>
      <c r="S377" s="18"/>
      <c r="T377" s="19"/>
      <c r="U377" s="13"/>
      <c r="W377" s="18"/>
      <c r="X377" s="19"/>
      <c r="Y377" s="13"/>
      <c r="AA377" s="18"/>
      <c r="AB377" s="19"/>
      <c r="AC377" s="13"/>
    </row>
    <row r="378" spans="1:29">
      <c r="A378" s="17" t="s">
        <v>207</v>
      </c>
      <c r="C378" s="21">
        <v>47371</v>
      </c>
      <c r="E378" s="178">
        <v>4.3</v>
      </c>
      <c r="F378" s="224"/>
      <c r="G378" s="224"/>
      <c r="H378" s="225">
        <v>203695</v>
      </c>
      <c r="J378" s="18"/>
      <c r="K378" s="19"/>
      <c r="L378" s="19"/>
      <c r="M378" s="13"/>
      <c r="O378" s="18"/>
      <c r="P378" s="19"/>
      <c r="Q378" s="13"/>
      <c r="S378" s="18"/>
      <c r="T378" s="19"/>
      <c r="U378" s="13"/>
      <c r="W378" s="156">
        <f>W$371</f>
        <v>3.6799999999999999E-2</v>
      </c>
      <c r="X378" s="25"/>
      <c r="Y378" s="74">
        <f t="shared" ref="Y378" si="118">($H378+$M378+$Q378+$U378)*W378</f>
        <v>7495.9759999999997</v>
      </c>
      <c r="AA378" s="156">
        <f>AA$371</f>
        <v>4.0599999999999997E-2</v>
      </c>
      <c r="AB378" s="25"/>
      <c r="AC378" s="74">
        <f t="shared" ref="AC378:AC380" si="119">($H378+$M378+$Q378+$U378)*AA378</f>
        <v>8270.0169999999998</v>
      </c>
    </row>
    <row r="379" spans="1:29">
      <c r="A379" s="17" t="s">
        <v>208</v>
      </c>
      <c r="C379" s="21">
        <v>2660898</v>
      </c>
      <c r="E379" s="259">
        <v>5.3851000000000004</v>
      </c>
      <c r="F379" s="227" t="s">
        <v>16</v>
      </c>
      <c r="G379" s="227"/>
      <c r="H379" s="225">
        <v>143292</v>
      </c>
      <c r="J379" s="84">
        <f t="shared" ref="J379:J380" si="120">$J$372</f>
        <v>3.78E-2</v>
      </c>
      <c r="K379" s="25" t="s">
        <v>16</v>
      </c>
      <c r="L379" s="25"/>
      <c r="M379" s="74">
        <f t="shared" ref="M379:M380" si="121">C379*J379/100</f>
        <v>1005.8194440000001</v>
      </c>
      <c r="O379" s="156">
        <f>O$372</f>
        <v>4.3400000000000001E-2</v>
      </c>
      <c r="P379" s="25"/>
      <c r="Q379" s="74">
        <f t="shared" ref="Q379:Q380" si="122">($H379+$M379)*O379</f>
        <v>6262.5253638695995</v>
      </c>
      <c r="S379" s="156">
        <f>S$372</f>
        <v>8.5000000000000006E-3</v>
      </c>
      <c r="T379" s="25"/>
      <c r="U379" s="74">
        <f t="shared" ref="U379:U380" si="123">($H379+$M379)*S379</f>
        <v>1226.5314652740001</v>
      </c>
      <c r="W379" s="156">
        <f>W$371</f>
        <v>3.6799999999999999E-2</v>
      </c>
      <c r="X379" s="25"/>
      <c r="Y379" s="74">
        <f t="shared" ref="Y379:Y380" si="124">($H379+$M379+$Q379+$U379)*W379</f>
        <v>5585.7570468516833</v>
      </c>
      <c r="AA379" s="156">
        <f>AA$371</f>
        <v>4.0599999999999997E-2</v>
      </c>
      <c r="AB379" s="25"/>
      <c r="AC379" s="74">
        <f t="shared" si="119"/>
        <v>6162.5471766896289</v>
      </c>
    </row>
    <row r="380" spans="1:29">
      <c r="A380" s="17" t="s">
        <v>103</v>
      </c>
      <c r="C380" s="21">
        <v>963969.33770158794</v>
      </c>
      <c r="E380" s="259">
        <v>4.7168999999999999</v>
      </c>
      <c r="F380" s="227" t="s">
        <v>16</v>
      </c>
      <c r="G380" s="227"/>
      <c r="H380" s="225">
        <v>45469</v>
      </c>
      <c r="J380" s="84">
        <f t="shared" si="120"/>
        <v>3.78E-2</v>
      </c>
      <c r="K380" s="25" t="s">
        <v>16</v>
      </c>
      <c r="L380" s="25"/>
      <c r="M380" s="74">
        <f t="shared" si="121"/>
        <v>364.38040965120024</v>
      </c>
      <c r="O380" s="156">
        <f>O$372</f>
        <v>4.3400000000000001E-2</v>
      </c>
      <c r="P380" s="25"/>
      <c r="Q380" s="74">
        <f t="shared" si="122"/>
        <v>1989.1687097788622</v>
      </c>
      <c r="S380" s="156">
        <f>S$372</f>
        <v>8.5000000000000006E-3</v>
      </c>
      <c r="T380" s="25"/>
      <c r="U380" s="74">
        <f t="shared" si="123"/>
        <v>389.58373348203526</v>
      </c>
      <c r="W380" s="156">
        <f>W$371</f>
        <v>3.6799999999999999E-2</v>
      </c>
      <c r="X380" s="25"/>
      <c r="Y380" s="74">
        <f t="shared" si="124"/>
        <v>1774.2064889871651</v>
      </c>
      <c r="AA380" s="156">
        <f>AA$371</f>
        <v>4.0599999999999997E-2</v>
      </c>
      <c r="AB380" s="25"/>
      <c r="AC380" s="74">
        <f t="shared" si="119"/>
        <v>1957.4125938282309</v>
      </c>
    </row>
    <row r="381" spans="1:29">
      <c r="A381" s="17" t="s">
        <v>28</v>
      </c>
      <c r="C381" s="36">
        <v>0</v>
      </c>
      <c r="E381" s="259"/>
      <c r="F381" s="256"/>
      <c r="G381" s="256"/>
      <c r="H381" s="232">
        <v>0</v>
      </c>
      <c r="J381" s="84"/>
      <c r="K381" s="86"/>
      <c r="L381" s="86"/>
      <c r="M381" s="38"/>
      <c r="O381" s="84"/>
      <c r="P381" s="86"/>
      <c r="Q381" s="38"/>
      <c r="S381" s="84"/>
      <c r="T381" s="86"/>
      <c r="U381" s="38"/>
      <c r="W381" s="84"/>
      <c r="X381" s="86"/>
      <c r="Y381" s="38"/>
      <c r="AA381" s="84"/>
      <c r="AB381" s="86"/>
      <c r="AC381" s="38"/>
    </row>
    <row r="382" spans="1:29">
      <c r="A382" s="17" t="s">
        <v>209</v>
      </c>
      <c r="C382" s="55">
        <v>3624867.3377015879</v>
      </c>
      <c r="E382" s="243"/>
      <c r="F382" s="244"/>
      <c r="G382" s="244"/>
      <c r="H382" s="225">
        <v>395504</v>
      </c>
      <c r="J382" s="53"/>
      <c r="K382" s="59"/>
      <c r="L382" s="59"/>
      <c r="M382" s="13">
        <f>SUM(M377:M381)</f>
        <v>1370.1998536512003</v>
      </c>
      <c r="O382" s="53"/>
      <c r="P382" s="59"/>
      <c r="Q382" s="13">
        <f>SUM(Q377:Q381)</f>
        <v>8251.6940736484612</v>
      </c>
      <c r="S382" s="53"/>
      <c r="T382" s="59"/>
      <c r="U382" s="13">
        <f>SUM(U377:U381)</f>
        <v>1616.1151987560354</v>
      </c>
      <c r="W382" s="53"/>
      <c r="X382" s="59"/>
      <c r="Y382" s="13">
        <f>SUM(Y377:Y381)</f>
        <v>14855.939535838848</v>
      </c>
      <c r="AA382" s="53"/>
      <c r="AB382" s="59"/>
      <c r="AC382" s="13">
        <f>SUM(AC377:AC381)</f>
        <v>16389.97677051786</v>
      </c>
    </row>
    <row r="383" spans="1:29" ht="16.5" thickBot="1">
      <c r="A383" s="17" t="s">
        <v>29</v>
      </c>
      <c r="C383" s="96">
        <v>4048700.3377015879</v>
      </c>
      <c r="E383" s="238"/>
      <c r="H383" s="239">
        <v>475926</v>
      </c>
      <c r="J383" s="48"/>
      <c r="M383" s="81">
        <f>M375+M382</f>
        <v>1530.4087276512003</v>
      </c>
      <c r="O383" s="48"/>
      <c r="Q383" s="81">
        <f>Q375+Q382</f>
        <v>9517.6811387800608</v>
      </c>
      <c r="S383" s="48"/>
      <c r="U383" s="81">
        <f>U375+U382</f>
        <v>1864.0619741850355</v>
      </c>
      <c r="W383" s="48"/>
      <c r="Y383" s="81">
        <f>Y375+Y382</f>
        <v>17708.827987734679</v>
      </c>
      <c r="AA383" s="48"/>
      <c r="AC383" s="81">
        <f>AC375+AC382</f>
        <v>19537.456964729019</v>
      </c>
    </row>
    <row r="384" spans="1:29" ht="16.5" thickTop="1">
      <c r="C384" s="55"/>
    </row>
    <row r="385" spans="1:29">
      <c r="A385" s="16" t="s">
        <v>211</v>
      </c>
      <c r="C385" s="260"/>
    </row>
    <row r="386" spans="1:29">
      <c r="A386" s="17" t="s">
        <v>35</v>
      </c>
      <c r="C386" s="55">
        <v>992017.98512850888</v>
      </c>
      <c r="E386" s="178">
        <v>10</v>
      </c>
      <c r="F386" s="224"/>
      <c r="G386" s="224"/>
      <c r="H386" s="225">
        <v>9920180</v>
      </c>
      <c r="J386" s="18"/>
      <c r="K386" s="19"/>
      <c r="L386" s="19"/>
      <c r="M386" s="13"/>
      <c r="O386" s="18"/>
      <c r="P386" s="19"/>
      <c r="Q386" s="13"/>
      <c r="S386" s="18"/>
      <c r="T386" s="19"/>
      <c r="U386" s="13"/>
      <c r="W386" s="18"/>
      <c r="X386" s="19"/>
      <c r="Y386" s="13"/>
      <c r="AA386" s="18"/>
      <c r="AB386" s="19"/>
      <c r="AC386" s="13"/>
    </row>
    <row r="387" spans="1:29">
      <c r="A387" s="17" t="s">
        <v>212</v>
      </c>
      <c r="C387" s="55">
        <v>387746</v>
      </c>
      <c r="E387" s="178">
        <v>8.65</v>
      </c>
      <c r="F387" s="224"/>
      <c r="G387" s="224"/>
      <c r="H387" s="225">
        <v>3354003</v>
      </c>
      <c r="J387" s="18"/>
      <c r="K387" s="19"/>
      <c r="L387" s="19"/>
      <c r="M387" s="13"/>
      <c r="O387" s="168">
        <v>1.4800000000000001E-2</v>
      </c>
      <c r="P387" s="79"/>
      <c r="Q387" s="74">
        <f>($H387+$M387)*O387</f>
        <v>49639.244400000003</v>
      </c>
      <c r="S387" s="168">
        <v>4.1000000000000003E-3</v>
      </c>
      <c r="T387" s="79"/>
      <c r="U387" s="74">
        <f>($H387+$M387)*S387</f>
        <v>13751.412300000002</v>
      </c>
      <c r="W387" s="168">
        <v>3.8899999999999997E-2</v>
      </c>
      <c r="X387" s="79"/>
      <c r="Y387" s="74">
        <f t="shared" ref="Y387:Y393" si="125">($H387+$M387+$Q387+$U387)*W387</f>
        <v>132936.61324563</v>
      </c>
      <c r="AA387" s="168">
        <f>ROUND(1/($H$396-$H$386+$M$396+$Q$396+$U$396)*'RateSpread-1'!P32*1000,4)</f>
        <v>4.2999999999999997E-2</v>
      </c>
      <c r="AB387" s="79"/>
      <c r="AC387" s="74">
        <f t="shared" ref="AC387:AC393" si="126">($H387+$M387+$Q387+$U387)*AA387</f>
        <v>146947.9272381</v>
      </c>
    </row>
    <row r="388" spans="1:29">
      <c r="A388" s="17" t="s">
        <v>213</v>
      </c>
      <c r="C388" s="55">
        <v>347761</v>
      </c>
      <c r="E388" s="178">
        <v>8.7000000000000011</v>
      </c>
      <c r="F388" s="224"/>
      <c r="G388" s="224"/>
      <c r="H388" s="225">
        <v>3025521</v>
      </c>
      <c r="J388" s="18"/>
      <c r="K388" s="19"/>
      <c r="L388" s="19"/>
      <c r="M388" s="13"/>
      <c r="O388" s="156">
        <f>O$387</f>
        <v>1.4800000000000001E-2</v>
      </c>
      <c r="P388" s="79"/>
      <c r="Q388" s="74">
        <f>($H388+$M388)*O388</f>
        <v>44777.710800000001</v>
      </c>
      <c r="S388" s="156">
        <f>S$387</f>
        <v>4.1000000000000003E-3</v>
      </c>
      <c r="T388" s="79"/>
      <c r="U388" s="74">
        <f>($H388+$M388)*S388</f>
        <v>12404.636100000002</v>
      </c>
      <c r="W388" s="156">
        <f t="shared" ref="W388:W393" si="127">W$387</f>
        <v>3.8899999999999997E-2</v>
      </c>
      <c r="X388" s="79"/>
      <c r="Y388" s="74">
        <f t="shared" si="125"/>
        <v>119917.16019440998</v>
      </c>
      <c r="AA388" s="156">
        <f t="shared" ref="AA388:AA393" si="128">AA$387</f>
        <v>4.2999999999999997E-2</v>
      </c>
      <c r="AB388" s="79"/>
      <c r="AC388" s="74">
        <f t="shared" si="126"/>
        <v>132556.24391669998</v>
      </c>
    </row>
    <row r="389" spans="1:29">
      <c r="A389" s="17" t="s">
        <v>38</v>
      </c>
      <c r="C389" s="55">
        <v>7029</v>
      </c>
      <c r="E389" s="178">
        <v>-0.48</v>
      </c>
      <c r="F389" s="224"/>
      <c r="G389" s="224"/>
      <c r="H389" s="225">
        <v>-3374</v>
      </c>
      <c r="J389" s="18"/>
      <c r="K389" s="19"/>
      <c r="L389" s="19"/>
      <c r="M389" s="13"/>
      <c r="O389" s="178"/>
      <c r="P389" s="19"/>
      <c r="Q389" s="13"/>
      <c r="S389" s="178"/>
      <c r="T389" s="19"/>
      <c r="U389" s="13"/>
      <c r="W389" s="156">
        <f t="shared" si="127"/>
        <v>3.8899999999999997E-2</v>
      </c>
      <c r="X389" s="79"/>
      <c r="Y389" s="74">
        <f t="shared" ref="Y389" si="129">($H389+$M389+$Q389+$U389)*W389</f>
        <v>-131.24859999999998</v>
      </c>
      <c r="AA389" s="156">
        <f t="shared" si="128"/>
        <v>4.2999999999999997E-2</v>
      </c>
      <c r="AB389" s="79"/>
      <c r="AC389" s="74">
        <f t="shared" si="126"/>
        <v>-145.08199999999999</v>
      </c>
    </row>
    <row r="390" spans="1:29">
      <c r="A390" s="17" t="s">
        <v>214</v>
      </c>
      <c r="C390" s="55">
        <v>295977608</v>
      </c>
      <c r="E390" s="228">
        <v>11.733599999999999</v>
      </c>
      <c r="F390" s="227" t="s">
        <v>16</v>
      </c>
      <c r="G390" s="227"/>
      <c r="H390" s="225">
        <v>34728829</v>
      </c>
      <c r="J390" s="172">
        <v>3.2899999999999999E-2</v>
      </c>
      <c r="K390" s="79" t="s">
        <v>16</v>
      </c>
      <c r="L390" s="79"/>
      <c r="M390" s="74">
        <f>C390*J390/100</f>
        <v>97376.633031999983</v>
      </c>
      <c r="N390" s="44"/>
      <c r="O390" s="156">
        <f>O$387</f>
        <v>1.4800000000000001E-2</v>
      </c>
      <c r="P390" s="79"/>
      <c r="Q390" s="74">
        <f t="shared" ref="Q390:Q393" si="130">($H390+$M390)*O390</f>
        <v>515427.84336887364</v>
      </c>
      <c r="R390" s="44"/>
      <c r="S390" s="156">
        <f>S$387</f>
        <v>4.1000000000000003E-3</v>
      </c>
      <c r="T390" s="79"/>
      <c r="U390" s="74">
        <f t="shared" ref="U390:U393" si="131">($H390+$M390)*S390</f>
        <v>142787.44309543123</v>
      </c>
      <c r="V390" s="44"/>
      <c r="W390" s="156">
        <f t="shared" si="127"/>
        <v>3.8899999999999997E-2</v>
      </c>
      <c r="X390" s="79"/>
      <c r="Y390" s="74">
        <f t="shared" si="125"/>
        <v>1380343.9737684061</v>
      </c>
      <c r="Z390" s="44"/>
      <c r="AA390" s="156">
        <f t="shared" si="128"/>
        <v>4.2999999999999997E-2</v>
      </c>
      <c r="AB390" s="79"/>
      <c r="AC390" s="74">
        <f t="shared" si="126"/>
        <v>1525830.0995383409</v>
      </c>
    </row>
    <row r="391" spans="1:29">
      <c r="A391" s="17" t="s">
        <v>215</v>
      </c>
      <c r="C391" s="55">
        <v>309000007.78318173</v>
      </c>
      <c r="E391" s="228">
        <v>6.5782999999999996</v>
      </c>
      <c r="F391" s="227" t="s">
        <v>16</v>
      </c>
      <c r="G391" s="227"/>
      <c r="H391" s="225">
        <v>20326948</v>
      </c>
      <c r="J391" s="26">
        <f>$J$390</f>
        <v>3.2899999999999999E-2</v>
      </c>
      <c r="K391" s="25" t="s">
        <v>16</v>
      </c>
      <c r="L391" s="25"/>
      <c r="M391" s="74">
        <f t="shared" ref="M391:M393" si="132">C391*J391/100</f>
        <v>101661.00256066678</v>
      </c>
      <c r="O391" s="156">
        <f>O$387</f>
        <v>1.4800000000000001E-2</v>
      </c>
      <c r="P391" s="79"/>
      <c r="Q391" s="74">
        <f t="shared" si="130"/>
        <v>302343.41323789791</v>
      </c>
      <c r="S391" s="156">
        <f>S$387</f>
        <v>4.1000000000000003E-3</v>
      </c>
      <c r="T391" s="79"/>
      <c r="U391" s="74">
        <f t="shared" si="131"/>
        <v>83757.296910498742</v>
      </c>
      <c r="W391" s="156">
        <f t="shared" si="127"/>
        <v>3.8899999999999997E-2</v>
      </c>
      <c r="X391" s="79"/>
      <c r="Y391" s="74">
        <f t="shared" si="125"/>
        <v>809692.20782438258</v>
      </c>
      <c r="AA391" s="156">
        <f t="shared" si="128"/>
        <v>4.2999999999999997E-2</v>
      </c>
      <c r="AB391" s="79"/>
      <c r="AC391" s="74">
        <f t="shared" si="126"/>
        <v>895032.51764648978</v>
      </c>
    </row>
    <row r="392" spans="1:29">
      <c r="A392" s="17" t="s">
        <v>216</v>
      </c>
      <c r="C392" s="55">
        <v>424820226</v>
      </c>
      <c r="E392" s="228">
        <v>10.8</v>
      </c>
      <c r="F392" s="227" t="s">
        <v>16</v>
      </c>
      <c r="G392" s="227"/>
      <c r="H392" s="225">
        <v>45880584</v>
      </c>
      <c r="J392" s="26">
        <f t="shared" ref="J392:J393" si="133">$J$390</f>
        <v>3.2899999999999999E-2</v>
      </c>
      <c r="K392" s="25" t="s">
        <v>16</v>
      </c>
      <c r="L392" s="25"/>
      <c r="M392" s="74">
        <f t="shared" si="132"/>
        <v>139765.85435400001</v>
      </c>
      <c r="O392" s="156">
        <f>O$387</f>
        <v>1.4800000000000001E-2</v>
      </c>
      <c r="P392" s="79"/>
      <c r="Q392" s="74">
        <f t="shared" si="130"/>
        <v>681101.17784443928</v>
      </c>
      <c r="S392" s="156">
        <f>S$387</f>
        <v>4.1000000000000003E-3</v>
      </c>
      <c r="T392" s="79"/>
      <c r="U392" s="74">
        <f t="shared" si="131"/>
        <v>188683.43440285142</v>
      </c>
      <c r="W392" s="156">
        <f t="shared" si="127"/>
        <v>3.8899999999999997E-2</v>
      </c>
      <c r="X392" s="79"/>
      <c r="Y392" s="74">
        <f t="shared" si="125"/>
        <v>1824026.2307507903</v>
      </c>
      <c r="AA392" s="156">
        <f t="shared" si="128"/>
        <v>4.2999999999999997E-2</v>
      </c>
      <c r="AB392" s="79"/>
      <c r="AC392" s="74">
        <f t="shared" si="126"/>
        <v>2016275.7820638556</v>
      </c>
    </row>
    <row r="393" spans="1:29">
      <c r="A393" s="17" t="s">
        <v>217</v>
      </c>
      <c r="C393" s="55">
        <v>361090368.97025329</v>
      </c>
      <c r="E393" s="228">
        <v>6.0567000000000002</v>
      </c>
      <c r="F393" s="227" t="s">
        <v>16</v>
      </c>
      <c r="G393" s="227"/>
      <c r="H393" s="225">
        <v>21870160</v>
      </c>
      <c r="J393" s="26">
        <f t="shared" si="133"/>
        <v>3.2899999999999999E-2</v>
      </c>
      <c r="K393" s="25" t="s">
        <v>16</v>
      </c>
      <c r="L393" s="25"/>
      <c r="M393" s="74">
        <f t="shared" si="132"/>
        <v>118798.73139121332</v>
      </c>
      <c r="O393" s="156">
        <f>O$387</f>
        <v>1.4800000000000001E-2</v>
      </c>
      <c r="P393" s="79"/>
      <c r="Q393" s="74">
        <f t="shared" si="130"/>
        <v>325436.58922458999</v>
      </c>
      <c r="S393" s="156">
        <f>S$387</f>
        <v>4.1000000000000003E-3</v>
      </c>
      <c r="T393" s="79"/>
      <c r="U393" s="74">
        <f t="shared" si="131"/>
        <v>90154.730798703982</v>
      </c>
      <c r="W393" s="156">
        <f t="shared" si="127"/>
        <v>3.8899999999999997E-2</v>
      </c>
      <c r="X393" s="79"/>
      <c r="Y393" s="74">
        <f t="shared" si="125"/>
        <v>871536.9970000243</v>
      </c>
      <c r="AA393" s="156">
        <f t="shared" si="128"/>
        <v>4.2999999999999997E-2</v>
      </c>
      <c r="AB393" s="79"/>
      <c r="AC393" s="74">
        <f t="shared" si="126"/>
        <v>963395.65221082373</v>
      </c>
    </row>
    <row r="394" spans="1:29">
      <c r="A394" s="17" t="s">
        <v>43</v>
      </c>
      <c r="C394" s="55">
        <v>0</v>
      </c>
      <c r="E394" s="178">
        <v>120</v>
      </c>
      <c r="F394" s="224"/>
      <c r="G394" s="224"/>
      <c r="H394" s="225">
        <v>0</v>
      </c>
      <c r="J394" s="18"/>
      <c r="K394" s="42"/>
      <c r="L394" s="42"/>
      <c r="M394" s="13"/>
      <c r="O394" s="18"/>
      <c r="P394" s="42"/>
      <c r="Q394" s="13"/>
      <c r="S394" s="18"/>
      <c r="T394" s="42"/>
      <c r="U394" s="13"/>
      <c r="W394" s="18"/>
      <c r="X394" s="42"/>
      <c r="Y394" s="13"/>
      <c r="AA394" s="18"/>
      <c r="AB394" s="42"/>
      <c r="AC394" s="13"/>
    </row>
    <row r="395" spans="1:29">
      <c r="A395" s="17" t="s">
        <v>28</v>
      </c>
      <c r="C395" s="36">
        <v>0</v>
      </c>
      <c r="H395" s="232">
        <v>0</v>
      </c>
      <c r="M395" s="37"/>
      <c r="Q395" s="37"/>
      <c r="U395" s="37"/>
      <c r="Y395" s="37"/>
      <c r="AC395" s="37"/>
    </row>
    <row r="396" spans="1:29" ht="16.5" thickBot="1">
      <c r="A396" s="17" t="s">
        <v>29</v>
      </c>
      <c r="C396" s="96">
        <v>1390888210.7534347</v>
      </c>
      <c r="E396" s="238"/>
      <c r="H396" s="239">
        <v>139102851</v>
      </c>
      <c r="J396" s="48"/>
      <c r="M396" s="49">
        <f>SUM(M386:M395)</f>
        <v>457602.22133788007</v>
      </c>
      <c r="O396" s="48"/>
      <c r="Q396" s="49">
        <f>SUM(Q386:Q395)</f>
        <v>1918725.978875801</v>
      </c>
      <c r="S396" s="48"/>
      <c r="U396" s="49">
        <f>SUM(U386:U395)</f>
        <v>531538.9536074854</v>
      </c>
      <c r="W396" s="48"/>
      <c r="Y396" s="49">
        <f>SUM(Y386:Y395)</f>
        <v>5138321.9341836432</v>
      </c>
      <c r="AA396" s="48"/>
      <c r="AC396" s="49">
        <f>SUM(AC386:AC395)</f>
        <v>5679893.1406143103</v>
      </c>
    </row>
    <row r="397" spans="1:29" ht="16.5" thickTop="1">
      <c r="C397" s="55"/>
    </row>
    <row r="398" spans="1:29">
      <c r="A398" s="16" t="s">
        <v>218</v>
      </c>
      <c r="C398" s="55"/>
      <c r="E398" s="243"/>
      <c r="F398" s="244"/>
      <c r="G398" s="244"/>
      <c r="J398" s="53"/>
      <c r="K398" s="59"/>
      <c r="L398" s="59"/>
      <c r="O398" s="53"/>
      <c r="P398" s="59"/>
      <c r="S398" s="53"/>
      <c r="T398" s="59"/>
      <c r="W398" s="53"/>
      <c r="X398" s="59"/>
      <c r="AA398" s="53"/>
      <c r="AB398" s="59"/>
    </row>
    <row r="399" spans="1:29">
      <c r="A399" s="83" t="s">
        <v>219</v>
      </c>
      <c r="C399" s="55"/>
    </row>
    <row r="400" spans="1:29">
      <c r="A400" s="17" t="s">
        <v>220</v>
      </c>
      <c r="B400" s="17"/>
      <c r="C400" s="55">
        <v>0</v>
      </c>
      <c r="E400" s="178">
        <v>133</v>
      </c>
      <c r="F400" s="224"/>
      <c r="G400" s="224"/>
      <c r="H400" s="225">
        <v>0</v>
      </c>
      <c r="J400" s="18"/>
      <c r="K400" s="19"/>
      <c r="L400" s="19"/>
      <c r="M400" s="13"/>
      <c r="O400" s="18"/>
      <c r="P400" s="19"/>
      <c r="Q400" s="13"/>
      <c r="S400" s="18"/>
      <c r="T400" s="19"/>
      <c r="U400" s="13"/>
      <c r="W400" s="18"/>
      <c r="X400" s="19"/>
      <c r="Y400" s="13"/>
      <c r="AA400" s="18"/>
      <c r="AB400" s="19"/>
      <c r="AC400" s="13"/>
    </row>
    <row r="401" spans="1:29">
      <c r="A401" s="17" t="s">
        <v>221</v>
      </c>
      <c r="B401" s="17"/>
      <c r="C401" s="55">
        <v>0</v>
      </c>
      <c r="E401" s="178">
        <v>5.6</v>
      </c>
      <c r="F401" s="224"/>
      <c r="G401" s="224"/>
      <c r="H401" s="225">
        <v>0</v>
      </c>
      <c r="J401" s="18"/>
      <c r="K401" s="19"/>
      <c r="L401" s="19"/>
      <c r="M401" s="13"/>
      <c r="O401" s="18"/>
      <c r="P401" s="19"/>
      <c r="Q401" s="13"/>
      <c r="S401" s="18"/>
      <c r="T401" s="19"/>
      <c r="U401" s="13"/>
      <c r="W401" s="168">
        <v>3.6999999999999998E-2</v>
      </c>
      <c r="X401" s="19"/>
      <c r="Y401" s="13">
        <f>($H401+$M401+$Q401+$U401)*W401</f>
        <v>0</v>
      </c>
      <c r="AA401" s="168">
        <f>ROUND(1/($H$438-$H$400-$H$413-$H$426+$M$438+$Q$438+$U$438)*(-AC455+'RateSpread-1'!P33*1000),4)</f>
        <v>4.0899999999999999E-2</v>
      </c>
      <c r="AB401" s="19"/>
      <c r="AC401" s="13">
        <f>($H401+$M401+$Q401+$U401)*AA401</f>
        <v>0</v>
      </c>
    </row>
    <row r="402" spans="1:29">
      <c r="A402" s="17" t="s">
        <v>222</v>
      </c>
      <c r="B402" s="17"/>
      <c r="C402" s="55"/>
      <c r="E402" s="250"/>
      <c r="F402" s="230"/>
      <c r="G402" s="230"/>
      <c r="H402" s="225"/>
      <c r="J402" s="33"/>
      <c r="K402" s="54"/>
      <c r="L402" s="54"/>
      <c r="M402" s="13"/>
      <c r="O402" s="33"/>
      <c r="P402" s="54"/>
      <c r="Q402" s="13"/>
      <c r="S402" s="33"/>
      <c r="T402" s="54"/>
      <c r="U402" s="13"/>
      <c r="W402" s="179">
        <f>W$401</f>
        <v>3.6999999999999998E-2</v>
      </c>
      <c r="X402" s="54"/>
      <c r="Y402" s="13">
        <f t="shared" ref="Y402:Y411" si="134">($H402+$M402+$Q402+$U402)*W402</f>
        <v>0</v>
      </c>
      <c r="AA402" s="179">
        <f>AA$401</f>
        <v>4.0899999999999999E-2</v>
      </c>
      <c r="AB402" s="54"/>
      <c r="AC402" s="13">
        <f t="shared" ref="AC402" si="135">($H402+$M402+$Q402+$U402)*AA402</f>
        <v>0</v>
      </c>
    </row>
    <row r="403" spans="1:29">
      <c r="A403" s="17" t="s">
        <v>223</v>
      </c>
      <c r="B403" s="17"/>
      <c r="C403" s="55">
        <v>0</v>
      </c>
      <c r="E403" s="261"/>
      <c r="F403" s="262"/>
      <c r="G403" s="262"/>
      <c r="H403" s="225"/>
      <c r="J403" s="87"/>
      <c r="K403" s="88"/>
      <c r="L403" s="88"/>
      <c r="M403" s="13"/>
      <c r="O403" s="87"/>
      <c r="P403" s="88"/>
      <c r="Q403" s="13"/>
      <c r="S403" s="87"/>
      <c r="T403" s="88"/>
      <c r="U403" s="13"/>
      <c r="W403" s="179"/>
      <c r="X403" s="88"/>
      <c r="Y403" s="13"/>
      <c r="AA403" s="179"/>
      <c r="AB403" s="88"/>
      <c r="AC403" s="13"/>
    </row>
    <row r="404" spans="1:29">
      <c r="A404" s="17" t="s">
        <v>224</v>
      </c>
      <c r="B404" s="17"/>
      <c r="C404" s="55">
        <v>0</v>
      </c>
      <c r="E404" s="178">
        <v>0.88</v>
      </c>
      <c r="F404" s="262"/>
      <c r="G404" s="262"/>
      <c r="H404" s="225">
        <v>0</v>
      </c>
      <c r="J404" s="18"/>
      <c r="K404" s="88"/>
      <c r="L404" s="88"/>
      <c r="M404" s="13"/>
      <c r="O404" s="18"/>
      <c r="P404" s="88"/>
      <c r="Q404" s="13"/>
      <c r="S404" s="18"/>
      <c r="T404" s="88"/>
      <c r="U404" s="13"/>
      <c r="W404" s="179">
        <f>W$401</f>
        <v>3.6999999999999998E-2</v>
      </c>
      <c r="X404" s="88"/>
      <c r="Y404" s="13">
        <f t="shared" si="134"/>
        <v>0</v>
      </c>
      <c r="AA404" s="179">
        <f t="shared" ref="AA404:AA437" si="136">AA$401</f>
        <v>4.0899999999999999E-2</v>
      </c>
      <c r="AB404" s="88"/>
      <c r="AC404" s="13">
        <f t="shared" ref="AC404:AC405" si="137">($H404+$M404+$Q404+$U404)*AA404</f>
        <v>0</v>
      </c>
    </row>
    <row r="405" spans="1:29">
      <c r="A405" s="17" t="s">
        <v>225</v>
      </c>
      <c r="B405" s="17"/>
      <c r="C405" s="55">
        <v>0</v>
      </c>
      <c r="E405" s="178">
        <v>0.62</v>
      </c>
      <c r="F405" s="262"/>
      <c r="G405" s="262"/>
      <c r="H405" s="225">
        <v>0</v>
      </c>
      <c r="J405" s="18"/>
      <c r="K405" s="88"/>
      <c r="L405" s="88"/>
      <c r="M405" s="13"/>
      <c r="O405" s="18"/>
      <c r="P405" s="88"/>
      <c r="Q405" s="13"/>
      <c r="S405" s="18"/>
      <c r="T405" s="88"/>
      <c r="U405" s="13"/>
      <c r="W405" s="179">
        <f>W$401</f>
        <v>3.6999999999999998E-2</v>
      </c>
      <c r="X405" s="88"/>
      <c r="Y405" s="13">
        <f t="shared" si="134"/>
        <v>0</v>
      </c>
      <c r="AA405" s="179">
        <f t="shared" si="136"/>
        <v>4.0899999999999999E-2</v>
      </c>
      <c r="AB405" s="88"/>
      <c r="AC405" s="13">
        <f t="shared" si="137"/>
        <v>0</v>
      </c>
    </row>
    <row r="406" spans="1:29">
      <c r="A406" s="17" t="s">
        <v>226</v>
      </c>
      <c r="B406" s="17"/>
      <c r="C406" s="55">
        <v>0</v>
      </c>
      <c r="E406" s="261"/>
      <c r="F406" s="263"/>
      <c r="G406" s="263"/>
      <c r="H406" s="225"/>
      <c r="J406" s="87"/>
      <c r="K406" s="89"/>
      <c r="L406" s="89"/>
      <c r="M406" s="13"/>
      <c r="O406" s="87"/>
      <c r="P406" s="89"/>
      <c r="Q406" s="13"/>
      <c r="S406" s="87"/>
      <c r="T406" s="89"/>
      <c r="U406" s="13"/>
      <c r="W406" s="179"/>
      <c r="X406" s="89"/>
      <c r="Y406" s="13"/>
      <c r="AA406" s="179"/>
      <c r="AB406" s="89"/>
      <c r="AC406" s="13"/>
    </row>
    <row r="407" spans="1:29">
      <c r="A407" s="17" t="s">
        <v>224</v>
      </c>
      <c r="B407" s="17"/>
      <c r="C407" s="55">
        <v>0</v>
      </c>
      <c r="E407" s="264">
        <v>0.44</v>
      </c>
      <c r="F407" s="263"/>
      <c r="G407" s="263"/>
      <c r="H407" s="225">
        <v>0</v>
      </c>
      <c r="J407" s="90"/>
      <c r="K407" s="89"/>
      <c r="L407" s="89"/>
      <c r="M407" s="13"/>
      <c r="O407" s="90"/>
      <c r="P407" s="89"/>
      <c r="Q407" s="13"/>
      <c r="S407" s="90"/>
      <c r="T407" s="89"/>
      <c r="U407" s="13"/>
      <c r="W407" s="179">
        <f>W$401</f>
        <v>3.6999999999999998E-2</v>
      </c>
      <c r="X407" s="89"/>
      <c r="Y407" s="13">
        <f t="shared" si="134"/>
        <v>0</v>
      </c>
      <c r="AA407" s="179">
        <f t="shared" si="136"/>
        <v>4.0899999999999999E-2</v>
      </c>
      <c r="AB407" s="89"/>
      <c r="AC407" s="13">
        <f t="shared" ref="AC407:AC408" si="138">($H407+$M407+$Q407+$U407)*AA407</f>
        <v>0</v>
      </c>
    </row>
    <row r="408" spans="1:29">
      <c r="A408" s="17" t="s">
        <v>225</v>
      </c>
      <c r="B408" s="17"/>
      <c r="C408" s="55">
        <v>0</v>
      </c>
      <c r="E408" s="264">
        <v>0.31</v>
      </c>
      <c r="F408" s="263"/>
      <c r="G408" s="263"/>
      <c r="H408" s="225">
        <v>0</v>
      </c>
      <c r="J408" s="90"/>
      <c r="K408" s="89"/>
      <c r="L408" s="89"/>
      <c r="M408" s="13"/>
      <c r="O408" s="90"/>
      <c r="P408" s="89"/>
      <c r="Q408" s="13"/>
      <c r="S408" s="90"/>
      <c r="T408" s="89"/>
      <c r="U408" s="13"/>
      <c r="W408" s="179">
        <f>W$401</f>
        <v>3.6999999999999998E-2</v>
      </c>
      <c r="X408" s="89"/>
      <c r="Y408" s="13">
        <f t="shared" si="134"/>
        <v>0</v>
      </c>
      <c r="AA408" s="179">
        <f t="shared" si="136"/>
        <v>4.0899999999999999E-2</v>
      </c>
      <c r="AB408" s="89"/>
      <c r="AC408" s="13">
        <f t="shared" si="138"/>
        <v>0</v>
      </c>
    </row>
    <row r="409" spans="1:29">
      <c r="A409" s="17" t="s">
        <v>227</v>
      </c>
      <c r="B409" s="17"/>
      <c r="C409" s="55">
        <v>0</v>
      </c>
      <c r="E409" s="261"/>
      <c r="F409" s="224"/>
      <c r="G409" s="224"/>
      <c r="H409" s="225"/>
      <c r="J409" s="87"/>
      <c r="K409" s="19"/>
      <c r="L409" s="19"/>
      <c r="M409" s="13"/>
      <c r="O409" s="87"/>
      <c r="P409" s="19"/>
      <c r="Q409" s="13"/>
      <c r="S409" s="87"/>
      <c r="T409" s="19"/>
      <c r="U409" s="13"/>
      <c r="W409" s="179"/>
      <c r="X409" s="19"/>
      <c r="Y409" s="13"/>
      <c r="AA409" s="179"/>
      <c r="AB409" s="19"/>
      <c r="AC409" s="13"/>
    </row>
    <row r="410" spans="1:29">
      <c r="A410" s="17" t="s">
        <v>224</v>
      </c>
      <c r="B410" s="17"/>
      <c r="C410" s="55">
        <v>0</v>
      </c>
      <c r="E410" s="178">
        <v>40.81</v>
      </c>
      <c r="F410" s="224"/>
      <c r="G410" s="224"/>
      <c r="H410" s="225">
        <v>0</v>
      </c>
      <c r="J410" s="18"/>
      <c r="K410" s="19"/>
      <c r="L410" s="19"/>
      <c r="M410" s="13"/>
      <c r="O410" s="18"/>
      <c r="P410" s="19"/>
      <c r="Q410" s="13"/>
      <c r="S410" s="18"/>
      <c r="T410" s="19"/>
      <c r="U410" s="13"/>
      <c r="W410" s="179">
        <f>W$401</f>
        <v>3.6999999999999998E-2</v>
      </c>
      <c r="X410" s="19"/>
      <c r="Y410" s="13">
        <f t="shared" si="134"/>
        <v>0</v>
      </c>
      <c r="AA410" s="179">
        <f t="shared" si="136"/>
        <v>4.0899999999999999E-2</v>
      </c>
      <c r="AB410" s="19"/>
      <c r="AC410" s="13">
        <f t="shared" ref="AC410:AC411" si="139">($H410+$M410+$Q410+$U410)*AA410</f>
        <v>0</v>
      </c>
    </row>
    <row r="411" spans="1:29">
      <c r="A411" s="17" t="s">
        <v>225</v>
      </c>
      <c r="B411" s="17"/>
      <c r="C411" s="55">
        <v>0</v>
      </c>
      <c r="E411" s="178">
        <v>32.04</v>
      </c>
      <c r="F411" s="224"/>
      <c r="G411" s="224"/>
      <c r="H411" s="225">
        <v>0</v>
      </c>
      <c r="J411" s="18"/>
      <c r="K411" s="19"/>
      <c r="L411" s="19"/>
      <c r="M411" s="13"/>
      <c r="O411" s="18"/>
      <c r="P411" s="19"/>
      <c r="Q411" s="13"/>
      <c r="S411" s="18"/>
      <c r="T411" s="19"/>
      <c r="U411" s="13"/>
      <c r="W411" s="179">
        <f>W$401</f>
        <v>3.6999999999999998E-2</v>
      </c>
      <c r="X411" s="19"/>
      <c r="Y411" s="13">
        <f t="shared" si="134"/>
        <v>0</v>
      </c>
      <c r="AA411" s="179">
        <f t="shared" si="136"/>
        <v>4.0899999999999999E-2</v>
      </c>
      <c r="AB411" s="19"/>
      <c r="AC411" s="13">
        <f t="shared" si="139"/>
        <v>0</v>
      </c>
    </row>
    <row r="412" spans="1:29">
      <c r="A412" s="83" t="s">
        <v>228</v>
      </c>
      <c r="C412" s="55"/>
      <c r="W412" s="179"/>
      <c r="AA412" s="179"/>
    </row>
    <row r="413" spans="1:29">
      <c r="A413" s="17" t="s">
        <v>220</v>
      </c>
      <c r="C413" s="55">
        <v>24</v>
      </c>
      <c r="E413" s="178">
        <v>605</v>
      </c>
      <c r="F413" s="224"/>
      <c r="G413" s="224"/>
      <c r="H413" s="225">
        <v>14520</v>
      </c>
      <c r="J413" s="18"/>
      <c r="K413" s="19"/>
      <c r="L413" s="19"/>
      <c r="M413" s="13"/>
      <c r="O413" s="18"/>
      <c r="P413" s="19"/>
      <c r="Q413" s="13"/>
      <c r="S413" s="18"/>
      <c r="T413" s="19"/>
      <c r="U413" s="13"/>
      <c r="W413" s="179"/>
      <c r="X413" s="19"/>
      <c r="Y413" s="13"/>
      <c r="AA413" s="179"/>
      <c r="AB413" s="19"/>
      <c r="AC413" s="13"/>
    </row>
    <row r="414" spans="1:29">
      <c r="A414" s="17" t="s">
        <v>221</v>
      </c>
      <c r="C414" s="55">
        <v>38791</v>
      </c>
      <c r="E414" s="178">
        <v>4.46</v>
      </c>
      <c r="F414" s="224"/>
      <c r="G414" s="224"/>
      <c r="H414" s="225">
        <v>173008</v>
      </c>
      <c r="J414" s="18"/>
      <c r="K414" s="19"/>
      <c r="L414" s="19"/>
      <c r="M414" s="13"/>
      <c r="O414" s="18"/>
      <c r="P414" s="19"/>
      <c r="Q414" s="13"/>
      <c r="S414" s="18"/>
      <c r="T414" s="19"/>
      <c r="U414" s="13"/>
      <c r="W414" s="179">
        <f>W$401</f>
        <v>3.6999999999999998E-2</v>
      </c>
      <c r="X414" s="19"/>
      <c r="Y414" s="13">
        <f t="shared" ref="Y414:Y424" si="140">($H414+$M414+$Q414+$U414)*W414</f>
        <v>6401.2959999999994</v>
      </c>
      <c r="AA414" s="179">
        <f t="shared" si="136"/>
        <v>4.0899999999999999E-2</v>
      </c>
      <c r="AB414" s="19"/>
      <c r="AC414" s="13">
        <f t="shared" ref="AC414" si="141">($H414+$M414+$Q414+$U414)*AA414</f>
        <v>7076.0271999999995</v>
      </c>
    </row>
    <row r="415" spans="1:29">
      <c r="A415" s="17" t="s">
        <v>222</v>
      </c>
      <c r="C415" s="55"/>
      <c r="E415" s="250"/>
      <c r="F415" s="224"/>
      <c r="G415" s="224"/>
      <c r="H415" s="225"/>
      <c r="J415" s="33"/>
      <c r="K415" s="19"/>
      <c r="L415" s="19"/>
      <c r="M415" s="13"/>
      <c r="O415" s="33"/>
      <c r="P415" s="19"/>
      <c r="Q415" s="13"/>
      <c r="S415" s="33"/>
      <c r="T415" s="19"/>
      <c r="U415" s="13"/>
      <c r="W415" s="179"/>
      <c r="X415" s="19"/>
      <c r="Y415" s="13"/>
      <c r="AA415" s="179"/>
      <c r="AB415" s="19"/>
      <c r="AC415" s="13"/>
    </row>
    <row r="416" spans="1:29">
      <c r="A416" s="17" t="s">
        <v>223</v>
      </c>
      <c r="C416" s="55">
        <v>195683</v>
      </c>
      <c r="E416" s="261"/>
      <c r="F416" s="262"/>
      <c r="G416" s="262"/>
      <c r="H416" s="225"/>
      <c r="J416" s="87"/>
      <c r="K416" s="88"/>
      <c r="L416" s="88"/>
      <c r="M416" s="13"/>
      <c r="O416" s="87"/>
      <c r="P416" s="88"/>
      <c r="Q416" s="13"/>
      <c r="S416" s="87"/>
      <c r="T416" s="88"/>
      <c r="U416" s="13"/>
      <c r="W416" s="179"/>
      <c r="X416" s="88"/>
      <c r="Y416" s="13"/>
      <c r="AA416" s="179"/>
      <c r="AB416" s="88"/>
      <c r="AC416" s="13"/>
    </row>
    <row r="417" spans="1:29">
      <c r="A417" s="17" t="s">
        <v>224</v>
      </c>
      <c r="C417" s="55">
        <v>79030</v>
      </c>
      <c r="E417" s="178">
        <v>0.86</v>
      </c>
      <c r="F417" s="262"/>
      <c r="G417" s="262"/>
      <c r="H417" s="225">
        <v>67966</v>
      </c>
      <c r="J417" s="18"/>
      <c r="K417" s="88"/>
      <c r="L417" s="88"/>
      <c r="M417" s="13"/>
      <c r="O417" s="18"/>
      <c r="P417" s="88"/>
      <c r="Q417" s="13"/>
      <c r="S417" s="18"/>
      <c r="T417" s="88"/>
      <c r="U417" s="13"/>
      <c r="W417" s="179">
        <f>W$401</f>
        <v>3.6999999999999998E-2</v>
      </c>
      <c r="X417" s="88"/>
      <c r="Y417" s="13">
        <f t="shared" si="140"/>
        <v>2514.7419999999997</v>
      </c>
      <c r="AA417" s="179">
        <f t="shared" si="136"/>
        <v>4.0899999999999999E-2</v>
      </c>
      <c r="AB417" s="88"/>
      <c r="AC417" s="13">
        <f t="shared" ref="AC417:AC418" si="142">($H417+$M417+$Q417+$U417)*AA417</f>
        <v>2779.8094000000001</v>
      </c>
    </row>
    <row r="418" spans="1:29">
      <c r="A418" s="17" t="s">
        <v>225</v>
      </c>
      <c r="C418" s="55">
        <v>116653</v>
      </c>
      <c r="E418" s="178">
        <v>0.6</v>
      </c>
      <c r="F418" s="262"/>
      <c r="G418" s="262"/>
      <c r="H418" s="225">
        <v>69992</v>
      </c>
      <c r="J418" s="18"/>
      <c r="K418" s="88"/>
      <c r="L418" s="88"/>
      <c r="M418" s="13"/>
      <c r="O418" s="18"/>
      <c r="P418" s="88"/>
      <c r="Q418" s="13"/>
      <c r="S418" s="18"/>
      <c r="T418" s="88"/>
      <c r="U418" s="13"/>
      <c r="W418" s="179">
        <f>W$401</f>
        <v>3.6999999999999998E-2</v>
      </c>
      <c r="X418" s="88"/>
      <c r="Y418" s="13">
        <f t="shared" si="140"/>
        <v>2589.7039999999997</v>
      </c>
      <c r="AA418" s="179">
        <f t="shared" si="136"/>
        <v>4.0899999999999999E-2</v>
      </c>
      <c r="AB418" s="88"/>
      <c r="AC418" s="13">
        <f t="shared" si="142"/>
        <v>2862.6727999999998</v>
      </c>
    </row>
    <row r="419" spans="1:29">
      <c r="A419" s="17" t="s">
        <v>226</v>
      </c>
      <c r="C419" s="55">
        <v>24254</v>
      </c>
      <c r="E419" s="261"/>
      <c r="F419" s="263"/>
      <c r="G419" s="263"/>
      <c r="H419" s="225"/>
      <c r="J419" s="87"/>
      <c r="K419" s="89"/>
      <c r="L419" s="89"/>
      <c r="M419" s="13"/>
      <c r="O419" s="87"/>
      <c r="P419" s="89"/>
      <c r="Q419" s="13"/>
      <c r="S419" s="87"/>
      <c r="T419" s="89"/>
      <c r="U419" s="13"/>
      <c r="W419" s="179"/>
      <c r="X419" s="89"/>
      <c r="Y419" s="13"/>
      <c r="AA419" s="179"/>
      <c r="AB419" s="89"/>
      <c r="AC419" s="13"/>
    </row>
    <row r="420" spans="1:29">
      <c r="A420" s="17" t="s">
        <v>224</v>
      </c>
      <c r="C420" s="55">
        <v>24254</v>
      </c>
      <c r="E420" s="264">
        <v>0.43</v>
      </c>
      <c r="F420" s="263"/>
      <c r="G420" s="263"/>
      <c r="H420" s="225">
        <v>10429</v>
      </c>
      <c r="J420" s="90"/>
      <c r="K420" s="89"/>
      <c r="L420" s="89"/>
      <c r="M420" s="13"/>
      <c r="O420" s="90"/>
      <c r="P420" s="89"/>
      <c r="Q420" s="13"/>
      <c r="S420" s="90"/>
      <c r="T420" s="89"/>
      <c r="U420" s="13"/>
      <c r="W420" s="179">
        <f>W$401</f>
        <v>3.6999999999999998E-2</v>
      </c>
      <c r="X420" s="89"/>
      <c r="Y420" s="13">
        <f t="shared" si="140"/>
        <v>385.87299999999999</v>
      </c>
      <c r="AA420" s="179">
        <f t="shared" si="136"/>
        <v>4.0899999999999999E-2</v>
      </c>
      <c r="AB420" s="89"/>
      <c r="AC420" s="13">
        <f t="shared" ref="AC420:AC421" si="143">($H420+$M420+$Q420+$U420)*AA420</f>
        <v>426.54609999999997</v>
      </c>
    </row>
    <row r="421" spans="1:29">
      <c r="A421" s="17" t="s">
        <v>225</v>
      </c>
      <c r="C421" s="55">
        <v>0</v>
      </c>
      <c r="E421" s="264">
        <v>0.3</v>
      </c>
      <c r="F421" s="263"/>
      <c r="G421" s="263"/>
      <c r="H421" s="225">
        <v>0</v>
      </c>
      <c r="J421" s="90"/>
      <c r="K421" s="89"/>
      <c r="L421" s="89"/>
      <c r="M421" s="13"/>
      <c r="O421" s="90"/>
      <c r="P421" s="89"/>
      <c r="Q421" s="13"/>
      <c r="S421" s="90"/>
      <c r="T421" s="89"/>
      <c r="U421" s="13"/>
      <c r="W421" s="179">
        <f>W$401</f>
        <v>3.6999999999999998E-2</v>
      </c>
      <c r="X421" s="89"/>
      <c r="Y421" s="13">
        <f t="shared" si="140"/>
        <v>0</v>
      </c>
      <c r="AA421" s="179">
        <f t="shared" si="136"/>
        <v>4.0899999999999999E-2</v>
      </c>
      <c r="AB421" s="89"/>
      <c r="AC421" s="13">
        <f t="shared" si="143"/>
        <v>0</v>
      </c>
    </row>
    <row r="422" spans="1:29">
      <c r="A422" s="17" t="s">
        <v>227</v>
      </c>
      <c r="C422" s="55">
        <v>30</v>
      </c>
      <c r="E422" s="261"/>
      <c r="F422" s="224"/>
      <c r="G422" s="224"/>
      <c r="H422" s="225"/>
      <c r="J422" s="87"/>
      <c r="K422" s="19"/>
      <c r="L422" s="19"/>
      <c r="M422" s="13"/>
      <c r="O422" s="87"/>
      <c r="P422" s="19"/>
      <c r="Q422" s="13"/>
      <c r="S422" s="87"/>
      <c r="T422" s="19"/>
      <c r="U422" s="13"/>
      <c r="W422" s="179"/>
      <c r="X422" s="19"/>
      <c r="Y422" s="13"/>
      <c r="AA422" s="179"/>
      <c r="AB422" s="19"/>
      <c r="AC422" s="13"/>
    </row>
    <row r="423" spans="1:29">
      <c r="A423" s="17" t="s">
        <v>224</v>
      </c>
      <c r="C423" s="55">
        <v>0</v>
      </c>
      <c r="E423" s="178">
        <v>38.54</v>
      </c>
      <c r="F423" s="224"/>
      <c r="G423" s="224"/>
      <c r="H423" s="225">
        <v>0</v>
      </c>
      <c r="J423" s="18"/>
      <c r="K423" s="19"/>
      <c r="L423" s="19"/>
      <c r="M423" s="13"/>
      <c r="O423" s="18"/>
      <c r="P423" s="19"/>
      <c r="Q423" s="13"/>
      <c r="S423" s="18"/>
      <c r="T423" s="19"/>
      <c r="U423" s="13"/>
      <c r="W423" s="179">
        <f>W$401</f>
        <v>3.6999999999999998E-2</v>
      </c>
      <c r="X423" s="19"/>
      <c r="Y423" s="13">
        <f t="shared" si="140"/>
        <v>0</v>
      </c>
      <c r="AA423" s="179">
        <f t="shared" si="136"/>
        <v>4.0899999999999999E-2</v>
      </c>
      <c r="AB423" s="19"/>
      <c r="AC423" s="13">
        <f t="shared" ref="AC423:AC424" si="144">($H423+$M423+$Q423+$U423)*AA423</f>
        <v>0</v>
      </c>
    </row>
    <row r="424" spans="1:29">
      <c r="A424" s="17" t="s">
        <v>225</v>
      </c>
      <c r="C424" s="55">
        <v>30</v>
      </c>
      <c r="E424" s="178">
        <v>29.77</v>
      </c>
      <c r="F424" s="224"/>
      <c r="G424" s="224"/>
      <c r="H424" s="225">
        <v>893</v>
      </c>
      <c r="J424" s="18"/>
      <c r="K424" s="19"/>
      <c r="L424" s="19"/>
      <c r="M424" s="13"/>
      <c r="O424" s="18"/>
      <c r="P424" s="19"/>
      <c r="Q424" s="13"/>
      <c r="S424" s="18"/>
      <c r="T424" s="19"/>
      <c r="U424" s="13"/>
      <c r="W424" s="179">
        <f>W$401</f>
        <v>3.6999999999999998E-2</v>
      </c>
      <c r="X424" s="19"/>
      <c r="Y424" s="13">
        <f t="shared" si="140"/>
        <v>33.040999999999997</v>
      </c>
      <c r="AA424" s="179">
        <f t="shared" si="136"/>
        <v>4.0899999999999999E-2</v>
      </c>
      <c r="AB424" s="19"/>
      <c r="AC424" s="13">
        <f t="shared" si="144"/>
        <v>36.523699999999998</v>
      </c>
    </row>
    <row r="425" spans="1:29">
      <c r="A425" s="83" t="s">
        <v>229</v>
      </c>
      <c r="C425" s="55"/>
      <c r="W425" s="179"/>
      <c r="AA425" s="179"/>
    </row>
    <row r="426" spans="1:29">
      <c r="A426" s="17" t="s">
        <v>220</v>
      </c>
      <c r="C426" s="55">
        <v>24</v>
      </c>
      <c r="E426" s="178">
        <v>678</v>
      </c>
      <c r="F426" s="224"/>
      <c r="G426" s="224"/>
      <c r="H426" s="225">
        <v>16272</v>
      </c>
      <c r="J426" s="18"/>
      <c r="K426" s="19"/>
      <c r="L426" s="19"/>
      <c r="M426" s="13"/>
      <c r="O426" s="18"/>
      <c r="P426" s="19"/>
      <c r="Q426" s="13"/>
      <c r="S426" s="18"/>
      <c r="T426" s="19"/>
      <c r="U426" s="13"/>
      <c r="W426" s="179"/>
      <c r="X426" s="19"/>
      <c r="Y426" s="13"/>
      <c r="AA426" s="179"/>
      <c r="AB426" s="19"/>
      <c r="AC426" s="13"/>
    </row>
    <row r="427" spans="1:29">
      <c r="A427" s="17" t="s">
        <v>221</v>
      </c>
      <c r="C427" s="55">
        <v>153429</v>
      </c>
      <c r="E427" s="178">
        <v>2.63</v>
      </c>
      <c r="F427" s="224"/>
      <c r="G427" s="224"/>
      <c r="H427" s="225">
        <v>403518</v>
      </c>
      <c r="J427" s="18"/>
      <c r="K427" s="42"/>
      <c r="L427" s="42"/>
      <c r="M427" s="13"/>
      <c r="O427" s="18"/>
      <c r="P427" s="42"/>
      <c r="Q427" s="13"/>
      <c r="S427" s="18"/>
      <c r="T427" s="42"/>
      <c r="U427" s="13"/>
      <c r="W427" s="179">
        <f>W$401</f>
        <v>3.6999999999999998E-2</v>
      </c>
      <c r="X427" s="42"/>
      <c r="Y427" s="13">
        <f t="shared" ref="Y427:Y437" si="145">($H427+$M427+$Q427+$U427)*W427</f>
        <v>14930.165999999999</v>
      </c>
      <c r="AA427" s="179">
        <f t="shared" si="136"/>
        <v>4.0899999999999999E-2</v>
      </c>
      <c r="AB427" s="42"/>
      <c r="AC427" s="13">
        <f t="shared" ref="AC427" si="146">($H427+$M427+$Q427+$U427)*AA427</f>
        <v>16503.886200000001</v>
      </c>
    </row>
    <row r="428" spans="1:29">
      <c r="A428" s="17" t="s">
        <v>222</v>
      </c>
      <c r="C428" s="55"/>
      <c r="E428" s="250"/>
      <c r="F428" s="230"/>
      <c r="G428" s="230"/>
      <c r="H428" s="225"/>
      <c r="J428" s="33"/>
      <c r="K428" s="54"/>
      <c r="L428" s="54"/>
      <c r="M428" s="13"/>
      <c r="O428" s="33"/>
      <c r="P428" s="54"/>
      <c r="Q428" s="13"/>
      <c r="S428" s="33"/>
      <c r="T428" s="54"/>
      <c r="U428" s="13"/>
      <c r="W428" s="179"/>
      <c r="X428" s="54"/>
      <c r="Y428" s="13"/>
      <c r="AA428" s="179"/>
      <c r="AB428" s="54"/>
      <c r="AC428" s="13"/>
    </row>
    <row r="429" spans="1:29">
      <c r="A429" s="17" t="s">
        <v>223</v>
      </c>
      <c r="C429" s="55">
        <v>391585</v>
      </c>
      <c r="E429" s="261"/>
      <c r="F429" s="262"/>
      <c r="G429" s="262"/>
      <c r="H429" s="225"/>
      <c r="J429" s="87"/>
      <c r="K429" s="88"/>
      <c r="L429" s="88"/>
      <c r="M429" s="13"/>
      <c r="O429" s="87"/>
      <c r="P429" s="88"/>
      <c r="Q429" s="13"/>
      <c r="S429" s="87"/>
      <c r="T429" s="88"/>
      <c r="U429" s="13"/>
      <c r="W429" s="179"/>
      <c r="X429" s="88"/>
      <c r="Y429" s="13"/>
      <c r="AA429" s="179"/>
      <c r="AB429" s="88"/>
      <c r="AC429" s="13"/>
    </row>
    <row r="430" spans="1:29">
      <c r="A430" s="17" t="s">
        <v>224</v>
      </c>
      <c r="C430" s="55">
        <v>239920</v>
      </c>
      <c r="E430" s="178">
        <v>0.76</v>
      </c>
      <c r="F430" s="262"/>
      <c r="G430" s="262"/>
      <c r="H430" s="225">
        <v>182339</v>
      </c>
      <c r="J430" s="18"/>
      <c r="K430" s="88"/>
      <c r="L430" s="88"/>
      <c r="M430" s="13"/>
      <c r="O430" s="18"/>
      <c r="P430" s="88"/>
      <c r="Q430" s="13"/>
      <c r="S430" s="18"/>
      <c r="T430" s="88"/>
      <c r="U430" s="13"/>
      <c r="W430" s="179">
        <f>W$401</f>
        <v>3.6999999999999998E-2</v>
      </c>
      <c r="X430" s="88"/>
      <c r="Y430" s="13">
        <f t="shared" si="145"/>
        <v>6746.5429999999997</v>
      </c>
      <c r="AA430" s="179">
        <f t="shared" si="136"/>
        <v>4.0899999999999999E-2</v>
      </c>
      <c r="AB430" s="88"/>
      <c r="AC430" s="13">
        <f t="shared" ref="AC430:AC431" si="147">($H430+$M430+$Q430+$U430)*AA430</f>
        <v>7457.6651000000002</v>
      </c>
    </row>
    <row r="431" spans="1:29">
      <c r="A431" s="17" t="s">
        <v>225</v>
      </c>
      <c r="C431" s="55">
        <v>151665</v>
      </c>
      <c r="E431" s="178">
        <v>0.51</v>
      </c>
      <c r="F431" s="262"/>
      <c r="G431" s="262"/>
      <c r="H431" s="225">
        <v>77349</v>
      </c>
      <c r="J431" s="18"/>
      <c r="K431" s="88"/>
      <c r="L431" s="88"/>
      <c r="M431" s="13"/>
      <c r="O431" s="18"/>
      <c r="P431" s="88"/>
      <c r="Q431" s="13"/>
      <c r="S431" s="18"/>
      <c r="T431" s="88"/>
      <c r="U431" s="13"/>
      <c r="W431" s="179">
        <f>W$401</f>
        <v>3.6999999999999998E-2</v>
      </c>
      <c r="X431" s="88"/>
      <c r="Y431" s="13">
        <f t="shared" si="145"/>
        <v>2861.913</v>
      </c>
      <c r="AA431" s="179">
        <f t="shared" si="136"/>
        <v>4.0899999999999999E-2</v>
      </c>
      <c r="AB431" s="88"/>
      <c r="AC431" s="13">
        <f t="shared" si="147"/>
        <v>3163.5740999999998</v>
      </c>
    </row>
    <row r="432" spans="1:29">
      <c r="A432" s="17" t="s">
        <v>226</v>
      </c>
      <c r="C432" s="55">
        <v>0</v>
      </c>
      <c r="E432" s="261"/>
      <c r="F432" s="263"/>
      <c r="G432" s="263"/>
      <c r="H432" s="225"/>
      <c r="J432" s="87"/>
      <c r="K432" s="89"/>
      <c r="L432" s="89"/>
      <c r="M432" s="13"/>
      <c r="O432" s="87"/>
      <c r="P432" s="89"/>
      <c r="Q432" s="13"/>
      <c r="S432" s="87"/>
      <c r="T432" s="89"/>
      <c r="U432" s="13"/>
      <c r="W432" s="179"/>
      <c r="X432" s="89"/>
      <c r="Y432" s="13"/>
      <c r="AA432" s="179"/>
      <c r="AB432" s="89"/>
      <c r="AC432" s="13"/>
    </row>
    <row r="433" spans="1:29">
      <c r="A433" s="17" t="s">
        <v>224</v>
      </c>
      <c r="C433" s="55">
        <v>0</v>
      </c>
      <c r="E433" s="264">
        <v>0.38</v>
      </c>
      <c r="F433" s="263"/>
      <c r="G433" s="263"/>
      <c r="H433" s="225">
        <v>0</v>
      </c>
      <c r="J433" s="90"/>
      <c r="K433" s="89"/>
      <c r="L433" s="89"/>
      <c r="M433" s="13"/>
      <c r="O433" s="90"/>
      <c r="P433" s="89"/>
      <c r="Q433" s="13"/>
      <c r="S433" s="90"/>
      <c r="T433" s="89"/>
      <c r="U433" s="13"/>
      <c r="W433" s="179">
        <f>W$401</f>
        <v>3.6999999999999998E-2</v>
      </c>
      <c r="X433" s="89"/>
      <c r="Y433" s="13">
        <f t="shared" si="145"/>
        <v>0</v>
      </c>
      <c r="AA433" s="179">
        <f t="shared" si="136"/>
        <v>4.0899999999999999E-2</v>
      </c>
      <c r="AB433" s="89"/>
      <c r="AC433" s="13">
        <f t="shared" ref="AC433:AC434" si="148">($H433+$M433+$Q433+$U433)*AA433</f>
        <v>0</v>
      </c>
    </row>
    <row r="434" spans="1:29">
      <c r="A434" s="17" t="s">
        <v>225</v>
      </c>
      <c r="C434" s="55">
        <v>0</v>
      </c>
      <c r="E434" s="264">
        <v>0.255</v>
      </c>
      <c r="F434" s="263"/>
      <c r="G434" s="263"/>
      <c r="H434" s="225">
        <v>0</v>
      </c>
      <c r="J434" s="90"/>
      <c r="K434" s="89"/>
      <c r="L434" s="89"/>
      <c r="M434" s="13"/>
      <c r="O434" s="90"/>
      <c r="P434" s="89"/>
      <c r="Q434" s="13"/>
      <c r="S434" s="90"/>
      <c r="T434" s="89"/>
      <c r="U434" s="13"/>
      <c r="W434" s="179">
        <f>W$401</f>
        <v>3.6999999999999998E-2</v>
      </c>
      <c r="X434" s="89"/>
      <c r="Y434" s="13">
        <f t="shared" si="145"/>
        <v>0</v>
      </c>
      <c r="AA434" s="179">
        <f t="shared" si="136"/>
        <v>4.0899999999999999E-2</v>
      </c>
      <c r="AB434" s="89"/>
      <c r="AC434" s="13">
        <f t="shared" si="148"/>
        <v>0</v>
      </c>
    </row>
    <row r="435" spans="1:29">
      <c r="A435" s="17" t="s">
        <v>227</v>
      </c>
      <c r="C435" s="55">
        <v>0</v>
      </c>
      <c r="E435" s="261"/>
      <c r="F435" s="224"/>
      <c r="G435" s="224"/>
      <c r="H435" s="225"/>
      <c r="J435" s="87"/>
      <c r="K435" s="19"/>
      <c r="L435" s="19"/>
      <c r="M435" s="13"/>
      <c r="O435" s="87"/>
      <c r="P435" s="19"/>
      <c r="Q435" s="13"/>
      <c r="S435" s="87"/>
      <c r="T435" s="19"/>
      <c r="U435" s="13"/>
      <c r="W435" s="179"/>
      <c r="X435" s="19"/>
      <c r="Y435" s="13"/>
      <c r="AA435" s="179"/>
      <c r="AB435" s="19"/>
      <c r="AC435" s="13"/>
    </row>
    <row r="436" spans="1:29">
      <c r="A436" s="17" t="s">
        <v>224</v>
      </c>
      <c r="C436" s="55">
        <v>0</v>
      </c>
      <c r="E436" s="178">
        <v>32.35</v>
      </c>
      <c r="F436" s="224"/>
      <c r="G436" s="224"/>
      <c r="H436" s="225">
        <v>0</v>
      </c>
      <c r="J436" s="18"/>
      <c r="K436" s="19"/>
      <c r="L436" s="19"/>
      <c r="M436" s="13"/>
      <c r="O436" s="18"/>
      <c r="P436" s="19"/>
      <c r="Q436" s="13"/>
      <c r="S436" s="18"/>
      <c r="T436" s="19"/>
      <c r="U436" s="13"/>
      <c r="W436" s="179">
        <f>W$401</f>
        <v>3.6999999999999998E-2</v>
      </c>
      <c r="X436" s="19"/>
      <c r="Y436" s="13">
        <f t="shared" si="145"/>
        <v>0</v>
      </c>
      <c r="AA436" s="179">
        <f t="shared" si="136"/>
        <v>4.0899999999999999E-2</v>
      </c>
      <c r="AB436" s="19"/>
      <c r="AC436" s="13">
        <f t="shared" ref="AC436:AC437" si="149">($H436+$M436+$Q436+$U436)*AA436</f>
        <v>0</v>
      </c>
    </row>
    <row r="437" spans="1:29">
      <c r="A437" s="17" t="s">
        <v>225</v>
      </c>
      <c r="C437" s="55">
        <v>0</v>
      </c>
      <c r="E437" s="178">
        <v>23.36</v>
      </c>
      <c r="F437" s="224"/>
      <c r="G437" s="224"/>
      <c r="H437" s="225">
        <v>0</v>
      </c>
      <c r="J437" s="18"/>
      <c r="K437" s="19"/>
      <c r="L437" s="19"/>
      <c r="M437" s="13"/>
      <c r="O437" s="18"/>
      <c r="P437" s="19"/>
      <c r="Q437" s="13"/>
      <c r="S437" s="18"/>
      <c r="T437" s="19"/>
      <c r="U437" s="13"/>
      <c r="W437" s="179">
        <f>W$401</f>
        <v>3.6999999999999998E-2</v>
      </c>
      <c r="X437" s="19"/>
      <c r="Y437" s="13">
        <f t="shared" si="145"/>
        <v>0</v>
      </c>
      <c r="AA437" s="179">
        <f t="shared" si="136"/>
        <v>4.0899999999999999E-2</v>
      </c>
      <c r="AB437" s="19"/>
      <c r="AC437" s="13">
        <f t="shared" si="149"/>
        <v>0</v>
      </c>
    </row>
    <row r="438" spans="1:29">
      <c r="A438" s="17" t="s">
        <v>209</v>
      </c>
      <c r="C438" s="91"/>
      <c r="E438" s="243"/>
      <c r="F438" s="244"/>
      <c r="G438" s="244"/>
      <c r="H438" s="232">
        <v>1016286</v>
      </c>
      <c r="J438" s="53"/>
      <c r="K438" s="59"/>
      <c r="L438" s="59"/>
      <c r="M438" s="37">
        <f>SUM(M400:M437)</f>
        <v>0</v>
      </c>
      <c r="O438" s="53"/>
      <c r="P438" s="59"/>
      <c r="Q438" s="37">
        <f>SUM(Q400:Q437)</f>
        <v>0</v>
      </c>
      <c r="S438" s="53"/>
      <c r="T438" s="59"/>
      <c r="U438" s="37">
        <f>SUM(U400:U437)</f>
        <v>0</v>
      </c>
      <c r="W438" s="53"/>
      <c r="X438" s="59"/>
      <c r="Y438" s="37">
        <f>SUM(Y400:Y437)</f>
        <v>36463.277999999998</v>
      </c>
      <c r="AA438" s="53"/>
      <c r="AB438" s="59"/>
      <c r="AC438" s="37">
        <f>SUM(AC400:AC437)</f>
        <v>40306.704599999997</v>
      </c>
    </row>
    <row r="439" spans="1:29">
      <c r="A439" s="83" t="s">
        <v>230</v>
      </c>
    </row>
    <row r="440" spans="1:29">
      <c r="A440" s="16" t="s">
        <v>231</v>
      </c>
      <c r="C440" s="55"/>
      <c r="E440" s="250"/>
      <c r="F440" s="230"/>
      <c r="G440" s="230"/>
      <c r="H440" s="225"/>
      <c r="J440" s="33"/>
      <c r="K440" s="54"/>
      <c r="L440" s="54"/>
      <c r="M440" s="13"/>
      <c r="O440" s="33"/>
      <c r="P440" s="54"/>
      <c r="Q440" s="13"/>
      <c r="S440" s="33"/>
      <c r="T440" s="54"/>
      <c r="U440" s="13"/>
      <c r="W440" s="33"/>
      <c r="X440" s="54"/>
      <c r="Y440" s="13"/>
      <c r="AA440" s="33"/>
      <c r="AB440" s="54"/>
      <c r="AC440" s="13"/>
    </row>
    <row r="441" spans="1:29">
      <c r="A441" s="17" t="s">
        <v>39</v>
      </c>
      <c r="C441" s="55">
        <v>16065</v>
      </c>
      <c r="E441" s="250">
        <v>4.76</v>
      </c>
      <c r="F441" s="230"/>
      <c r="G441" s="230"/>
      <c r="H441" s="225">
        <v>76469</v>
      </c>
      <c r="J441" s="33"/>
      <c r="K441" s="54"/>
      <c r="L441" s="54"/>
      <c r="M441" s="13"/>
      <c r="O441" s="33"/>
      <c r="P441" s="54"/>
      <c r="Q441" s="13"/>
      <c r="S441" s="33"/>
      <c r="T441" s="54"/>
      <c r="U441" s="13"/>
      <c r="W441" s="171">
        <f t="shared" ref="W441:W447" si="150">W$157</f>
        <v>3.6200000000000003E-2</v>
      </c>
      <c r="X441" s="25"/>
      <c r="Y441" s="13">
        <f t="shared" ref="Y441" si="151">($H441+$M441+$Q441+$U441)*W441</f>
        <v>2768.1778000000004</v>
      </c>
      <c r="AA441" s="171">
        <f t="shared" ref="AA441:AA447" si="152">AA$157</f>
        <v>4.0099999999999997E-2</v>
      </c>
      <c r="AB441" s="25"/>
      <c r="AC441" s="13">
        <f t="shared" ref="AC441:AC447" si="153">($H441+$M441+$Q441+$U441)*AA441</f>
        <v>3066.4069</v>
      </c>
    </row>
    <row r="442" spans="1:29">
      <c r="A442" s="17" t="s">
        <v>88</v>
      </c>
      <c r="C442" s="55">
        <v>0</v>
      </c>
      <c r="E442" s="250">
        <v>15.56</v>
      </c>
      <c r="F442" s="230"/>
      <c r="G442" s="230"/>
      <c r="H442" s="225">
        <v>0</v>
      </c>
      <c r="J442" s="33"/>
      <c r="K442" s="54"/>
      <c r="L442" s="54"/>
      <c r="M442" s="13"/>
      <c r="O442" s="171">
        <f>O$158</f>
        <v>1.8599999999999998E-2</v>
      </c>
      <c r="P442" s="25"/>
      <c r="Q442" s="13">
        <f t="shared" ref="Q442:Q443" si="154">($H442+$M442)*O442</f>
        <v>0</v>
      </c>
      <c r="S442" s="171">
        <f>S$158</f>
        <v>5.1999999999999998E-3</v>
      </c>
      <c r="T442" s="25"/>
      <c r="U442" s="13">
        <f t="shared" ref="U442:U443" si="155">($H442+$M442)*S442</f>
        <v>0</v>
      </c>
      <c r="W442" s="171">
        <f t="shared" si="150"/>
        <v>3.6200000000000003E-2</v>
      </c>
      <c r="X442" s="25"/>
      <c r="Y442" s="13">
        <f t="shared" ref="Y442:Y443" si="156">($H442+$M442+$Q442+$U442)*W442</f>
        <v>0</v>
      </c>
      <c r="AA442" s="171">
        <f t="shared" si="152"/>
        <v>4.0099999999999997E-2</v>
      </c>
      <c r="AB442" s="25"/>
      <c r="AC442" s="13">
        <f t="shared" si="153"/>
        <v>0</v>
      </c>
    </row>
    <row r="443" spans="1:29">
      <c r="A443" s="17" t="s">
        <v>89</v>
      </c>
      <c r="C443" s="55">
        <v>16065</v>
      </c>
      <c r="E443" s="250">
        <v>11.19</v>
      </c>
      <c r="F443" s="230"/>
      <c r="G443" s="230"/>
      <c r="H443" s="225">
        <v>179767</v>
      </c>
      <c r="J443" s="33"/>
      <c r="K443" s="54"/>
      <c r="L443" s="54"/>
      <c r="M443" s="13"/>
      <c r="O443" s="171">
        <f>O$158</f>
        <v>1.8599999999999998E-2</v>
      </c>
      <c r="P443" s="25"/>
      <c r="Q443" s="13">
        <f t="shared" si="154"/>
        <v>3343.6661999999997</v>
      </c>
      <c r="S443" s="171">
        <f>S$158</f>
        <v>5.1999999999999998E-3</v>
      </c>
      <c r="T443" s="25"/>
      <c r="U443" s="13">
        <f t="shared" si="155"/>
        <v>934.78839999999991</v>
      </c>
      <c r="W443" s="171">
        <f t="shared" si="150"/>
        <v>3.6200000000000003E-2</v>
      </c>
      <c r="X443" s="25"/>
      <c r="Y443" s="13">
        <f t="shared" si="156"/>
        <v>6662.4454565200003</v>
      </c>
      <c r="AA443" s="171">
        <f t="shared" si="152"/>
        <v>4.0099999999999997E-2</v>
      </c>
      <c r="AB443" s="25"/>
      <c r="AC443" s="13">
        <f t="shared" si="153"/>
        <v>7380.2227294599988</v>
      </c>
    </row>
    <row r="444" spans="1:29">
      <c r="A444" s="17" t="s">
        <v>38</v>
      </c>
      <c r="C444" s="55">
        <v>16065</v>
      </c>
      <c r="E444" s="250">
        <v>-1.1299999999999999</v>
      </c>
      <c r="F444" s="230"/>
      <c r="G444" s="230"/>
      <c r="H444" s="225">
        <v>-18153</v>
      </c>
      <c r="J444" s="33"/>
      <c r="K444" s="54"/>
      <c r="L444" s="54"/>
      <c r="M444" s="13"/>
      <c r="O444" s="33"/>
      <c r="P444" s="54"/>
      <c r="Q444" s="13"/>
      <c r="S444" s="33"/>
      <c r="T444" s="54"/>
      <c r="U444" s="13"/>
      <c r="W444" s="171">
        <f t="shared" si="150"/>
        <v>3.6200000000000003E-2</v>
      </c>
      <c r="X444" s="25"/>
      <c r="Y444" s="13">
        <f t="shared" ref="Y444:Y447" si="157">($H444+$M444+$Q444+$U444)*W444</f>
        <v>-657.13860000000011</v>
      </c>
      <c r="AA444" s="171">
        <f t="shared" si="152"/>
        <v>4.0099999999999997E-2</v>
      </c>
      <c r="AB444" s="25"/>
      <c r="AC444" s="13">
        <f t="shared" si="153"/>
        <v>-727.93529999999998</v>
      </c>
    </row>
    <row r="445" spans="1:29">
      <c r="A445" s="17" t="s">
        <v>32</v>
      </c>
      <c r="C445" s="55">
        <v>1044794</v>
      </c>
      <c r="E445" s="243">
        <v>5.0473999999999997</v>
      </c>
      <c r="F445" s="227" t="s">
        <v>16</v>
      </c>
      <c r="G445" s="227"/>
      <c r="H445" s="225">
        <v>52735</v>
      </c>
      <c r="J445" s="66">
        <f>$J$161</f>
        <v>2.4799999999999999E-2</v>
      </c>
      <c r="K445" s="25" t="s">
        <v>16</v>
      </c>
      <c r="L445" s="25"/>
      <c r="M445" s="13">
        <f t="shared" ref="M445" si="158">C445*J445/100</f>
        <v>259.10891199999998</v>
      </c>
      <c r="O445" s="171">
        <f>O$158</f>
        <v>1.8599999999999998E-2</v>
      </c>
      <c r="P445" s="25"/>
      <c r="Q445" s="13">
        <f t="shared" ref="Q445" si="159">($H445+$M445)*O445</f>
        <v>985.69042576319998</v>
      </c>
      <c r="S445" s="171">
        <f>S$158</f>
        <v>5.1999999999999998E-3</v>
      </c>
      <c r="T445" s="25"/>
      <c r="U445" s="13">
        <f t="shared" ref="U445:U447" si="160">($H445+$M445)*S445</f>
        <v>275.56936634240003</v>
      </c>
      <c r="W445" s="171">
        <f t="shared" si="150"/>
        <v>3.6200000000000003E-2</v>
      </c>
      <c r="X445" s="25"/>
      <c r="Y445" s="13">
        <f t="shared" si="157"/>
        <v>1964.044347088623</v>
      </c>
      <c r="AA445" s="171">
        <f t="shared" si="152"/>
        <v>4.0099999999999997E-2</v>
      </c>
      <c r="AB445" s="25"/>
      <c r="AC445" s="13">
        <f t="shared" si="153"/>
        <v>2175.6402850346344</v>
      </c>
    </row>
    <row r="446" spans="1:29">
      <c r="A446" s="17" t="s">
        <v>52</v>
      </c>
      <c r="C446" s="55">
        <v>3934668</v>
      </c>
      <c r="E446" s="243">
        <v>3.9510999999999998</v>
      </c>
      <c r="F446" s="227" t="s">
        <v>16</v>
      </c>
      <c r="G446" s="227"/>
      <c r="H446" s="225">
        <v>155463</v>
      </c>
      <c r="J446" s="66">
        <f t="shared" ref="J446:J447" si="161">$J$161</f>
        <v>2.4799999999999999E-2</v>
      </c>
      <c r="K446" s="25" t="s">
        <v>16</v>
      </c>
      <c r="L446" s="25"/>
      <c r="M446" s="13">
        <f t="shared" ref="M446:M447" si="162">C446*J446/100</f>
        <v>975.79766399999994</v>
      </c>
      <c r="O446" s="171">
        <f>O$158</f>
        <v>1.8599999999999998E-2</v>
      </c>
      <c r="P446" s="25"/>
      <c r="Q446" s="13">
        <f t="shared" ref="Q446:Q447" si="163">($H446+$M446)*O446</f>
        <v>2909.7616365504</v>
      </c>
      <c r="S446" s="171">
        <f>S$158</f>
        <v>5.1999999999999998E-3</v>
      </c>
      <c r="T446" s="25"/>
      <c r="U446" s="13">
        <f t="shared" si="160"/>
        <v>813.48174785280003</v>
      </c>
      <c r="W446" s="171">
        <f t="shared" si="150"/>
        <v>3.6200000000000003E-2</v>
      </c>
      <c r="X446" s="25"/>
      <c r="Y446" s="13">
        <f t="shared" si="157"/>
        <v>5797.8658859521965</v>
      </c>
      <c r="AA446" s="171">
        <f t="shared" si="152"/>
        <v>4.0099999999999997E-2</v>
      </c>
      <c r="AB446" s="25"/>
      <c r="AC446" s="13">
        <f t="shared" si="153"/>
        <v>6422.4978460409684</v>
      </c>
    </row>
    <row r="447" spans="1:29">
      <c r="A447" s="17" t="s">
        <v>90</v>
      </c>
      <c r="C447" s="55">
        <v>5030284.6792951785</v>
      </c>
      <c r="E447" s="243">
        <v>3.4001999999999999</v>
      </c>
      <c r="F447" s="227" t="s">
        <v>16</v>
      </c>
      <c r="G447" s="227"/>
      <c r="H447" s="225">
        <v>171040</v>
      </c>
      <c r="J447" s="66">
        <f t="shared" si="161"/>
        <v>2.4799999999999999E-2</v>
      </c>
      <c r="K447" s="25" t="s">
        <v>16</v>
      </c>
      <c r="L447" s="25"/>
      <c r="M447" s="13">
        <f t="shared" si="162"/>
        <v>1247.5106004652041</v>
      </c>
      <c r="O447" s="171">
        <f>O$158</f>
        <v>1.8599999999999998E-2</v>
      </c>
      <c r="P447" s="25"/>
      <c r="Q447" s="13">
        <f t="shared" si="163"/>
        <v>3204.5476971686526</v>
      </c>
      <c r="S447" s="171">
        <f>S$158</f>
        <v>5.1999999999999998E-3</v>
      </c>
      <c r="T447" s="25"/>
      <c r="U447" s="13">
        <f t="shared" si="160"/>
        <v>895.89505512241897</v>
      </c>
      <c r="W447" s="171">
        <f t="shared" si="150"/>
        <v>3.6200000000000003E-2</v>
      </c>
      <c r="X447" s="25"/>
      <c r="Y447" s="13">
        <f t="shared" si="157"/>
        <v>6385.2439113697774</v>
      </c>
      <c r="AA447" s="171">
        <f t="shared" si="152"/>
        <v>4.0099999999999997E-2</v>
      </c>
      <c r="AB447" s="25"/>
      <c r="AC447" s="13">
        <f t="shared" si="153"/>
        <v>7073.1569294455257</v>
      </c>
    </row>
    <row r="448" spans="1:29">
      <c r="A448" s="16" t="s">
        <v>232</v>
      </c>
      <c r="C448" s="55"/>
      <c r="E448" s="250"/>
      <c r="F448" s="230"/>
      <c r="G448" s="230"/>
      <c r="H448" s="225"/>
      <c r="J448" s="33"/>
      <c r="K448" s="54"/>
      <c r="L448" s="54"/>
      <c r="M448" s="13"/>
      <c r="O448" s="33"/>
      <c r="P448" s="54"/>
      <c r="Q448" s="13"/>
      <c r="S448" s="33"/>
      <c r="T448" s="54"/>
      <c r="U448" s="13"/>
      <c r="W448" s="33"/>
      <c r="X448" s="54"/>
      <c r="Y448" s="13"/>
      <c r="AA448" s="33"/>
      <c r="AB448" s="54"/>
      <c r="AC448" s="13"/>
    </row>
    <row r="449" spans="1:29">
      <c r="A449" s="17" t="s">
        <v>39</v>
      </c>
      <c r="C449" s="55">
        <v>103313</v>
      </c>
      <c r="E449" s="250">
        <v>2.2200000000000002</v>
      </c>
      <c r="F449" s="230"/>
      <c r="G449" s="230"/>
      <c r="H449" s="225">
        <v>229355</v>
      </c>
      <c r="J449" s="33"/>
      <c r="K449" s="54"/>
      <c r="L449" s="54"/>
      <c r="M449" s="13"/>
      <c r="O449" s="33"/>
      <c r="P449" s="54"/>
      <c r="Q449" s="13"/>
      <c r="S449" s="33"/>
      <c r="T449" s="54"/>
      <c r="U449" s="13"/>
      <c r="W449" s="171">
        <f t="shared" ref="W449:W454" si="164">W$169</f>
        <v>3.6299999999999999E-2</v>
      </c>
      <c r="X449" s="25"/>
      <c r="Y449" s="13">
        <f t="shared" ref="Y449" si="165">($H449+$M449+$Q449+$U449)*W449</f>
        <v>8325.5864999999994</v>
      </c>
      <c r="AA449" s="171">
        <f t="shared" ref="AA449:AA454" si="166">AA$169</f>
        <v>4.0099999999999997E-2</v>
      </c>
      <c r="AB449" s="25"/>
      <c r="AC449" s="13">
        <f t="shared" ref="AC449:AC454" si="167">($H449+$M449+$Q449+$U449)*AA449</f>
        <v>9197.1354999999985</v>
      </c>
    </row>
    <row r="450" spans="1:29">
      <c r="A450" s="17" t="s">
        <v>88</v>
      </c>
      <c r="C450" s="55">
        <v>49491</v>
      </c>
      <c r="E450" s="250">
        <v>13.96</v>
      </c>
      <c r="F450" s="230"/>
      <c r="G450" s="230"/>
      <c r="H450" s="225">
        <v>690894</v>
      </c>
      <c r="J450" s="33"/>
      <c r="K450" s="54"/>
      <c r="L450" s="54"/>
      <c r="M450" s="13"/>
      <c r="O450" s="171">
        <f>O$170</f>
        <v>2.1499999999999998E-2</v>
      </c>
      <c r="P450" s="25"/>
      <c r="Q450" s="13">
        <f t="shared" ref="Q450:Q451" si="168">($H450+$M450)*O450</f>
        <v>14854.221</v>
      </c>
      <c r="S450" s="171">
        <f>S$170</f>
        <v>5.3E-3</v>
      </c>
      <c r="T450" s="25"/>
      <c r="U450" s="13">
        <f t="shared" ref="U450:U454" si="169">($H450+$M450)*S450</f>
        <v>3661.7382000000002</v>
      </c>
      <c r="W450" s="171">
        <f t="shared" si="164"/>
        <v>3.6299999999999999E-2</v>
      </c>
      <c r="X450" s="25"/>
      <c r="Y450" s="13">
        <f t="shared" ref="Y450:Y454" si="170">($H450+$M450+$Q450+$U450)*W450</f>
        <v>25751.58151896</v>
      </c>
      <c r="AA450" s="171">
        <f t="shared" si="166"/>
        <v>4.0099999999999997E-2</v>
      </c>
      <c r="AB450" s="25"/>
      <c r="AC450" s="13">
        <f t="shared" si="167"/>
        <v>28447.33936392</v>
      </c>
    </row>
    <row r="451" spans="1:29">
      <c r="A451" s="17" t="s">
        <v>89</v>
      </c>
      <c r="C451" s="55">
        <v>50080</v>
      </c>
      <c r="E451" s="250">
        <v>9.4700000000000006</v>
      </c>
      <c r="F451" s="230"/>
      <c r="G451" s="230"/>
      <c r="H451" s="225">
        <v>474258</v>
      </c>
      <c r="J451" s="33"/>
      <c r="K451" s="54"/>
      <c r="L451" s="54"/>
      <c r="M451" s="13"/>
      <c r="O451" s="171">
        <f>O$170</f>
        <v>2.1499999999999998E-2</v>
      </c>
      <c r="P451" s="25"/>
      <c r="Q451" s="13">
        <f t="shared" si="168"/>
        <v>10196.546999999999</v>
      </c>
      <c r="S451" s="171">
        <f>S$170</f>
        <v>5.3E-3</v>
      </c>
      <c r="T451" s="25"/>
      <c r="U451" s="13">
        <f t="shared" si="169"/>
        <v>2513.5673999999999</v>
      </c>
      <c r="W451" s="171">
        <f t="shared" si="164"/>
        <v>3.6299999999999999E-2</v>
      </c>
      <c r="X451" s="25"/>
      <c r="Y451" s="13">
        <f t="shared" si="170"/>
        <v>17676.94255272</v>
      </c>
      <c r="AA451" s="171">
        <f t="shared" si="166"/>
        <v>4.0099999999999997E-2</v>
      </c>
      <c r="AB451" s="25"/>
      <c r="AC451" s="13">
        <f t="shared" si="167"/>
        <v>19527.421387439997</v>
      </c>
    </row>
    <row r="452" spans="1:29">
      <c r="A452" s="17" t="s">
        <v>92</v>
      </c>
      <c r="C452" s="55">
        <v>7647176</v>
      </c>
      <c r="E452" s="265">
        <v>4.6531000000000002</v>
      </c>
      <c r="F452" s="227" t="s">
        <v>16</v>
      </c>
      <c r="G452" s="227"/>
      <c r="H452" s="225">
        <v>355831</v>
      </c>
      <c r="J452" s="68">
        <f>$J$172</f>
        <v>1.7500000000000002E-2</v>
      </c>
      <c r="K452" s="25" t="s">
        <v>16</v>
      </c>
      <c r="L452" s="25"/>
      <c r="M452" s="13">
        <f t="shared" ref="M452" si="171">C452*J452/100</f>
        <v>1338.2558000000001</v>
      </c>
      <c r="O452" s="171">
        <f>O$170</f>
        <v>2.1499999999999998E-2</v>
      </c>
      <c r="P452" s="25"/>
      <c r="Q452" s="13">
        <f t="shared" ref="Q452:Q454" si="172">($H452+$M452)*O452</f>
        <v>7679.1389996999987</v>
      </c>
      <c r="S452" s="171">
        <f>S$170</f>
        <v>5.3E-3</v>
      </c>
      <c r="T452" s="25"/>
      <c r="U452" s="13">
        <f t="shared" si="169"/>
        <v>1892.99705574</v>
      </c>
      <c r="W452" s="171">
        <f t="shared" si="164"/>
        <v>3.6299999999999999E-2</v>
      </c>
      <c r="X452" s="25"/>
      <c r="Y452" s="13">
        <f t="shared" si="170"/>
        <v>13312.712524352472</v>
      </c>
      <c r="AA452" s="171">
        <f t="shared" si="166"/>
        <v>4.0099999999999997E-2</v>
      </c>
      <c r="AB452" s="25"/>
      <c r="AC452" s="13">
        <f t="shared" si="167"/>
        <v>14706.329813403143</v>
      </c>
    </row>
    <row r="453" spans="1:29">
      <c r="A453" s="17" t="s">
        <v>93</v>
      </c>
      <c r="C453" s="55">
        <v>10898121</v>
      </c>
      <c r="E453" s="265">
        <v>3.4988999999999999</v>
      </c>
      <c r="F453" s="227" t="s">
        <v>16</v>
      </c>
      <c r="G453" s="227"/>
      <c r="H453" s="225">
        <v>381314</v>
      </c>
      <c r="J453" s="60">
        <f t="shared" ref="J453:J454" si="173">$J$172</f>
        <v>1.7500000000000002E-2</v>
      </c>
      <c r="K453" s="25" t="s">
        <v>16</v>
      </c>
      <c r="L453" s="25"/>
      <c r="M453" s="13">
        <f t="shared" ref="M453:M454" si="174">C453*J453/100</f>
        <v>1907.1711750000002</v>
      </c>
      <c r="O453" s="171">
        <f>O$170</f>
        <v>2.1499999999999998E-2</v>
      </c>
      <c r="P453" s="25"/>
      <c r="Q453" s="13">
        <f t="shared" si="172"/>
        <v>8239.2551802625003</v>
      </c>
      <c r="S453" s="171">
        <f>S$170</f>
        <v>5.3E-3</v>
      </c>
      <c r="T453" s="25"/>
      <c r="U453" s="13">
        <f t="shared" si="169"/>
        <v>2031.0722072275</v>
      </c>
      <c r="W453" s="171">
        <f t="shared" si="164"/>
        <v>3.6299999999999999E-2</v>
      </c>
      <c r="X453" s="25"/>
      <c r="Y453" s="13">
        <f t="shared" si="170"/>
        <v>14283.741397818389</v>
      </c>
      <c r="AA453" s="171">
        <f t="shared" si="166"/>
        <v>4.0099999999999997E-2</v>
      </c>
      <c r="AB453" s="25"/>
      <c r="AC453" s="13">
        <f t="shared" si="167"/>
        <v>15779.009092355849</v>
      </c>
    </row>
    <row r="454" spans="1:29">
      <c r="A454" s="17" t="s">
        <v>90</v>
      </c>
      <c r="C454" s="93">
        <v>27727401.345819965</v>
      </c>
      <c r="E454" s="266">
        <v>2.9224999999999999</v>
      </c>
      <c r="F454" s="227" t="s">
        <v>16</v>
      </c>
      <c r="G454" s="227"/>
      <c r="H454" s="246">
        <v>810333</v>
      </c>
      <c r="J454" s="94">
        <f t="shared" si="173"/>
        <v>1.7500000000000002E-2</v>
      </c>
      <c r="K454" s="25" t="s">
        <v>16</v>
      </c>
      <c r="L454" s="25"/>
      <c r="M454" s="71">
        <f t="shared" si="174"/>
        <v>4852.2952355184943</v>
      </c>
      <c r="O454" s="173">
        <f>O$170</f>
        <v>2.1499999999999998E-2</v>
      </c>
      <c r="P454" s="25"/>
      <c r="Q454" s="71">
        <f t="shared" si="172"/>
        <v>17526.483847563646</v>
      </c>
      <c r="S454" s="173">
        <f>S$170</f>
        <v>5.3E-3</v>
      </c>
      <c r="T454" s="25"/>
      <c r="U454" s="71">
        <f t="shared" si="169"/>
        <v>4320.4820647482484</v>
      </c>
      <c r="W454" s="173">
        <f t="shared" si="164"/>
        <v>3.6299999999999999E-2</v>
      </c>
      <c r="X454" s="25"/>
      <c r="Y454" s="71">
        <f t="shared" si="170"/>
        <v>30384.271079666243</v>
      </c>
      <c r="AA454" s="173">
        <f t="shared" si="166"/>
        <v>4.0099999999999997E-2</v>
      </c>
      <c r="AB454" s="25"/>
      <c r="AC454" s="71">
        <f t="shared" si="167"/>
        <v>33564.993672027995</v>
      </c>
    </row>
    <row r="455" spans="1:29">
      <c r="A455" s="17" t="s">
        <v>209</v>
      </c>
      <c r="C455" s="21"/>
      <c r="E455" s="267"/>
      <c r="F455" s="227"/>
      <c r="G455" s="227"/>
      <c r="H455" s="231">
        <v>3559306</v>
      </c>
      <c r="J455" s="95"/>
      <c r="K455" s="25"/>
      <c r="L455" s="25"/>
      <c r="M455" s="34">
        <f>SUM(M441:M454)</f>
        <v>10580.139386983697</v>
      </c>
      <c r="O455" s="95"/>
      <c r="P455" s="25"/>
      <c r="Q455" s="34">
        <f>SUM(Q441:Q454)</f>
        <v>68939.311987008405</v>
      </c>
      <c r="S455" s="95"/>
      <c r="T455" s="25"/>
      <c r="U455" s="34">
        <f>SUM(U441:U454)</f>
        <v>17339.591497033369</v>
      </c>
      <c r="W455" s="95"/>
      <c r="X455" s="25"/>
      <c r="Y455" s="34">
        <f>SUM(Y441:Y454)</f>
        <v>132655.47437444772</v>
      </c>
      <c r="AA455" s="95"/>
      <c r="AB455" s="25"/>
      <c r="AC455" s="34">
        <f>SUM(AC441:AC454)</f>
        <v>146612.21821912809</v>
      </c>
    </row>
    <row r="456" spans="1:29">
      <c r="A456" s="7" t="s">
        <v>84</v>
      </c>
      <c r="C456" s="91">
        <v>0</v>
      </c>
      <c r="E456" s="243"/>
      <c r="F456" s="244"/>
      <c r="G456" s="244"/>
      <c r="H456" s="232">
        <v>0</v>
      </c>
      <c r="J456" s="53"/>
      <c r="K456" s="59"/>
      <c r="L456" s="59"/>
      <c r="M456" s="37"/>
      <c r="O456" s="53"/>
      <c r="P456" s="59"/>
      <c r="Q456" s="37"/>
      <c r="S456" s="53"/>
      <c r="T456" s="59"/>
      <c r="U456" s="37"/>
      <c r="W456" s="53"/>
      <c r="X456" s="59"/>
      <c r="Y456" s="37"/>
      <c r="AA456" s="53"/>
      <c r="AB456" s="59"/>
      <c r="AC456" s="37"/>
    </row>
    <row r="457" spans="1:29" ht="16.5" thickBot="1">
      <c r="A457" s="17" t="s">
        <v>233</v>
      </c>
      <c r="C457" s="96">
        <v>56282445.025115147</v>
      </c>
      <c r="E457" s="238"/>
      <c r="H457" s="239">
        <v>4575592</v>
      </c>
      <c r="J457" s="48"/>
      <c r="M457" s="49">
        <f>M438+M455</f>
        <v>10580.139386983697</v>
      </c>
      <c r="O457" s="48"/>
      <c r="Q457" s="49">
        <f>Q438+Q455</f>
        <v>68939.311987008405</v>
      </c>
      <c r="S457" s="48"/>
      <c r="U457" s="49">
        <f>U438+U455</f>
        <v>17339.591497033369</v>
      </c>
      <c r="W457" s="48"/>
      <c r="Y457" s="49">
        <f>Y438+Y455</f>
        <v>169118.75237444771</v>
      </c>
      <c r="AA457" s="48"/>
      <c r="AC457" s="49">
        <f>AC438+AC455</f>
        <v>186918.92281912809</v>
      </c>
    </row>
    <row r="458" spans="1:29" ht="16.5" thickTop="1"/>
    <row r="459" spans="1:29">
      <c r="A459" s="16" t="s">
        <v>234</v>
      </c>
      <c r="C459" s="55"/>
    </row>
    <row r="460" spans="1:29">
      <c r="A460" s="17" t="s">
        <v>35</v>
      </c>
      <c r="C460" s="55">
        <v>12</v>
      </c>
      <c r="E460" s="243"/>
      <c r="F460" s="244"/>
      <c r="G460" s="244"/>
      <c r="H460" s="268">
        <v>2694</v>
      </c>
      <c r="J460" s="53"/>
      <c r="K460" s="59"/>
      <c r="L460" s="59"/>
      <c r="M460" s="97"/>
      <c r="O460" s="53"/>
      <c r="P460" s="59"/>
      <c r="Q460" s="97"/>
      <c r="S460" s="53"/>
      <c r="T460" s="59"/>
      <c r="U460" s="97"/>
      <c r="W460" s="53"/>
      <c r="X460" s="59"/>
      <c r="Y460" s="97"/>
      <c r="AA460" s="53"/>
      <c r="AB460" s="59"/>
      <c r="AC460" s="97"/>
    </row>
    <row r="461" spans="1:29">
      <c r="A461" s="17" t="s">
        <v>235</v>
      </c>
      <c r="C461" s="55">
        <v>949050</v>
      </c>
      <c r="E461" s="243"/>
      <c r="F461" s="244"/>
      <c r="G461" s="244"/>
      <c r="H461" s="268">
        <v>11364504</v>
      </c>
      <c r="J461" s="174">
        <v>1.6203021748143601E-2</v>
      </c>
      <c r="K461" s="25" t="s">
        <v>16</v>
      </c>
      <c r="L461" s="59"/>
      <c r="M461" s="74">
        <f>C461*J461/100</f>
        <v>153.77477790075685</v>
      </c>
      <c r="O461" s="168">
        <v>1.6400000000000001E-2</v>
      </c>
      <c r="P461" s="59"/>
      <c r="Q461" s="74">
        <f>($H461+$M461)*O461</f>
        <v>186380.38750635757</v>
      </c>
      <c r="S461" s="168">
        <v>4.4999999999999997E-3</v>
      </c>
      <c r="T461" s="59"/>
      <c r="U461" s="74">
        <f>($H461+$M461)*S461</f>
        <v>51140.959986500551</v>
      </c>
      <c r="W461" s="168">
        <v>0</v>
      </c>
      <c r="X461" s="59"/>
      <c r="Y461" s="74">
        <f t="shared" ref="Y461:Y463" si="175">($H461+$M461+$Q461+$U461)*W461</f>
        <v>0</v>
      </c>
      <c r="AA461" s="168">
        <v>0</v>
      </c>
      <c r="AB461" s="59"/>
      <c r="AC461" s="74">
        <f t="shared" ref="AC461:AC463" si="176">($H461+$M461+$Q461+$U461)*AA461</f>
        <v>0</v>
      </c>
    </row>
    <row r="462" spans="1:29">
      <c r="A462" s="17" t="s">
        <v>236</v>
      </c>
      <c r="C462" s="55">
        <v>237232647</v>
      </c>
      <c r="E462" s="269"/>
      <c r="F462" s="270"/>
      <c r="G462" s="270"/>
      <c r="H462" s="268">
        <v>8613741</v>
      </c>
      <c r="J462" s="98">
        <f>$J$461</f>
        <v>1.6203021748143601E-2</v>
      </c>
      <c r="K462" s="25" t="s">
        <v>16</v>
      </c>
      <c r="L462" s="99"/>
      <c r="M462" s="74">
        <f t="shared" ref="M462:M463" si="177">C462*J462/100</f>
        <v>38438.857387106735</v>
      </c>
      <c r="O462" s="156">
        <f>O$461</f>
        <v>1.6400000000000001E-2</v>
      </c>
      <c r="P462" s="99"/>
      <c r="Q462" s="74">
        <f t="shared" ref="Q462" si="178">($H462+$M462)*O462</f>
        <v>141895.74966114855</v>
      </c>
      <c r="S462" s="156">
        <f>S$461</f>
        <v>4.4999999999999997E-3</v>
      </c>
      <c r="T462" s="99"/>
      <c r="U462" s="74">
        <f t="shared" ref="U462" si="179">($H462+$M462)*S462</f>
        <v>38934.809358241975</v>
      </c>
      <c r="W462" s="156">
        <f>W$461</f>
        <v>0</v>
      </c>
      <c r="X462" s="99"/>
      <c r="Y462" s="74">
        <f t="shared" si="175"/>
        <v>0</v>
      </c>
      <c r="AA462" s="156">
        <f>AA$461</f>
        <v>0</v>
      </c>
      <c r="AB462" s="99"/>
      <c r="AC462" s="74">
        <f t="shared" si="176"/>
        <v>0</v>
      </c>
    </row>
    <row r="463" spans="1:29">
      <c r="A463" s="17" t="s">
        <v>237</v>
      </c>
      <c r="C463" s="36">
        <v>298488523</v>
      </c>
      <c r="H463" s="232">
        <v>7977812</v>
      </c>
      <c r="J463" s="98">
        <f>$J$461</f>
        <v>1.6203021748143601E-2</v>
      </c>
      <c r="K463" s="25" t="s">
        <v>16</v>
      </c>
      <c r="M463" s="175">
        <f t="shared" si="177"/>
        <v>48364.16029740261</v>
      </c>
      <c r="O463" s="156">
        <f>O$461</f>
        <v>1.6400000000000001E-2</v>
      </c>
      <c r="Q463" s="175">
        <f>($H463+$M463)*O463</f>
        <v>131629.28902887739</v>
      </c>
      <c r="S463" s="156">
        <f>S$461</f>
        <v>4.4999999999999997E-3</v>
      </c>
      <c r="U463" s="175">
        <f>($H463+$M463)*S463</f>
        <v>36117.792721338308</v>
      </c>
      <c r="W463" s="156">
        <f>W$461</f>
        <v>0</v>
      </c>
      <c r="Y463" s="175">
        <f t="shared" si="175"/>
        <v>0</v>
      </c>
      <c r="AA463" s="156">
        <f>AA$461</f>
        <v>0</v>
      </c>
      <c r="AC463" s="175">
        <f t="shared" si="176"/>
        <v>0</v>
      </c>
    </row>
    <row r="464" spans="1:29" ht="16.5" thickBot="1">
      <c r="A464" s="17" t="s">
        <v>29</v>
      </c>
      <c r="C464" s="96">
        <v>535721170</v>
      </c>
      <c r="E464" s="271"/>
      <c r="F464" s="244"/>
      <c r="G464" s="244"/>
      <c r="H464" s="239">
        <v>27958751</v>
      </c>
      <c r="J464" s="100"/>
      <c r="K464" s="59"/>
      <c r="L464" s="59"/>
      <c r="M464" s="101">
        <f>SUM(M460:M463)</f>
        <v>86956.7924624101</v>
      </c>
      <c r="O464" s="100"/>
      <c r="P464" s="59"/>
      <c r="Q464" s="101">
        <f>SUM(Q460:Q463)</f>
        <v>459905.42619638355</v>
      </c>
      <c r="S464" s="100"/>
      <c r="T464" s="59"/>
      <c r="U464" s="101">
        <f>SUM(U460:U463)</f>
        <v>126193.56206608083</v>
      </c>
      <c r="W464" s="100"/>
      <c r="X464" s="59"/>
      <c r="Y464" s="101">
        <f>SUM(Y460:Y463)</f>
        <v>0</v>
      </c>
      <c r="AA464" s="100"/>
      <c r="AB464" s="59"/>
      <c r="AC464" s="101">
        <f>SUM(AC460:AC463)</f>
        <v>0</v>
      </c>
    </row>
    <row r="465" spans="1:29" ht="16.5" thickTop="1">
      <c r="C465" s="55"/>
      <c r="H465" s="243"/>
      <c r="M465" s="102"/>
      <c r="Q465" s="102"/>
      <c r="U465" s="102"/>
      <c r="Y465" s="102"/>
      <c r="AC465" s="102"/>
    </row>
    <row r="466" spans="1:29">
      <c r="A466" s="103" t="s">
        <v>238</v>
      </c>
      <c r="B466" s="9"/>
      <c r="C466" s="55"/>
      <c r="E466" s="243"/>
      <c r="F466" s="244"/>
      <c r="G466" s="244"/>
      <c r="J466" s="53"/>
      <c r="K466" s="59"/>
      <c r="L466" s="59"/>
      <c r="M466" s="12"/>
      <c r="O466" s="53"/>
      <c r="P466" s="59"/>
      <c r="Q466" s="12"/>
      <c r="S466" s="53"/>
      <c r="T466" s="59"/>
      <c r="U466" s="12"/>
      <c r="W466" s="53"/>
      <c r="X466" s="59"/>
      <c r="Y466" s="12"/>
      <c r="AA466" s="53"/>
      <c r="AB466" s="59"/>
      <c r="AC466" s="12"/>
    </row>
    <row r="467" spans="1:29">
      <c r="A467" s="35" t="s">
        <v>35</v>
      </c>
      <c r="B467" s="9"/>
      <c r="C467" s="55">
        <v>12</v>
      </c>
      <c r="M467" s="12"/>
      <c r="Q467" s="12"/>
      <c r="U467" s="12"/>
      <c r="Y467" s="12"/>
      <c r="AC467" s="12"/>
    </row>
    <row r="468" spans="1:29">
      <c r="A468" s="35" t="s">
        <v>239</v>
      </c>
      <c r="B468" s="9"/>
      <c r="C468" s="55">
        <v>795798675.78575754</v>
      </c>
      <c r="E468" s="272"/>
      <c r="F468" s="273"/>
      <c r="G468" s="273"/>
      <c r="H468" s="225">
        <v>35062890</v>
      </c>
      <c r="J468" s="104"/>
      <c r="K468" s="105"/>
      <c r="L468" s="105"/>
      <c r="M468" s="13"/>
      <c r="O468" s="168">
        <v>2.4E-2</v>
      </c>
      <c r="P468" s="105"/>
      <c r="Q468" s="71">
        <f>($H468+$M468)*O468</f>
        <v>841509.36</v>
      </c>
      <c r="S468" s="168">
        <v>0</v>
      </c>
      <c r="T468" s="105"/>
      <c r="U468" s="71">
        <f>($H468+$M468)*S468</f>
        <v>0</v>
      </c>
      <c r="W468" s="168">
        <v>0</v>
      </c>
      <c r="X468" s="105"/>
      <c r="Y468" s="71">
        <f t="shared" ref="Y468" si="180">($H468+$M468+$Q468+$U468)*W468</f>
        <v>0</v>
      </c>
      <c r="AA468" s="168">
        <v>0</v>
      </c>
      <c r="AB468" s="105"/>
      <c r="AC468" s="71">
        <f t="shared" ref="AC468" si="181">($H468+$M468+$Q468+$U468)*AA468</f>
        <v>0</v>
      </c>
    </row>
    <row r="469" spans="1:29" ht="16.5" thickBot="1">
      <c r="A469" s="17" t="s">
        <v>29</v>
      </c>
      <c r="B469" s="9"/>
      <c r="C469" s="274">
        <v>795798675.78575754</v>
      </c>
      <c r="E469" s="275"/>
      <c r="F469" s="244"/>
      <c r="G469" s="244"/>
      <c r="H469" s="276">
        <v>35062890</v>
      </c>
      <c r="J469" s="106"/>
      <c r="K469" s="59"/>
      <c r="L469" s="59"/>
      <c r="M469" s="176">
        <f>SUM(M467:M468)</f>
        <v>0</v>
      </c>
      <c r="O469" s="106"/>
      <c r="P469" s="59"/>
      <c r="Q469" s="101">
        <f>SUM(Q467:Q468)</f>
        <v>841509.36</v>
      </c>
      <c r="S469" s="106"/>
      <c r="T469" s="59"/>
      <c r="U469" s="101">
        <f>SUM(U467:U468)</f>
        <v>0</v>
      </c>
      <c r="W469" s="106"/>
      <c r="X469" s="59"/>
      <c r="Y469" s="101">
        <f>SUM(Y467:Y468)</f>
        <v>0</v>
      </c>
      <c r="AA469" s="106"/>
      <c r="AB469" s="59"/>
      <c r="AC469" s="101">
        <f>SUM(AC467:AC468)</f>
        <v>0</v>
      </c>
    </row>
    <row r="470" spans="1:29" ht="16.5" thickTop="1">
      <c r="A470" s="35"/>
      <c r="B470" s="9"/>
      <c r="C470" s="21"/>
      <c r="E470" s="277"/>
      <c r="F470" s="277"/>
      <c r="G470" s="277"/>
      <c r="H470" s="231"/>
      <c r="J470" s="82"/>
      <c r="K470" s="107"/>
      <c r="L470" s="107"/>
      <c r="M470" s="34"/>
      <c r="O470" s="82"/>
      <c r="P470" s="107"/>
      <c r="Q470" s="34"/>
      <c r="S470" s="82"/>
      <c r="T470" s="107"/>
      <c r="U470" s="34"/>
      <c r="W470" s="82"/>
      <c r="X470" s="107"/>
      <c r="Y470" s="34"/>
      <c r="AA470" s="82"/>
      <c r="AB470" s="107"/>
      <c r="AC470" s="34"/>
    </row>
    <row r="471" spans="1:29">
      <c r="A471" s="16" t="s">
        <v>240</v>
      </c>
      <c r="C471" s="55"/>
      <c r="E471" s="243"/>
      <c r="F471" s="244"/>
      <c r="G471" s="244"/>
      <c r="J471" s="53"/>
      <c r="K471" s="59"/>
      <c r="L471" s="59"/>
      <c r="M471" s="12"/>
      <c r="O471" s="53"/>
      <c r="P471" s="59"/>
      <c r="Q471" s="12"/>
      <c r="S471" s="53"/>
      <c r="T471" s="59"/>
      <c r="U471" s="12"/>
      <c r="W471" s="53"/>
      <c r="X471" s="59"/>
      <c r="Y471" s="12"/>
      <c r="AA471" s="53"/>
      <c r="AB471" s="59"/>
      <c r="AC471" s="12"/>
    </row>
    <row r="472" spans="1:29">
      <c r="A472" s="17" t="s">
        <v>35</v>
      </c>
      <c r="C472" s="55">
        <v>12</v>
      </c>
      <c r="E472" s="178"/>
      <c r="F472" s="244"/>
      <c r="G472" s="244"/>
      <c r="H472" s="225">
        <v>8136</v>
      </c>
      <c r="J472" s="18"/>
      <c r="K472" s="59"/>
      <c r="L472" s="59"/>
      <c r="M472" s="13"/>
      <c r="O472" s="18"/>
      <c r="P472" s="59"/>
      <c r="Q472" s="13"/>
      <c r="S472" s="18"/>
      <c r="T472" s="59"/>
      <c r="U472" s="13"/>
      <c r="W472" s="18"/>
      <c r="X472" s="59"/>
      <c r="Y472" s="13"/>
      <c r="AA472" s="18"/>
      <c r="AB472" s="59"/>
      <c r="AC472" s="13"/>
    </row>
    <row r="473" spans="1:29">
      <c r="A473" s="17" t="s">
        <v>241</v>
      </c>
      <c r="C473" s="55">
        <v>422498</v>
      </c>
      <c r="E473" s="178"/>
      <c r="F473" s="244"/>
      <c r="G473" s="244"/>
      <c r="H473" s="225">
        <v>921045</v>
      </c>
      <c r="J473" s="18"/>
      <c r="K473" s="59"/>
      <c r="L473" s="59"/>
      <c r="M473" s="13"/>
      <c r="O473" s="18"/>
      <c r="P473" s="59"/>
      <c r="Q473" s="13"/>
      <c r="S473" s="18"/>
      <c r="T473" s="59"/>
      <c r="U473" s="13"/>
      <c r="W473" s="168">
        <v>0</v>
      </c>
      <c r="X473" s="59"/>
      <c r="Y473" s="13">
        <f t="shared" ref="Y473:Y490" si="182">($H473+$M473+$Q473+$U473)*W473</f>
        <v>0</v>
      </c>
      <c r="AA473" s="168">
        <v>0</v>
      </c>
      <c r="AB473" s="59"/>
      <c r="AC473" s="13">
        <f t="shared" ref="AC473" si="183">($H473+$M473+$Q473+$U473)*AA473</f>
        <v>0</v>
      </c>
    </row>
    <row r="474" spans="1:29">
      <c r="A474" s="17" t="s">
        <v>242</v>
      </c>
      <c r="C474" s="55"/>
      <c r="E474" s="250"/>
      <c r="F474" s="278"/>
      <c r="G474" s="278"/>
      <c r="H474" s="268"/>
      <c r="J474" s="33"/>
      <c r="K474" s="108"/>
      <c r="L474" s="108"/>
      <c r="M474" s="97"/>
      <c r="O474" s="33"/>
      <c r="P474" s="108"/>
      <c r="Q474" s="97"/>
      <c r="S474" s="33"/>
      <c r="T474" s="108"/>
      <c r="U474" s="97"/>
      <c r="W474" s="179"/>
      <c r="X474" s="108"/>
      <c r="Y474" s="97"/>
      <c r="AA474" s="179"/>
      <c r="AB474" s="108"/>
      <c r="AC474" s="97"/>
    </row>
    <row r="475" spans="1:29">
      <c r="A475" s="17" t="s">
        <v>223</v>
      </c>
      <c r="C475" s="55">
        <v>3435490</v>
      </c>
      <c r="E475" s="261"/>
      <c r="F475" s="262"/>
      <c r="G475" s="262"/>
      <c r="H475" s="225"/>
      <c r="J475" s="87"/>
      <c r="K475" s="88"/>
      <c r="L475" s="88"/>
      <c r="M475" s="13"/>
      <c r="O475" s="87"/>
      <c r="P475" s="88"/>
      <c r="Q475" s="13"/>
      <c r="S475" s="87"/>
      <c r="T475" s="88"/>
      <c r="U475" s="13"/>
      <c r="W475" s="179"/>
      <c r="X475" s="88"/>
      <c r="Y475" s="13"/>
      <c r="AA475" s="179"/>
      <c r="AB475" s="88"/>
      <c r="AC475" s="13"/>
    </row>
    <row r="476" spans="1:29">
      <c r="A476" s="17" t="s">
        <v>224</v>
      </c>
      <c r="C476" s="55">
        <v>3253488</v>
      </c>
      <c r="E476" s="261"/>
      <c r="F476" s="262"/>
      <c r="G476" s="262"/>
      <c r="H476" s="225">
        <v>1673920</v>
      </c>
      <c r="J476" s="87"/>
      <c r="K476" s="88"/>
      <c r="L476" s="88"/>
      <c r="M476" s="13"/>
      <c r="O476" s="87"/>
      <c r="P476" s="88"/>
      <c r="Q476" s="13"/>
      <c r="S476" s="87"/>
      <c r="T476" s="88"/>
      <c r="U476" s="13"/>
      <c r="W476" s="179">
        <f>W$473</f>
        <v>0</v>
      </c>
      <c r="X476" s="88"/>
      <c r="Y476" s="13">
        <f t="shared" si="182"/>
        <v>0</v>
      </c>
      <c r="AA476" s="179">
        <f t="shared" ref="AA476:AA490" si="184">AA$473</f>
        <v>0</v>
      </c>
      <c r="AB476" s="88"/>
      <c r="AC476" s="13">
        <f t="shared" ref="AC476:AC477" si="185">($H476+$M476+$Q476+$U476)*AA476</f>
        <v>0</v>
      </c>
    </row>
    <row r="477" spans="1:29">
      <c r="A477" s="17" t="s">
        <v>225</v>
      </c>
      <c r="C477" s="55">
        <v>182002</v>
      </c>
      <c r="E477" s="261"/>
      <c r="F477" s="262"/>
      <c r="G477" s="262"/>
      <c r="H477" s="225">
        <v>93640</v>
      </c>
      <c r="J477" s="87"/>
      <c r="K477" s="88"/>
      <c r="L477" s="88"/>
      <c r="M477" s="13"/>
      <c r="O477" s="87"/>
      <c r="P477" s="88"/>
      <c r="Q477" s="13"/>
      <c r="S477" s="87"/>
      <c r="T477" s="88"/>
      <c r="U477" s="13"/>
      <c r="W477" s="179">
        <f>W$473</f>
        <v>0</v>
      </c>
      <c r="X477" s="88"/>
      <c r="Y477" s="13">
        <f t="shared" si="182"/>
        <v>0</v>
      </c>
      <c r="AA477" s="179">
        <f t="shared" si="184"/>
        <v>0</v>
      </c>
      <c r="AB477" s="88"/>
      <c r="AC477" s="13">
        <f t="shared" si="185"/>
        <v>0</v>
      </c>
    </row>
    <row r="478" spans="1:29">
      <c r="A478" s="17" t="s">
        <v>226</v>
      </c>
      <c r="C478" s="55">
        <v>0</v>
      </c>
      <c r="E478" s="261"/>
      <c r="F478" s="262"/>
      <c r="G478" s="262"/>
      <c r="H478" s="225"/>
      <c r="J478" s="87"/>
      <c r="K478" s="88"/>
      <c r="L478" s="88"/>
      <c r="M478" s="13"/>
      <c r="O478" s="87"/>
      <c r="P478" s="88"/>
      <c r="Q478" s="13"/>
      <c r="S478" s="87"/>
      <c r="T478" s="88"/>
      <c r="U478" s="13"/>
      <c r="W478" s="179"/>
      <c r="X478" s="88"/>
      <c r="Y478" s="13"/>
      <c r="AA478" s="179"/>
      <c r="AB478" s="88"/>
      <c r="AC478" s="13"/>
    </row>
    <row r="479" spans="1:29">
      <c r="A479" s="17" t="s">
        <v>224</v>
      </c>
      <c r="C479" s="55"/>
      <c r="E479" s="261"/>
      <c r="F479" s="262"/>
      <c r="G479" s="262"/>
      <c r="H479" s="225">
        <v>0</v>
      </c>
      <c r="J479" s="87"/>
      <c r="K479" s="88"/>
      <c r="L479" s="88"/>
      <c r="M479" s="13"/>
      <c r="O479" s="87"/>
      <c r="P479" s="88"/>
      <c r="Q479" s="13"/>
      <c r="S479" s="87"/>
      <c r="T479" s="88"/>
      <c r="U479" s="13"/>
      <c r="W479" s="179">
        <f>W$473</f>
        <v>0</v>
      </c>
      <c r="X479" s="88"/>
      <c r="Y479" s="13">
        <f t="shared" si="182"/>
        <v>0</v>
      </c>
      <c r="AA479" s="179">
        <f t="shared" si="184"/>
        <v>0</v>
      </c>
      <c r="AB479" s="88"/>
      <c r="AC479" s="13">
        <f t="shared" ref="AC479:AC480" si="186">($H479+$M479+$Q479+$U479)*AA479</f>
        <v>0</v>
      </c>
    </row>
    <row r="480" spans="1:29">
      <c r="A480" s="17" t="s">
        <v>225</v>
      </c>
      <c r="C480" s="55"/>
      <c r="E480" s="261"/>
      <c r="F480" s="262"/>
      <c r="G480" s="262"/>
      <c r="H480" s="225">
        <v>0</v>
      </c>
      <c r="J480" s="87"/>
      <c r="K480" s="88"/>
      <c r="L480" s="88"/>
      <c r="M480" s="13"/>
      <c r="O480" s="87"/>
      <c r="P480" s="88"/>
      <c r="Q480" s="13"/>
      <c r="S480" s="87"/>
      <c r="T480" s="88"/>
      <c r="U480" s="13"/>
      <c r="W480" s="179">
        <f>W$473</f>
        <v>0</v>
      </c>
      <c r="X480" s="88"/>
      <c r="Y480" s="13">
        <f t="shared" si="182"/>
        <v>0</v>
      </c>
      <c r="AA480" s="179">
        <f t="shared" si="184"/>
        <v>0</v>
      </c>
      <c r="AB480" s="88"/>
      <c r="AC480" s="13">
        <f t="shared" si="186"/>
        <v>0</v>
      </c>
    </row>
    <row r="481" spans="1:29">
      <c r="A481" s="17" t="s">
        <v>243</v>
      </c>
      <c r="C481" s="55">
        <v>0</v>
      </c>
      <c r="E481" s="261"/>
      <c r="F481" s="262"/>
      <c r="G481" s="262"/>
      <c r="H481" s="225"/>
      <c r="J481" s="87"/>
      <c r="K481" s="88"/>
      <c r="L481" s="88"/>
      <c r="M481" s="13"/>
      <c r="O481" s="87"/>
      <c r="P481" s="88"/>
      <c r="Q481" s="13"/>
      <c r="S481" s="87"/>
      <c r="T481" s="88"/>
      <c r="U481" s="13"/>
      <c r="W481" s="179"/>
      <c r="X481" s="88"/>
      <c r="Y481" s="13"/>
      <c r="AA481" s="179"/>
      <c r="AB481" s="88"/>
      <c r="AC481" s="13"/>
    </row>
    <row r="482" spans="1:29">
      <c r="A482" s="17" t="s">
        <v>224</v>
      </c>
      <c r="C482" s="55"/>
      <c r="E482" s="261"/>
      <c r="F482" s="262"/>
      <c r="G482" s="262"/>
      <c r="H482" s="225">
        <v>0</v>
      </c>
      <c r="J482" s="87"/>
      <c r="K482" s="88"/>
      <c r="L482" s="88"/>
      <c r="M482" s="13"/>
      <c r="O482" s="87"/>
      <c r="P482" s="88"/>
      <c r="Q482" s="13"/>
      <c r="S482" s="87"/>
      <c r="T482" s="88"/>
      <c r="U482" s="13"/>
      <c r="W482" s="179">
        <f>W$473</f>
        <v>0</v>
      </c>
      <c r="X482" s="88"/>
      <c r="Y482" s="13">
        <f t="shared" si="182"/>
        <v>0</v>
      </c>
      <c r="AA482" s="179">
        <f t="shared" si="184"/>
        <v>0</v>
      </c>
      <c r="AB482" s="88"/>
      <c r="AC482" s="13">
        <f t="shared" ref="AC482:AC483" si="187">($H482+$M482+$Q482+$U482)*AA482</f>
        <v>0</v>
      </c>
    </row>
    <row r="483" spans="1:29">
      <c r="A483" s="17" t="s">
        <v>225</v>
      </c>
      <c r="C483" s="55"/>
      <c r="E483" s="261"/>
      <c r="F483" s="262"/>
      <c r="G483" s="262"/>
      <c r="H483" s="225">
        <v>0</v>
      </c>
      <c r="J483" s="87"/>
      <c r="K483" s="88"/>
      <c r="L483" s="88"/>
      <c r="M483" s="13"/>
      <c r="O483" s="87"/>
      <c r="P483" s="88"/>
      <c r="Q483" s="13"/>
      <c r="S483" s="87"/>
      <c r="T483" s="88"/>
      <c r="U483" s="13"/>
      <c r="W483" s="179">
        <f>W$473</f>
        <v>0</v>
      </c>
      <c r="X483" s="88"/>
      <c r="Y483" s="13">
        <f t="shared" si="182"/>
        <v>0</v>
      </c>
      <c r="AA483" s="179">
        <f t="shared" si="184"/>
        <v>0</v>
      </c>
      <c r="AB483" s="88"/>
      <c r="AC483" s="13">
        <f t="shared" si="187"/>
        <v>0</v>
      </c>
    </row>
    <row r="484" spans="1:29">
      <c r="A484" s="17" t="s">
        <v>244</v>
      </c>
      <c r="C484" s="55"/>
      <c r="E484" s="248"/>
      <c r="F484" s="278"/>
      <c r="G484" s="278"/>
      <c r="H484" s="268"/>
      <c r="J484" s="68"/>
      <c r="K484" s="108"/>
      <c r="L484" s="108"/>
      <c r="M484" s="97"/>
      <c r="O484" s="68"/>
      <c r="P484" s="108"/>
      <c r="Q484" s="97"/>
      <c r="S484" s="68"/>
      <c r="T484" s="108"/>
      <c r="U484" s="97"/>
      <c r="W484" s="179"/>
      <c r="X484" s="108"/>
      <c r="Y484" s="97"/>
      <c r="AA484" s="179"/>
      <c r="AB484" s="108"/>
      <c r="AC484" s="97"/>
    </row>
    <row r="485" spans="1:29">
      <c r="A485" s="17" t="s">
        <v>245</v>
      </c>
      <c r="C485" s="55">
        <v>24807</v>
      </c>
      <c r="E485" s="250"/>
      <c r="F485" s="230"/>
      <c r="G485" s="230"/>
      <c r="H485" s="225">
        <v>346306</v>
      </c>
      <c r="J485" s="33"/>
      <c r="K485" s="54"/>
      <c r="L485" s="54"/>
      <c r="M485" s="13"/>
      <c r="O485" s="171">
        <f>O$170</f>
        <v>2.1499999999999998E-2</v>
      </c>
      <c r="P485" s="25"/>
      <c r="Q485" s="13">
        <f>($H485+$M485)*O485</f>
        <v>7445.5789999999997</v>
      </c>
      <c r="S485" s="171">
        <f>S$170</f>
        <v>5.3E-3</v>
      </c>
      <c r="T485" s="25"/>
      <c r="U485" s="13">
        <f>($H485+$M485)*S485</f>
        <v>1835.4218000000001</v>
      </c>
      <c r="W485" s="179">
        <f>W$473</f>
        <v>0</v>
      </c>
      <c r="X485" s="25"/>
      <c r="Y485" s="13">
        <f t="shared" si="182"/>
        <v>0</v>
      </c>
      <c r="AA485" s="179">
        <f t="shared" si="184"/>
        <v>0</v>
      </c>
      <c r="AB485" s="25"/>
      <c r="AC485" s="13">
        <f t="shared" ref="AC485:AC486" si="188">($H485+$M485+$Q485+$U485)*AA485</f>
        <v>0</v>
      </c>
    </row>
    <row r="486" spans="1:29">
      <c r="A486" s="17" t="s">
        <v>246</v>
      </c>
      <c r="C486" s="55">
        <v>765402</v>
      </c>
      <c r="E486" s="250"/>
      <c r="F486" s="230"/>
      <c r="G486" s="230"/>
      <c r="H486" s="225">
        <v>7248357</v>
      </c>
      <c r="J486" s="33"/>
      <c r="K486" s="54"/>
      <c r="L486" s="54"/>
      <c r="M486" s="13"/>
      <c r="O486" s="171">
        <f>O$170</f>
        <v>2.1499999999999998E-2</v>
      </c>
      <c r="P486" s="25"/>
      <c r="Q486" s="13">
        <f t="shared" ref="Q486" si="189">($H486+$M486)*O486</f>
        <v>155839.67549999998</v>
      </c>
      <c r="S486" s="171">
        <f>S$170</f>
        <v>5.3E-3</v>
      </c>
      <c r="T486" s="25"/>
      <c r="U486" s="13">
        <f t="shared" ref="U486" si="190">($H486+$M486)*S486</f>
        <v>38416.292099999999</v>
      </c>
      <c r="W486" s="179">
        <f>W$473</f>
        <v>0</v>
      </c>
      <c r="X486" s="25"/>
      <c r="Y486" s="13">
        <f t="shared" si="182"/>
        <v>0</v>
      </c>
      <c r="AA486" s="179">
        <f t="shared" si="184"/>
        <v>0</v>
      </c>
      <c r="AB486" s="25"/>
      <c r="AC486" s="13">
        <f t="shared" si="188"/>
        <v>0</v>
      </c>
    </row>
    <row r="487" spans="1:29">
      <c r="A487" s="17" t="s">
        <v>247</v>
      </c>
      <c r="C487" s="21"/>
      <c r="E487" s="278"/>
      <c r="F487" s="278"/>
      <c r="G487" s="278"/>
      <c r="H487" s="231"/>
      <c r="J487" s="109"/>
      <c r="K487" s="108"/>
      <c r="L487" s="108"/>
      <c r="M487" s="61"/>
      <c r="O487" s="109"/>
      <c r="P487" s="108"/>
      <c r="Q487" s="61"/>
      <c r="S487" s="109"/>
      <c r="T487" s="108"/>
      <c r="U487" s="61"/>
      <c r="W487" s="179"/>
      <c r="X487" s="108"/>
      <c r="Y487" s="61"/>
      <c r="AA487" s="179"/>
      <c r="AB487" s="108"/>
      <c r="AC487" s="61"/>
    </row>
    <row r="488" spans="1:29">
      <c r="A488" s="17" t="s">
        <v>248</v>
      </c>
      <c r="C488" s="55">
        <v>22796861</v>
      </c>
      <c r="E488" s="265"/>
      <c r="F488" s="227" t="s">
        <v>16</v>
      </c>
      <c r="G488" s="227"/>
      <c r="H488" s="225">
        <v>1060761</v>
      </c>
      <c r="J488" s="68">
        <f>$J$172</f>
        <v>1.7500000000000002E-2</v>
      </c>
      <c r="K488" s="25" t="s">
        <v>16</v>
      </c>
      <c r="L488" s="25"/>
      <c r="M488" s="13">
        <f t="shared" ref="M488" si="191">C488*J488/100</f>
        <v>3989.4506750000005</v>
      </c>
      <c r="O488" s="171">
        <f>O$170</f>
        <v>2.1499999999999998E-2</v>
      </c>
      <c r="P488" s="25"/>
      <c r="Q488" s="13">
        <f t="shared" ref="Q488" si="192">($H488+$M488)*O488</f>
        <v>22892.134689512499</v>
      </c>
      <c r="S488" s="171">
        <f>S$170</f>
        <v>5.3E-3</v>
      </c>
      <c r="T488" s="25"/>
      <c r="U488" s="13">
        <f t="shared" ref="U488:U490" si="193">($H488+$M488)*S488</f>
        <v>5643.1773885775001</v>
      </c>
      <c r="W488" s="179">
        <f>W$473</f>
        <v>0</v>
      </c>
      <c r="X488" s="25"/>
      <c r="Y488" s="13">
        <f t="shared" si="182"/>
        <v>0</v>
      </c>
      <c r="AA488" s="179">
        <f t="shared" si="184"/>
        <v>0</v>
      </c>
      <c r="AB488" s="25"/>
      <c r="AC488" s="13">
        <f t="shared" ref="AC488:AC490" si="194">($H488+$M488+$Q488+$U488)*AA488</f>
        <v>0</v>
      </c>
    </row>
    <row r="489" spans="1:29">
      <c r="A489" s="17" t="s">
        <v>249</v>
      </c>
      <c r="C489" s="55">
        <v>204228863</v>
      </c>
      <c r="E489" s="265"/>
      <c r="F489" s="227" t="s">
        <v>16</v>
      </c>
      <c r="G489" s="227"/>
      <c r="H489" s="225">
        <v>7145764</v>
      </c>
      <c r="J489" s="68">
        <f t="shared" ref="J489:J490" si="195">$J$172</f>
        <v>1.7500000000000002E-2</v>
      </c>
      <c r="K489" s="25" t="s">
        <v>16</v>
      </c>
      <c r="L489" s="25"/>
      <c r="M489" s="13">
        <f t="shared" ref="M489:M490" si="196">C489*J489/100</f>
        <v>35740.051025000008</v>
      </c>
      <c r="O489" s="171">
        <f>O$170</f>
        <v>2.1499999999999998E-2</v>
      </c>
      <c r="P489" s="25"/>
      <c r="Q489" s="13">
        <f t="shared" ref="Q489:Q490" si="197">($H489+$M489)*O489</f>
        <v>154402.3370970375</v>
      </c>
      <c r="S489" s="171">
        <f>S$170</f>
        <v>5.3E-3</v>
      </c>
      <c r="T489" s="25"/>
      <c r="U489" s="13">
        <f t="shared" si="193"/>
        <v>38061.971470432502</v>
      </c>
      <c r="W489" s="179">
        <f>W$473</f>
        <v>0</v>
      </c>
      <c r="X489" s="25"/>
      <c r="Y489" s="13">
        <f t="shared" si="182"/>
        <v>0</v>
      </c>
      <c r="AA489" s="179">
        <f t="shared" si="184"/>
        <v>0</v>
      </c>
      <c r="AB489" s="25"/>
      <c r="AC489" s="13">
        <f t="shared" si="194"/>
        <v>0</v>
      </c>
    </row>
    <row r="490" spans="1:29">
      <c r="A490" s="17" t="s">
        <v>250</v>
      </c>
      <c r="C490" s="93">
        <v>394783609.25</v>
      </c>
      <c r="E490" s="266"/>
      <c r="F490" s="227" t="s">
        <v>16</v>
      </c>
      <c r="G490" s="227"/>
      <c r="H490" s="246">
        <v>11537551</v>
      </c>
      <c r="J490" s="68">
        <f t="shared" si="195"/>
        <v>1.7500000000000002E-2</v>
      </c>
      <c r="K490" s="25" t="s">
        <v>16</v>
      </c>
      <c r="L490" s="25"/>
      <c r="M490" s="71">
        <f t="shared" si="196"/>
        <v>69087.131618750005</v>
      </c>
      <c r="O490" s="171">
        <f>O$170</f>
        <v>2.1499999999999998E-2</v>
      </c>
      <c r="P490" s="25"/>
      <c r="Q490" s="71">
        <f t="shared" si="197"/>
        <v>249542.7198298031</v>
      </c>
      <c r="S490" s="171">
        <f>S$170</f>
        <v>5.3E-3</v>
      </c>
      <c r="T490" s="25"/>
      <c r="U490" s="71">
        <f t="shared" si="193"/>
        <v>61515.182097579374</v>
      </c>
      <c r="W490" s="179">
        <f>W$473</f>
        <v>0</v>
      </c>
      <c r="X490" s="25"/>
      <c r="Y490" s="71">
        <f t="shared" si="182"/>
        <v>0</v>
      </c>
      <c r="AA490" s="179">
        <f t="shared" si="184"/>
        <v>0</v>
      </c>
      <c r="AB490" s="25"/>
      <c r="AC490" s="71">
        <f t="shared" si="194"/>
        <v>0</v>
      </c>
    </row>
    <row r="491" spans="1:29" ht="16.5" thickBot="1">
      <c r="A491" s="17" t="s">
        <v>251</v>
      </c>
      <c r="C491" s="96">
        <v>621809333.25</v>
      </c>
      <c r="E491" s="271"/>
      <c r="F491" s="244"/>
      <c r="G491" s="244"/>
      <c r="H491" s="239">
        <v>30035480</v>
      </c>
      <c r="J491" s="100"/>
      <c r="K491" s="59"/>
      <c r="L491" s="59"/>
      <c r="M491" s="101">
        <f>SUM(M472:M490)</f>
        <v>108816.63331875001</v>
      </c>
      <c r="O491" s="100"/>
      <c r="P491" s="59"/>
      <c r="Q491" s="101">
        <f>SUM(Q472:Q490)</f>
        <v>590122.44611635304</v>
      </c>
      <c r="S491" s="100"/>
      <c r="T491" s="59"/>
      <c r="U491" s="101">
        <f>SUM(U472:U490)</f>
        <v>145472.04485658937</v>
      </c>
      <c r="W491" s="100"/>
      <c r="X491" s="59"/>
      <c r="Y491" s="101">
        <f>SUM(Y472:Y490)</f>
        <v>0</v>
      </c>
      <c r="AA491" s="100"/>
      <c r="AB491" s="59"/>
      <c r="AC491" s="101">
        <f>SUM(AC472:AC490)</f>
        <v>0</v>
      </c>
    </row>
    <row r="492" spans="1:29" ht="16.5" thickTop="1">
      <c r="C492" s="55"/>
      <c r="E492" s="243"/>
      <c r="F492" s="244"/>
      <c r="G492" s="244"/>
      <c r="J492" s="53"/>
      <c r="K492" s="59"/>
      <c r="L492" s="59"/>
      <c r="M492" s="12"/>
      <c r="O492" s="53"/>
      <c r="P492" s="59"/>
      <c r="Q492" s="12"/>
      <c r="S492" s="53"/>
      <c r="T492" s="59"/>
      <c r="U492" s="12"/>
      <c r="W492" s="53"/>
      <c r="X492" s="59"/>
      <c r="Y492" s="12"/>
      <c r="AA492" s="53"/>
      <c r="AB492" s="59"/>
      <c r="AC492" s="12"/>
    </row>
    <row r="493" spans="1:29">
      <c r="A493" s="16" t="s">
        <v>252</v>
      </c>
      <c r="C493" s="55"/>
    </row>
    <row r="494" spans="1:29">
      <c r="A494" s="17" t="s">
        <v>253</v>
      </c>
      <c r="C494" s="55">
        <v>60</v>
      </c>
      <c r="E494" s="178">
        <v>2.1800000000000002</v>
      </c>
      <c r="F494" s="224"/>
      <c r="G494" s="224"/>
      <c r="H494" s="225">
        <v>131</v>
      </c>
      <c r="J494" s="18"/>
      <c r="K494" s="19"/>
      <c r="L494" s="19"/>
      <c r="M494" s="13"/>
      <c r="O494" s="18"/>
      <c r="P494" s="19"/>
      <c r="Q494" s="13"/>
      <c r="S494" s="18"/>
      <c r="T494" s="19"/>
      <c r="U494" s="13"/>
      <c r="W494" s="18"/>
      <c r="X494" s="19"/>
      <c r="Y494" s="13"/>
      <c r="AA494" s="18"/>
      <c r="AB494" s="19"/>
      <c r="AC494" s="13"/>
    </row>
    <row r="495" spans="1:29">
      <c r="A495" s="17" t="s">
        <v>254</v>
      </c>
      <c r="C495" s="21">
        <v>207</v>
      </c>
      <c r="E495" s="263">
        <v>2.1858</v>
      </c>
      <c r="F495" s="227"/>
      <c r="G495" s="227"/>
      <c r="H495" s="231">
        <v>452</v>
      </c>
      <c r="J495" s="111"/>
      <c r="K495" s="25"/>
      <c r="L495" s="25"/>
      <c r="M495" s="34"/>
      <c r="O495" s="111"/>
      <c r="P495" s="25"/>
      <c r="Q495" s="34"/>
      <c r="S495" s="111"/>
      <c r="T495" s="25"/>
      <c r="U495" s="34"/>
      <c r="W495" s="111"/>
      <c r="X495" s="25"/>
      <c r="Y495" s="34"/>
      <c r="AA495" s="111"/>
      <c r="AB495" s="25"/>
      <c r="AC495" s="34"/>
    </row>
    <row r="496" spans="1:29">
      <c r="A496" s="17" t="s">
        <v>156</v>
      </c>
      <c r="C496" s="93">
        <v>267</v>
      </c>
      <c r="E496" s="266"/>
      <c r="F496" s="227"/>
      <c r="G496" s="227"/>
      <c r="H496" s="246">
        <v>583</v>
      </c>
      <c r="J496" s="94"/>
      <c r="K496" s="25"/>
      <c r="L496" s="25"/>
      <c r="M496" s="71"/>
      <c r="O496" s="94"/>
      <c r="P496" s="25"/>
      <c r="Q496" s="71"/>
      <c r="S496" s="94"/>
      <c r="T496" s="25"/>
      <c r="U496" s="71"/>
      <c r="W496" s="94"/>
      <c r="X496" s="25"/>
      <c r="Y496" s="71"/>
      <c r="AA496" s="94"/>
      <c r="AB496" s="25"/>
      <c r="AC496" s="71"/>
    </row>
    <row r="497" spans="1:29">
      <c r="A497" s="17" t="s">
        <v>255</v>
      </c>
      <c r="C497" s="257">
        <v>7736.6128294616919</v>
      </c>
      <c r="E497" s="56"/>
      <c r="H497" s="56"/>
      <c r="J497" s="44"/>
      <c r="M497" s="9"/>
      <c r="O497" s="44"/>
      <c r="Q497" s="9"/>
      <c r="S497" s="44"/>
      <c r="U497" s="9"/>
      <c r="W497" s="44"/>
      <c r="Y497" s="9"/>
      <c r="AA497" s="44"/>
      <c r="AC497" s="9"/>
    </row>
    <row r="498" spans="1:29">
      <c r="A498" s="17" t="s">
        <v>85</v>
      </c>
      <c r="C498" s="257">
        <v>5</v>
      </c>
      <c r="E498" s="56"/>
      <c r="H498" s="56"/>
      <c r="J498" s="44"/>
      <c r="M498" s="9"/>
      <c r="O498" s="44"/>
      <c r="Q498" s="9"/>
      <c r="S498" s="44"/>
      <c r="U498" s="9"/>
      <c r="W498" s="44"/>
      <c r="Y498" s="9"/>
      <c r="AA498" s="44"/>
      <c r="AC498" s="9"/>
    </row>
    <row r="499" spans="1:29">
      <c r="A499" s="17" t="s">
        <v>84</v>
      </c>
      <c r="C499" s="257">
        <v>0</v>
      </c>
      <c r="E499" s="56"/>
      <c r="H499" s="231"/>
      <c r="J499" s="44"/>
      <c r="M499" s="34"/>
      <c r="O499" s="44"/>
      <c r="Q499" s="34"/>
      <c r="S499" s="44"/>
      <c r="U499" s="34"/>
      <c r="W499" s="44"/>
      <c r="Y499" s="34"/>
      <c r="AA499" s="44"/>
      <c r="AC499" s="34"/>
    </row>
    <row r="500" spans="1:29" ht="16.5" thickBot="1">
      <c r="A500" s="17" t="s">
        <v>157</v>
      </c>
      <c r="C500" s="253">
        <v>7736.6128294616919</v>
      </c>
      <c r="E500" s="254"/>
      <c r="F500" s="255"/>
      <c r="G500" s="255"/>
      <c r="H500" s="254">
        <v>583</v>
      </c>
      <c r="J500" s="76"/>
      <c r="K500" s="110"/>
      <c r="L500" s="110"/>
      <c r="M500" s="112"/>
      <c r="O500" s="76"/>
      <c r="P500" s="110"/>
      <c r="Q500" s="112"/>
      <c r="S500" s="76"/>
      <c r="T500" s="110"/>
      <c r="U500" s="112"/>
      <c r="W500" s="76"/>
      <c r="X500" s="110"/>
      <c r="Y500" s="112"/>
      <c r="AA500" s="76"/>
      <c r="AB500" s="110"/>
      <c r="AC500" s="112"/>
    </row>
    <row r="501" spans="1:29" ht="16.5" thickTop="1">
      <c r="C501" s="55"/>
      <c r="E501" s="243"/>
      <c r="F501" s="244"/>
      <c r="G501" s="244"/>
      <c r="J501" s="53"/>
      <c r="K501" s="59"/>
      <c r="L501" s="59"/>
      <c r="M501" s="12"/>
      <c r="O501" s="53"/>
      <c r="P501" s="59"/>
      <c r="Q501" s="12"/>
      <c r="S501" s="53"/>
      <c r="T501" s="59"/>
      <c r="U501" s="12"/>
      <c r="W501" s="53"/>
      <c r="X501" s="59"/>
      <c r="Y501" s="12"/>
      <c r="AA501" s="53"/>
      <c r="AB501" s="59"/>
      <c r="AC501" s="12"/>
    </row>
    <row r="502" spans="1:29">
      <c r="A502" s="103" t="s">
        <v>256</v>
      </c>
      <c r="B502" s="9"/>
      <c r="E502" s="243"/>
      <c r="F502" s="244"/>
      <c r="G502" s="244"/>
      <c r="J502" s="53"/>
      <c r="K502" s="59"/>
      <c r="L502" s="59"/>
      <c r="O502" s="53"/>
      <c r="P502" s="59"/>
      <c r="S502" s="53"/>
      <c r="T502" s="59"/>
      <c r="W502" s="53"/>
      <c r="X502" s="59"/>
      <c r="AA502" s="53"/>
      <c r="AB502" s="59"/>
    </row>
    <row r="503" spans="1:29">
      <c r="A503" s="35" t="s">
        <v>257</v>
      </c>
      <c r="B503" s="9"/>
      <c r="C503" s="279"/>
      <c r="E503" s="243"/>
      <c r="F503" s="244"/>
      <c r="G503" s="244"/>
      <c r="H503" s="225">
        <v>33040.269999999997</v>
      </c>
      <c r="J503" s="53"/>
      <c r="K503" s="59"/>
      <c r="L503" s="59"/>
      <c r="M503" s="13"/>
      <c r="O503" s="53"/>
      <c r="P503" s="59"/>
      <c r="Q503" s="13"/>
      <c r="S503" s="53"/>
      <c r="T503" s="59"/>
      <c r="U503" s="13"/>
      <c r="W503" s="53"/>
      <c r="X503" s="59"/>
      <c r="Y503" s="13"/>
      <c r="AA503" s="53"/>
      <c r="AB503" s="59"/>
      <c r="AC503" s="13"/>
    </row>
    <row r="504" spans="1:29">
      <c r="A504" s="35" t="s">
        <v>258</v>
      </c>
      <c r="B504" s="9"/>
      <c r="C504" s="279"/>
      <c r="E504" s="243"/>
      <c r="F504" s="244"/>
      <c r="G504" s="244"/>
      <c r="H504" s="225">
        <v>2726577.8500000006</v>
      </c>
      <c r="J504" s="53"/>
      <c r="K504" s="59"/>
      <c r="L504" s="59"/>
      <c r="M504" s="13"/>
      <c r="O504" s="53"/>
      <c r="P504" s="59"/>
      <c r="Q504" s="13"/>
      <c r="S504" s="53"/>
      <c r="T504" s="59"/>
      <c r="U504" s="13"/>
      <c r="W504" s="53"/>
      <c r="X504" s="59"/>
      <c r="Y504" s="13"/>
      <c r="AA504" s="53"/>
      <c r="AB504" s="59"/>
      <c r="AC504" s="13"/>
    </row>
    <row r="505" spans="1:29">
      <c r="A505" s="35" t="s">
        <v>259</v>
      </c>
      <c r="B505" s="9"/>
      <c r="C505" s="279"/>
      <c r="E505" s="243"/>
      <c r="F505" s="244"/>
      <c r="G505" s="244"/>
      <c r="H505" s="225">
        <v>-5447.4699999999866</v>
      </c>
      <c r="J505" s="53"/>
      <c r="K505" s="59"/>
      <c r="L505" s="59"/>
      <c r="M505" s="13"/>
      <c r="O505" s="53"/>
      <c r="P505" s="59"/>
      <c r="Q505" s="13"/>
      <c r="S505" s="53"/>
      <c r="T505" s="59"/>
      <c r="U505" s="13"/>
      <c r="W505" s="53"/>
      <c r="X505" s="59"/>
      <c r="Y505" s="13"/>
      <c r="AA505" s="53"/>
      <c r="AB505" s="59"/>
      <c r="AC505" s="13"/>
    </row>
    <row r="506" spans="1:29">
      <c r="A506" s="35" t="s">
        <v>260</v>
      </c>
      <c r="B506" s="9"/>
      <c r="C506" s="279"/>
      <c r="E506" s="243"/>
      <c r="F506" s="244"/>
      <c r="G506" s="244"/>
      <c r="H506" s="225">
        <v>206563.33000000002</v>
      </c>
      <c r="J506" s="53"/>
      <c r="K506" s="59"/>
      <c r="L506" s="59"/>
      <c r="M506" s="13"/>
      <c r="O506" s="53"/>
      <c r="P506" s="59"/>
      <c r="Q506" s="13"/>
      <c r="S506" s="53"/>
      <c r="T506" s="59"/>
      <c r="U506" s="13"/>
      <c r="W506" s="53"/>
      <c r="X506" s="59"/>
      <c r="Y506" s="13"/>
      <c r="AA506" s="53"/>
      <c r="AB506" s="59"/>
      <c r="AC506" s="13"/>
    </row>
    <row r="507" spans="1:29">
      <c r="A507" s="35" t="s">
        <v>261</v>
      </c>
      <c r="B507" s="9"/>
      <c r="C507" s="279"/>
      <c r="E507" s="243"/>
      <c r="F507" s="244"/>
      <c r="G507" s="244"/>
      <c r="H507" s="225">
        <v>4661.6400000000003</v>
      </c>
      <c r="J507" s="53"/>
      <c r="K507" s="59"/>
      <c r="L507" s="59"/>
      <c r="M507" s="13"/>
      <c r="O507" s="53"/>
      <c r="P507" s="59"/>
      <c r="Q507" s="13"/>
      <c r="S507" s="53"/>
      <c r="T507" s="59"/>
      <c r="U507" s="13"/>
      <c r="W507" s="53"/>
      <c r="X507" s="59"/>
      <c r="Y507" s="13"/>
      <c r="AA507" s="53"/>
      <c r="AB507" s="59"/>
      <c r="AC507" s="13"/>
    </row>
    <row r="508" spans="1:29">
      <c r="A508" s="35" t="s">
        <v>262</v>
      </c>
      <c r="B508" s="9"/>
      <c r="C508" s="279"/>
      <c r="E508" s="243"/>
      <c r="F508" s="244"/>
      <c r="G508" s="244"/>
      <c r="H508" s="225">
        <v>0</v>
      </c>
      <c r="J508" s="53"/>
      <c r="K508" s="59"/>
      <c r="L508" s="59"/>
      <c r="M508" s="13"/>
      <c r="O508" s="53"/>
      <c r="P508" s="59"/>
      <c r="Q508" s="13"/>
      <c r="S508" s="53"/>
      <c r="T508" s="59"/>
      <c r="U508" s="13"/>
      <c r="W508" s="53"/>
      <c r="X508" s="59"/>
      <c r="Y508" s="13"/>
      <c r="AA508" s="53"/>
      <c r="AB508" s="59"/>
      <c r="AC508" s="13"/>
    </row>
    <row r="509" spans="1:29" ht="16.5" thickBot="1">
      <c r="A509" s="35" t="s">
        <v>263</v>
      </c>
      <c r="B509" s="9"/>
      <c r="C509" s="280"/>
      <c r="E509" s="275"/>
      <c r="F509" s="244"/>
      <c r="G509" s="244"/>
      <c r="H509" s="234">
        <v>2965395.6200000006</v>
      </c>
      <c r="J509" s="106"/>
      <c r="K509" s="59"/>
      <c r="L509" s="59"/>
      <c r="M509" s="40">
        <f>SUM(M503:M508)</f>
        <v>0</v>
      </c>
      <c r="O509" s="106"/>
      <c r="P509" s="59"/>
      <c r="Q509" s="40">
        <f>SUM(Q503:Q508)</f>
        <v>0</v>
      </c>
      <c r="S509" s="106"/>
      <c r="T509" s="59"/>
      <c r="U509" s="40">
        <f>SUM(U503:U508)</f>
        <v>0</v>
      </c>
      <c r="W509" s="106"/>
      <c r="X509" s="59"/>
      <c r="Y509" s="40">
        <f>SUM(Y503:Y508)</f>
        <v>0</v>
      </c>
      <c r="AA509" s="106"/>
      <c r="AB509" s="59"/>
      <c r="AC509" s="40">
        <f>SUM(AC503:AC508)</f>
        <v>0</v>
      </c>
    </row>
    <row r="510" spans="1:29" ht="16.5" thickTop="1">
      <c r="A510" s="44"/>
      <c r="B510" s="9"/>
      <c r="E510" s="243"/>
      <c r="F510" s="244"/>
      <c r="G510" s="244"/>
      <c r="H510" s="225"/>
      <c r="J510" s="53"/>
      <c r="K510" s="59"/>
      <c r="L510" s="59"/>
      <c r="M510" s="13"/>
      <c r="O510" s="53"/>
      <c r="P510" s="59"/>
      <c r="Q510" s="13"/>
      <c r="S510" s="53"/>
      <c r="T510" s="59"/>
      <c r="U510" s="13"/>
      <c r="W510" s="53"/>
      <c r="X510" s="59"/>
      <c r="Y510" s="13"/>
      <c r="AA510" s="53"/>
      <c r="AB510" s="59"/>
      <c r="AC510" s="13"/>
    </row>
    <row r="511" spans="1:29" ht="16.5" thickBot="1">
      <c r="A511" s="39" t="s">
        <v>264</v>
      </c>
      <c r="B511" s="41"/>
      <c r="C511" s="280">
        <v>23244284921.518604</v>
      </c>
      <c r="E511" s="212"/>
      <c r="H511" s="234">
        <f>H29+H49+H71+H86+H101+H113+H153+H165+H176+H184+H200+H216+H268+H351+H360+H366+H383+H396+H457+H464+H469+H491+H500+H509</f>
        <v>1938306488.6199999</v>
      </c>
      <c r="J511" s="39"/>
      <c r="M511" s="40">
        <f>M29+M49+M71+M86+M101+M113+M153+M165+M176+M184+M200+M216+M268+M351+M360+M366+M383+M396+M457+M464+M469+M491+M500+M509</f>
        <v>6118934.8935002377</v>
      </c>
      <c r="O511" s="39"/>
      <c r="Q511" s="40">
        <f>Q29+Q49+Q71+Q86+Q101+Q113+Q153+Q165+Q176+Q184+Q200+Q216+Q268+Q351+Q360+Q366+Q383+Q396+Q457+Q464+Q469+Q491+Q500+Q509</f>
        <v>29928852.962517567</v>
      </c>
      <c r="S511" s="39"/>
      <c r="U511" s="40">
        <f>U29+U49+U71+U86+U101+U113+U153+U165+U176+U184+U200+U216+U268+U351+U360+U366+U383+U396+U457+U464+U469+U491+U500+U509</f>
        <v>8517318.5769557338</v>
      </c>
      <c r="W511" s="39"/>
      <c r="Y511" s="40">
        <f>Y29+Y49+Y71+Y86+Y101+Y113+Y153+Y165+Y176+Y184+Y200+Y216+Y268+Y351+Y360+Y366+Y383+Y396+Y457+Y464+Y469+Y491+Y500+Y509</f>
        <v>68216393.923558593</v>
      </c>
      <c r="AA511" s="39"/>
      <c r="AC511" s="40">
        <f>AC29+AC49+AC71+AC86+AC101+AC113+AC153+AC165+AC176+AC184+AC200+AC216+AC268+AC351+AC360+AC366+AC383+AC396+AC457+AC464+AC469+AC491+AC500+AC509</f>
        <v>75403210.213165209</v>
      </c>
    </row>
    <row r="512" spans="1:29" s="9" customFormat="1" ht="16.5" thickTop="1">
      <c r="A512" s="7"/>
      <c r="B512" s="8"/>
      <c r="C512" s="92"/>
      <c r="D512" s="56"/>
      <c r="E512" s="92"/>
      <c r="F512" s="56"/>
      <c r="G512" s="56"/>
      <c r="H512" s="225"/>
      <c r="J512" s="7"/>
      <c r="M512" s="13"/>
      <c r="O512" s="7"/>
      <c r="Q512" s="13"/>
      <c r="S512" s="7"/>
      <c r="U512" s="13"/>
      <c r="W512" s="7"/>
      <c r="Y512" s="13"/>
      <c r="AA512" s="7"/>
      <c r="AC512" s="13"/>
    </row>
    <row r="513" spans="1:29" s="9" customFormat="1">
      <c r="A513" s="7"/>
      <c r="B513" s="8"/>
      <c r="C513" s="92"/>
      <c r="D513" s="56"/>
      <c r="E513" s="92"/>
      <c r="F513" s="56"/>
      <c r="G513" s="56"/>
      <c r="H513" s="225"/>
      <c r="J513" s="7"/>
      <c r="M513" s="13"/>
      <c r="O513" s="7"/>
      <c r="Q513" s="13"/>
      <c r="S513" s="7"/>
      <c r="U513" s="13"/>
      <c r="W513" s="7"/>
      <c r="Y513" s="13"/>
      <c r="AA513" s="7"/>
      <c r="AC513" s="13"/>
    </row>
    <row r="514" spans="1:29" s="9" customFormat="1">
      <c r="A514" s="7"/>
      <c r="B514" s="8"/>
      <c r="C514" s="92"/>
      <c r="D514" s="56"/>
      <c r="E514" s="92"/>
      <c r="F514" s="56"/>
      <c r="G514" s="56"/>
      <c r="H514" s="225"/>
      <c r="J514" s="7"/>
      <c r="M514" s="13"/>
      <c r="O514" s="7"/>
      <c r="Q514" s="13"/>
      <c r="S514" s="7"/>
      <c r="U514" s="13"/>
      <c r="W514" s="7"/>
      <c r="Y514" s="13"/>
      <c r="AA514" s="7"/>
      <c r="AC514" s="13"/>
    </row>
  </sheetData>
  <printOptions horizontalCentered="1"/>
  <pageMargins left="0.25" right="0.25" top="0.5" bottom="0.5" header="0.3" footer="0.3"/>
  <pageSetup scale="61" fitToHeight="11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zoomScaleNormal="100" workbookViewId="0">
      <selection activeCell="C61" sqref="C61"/>
    </sheetView>
  </sheetViews>
  <sheetFormatPr defaultColWidth="8" defaultRowHeight="12.75"/>
  <cols>
    <col min="1" max="1" width="7" style="293" customWidth="1"/>
    <col min="2" max="2" width="1.75" style="289" customWidth="1"/>
    <col min="3" max="3" width="7.875" style="294" bestFit="1" customWidth="1"/>
    <col min="4" max="4" width="1.5" style="289" customWidth="1"/>
    <col min="5" max="5" width="9" style="294" bestFit="1" customWidth="1"/>
    <col min="6" max="6" width="1.375" style="289" customWidth="1"/>
    <col min="7" max="7" width="8" style="301" bestFit="1" customWidth="1"/>
    <col min="8" max="8" width="1.375" style="289" customWidth="1"/>
    <col min="9" max="9" width="6.25" style="289" bestFit="1" customWidth="1"/>
    <col min="10" max="10" width="2.125" style="289" customWidth="1"/>
    <col min="11" max="11" width="7.875" style="294" bestFit="1" customWidth="1"/>
    <col min="12" max="12" width="0.875" style="289" customWidth="1"/>
    <col min="13" max="13" width="9" style="294" bestFit="1" customWidth="1"/>
    <col min="14" max="14" width="1.875" style="289" customWidth="1"/>
    <col min="15" max="15" width="7.375" style="301" bestFit="1" customWidth="1"/>
    <col min="16" max="16" width="0.75" style="289" customWidth="1"/>
    <col min="17" max="17" width="6.25" style="289" bestFit="1" customWidth="1"/>
    <col min="18" max="18" width="3.125" style="289" customWidth="1"/>
    <col min="19" max="19" width="10" style="289" bestFit="1" customWidth="1"/>
    <col min="20" max="20" width="7.625" style="289" bestFit="1" customWidth="1"/>
    <col min="21" max="21" width="9.75" style="289" customWidth="1"/>
    <col min="22" max="22" width="5.625" style="289" bestFit="1" customWidth="1"/>
    <col min="23" max="23" width="6.875" style="289" bestFit="1" customWidth="1"/>
    <col min="24" max="24" width="8.375" style="289" bestFit="1" customWidth="1"/>
    <col min="25" max="27" width="8.125" style="289" bestFit="1" customWidth="1"/>
    <col min="28" max="16384" width="8" style="289"/>
  </cols>
  <sheetData>
    <row r="1" spans="1:24" ht="16.5">
      <c r="A1" s="281" t="s">
        <v>265</v>
      </c>
      <c r="B1" s="282"/>
      <c r="C1" s="283"/>
      <c r="D1" s="282"/>
      <c r="E1" s="283"/>
      <c r="F1" s="282"/>
      <c r="G1" s="284"/>
      <c r="H1" s="282"/>
      <c r="I1" s="282"/>
      <c r="J1" s="282"/>
      <c r="K1" s="283"/>
      <c r="L1" s="282"/>
      <c r="M1" s="283"/>
      <c r="N1" s="282"/>
      <c r="O1" s="284"/>
      <c r="P1" s="282"/>
      <c r="Q1" s="285"/>
      <c r="R1" s="286"/>
      <c r="S1" s="286"/>
      <c r="T1" s="287"/>
      <c r="U1" s="288"/>
    </row>
    <row r="2" spans="1:24" ht="16.5">
      <c r="A2" s="281" t="s">
        <v>323</v>
      </c>
      <c r="B2" s="282"/>
      <c r="C2" s="283"/>
      <c r="D2" s="282"/>
      <c r="E2" s="283"/>
      <c r="F2" s="282"/>
      <c r="G2" s="284"/>
      <c r="H2" s="282"/>
      <c r="I2" s="282"/>
      <c r="J2" s="282"/>
      <c r="K2" s="283"/>
      <c r="L2" s="282"/>
      <c r="M2" s="283"/>
      <c r="N2" s="282"/>
      <c r="O2" s="284"/>
      <c r="P2" s="282"/>
      <c r="Q2" s="285"/>
      <c r="R2" s="286"/>
      <c r="S2" s="286"/>
      <c r="T2" s="287"/>
      <c r="U2" s="290"/>
    </row>
    <row r="3" spans="1:24" ht="16.5">
      <c r="A3" s="281" t="s">
        <v>324</v>
      </c>
      <c r="B3" s="282"/>
      <c r="C3" s="283"/>
      <c r="D3" s="282"/>
      <c r="E3" s="283"/>
      <c r="F3" s="282"/>
      <c r="G3" s="284"/>
      <c r="H3" s="282"/>
      <c r="I3" s="282"/>
      <c r="J3" s="282"/>
      <c r="K3" s="283"/>
      <c r="L3" s="282"/>
      <c r="M3" s="283"/>
      <c r="N3" s="282"/>
      <c r="O3" s="284"/>
      <c r="P3" s="282"/>
      <c r="Q3" s="285"/>
      <c r="R3" s="286"/>
      <c r="S3" s="286"/>
      <c r="T3" s="287"/>
      <c r="U3" s="288"/>
    </row>
    <row r="4" spans="1:24" ht="16.5">
      <c r="A4" s="281" t="s">
        <v>325</v>
      </c>
      <c r="B4" s="282"/>
      <c r="C4" s="283"/>
      <c r="D4" s="282"/>
      <c r="E4" s="283"/>
      <c r="F4" s="282"/>
      <c r="G4" s="284"/>
      <c r="H4" s="282"/>
      <c r="I4" s="282"/>
      <c r="J4" s="282"/>
      <c r="K4" s="283"/>
      <c r="L4" s="282"/>
      <c r="M4" s="283"/>
      <c r="N4" s="282"/>
      <c r="O4" s="284"/>
      <c r="P4" s="282"/>
      <c r="Q4" s="285"/>
      <c r="R4" s="286"/>
      <c r="S4" s="286"/>
      <c r="T4" s="291"/>
      <c r="U4" s="292"/>
    </row>
    <row r="5" spans="1:24" ht="16.5">
      <c r="A5" s="281"/>
      <c r="B5" s="282"/>
      <c r="C5" s="283"/>
      <c r="D5" s="282"/>
      <c r="E5" s="283"/>
      <c r="F5" s="282"/>
      <c r="G5" s="284"/>
      <c r="H5" s="282"/>
      <c r="I5" s="282"/>
      <c r="J5" s="282"/>
      <c r="K5" s="283"/>
      <c r="L5" s="282"/>
      <c r="M5" s="283"/>
      <c r="N5" s="282"/>
      <c r="O5" s="284"/>
      <c r="P5" s="282"/>
      <c r="Q5" s="285"/>
    </row>
    <row r="6" spans="1:24">
      <c r="G6" s="374"/>
      <c r="H6" s="374"/>
      <c r="I6" s="374"/>
      <c r="K6" s="295"/>
      <c r="L6" s="285"/>
      <c r="M6" s="295"/>
      <c r="O6" s="374"/>
      <c r="P6" s="374"/>
      <c r="Q6" s="374"/>
    </row>
    <row r="7" spans="1:24">
      <c r="C7" s="296" t="s">
        <v>326</v>
      </c>
      <c r="D7" s="297"/>
      <c r="E7" s="298"/>
      <c r="F7" s="299"/>
      <c r="G7" s="300"/>
      <c r="H7" s="299"/>
      <c r="I7" s="299"/>
      <c r="K7" s="296" t="s">
        <v>327</v>
      </c>
      <c r="L7" s="297"/>
      <c r="M7" s="298"/>
      <c r="N7" s="299"/>
      <c r="O7" s="300"/>
      <c r="P7" s="299"/>
      <c r="Q7" s="299"/>
      <c r="W7" s="282"/>
      <c r="X7" s="282"/>
    </row>
    <row r="8" spans="1:24" ht="15.75">
      <c r="C8" s="298" t="s">
        <v>328</v>
      </c>
      <c r="D8" s="299"/>
      <c r="E8" s="298"/>
      <c r="G8" s="298" t="s">
        <v>275</v>
      </c>
      <c r="H8" s="299"/>
      <c r="I8" s="298"/>
      <c r="K8" s="298" t="s">
        <v>328</v>
      </c>
      <c r="L8" s="299"/>
      <c r="M8" s="298"/>
      <c r="O8" s="298" t="s">
        <v>275</v>
      </c>
      <c r="P8" s="299"/>
      <c r="Q8" s="298"/>
      <c r="T8" s="301"/>
      <c r="U8" s="301"/>
      <c r="W8" s="282"/>
      <c r="X8" s="282"/>
    </row>
    <row r="9" spans="1:24">
      <c r="A9" s="302" t="s">
        <v>329</v>
      </c>
      <c r="C9" s="303" t="s">
        <v>319</v>
      </c>
      <c r="E9" s="304" t="s">
        <v>330</v>
      </c>
      <c r="G9" s="305" t="s">
        <v>331</v>
      </c>
      <c r="I9" s="306" t="s">
        <v>320</v>
      </c>
      <c r="K9" s="303" t="s">
        <v>319</v>
      </c>
      <c r="M9" s="304" t="s">
        <v>330</v>
      </c>
      <c r="O9" s="305" t="s">
        <v>331</v>
      </c>
      <c r="Q9" s="306" t="s">
        <v>320</v>
      </c>
      <c r="W9" s="307"/>
      <c r="X9" s="307"/>
    </row>
    <row r="10" spans="1:24">
      <c r="A10" s="293">
        <v>100</v>
      </c>
      <c r="C10" s="294">
        <f>ROUND($T$12+((MIN(400,$A10)*$T$13+MAX(0,MIN(600,$A10-400))*$T$14+MAX(0,$A10-1000)*$T$15)/100+MAX(0,$T$16-($T$12+(MIN(400,$A10)*$T$13+MAX(0,MIN(600,$A10-400))*$T$14+MAX(0,$A10-1000)*$T$15)/100)))*(1+$T$31)*(1+$T$18)+$T$17,2)</f>
        <v>15.68</v>
      </c>
      <c r="E10" s="294">
        <f>ROUND($U$12+((MIN(400,$A10)*$U$13+MAX(0,MIN(600,$A10-400))*$U$14+MAX(0,$A10-1000)*$U$15)/100+MAX(0,$U$16-($U$12+(MIN(400,$A10)*$U$13+MAX(0,MIN(600,$A10-400))*$U$14+MAX(0,$A10-1000)*$U$15)/100)))*(1+$U$31)*(1+$U$18)+$U$17,2)</f>
        <v>15.71</v>
      </c>
      <c r="F10" s="294"/>
      <c r="G10" s="308">
        <f t="shared" ref="G10:G16" si="0">E10-C10</f>
        <v>3.0000000000001137E-2</v>
      </c>
      <c r="I10" s="309">
        <f t="shared" ref="I10:I16" si="1">ROUND(IF(C10=0,0,E10/C10-1),3)</f>
        <v>2E-3</v>
      </c>
      <c r="K10" s="294">
        <f>ROUND($T$20+((MIN(400,$A10)*$T$21+MAX(0,MIN(600,$A10-400))*$T$22+MAX(0,$A10-1000)*$T$23)/100+MAX(0,$T$24-($T$20+(MIN(400,$A10)*$T$21+MAX(0,MIN(600,$A10-400))*$T$22+MAX(0,$A10-1000)*$T$23)/100)))*(1+$T$31)*(1+$T$26)+$T$25,2)</f>
        <v>15.68</v>
      </c>
      <c r="M10" s="294">
        <f>ROUND($U$20+((MIN(400,$A10)*$U$21+MAX(0,MIN(600,$A10-400))*$U$22+MAX(0,$A10-1000)*$U$23)/100+MAX(0,$U$24-($U$20+(MIN(400,$A10)*$U$21+MAX(0,MIN(600,$A10-400))*$U$22+MAX(0,$A10-1000)*$U$23)/100)))*(1+$U$31)*(1+$U$26)+$U$25,2)</f>
        <v>15.71</v>
      </c>
      <c r="N10" s="294"/>
      <c r="O10" s="308">
        <f t="shared" ref="O10:O18" si="2">M10-K10</f>
        <v>3.0000000000001137E-2</v>
      </c>
      <c r="Q10" s="309">
        <f t="shared" ref="Q10:Q18" si="3">ROUND(IF(K10=0,0,M10/K10-1),3)</f>
        <v>2E-3</v>
      </c>
      <c r="S10" s="310" t="s">
        <v>332</v>
      </c>
      <c r="T10" s="311" t="s">
        <v>319</v>
      </c>
      <c r="U10" s="312" t="s">
        <v>330</v>
      </c>
      <c r="W10" s="313"/>
      <c r="X10" s="313"/>
    </row>
    <row r="11" spans="1:24" ht="13.5">
      <c r="A11" s="293">
        <v>200</v>
      </c>
      <c r="C11" s="294">
        <f t="shared" ref="C11:C31" si="4">ROUND($T$12+((MIN(400,$A11)*$T$13+MAX(0,MIN(600,$A11-400))*$T$14+MAX(0,$A11-1000)*$T$15)/100+MAX(0,$T$16-($T$12+(MIN(400,$A11)*$T$13+MAX(0,MIN(600,$A11-400))*$T$14+MAX(0,$A11-1000)*$T$15)/100)))*(1+$T$31)*(1+$T$18)+$T$17,2)</f>
        <v>25.09</v>
      </c>
      <c r="E11" s="294">
        <f t="shared" ref="E11:E31" si="5">ROUND($U$12+((MIN(400,$A11)*$U$13+MAX(0,MIN(600,$A11-400))*$U$14+MAX(0,$A11-1000)*$U$15)/100+MAX(0,$U$16-($U$12+(MIN(400,$A11)*$U$13+MAX(0,MIN(600,$A11-400))*$U$14+MAX(0,$A11-1000)*$U$15)/100)))*(1+$U$31)*(1+$U$18)+$U$17,2)</f>
        <v>25.17</v>
      </c>
      <c r="F11" s="294"/>
      <c r="G11" s="308">
        <f t="shared" si="0"/>
        <v>8.0000000000001847E-2</v>
      </c>
      <c r="I11" s="309">
        <f t="shared" si="1"/>
        <v>3.0000000000000001E-3</v>
      </c>
      <c r="K11" s="294">
        <f t="shared" ref="K11:K31" si="6">ROUND($T$20+((MIN(400,$A11)*$T$21+MAX(0,MIN(600,$A11-400))*$T$22+MAX(0,$A11-1000)*$T$23)/100+MAX(0,$T$24-($T$20+(MIN(400,$A11)*$T$21+MAX(0,MIN(600,$A11-400))*$T$22+MAX(0,$A11-1000)*$T$23)/100)))*(1+$T$31)*(1+$T$26)+$T$25,2)</f>
        <v>25.09</v>
      </c>
      <c r="M11" s="294">
        <f t="shared" ref="M11:M31" si="7">ROUND($U$20+((MIN(400,$A11)*$U$21+MAX(0,MIN(600,$A11-400))*$U$22+MAX(0,$A11-1000)*$U$23)/100+MAX(0,$U$24-($U$20+(MIN(400,$A11)*$U$21+MAX(0,MIN(600,$A11-400))*$U$22+MAX(0,$A11-1000)*$U$23)/100)))*(1+$U$31)*(1+$U$26)+$U$25,2)</f>
        <v>25.17</v>
      </c>
      <c r="N11" s="294"/>
      <c r="O11" s="308">
        <f t="shared" si="2"/>
        <v>8.0000000000001847E-2</v>
      </c>
      <c r="Q11" s="309">
        <f t="shared" si="3"/>
        <v>3.0000000000000001E-3</v>
      </c>
      <c r="S11" s="314" t="s">
        <v>326</v>
      </c>
      <c r="T11" s="286"/>
      <c r="U11" s="315"/>
      <c r="W11" s="313"/>
      <c r="X11" s="313"/>
    </row>
    <row r="12" spans="1:24">
      <c r="A12" s="293">
        <v>300</v>
      </c>
      <c r="C12" s="294">
        <f t="shared" si="4"/>
        <v>34.51</v>
      </c>
      <c r="E12" s="294">
        <f t="shared" si="5"/>
        <v>34.619999999999997</v>
      </c>
      <c r="F12" s="294"/>
      <c r="G12" s="308">
        <f t="shared" si="0"/>
        <v>0.10999999999999943</v>
      </c>
      <c r="I12" s="309">
        <f t="shared" si="1"/>
        <v>3.0000000000000001E-3</v>
      </c>
      <c r="K12" s="294">
        <f t="shared" si="6"/>
        <v>34.51</v>
      </c>
      <c r="M12" s="294">
        <f t="shared" si="7"/>
        <v>34.619999999999997</v>
      </c>
      <c r="N12" s="294"/>
      <c r="O12" s="308">
        <f t="shared" si="2"/>
        <v>0.10999999999999943</v>
      </c>
      <c r="Q12" s="309">
        <f t="shared" si="3"/>
        <v>3.0000000000000001E-3</v>
      </c>
      <c r="S12" s="316" t="s">
        <v>333</v>
      </c>
      <c r="T12" s="317">
        <v>6</v>
      </c>
      <c r="U12" s="318">
        <v>6</v>
      </c>
      <c r="V12" s="319"/>
      <c r="W12" s="313"/>
      <c r="X12" s="313"/>
    </row>
    <row r="13" spans="1:24">
      <c r="A13" s="293">
        <v>400</v>
      </c>
      <c r="C13" s="294">
        <f t="shared" si="4"/>
        <v>43.93</v>
      </c>
      <c r="E13" s="294">
        <f t="shared" si="5"/>
        <v>44.07</v>
      </c>
      <c r="F13" s="294"/>
      <c r="G13" s="308">
        <f t="shared" si="0"/>
        <v>0.14000000000000057</v>
      </c>
      <c r="I13" s="309">
        <f t="shared" si="1"/>
        <v>3.0000000000000001E-3</v>
      </c>
      <c r="K13" s="294">
        <f t="shared" si="6"/>
        <v>43.93</v>
      </c>
      <c r="M13" s="294">
        <f t="shared" si="7"/>
        <v>44.07</v>
      </c>
      <c r="N13" s="294"/>
      <c r="O13" s="308">
        <f t="shared" si="2"/>
        <v>0.14000000000000057</v>
      </c>
      <c r="Q13" s="309">
        <f t="shared" si="3"/>
        <v>3.0000000000000001E-3</v>
      </c>
      <c r="S13" s="316" t="s">
        <v>334</v>
      </c>
      <c r="T13" s="320">
        <v>8.8854000000000006</v>
      </c>
      <c r="U13" s="321">
        <v>8.8854000000000006</v>
      </c>
      <c r="V13" s="319"/>
      <c r="W13" s="313"/>
      <c r="X13" s="313"/>
    </row>
    <row r="14" spans="1:24">
      <c r="A14" s="293">
        <v>500</v>
      </c>
      <c r="C14" s="294">
        <f t="shared" si="4"/>
        <v>56.2</v>
      </c>
      <c r="E14" s="294">
        <f t="shared" si="5"/>
        <v>56.39</v>
      </c>
      <c r="F14" s="294"/>
      <c r="G14" s="308">
        <f t="shared" si="0"/>
        <v>0.18999999999999773</v>
      </c>
      <c r="I14" s="309">
        <f t="shared" si="1"/>
        <v>3.0000000000000001E-3</v>
      </c>
      <c r="K14" s="294">
        <f t="shared" si="6"/>
        <v>55.31</v>
      </c>
      <c r="M14" s="294">
        <f t="shared" si="7"/>
        <v>55.5</v>
      </c>
      <c r="N14" s="294"/>
      <c r="O14" s="308">
        <f t="shared" si="2"/>
        <v>0.18999999999999773</v>
      </c>
      <c r="Q14" s="309">
        <f t="shared" si="3"/>
        <v>3.0000000000000001E-3</v>
      </c>
      <c r="S14" s="316" t="s">
        <v>335</v>
      </c>
      <c r="T14" s="320">
        <v>11.5785</v>
      </c>
      <c r="U14" s="321">
        <v>11.5785</v>
      </c>
      <c r="V14" s="319"/>
      <c r="W14" s="313"/>
      <c r="X14" s="313"/>
    </row>
    <row r="15" spans="1:24">
      <c r="A15" s="293">
        <v>600</v>
      </c>
      <c r="C15" s="294">
        <f t="shared" si="4"/>
        <v>68.47</v>
      </c>
      <c r="E15" s="294">
        <f t="shared" si="5"/>
        <v>68.709999999999994</v>
      </c>
      <c r="F15" s="294"/>
      <c r="G15" s="308">
        <f t="shared" si="0"/>
        <v>0.23999999999999488</v>
      </c>
      <c r="I15" s="309">
        <f t="shared" si="1"/>
        <v>4.0000000000000001E-3</v>
      </c>
      <c r="K15" s="294">
        <f t="shared" si="6"/>
        <v>66.7</v>
      </c>
      <c r="M15" s="294">
        <f t="shared" si="7"/>
        <v>66.930000000000007</v>
      </c>
      <c r="N15" s="294"/>
      <c r="O15" s="308">
        <f t="shared" si="2"/>
        <v>0.23000000000000398</v>
      </c>
      <c r="Q15" s="309">
        <f t="shared" si="3"/>
        <v>3.0000000000000001E-3</v>
      </c>
      <c r="S15" s="316" t="s">
        <v>336</v>
      </c>
      <c r="T15" s="320">
        <v>14.4864</v>
      </c>
      <c r="U15" s="321">
        <v>14.4864</v>
      </c>
      <c r="V15" s="319"/>
      <c r="W15" s="313"/>
      <c r="X15" s="313"/>
    </row>
    <row r="16" spans="1:24">
      <c r="A16" s="293">
        <v>700</v>
      </c>
      <c r="C16" s="294">
        <f t="shared" si="4"/>
        <v>80.739999999999995</v>
      </c>
      <c r="E16" s="294">
        <f t="shared" si="5"/>
        <v>81.03</v>
      </c>
      <c r="F16" s="294"/>
      <c r="G16" s="308">
        <f t="shared" si="0"/>
        <v>0.29000000000000625</v>
      </c>
      <c r="I16" s="309">
        <f t="shared" si="1"/>
        <v>4.0000000000000001E-3</v>
      </c>
      <c r="K16" s="294">
        <f t="shared" si="6"/>
        <v>78.08</v>
      </c>
      <c r="M16" s="294">
        <f t="shared" si="7"/>
        <v>78.36</v>
      </c>
      <c r="N16" s="294"/>
      <c r="O16" s="308">
        <f t="shared" si="2"/>
        <v>0.28000000000000114</v>
      </c>
      <c r="Q16" s="309">
        <f t="shared" si="3"/>
        <v>4.0000000000000001E-3</v>
      </c>
      <c r="S16" s="316" t="s">
        <v>337</v>
      </c>
      <c r="T16" s="317">
        <v>8</v>
      </c>
      <c r="U16" s="318">
        <v>8</v>
      </c>
      <c r="V16" s="319"/>
      <c r="W16" s="313"/>
      <c r="X16" s="313"/>
    </row>
    <row r="17" spans="1:24">
      <c r="A17" s="293">
        <f>T38</f>
        <v>663.32999948009433</v>
      </c>
      <c r="B17" s="289" t="s">
        <v>338</v>
      </c>
      <c r="F17" s="294"/>
      <c r="G17" s="308"/>
      <c r="I17" s="309"/>
      <c r="K17" s="294">
        <f t="shared" si="6"/>
        <v>73.91</v>
      </c>
      <c r="M17" s="294">
        <f t="shared" si="7"/>
        <v>74.17</v>
      </c>
      <c r="N17" s="294"/>
      <c r="O17" s="308">
        <f t="shared" si="2"/>
        <v>0.26000000000000512</v>
      </c>
      <c r="Q17" s="309">
        <f t="shared" si="3"/>
        <v>4.0000000000000001E-3</v>
      </c>
      <c r="S17" s="316" t="s">
        <v>339</v>
      </c>
      <c r="T17" s="317">
        <v>0.26</v>
      </c>
      <c r="U17" s="318">
        <v>0.26</v>
      </c>
      <c r="V17" s="319"/>
      <c r="W17" s="313"/>
      <c r="X17" s="313"/>
    </row>
    <row r="18" spans="1:24">
      <c r="A18" s="293">
        <f>T39</f>
        <v>698.09515617157388</v>
      </c>
      <c r="B18" s="289" t="s">
        <v>340</v>
      </c>
      <c r="C18" s="294">
        <f t="shared" si="4"/>
        <v>80.5</v>
      </c>
      <c r="E18" s="294">
        <f t="shared" si="5"/>
        <v>80.8</v>
      </c>
      <c r="F18" s="294"/>
      <c r="G18" s="308">
        <f t="shared" ref="G18:G31" si="8">E18-C18</f>
        <v>0.29999999999999716</v>
      </c>
      <c r="I18" s="309">
        <f t="shared" ref="I18:I31" si="9">ROUND(IF(C18=0,0,E18/C18-1),3)</f>
        <v>4.0000000000000001E-3</v>
      </c>
      <c r="K18" s="294">
        <f t="shared" si="6"/>
        <v>77.86</v>
      </c>
      <c r="M18" s="294">
        <f t="shared" si="7"/>
        <v>78.150000000000006</v>
      </c>
      <c r="N18" s="294"/>
      <c r="O18" s="308">
        <f t="shared" si="2"/>
        <v>0.29000000000000625</v>
      </c>
      <c r="Q18" s="309">
        <f t="shared" si="3"/>
        <v>4.0000000000000001E-3</v>
      </c>
      <c r="S18" s="316" t="s">
        <v>312</v>
      </c>
      <c r="T18" s="322">
        <v>3.9199999999999999E-2</v>
      </c>
      <c r="U18" s="323">
        <f>'Rate Design'!AA16</f>
        <v>4.3299999999999998E-2</v>
      </c>
      <c r="V18" s="319"/>
      <c r="W18" s="313"/>
      <c r="X18" s="313"/>
    </row>
    <row r="19" spans="1:24" ht="13.5">
      <c r="A19" s="293">
        <f>T37</f>
        <v>746.76637542484116</v>
      </c>
      <c r="B19" s="289" t="s">
        <v>341</v>
      </c>
      <c r="C19" s="294">
        <f t="shared" si="4"/>
        <v>86.48</v>
      </c>
      <c r="E19" s="294">
        <f t="shared" si="5"/>
        <v>86.79</v>
      </c>
      <c r="F19" s="294"/>
      <c r="G19" s="308">
        <f t="shared" si="8"/>
        <v>0.31000000000000227</v>
      </c>
      <c r="I19" s="309">
        <f t="shared" si="9"/>
        <v>4.0000000000000001E-3</v>
      </c>
      <c r="N19" s="294"/>
      <c r="O19" s="308"/>
      <c r="Q19" s="309"/>
      <c r="S19" s="314" t="s">
        <v>327</v>
      </c>
      <c r="T19" s="286"/>
      <c r="U19" s="315"/>
      <c r="V19" s="319"/>
      <c r="W19" s="313"/>
      <c r="X19" s="313"/>
    </row>
    <row r="20" spans="1:24">
      <c r="A20" s="293">
        <v>800</v>
      </c>
      <c r="C20" s="294">
        <f t="shared" si="4"/>
        <v>93.01</v>
      </c>
      <c r="E20" s="294">
        <f t="shared" si="5"/>
        <v>93.35</v>
      </c>
      <c r="F20" s="294"/>
      <c r="G20" s="308">
        <f t="shared" si="8"/>
        <v>0.3399999999999892</v>
      </c>
      <c r="I20" s="309">
        <f t="shared" si="9"/>
        <v>4.0000000000000001E-3</v>
      </c>
      <c r="K20" s="294">
        <f t="shared" si="6"/>
        <v>89.47</v>
      </c>
      <c r="M20" s="294">
        <f t="shared" si="7"/>
        <v>89.79</v>
      </c>
      <c r="N20" s="294"/>
      <c r="O20" s="308">
        <f t="shared" ref="O20:O31" si="10">M20-K20</f>
        <v>0.32000000000000739</v>
      </c>
      <c r="Q20" s="309">
        <f t="shared" ref="Q20:Q31" si="11">ROUND(IF(K20=0,0,M20/K20-1),3)</f>
        <v>4.0000000000000001E-3</v>
      </c>
      <c r="S20" s="316" t="s">
        <v>333</v>
      </c>
      <c r="T20" s="324">
        <v>6</v>
      </c>
      <c r="U20" s="325">
        <v>6</v>
      </c>
      <c r="V20" s="319"/>
      <c r="W20" s="313"/>
      <c r="X20" s="313"/>
    </row>
    <row r="21" spans="1:24">
      <c r="A21" s="293">
        <v>900</v>
      </c>
      <c r="C21" s="294">
        <f t="shared" si="4"/>
        <v>105.28</v>
      </c>
      <c r="E21" s="294">
        <f t="shared" si="5"/>
        <v>105.67</v>
      </c>
      <c r="F21" s="294"/>
      <c r="G21" s="308">
        <f t="shared" si="8"/>
        <v>0.39000000000000057</v>
      </c>
      <c r="I21" s="309">
        <f t="shared" si="9"/>
        <v>4.0000000000000001E-3</v>
      </c>
      <c r="K21" s="294">
        <f t="shared" si="6"/>
        <v>100.85</v>
      </c>
      <c r="M21" s="294">
        <f t="shared" si="7"/>
        <v>101.22</v>
      </c>
      <c r="N21" s="294"/>
      <c r="O21" s="308">
        <f t="shared" si="10"/>
        <v>0.37000000000000455</v>
      </c>
      <c r="Q21" s="309">
        <f t="shared" si="11"/>
        <v>4.0000000000000001E-3</v>
      </c>
      <c r="S21" s="316" t="s">
        <v>334</v>
      </c>
      <c r="T21" s="326">
        <v>8.8854000000000006</v>
      </c>
      <c r="U21" s="327">
        <v>8.8854000000000006</v>
      </c>
      <c r="V21" s="319"/>
      <c r="W21" s="313"/>
      <c r="X21" s="313"/>
    </row>
    <row r="22" spans="1:24">
      <c r="A22" s="293">
        <v>1000</v>
      </c>
      <c r="C22" s="294">
        <f t="shared" si="4"/>
        <v>117.55</v>
      </c>
      <c r="E22" s="294">
        <f t="shared" si="5"/>
        <v>117.99</v>
      </c>
      <c r="F22" s="294"/>
      <c r="G22" s="308">
        <f t="shared" si="8"/>
        <v>0.43999999999999773</v>
      </c>
      <c r="I22" s="309">
        <f t="shared" si="9"/>
        <v>4.0000000000000001E-3</v>
      </c>
      <c r="K22" s="294">
        <f t="shared" si="6"/>
        <v>112.24</v>
      </c>
      <c r="M22" s="294">
        <f t="shared" si="7"/>
        <v>112.65</v>
      </c>
      <c r="N22" s="294"/>
      <c r="O22" s="308">
        <f t="shared" si="10"/>
        <v>0.4100000000000108</v>
      </c>
      <c r="Q22" s="309">
        <f t="shared" si="11"/>
        <v>4.0000000000000001E-3</v>
      </c>
      <c r="S22" s="316" t="s">
        <v>335</v>
      </c>
      <c r="T22" s="326">
        <v>10.742800000000001</v>
      </c>
      <c r="U22" s="327">
        <v>10.742800000000001</v>
      </c>
      <c r="V22" s="319"/>
      <c r="W22" s="313"/>
      <c r="X22" s="313"/>
    </row>
    <row r="23" spans="1:24">
      <c r="A23" s="293">
        <v>1100</v>
      </c>
      <c r="C23" s="294">
        <f t="shared" si="4"/>
        <v>132.9</v>
      </c>
      <c r="E23" s="294">
        <f t="shared" si="5"/>
        <v>133.4</v>
      </c>
      <c r="F23" s="294"/>
      <c r="G23" s="308">
        <f t="shared" si="8"/>
        <v>0.5</v>
      </c>
      <c r="I23" s="309">
        <f t="shared" si="9"/>
        <v>4.0000000000000001E-3</v>
      </c>
      <c r="K23" s="294">
        <f t="shared" si="6"/>
        <v>123.62</v>
      </c>
      <c r="M23" s="294">
        <f t="shared" si="7"/>
        <v>124.08</v>
      </c>
      <c r="N23" s="294"/>
      <c r="O23" s="308">
        <f t="shared" si="10"/>
        <v>0.45999999999999375</v>
      </c>
      <c r="Q23" s="309">
        <f t="shared" si="11"/>
        <v>4.0000000000000001E-3</v>
      </c>
      <c r="S23" s="316" t="s">
        <v>336</v>
      </c>
      <c r="T23" s="326">
        <v>10.742800000000001</v>
      </c>
      <c r="U23" s="327">
        <v>10.742800000000001</v>
      </c>
      <c r="V23" s="319"/>
      <c r="W23" s="313"/>
      <c r="X23" s="313"/>
    </row>
    <row r="24" spans="1:24">
      <c r="A24" s="293">
        <v>1200</v>
      </c>
      <c r="C24" s="294">
        <f t="shared" si="4"/>
        <v>148.25</v>
      </c>
      <c r="E24" s="294">
        <f t="shared" si="5"/>
        <v>148.81</v>
      </c>
      <c r="F24" s="294"/>
      <c r="G24" s="308">
        <f t="shared" si="8"/>
        <v>0.56000000000000227</v>
      </c>
      <c r="I24" s="309">
        <f t="shared" si="9"/>
        <v>4.0000000000000001E-3</v>
      </c>
      <c r="K24" s="294">
        <f t="shared" si="6"/>
        <v>135.01</v>
      </c>
      <c r="M24" s="294">
        <f t="shared" si="7"/>
        <v>135.51</v>
      </c>
      <c r="N24" s="294"/>
      <c r="O24" s="308">
        <f t="shared" si="10"/>
        <v>0.5</v>
      </c>
      <c r="Q24" s="309">
        <f t="shared" si="11"/>
        <v>4.0000000000000001E-3</v>
      </c>
      <c r="S24" s="316" t="s">
        <v>337</v>
      </c>
      <c r="T24" s="324">
        <v>8</v>
      </c>
      <c r="U24" s="325">
        <v>8</v>
      </c>
      <c r="V24" s="319"/>
      <c r="W24" s="313"/>
      <c r="X24" s="313"/>
    </row>
    <row r="25" spans="1:24">
      <c r="A25" s="293">
        <v>1300</v>
      </c>
      <c r="C25" s="294">
        <f t="shared" si="4"/>
        <v>163.61000000000001</v>
      </c>
      <c r="E25" s="294">
        <f t="shared" si="5"/>
        <v>164.23</v>
      </c>
      <c r="F25" s="294"/>
      <c r="G25" s="308">
        <f t="shared" si="8"/>
        <v>0.61999999999997613</v>
      </c>
      <c r="I25" s="309">
        <f t="shared" si="9"/>
        <v>4.0000000000000001E-3</v>
      </c>
      <c r="K25" s="294">
        <f t="shared" si="6"/>
        <v>146.38999999999999</v>
      </c>
      <c r="M25" s="294">
        <f t="shared" si="7"/>
        <v>146.94</v>
      </c>
      <c r="N25" s="294"/>
      <c r="O25" s="308">
        <f t="shared" si="10"/>
        <v>0.55000000000001137</v>
      </c>
      <c r="Q25" s="309">
        <f t="shared" si="11"/>
        <v>4.0000000000000001E-3</v>
      </c>
      <c r="S25" s="316" t="s">
        <v>339</v>
      </c>
      <c r="T25" s="324">
        <v>0.26</v>
      </c>
      <c r="U25" s="325">
        <v>0.26</v>
      </c>
      <c r="V25" s="319"/>
      <c r="W25" s="313"/>
      <c r="X25" s="313"/>
    </row>
    <row r="26" spans="1:24">
      <c r="A26" s="293">
        <v>1400</v>
      </c>
      <c r="C26" s="294">
        <f t="shared" si="4"/>
        <v>178.96</v>
      </c>
      <c r="E26" s="294">
        <f t="shared" si="5"/>
        <v>179.64</v>
      </c>
      <c r="F26" s="294"/>
      <c r="G26" s="308">
        <f t="shared" si="8"/>
        <v>0.6799999999999784</v>
      </c>
      <c r="I26" s="309">
        <f t="shared" si="9"/>
        <v>4.0000000000000001E-3</v>
      </c>
      <c r="K26" s="294">
        <f t="shared" si="6"/>
        <v>157.78</v>
      </c>
      <c r="M26" s="294">
        <f t="shared" si="7"/>
        <v>158.37</v>
      </c>
      <c r="N26" s="294"/>
      <c r="O26" s="308">
        <f t="shared" si="10"/>
        <v>0.59000000000000341</v>
      </c>
      <c r="Q26" s="309">
        <f t="shared" si="11"/>
        <v>4.0000000000000001E-3</v>
      </c>
      <c r="S26" s="328" t="s">
        <v>312</v>
      </c>
      <c r="T26" s="329">
        <v>3.9199999999999999E-2</v>
      </c>
      <c r="U26" s="330">
        <f>U18</f>
        <v>4.3299999999999998E-2</v>
      </c>
      <c r="V26" s="319"/>
      <c r="W26" s="313"/>
      <c r="X26" s="313"/>
    </row>
    <row r="27" spans="1:24">
      <c r="A27" s="293">
        <v>1500</v>
      </c>
      <c r="C27" s="294">
        <f t="shared" si="4"/>
        <v>194.31</v>
      </c>
      <c r="E27" s="294">
        <f t="shared" si="5"/>
        <v>195.05</v>
      </c>
      <c r="F27" s="294"/>
      <c r="G27" s="308">
        <f t="shared" si="8"/>
        <v>0.74000000000000909</v>
      </c>
      <c r="I27" s="309">
        <f t="shared" si="9"/>
        <v>4.0000000000000001E-3</v>
      </c>
      <c r="K27" s="294">
        <f t="shared" si="6"/>
        <v>169.16</v>
      </c>
      <c r="M27" s="294">
        <f t="shared" si="7"/>
        <v>169.8</v>
      </c>
      <c r="N27" s="294"/>
      <c r="O27" s="308">
        <f t="shared" si="10"/>
        <v>0.64000000000001478</v>
      </c>
      <c r="Q27" s="309">
        <f t="shared" si="11"/>
        <v>4.0000000000000001E-3</v>
      </c>
      <c r="V27" s="319"/>
      <c r="W27" s="313"/>
      <c r="X27" s="313"/>
    </row>
    <row r="28" spans="1:24">
      <c r="A28" s="293">
        <v>2000</v>
      </c>
      <c r="C28" s="294">
        <f t="shared" si="4"/>
        <v>271.07</v>
      </c>
      <c r="E28" s="294">
        <f t="shared" si="5"/>
        <v>272.12</v>
      </c>
      <c r="F28" s="294"/>
      <c r="G28" s="308">
        <f t="shared" si="8"/>
        <v>1.0500000000000114</v>
      </c>
      <c r="I28" s="309">
        <f t="shared" si="9"/>
        <v>4.0000000000000001E-3</v>
      </c>
      <c r="K28" s="294">
        <f t="shared" si="6"/>
        <v>226.09</v>
      </c>
      <c r="M28" s="294">
        <f t="shared" si="7"/>
        <v>226.95</v>
      </c>
      <c r="N28" s="294"/>
      <c r="O28" s="308">
        <f t="shared" si="10"/>
        <v>0.85999999999998522</v>
      </c>
      <c r="Q28" s="309">
        <f t="shared" si="11"/>
        <v>4.0000000000000001E-3</v>
      </c>
      <c r="S28" s="289" t="s">
        <v>342</v>
      </c>
      <c r="T28" s="320">
        <v>3.56E-2</v>
      </c>
      <c r="U28" s="320">
        <v>3.56E-2</v>
      </c>
      <c r="V28" s="319"/>
      <c r="W28" s="313"/>
      <c r="X28" s="313"/>
    </row>
    <row r="29" spans="1:24">
      <c r="A29" s="293">
        <v>3000</v>
      </c>
      <c r="C29" s="294">
        <f t="shared" si="4"/>
        <v>424.6</v>
      </c>
      <c r="E29" s="294">
        <f t="shared" si="5"/>
        <v>426.25</v>
      </c>
      <c r="F29" s="294"/>
      <c r="G29" s="308">
        <f t="shared" si="8"/>
        <v>1.6499999999999773</v>
      </c>
      <c r="I29" s="309">
        <f t="shared" si="9"/>
        <v>4.0000000000000001E-3</v>
      </c>
      <c r="K29" s="294">
        <f t="shared" si="6"/>
        <v>339.94</v>
      </c>
      <c r="M29" s="294">
        <f t="shared" si="7"/>
        <v>341.25</v>
      </c>
      <c r="N29" s="294"/>
      <c r="O29" s="308">
        <f t="shared" si="10"/>
        <v>1.3100000000000023</v>
      </c>
      <c r="Q29" s="309">
        <f t="shared" si="11"/>
        <v>4.0000000000000001E-3</v>
      </c>
      <c r="S29" s="289" t="s">
        <v>343</v>
      </c>
      <c r="T29" s="331">
        <v>1.43E-2</v>
      </c>
      <c r="U29" s="332">
        <v>1.43E-2</v>
      </c>
      <c r="V29" s="319"/>
      <c r="W29" s="313"/>
      <c r="X29" s="313"/>
    </row>
    <row r="30" spans="1:24">
      <c r="A30" s="293">
        <v>4000</v>
      </c>
      <c r="C30" s="294">
        <f t="shared" si="4"/>
        <v>578.12</v>
      </c>
      <c r="E30" s="294">
        <f t="shared" si="5"/>
        <v>580.38</v>
      </c>
      <c r="F30" s="294"/>
      <c r="G30" s="308">
        <f t="shared" si="8"/>
        <v>2.2599999999999909</v>
      </c>
      <c r="I30" s="309">
        <f t="shared" si="9"/>
        <v>4.0000000000000001E-3</v>
      </c>
      <c r="K30" s="294">
        <f t="shared" si="6"/>
        <v>453.78</v>
      </c>
      <c r="M30" s="294">
        <f t="shared" si="7"/>
        <v>455.55</v>
      </c>
      <c r="N30" s="294"/>
      <c r="O30" s="308">
        <f t="shared" si="10"/>
        <v>1.7700000000000387</v>
      </c>
      <c r="Q30" s="309">
        <f t="shared" si="11"/>
        <v>4.0000000000000001E-3</v>
      </c>
      <c r="S30" s="289" t="s">
        <v>344</v>
      </c>
      <c r="T30" s="331">
        <v>5.4999999999999997E-3</v>
      </c>
      <c r="U30" s="332">
        <v>5.4999999999999997E-3</v>
      </c>
      <c r="V30" s="319"/>
      <c r="W30" s="313"/>
      <c r="X30" s="313"/>
    </row>
    <row r="31" spans="1:24">
      <c r="A31" s="293">
        <v>5000</v>
      </c>
      <c r="C31" s="294">
        <f t="shared" si="4"/>
        <v>731.64</v>
      </c>
      <c r="E31" s="294">
        <f t="shared" si="5"/>
        <v>734.51</v>
      </c>
      <c r="F31" s="294"/>
      <c r="G31" s="308">
        <f t="shared" si="8"/>
        <v>2.8700000000000045</v>
      </c>
      <c r="I31" s="309">
        <f t="shared" si="9"/>
        <v>4.0000000000000001E-3</v>
      </c>
      <c r="K31" s="294">
        <f t="shared" si="6"/>
        <v>567.63</v>
      </c>
      <c r="M31" s="294">
        <f t="shared" si="7"/>
        <v>569.85</v>
      </c>
      <c r="N31" s="294"/>
      <c r="O31" s="308">
        <f t="shared" si="10"/>
        <v>2.2200000000000273</v>
      </c>
      <c r="Q31" s="309">
        <f t="shared" si="11"/>
        <v>4.0000000000000001E-3</v>
      </c>
      <c r="S31" s="286" t="s">
        <v>345</v>
      </c>
      <c r="T31" s="333">
        <f>SUM(T29:T30)</f>
        <v>1.9799999999999998E-2</v>
      </c>
      <c r="U31" s="334">
        <f>SUM(U29:U30)</f>
        <v>1.9799999999999998E-2</v>
      </c>
      <c r="V31" s="319"/>
      <c r="W31" s="313"/>
      <c r="X31" s="313"/>
    </row>
    <row r="32" spans="1:24">
      <c r="R32" s="335"/>
      <c r="W32" s="313"/>
      <c r="X32" s="313"/>
    </row>
    <row r="33" spans="1:28">
      <c r="S33" s="289" t="s">
        <v>346</v>
      </c>
      <c r="T33" s="286"/>
      <c r="U33" s="333">
        <f>'Rate Spread'!AC18</f>
        <v>3.6544879188283989E-3</v>
      </c>
      <c r="W33" s="313"/>
      <c r="X33" s="313"/>
    </row>
    <row r="34" spans="1:28" ht="15.75">
      <c r="A34" s="336" t="s">
        <v>347</v>
      </c>
      <c r="W34" s="313"/>
      <c r="X34" s="313"/>
    </row>
    <row r="35" spans="1:28">
      <c r="A35" s="293" t="s">
        <v>348</v>
      </c>
      <c r="T35" s="338" t="s">
        <v>349</v>
      </c>
      <c r="U35" s="339"/>
      <c r="V35" s="339"/>
      <c r="W35" s="340" t="s">
        <v>275</v>
      </c>
      <c r="X35" s="341"/>
    </row>
    <row r="36" spans="1:28" ht="15.75">
      <c r="A36" s="336"/>
      <c r="S36" s="286"/>
      <c r="T36" s="342" t="s">
        <v>329</v>
      </c>
      <c r="U36" s="342" t="s">
        <v>319</v>
      </c>
      <c r="V36" s="342" t="s">
        <v>330</v>
      </c>
      <c r="W36" s="343" t="s">
        <v>331</v>
      </c>
      <c r="X36" s="344" t="s">
        <v>320</v>
      </c>
    </row>
    <row r="37" spans="1:28">
      <c r="A37" s="355"/>
      <c r="B37" s="286"/>
      <c r="C37" s="337"/>
      <c r="D37" s="286"/>
      <c r="E37" s="337"/>
      <c r="F37" s="286"/>
      <c r="G37" s="324"/>
      <c r="H37" s="286"/>
      <c r="I37" s="286"/>
      <c r="J37" s="286"/>
      <c r="K37" s="337"/>
      <c r="S37" s="345" t="s">
        <v>326</v>
      </c>
      <c r="T37" s="346">
        <v>746.76637542484116</v>
      </c>
      <c r="U37" s="347">
        <f>C19</f>
        <v>86.48</v>
      </c>
      <c r="V37" s="347">
        <f>E19</f>
        <v>86.79</v>
      </c>
      <c r="W37" s="347">
        <f>V37-U37</f>
        <v>0.31000000000000227</v>
      </c>
      <c r="X37" s="348">
        <f>V37/U37-1</f>
        <v>3.5846438482887155E-3</v>
      </c>
    </row>
    <row r="38" spans="1:28">
      <c r="A38" s="355"/>
      <c r="B38" s="286"/>
      <c r="C38" s="356"/>
      <c r="D38" s="357"/>
      <c r="E38" s="295"/>
      <c r="F38" s="285"/>
      <c r="G38" s="358"/>
      <c r="H38" s="285"/>
      <c r="I38" s="285"/>
      <c r="J38" s="286"/>
      <c r="K38" s="337"/>
      <c r="S38" s="349" t="s">
        <v>327</v>
      </c>
      <c r="T38" s="346">
        <v>663.32999948009433</v>
      </c>
      <c r="U38" s="347">
        <f>K17</f>
        <v>73.91</v>
      </c>
      <c r="V38" s="347">
        <f>M17</f>
        <v>74.17</v>
      </c>
      <c r="W38" s="347">
        <f>V38-U38</f>
        <v>0.26000000000000512</v>
      </c>
      <c r="X38" s="350">
        <f>V38/U38-1</f>
        <v>3.5177919090787491E-3</v>
      </c>
    </row>
    <row r="39" spans="1:28">
      <c r="A39" s="355"/>
      <c r="B39" s="286"/>
      <c r="C39" s="295"/>
      <c r="D39" s="285"/>
      <c r="E39" s="295"/>
      <c r="F39" s="286"/>
      <c r="G39" s="295"/>
      <c r="H39" s="285"/>
      <c r="I39" s="295"/>
      <c r="J39" s="286"/>
      <c r="K39" s="337"/>
      <c r="S39" s="351" t="s">
        <v>350</v>
      </c>
      <c r="T39" s="352">
        <v>698.09515617157388</v>
      </c>
      <c r="U39" s="353">
        <f>(C18*5+K18*7)/12</f>
        <v>78.959999999999994</v>
      </c>
      <c r="V39" s="353">
        <f>(E18*5+M18*7)/12</f>
        <v>79.254166666666677</v>
      </c>
      <c r="W39" s="353">
        <f>V39-U39</f>
        <v>0.29416666666668334</v>
      </c>
      <c r="X39" s="354">
        <f>V39/U39-1</f>
        <v>3.7255150287067718E-3</v>
      </c>
    </row>
    <row r="40" spans="1:28">
      <c r="A40" s="359"/>
      <c r="B40" s="286"/>
      <c r="C40" s="295"/>
      <c r="D40" s="286"/>
      <c r="E40" s="360"/>
      <c r="F40" s="286"/>
      <c r="G40" s="361"/>
      <c r="H40" s="286"/>
      <c r="I40" s="362"/>
      <c r="J40" s="363"/>
      <c r="K40" s="363"/>
      <c r="L40" s="309"/>
      <c r="M40" s="309"/>
      <c r="N40" s="309"/>
      <c r="O40" s="309"/>
      <c r="S40" s="351" t="s">
        <v>350</v>
      </c>
      <c r="T40" s="352">
        <v>700</v>
      </c>
      <c r="U40" s="353">
        <f>(C16*5+K16*7)/12</f>
        <v>79.188333333333333</v>
      </c>
      <c r="V40" s="353">
        <f>(E16*5+M16*7)/12</f>
        <v>79.472499999999997</v>
      </c>
      <c r="W40" s="353">
        <f>V40-U40</f>
        <v>0.28416666666666401</v>
      </c>
      <c r="X40" s="354">
        <f>V40/U40-1</f>
        <v>3.5884915707280474E-3</v>
      </c>
    </row>
    <row r="41" spans="1:28">
      <c r="A41" s="355"/>
      <c r="B41" s="286"/>
      <c r="C41" s="337"/>
      <c r="D41" s="286"/>
      <c r="E41" s="337"/>
      <c r="F41" s="337"/>
      <c r="G41" s="364"/>
      <c r="H41" s="286"/>
      <c r="I41" s="363"/>
      <c r="J41" s="363"/>
      <c r="K41" s="363"/>
      <c r="L41" s="309"/>
      <c r="M41" s="309"/>
      <c r="N41" s="309"/>
      <c r="O41" s="309"/>
      <c r="Y41" s="286"/>
      <c r="Z41" s="286"/>
      <c r="AA41" s="286"/>
      <c r="AB41" s="286"/>
    </row>
    <row r="42" spans="1:28">
      <c r="F42" s="294"/>
      <c r="G42" s="308"/>
      <c r="I42" s="309"/>
      <c r="J42" s="309"/>
      <c r="K42" s="309"/>
      <c r="L42" s="309"/>
      <c r="M42" s="309"/>
      <c r="N42" s="309"/>
      <c r="O42" s="309"/>
    </row>
    <row r="43" spans="1:28">
      <c r="F43" s="294"/>
      <c r="G43" s="308"/>
      <c r="I43" s="309"/>
      <c r="J43" s="309"/>
      <c r="K43" s="309"/>
      <c r="L43" s="309"/>
      <c r="M43" s="309"/>
      <c r="N43" s="309"/>
      <c r="O43" s="309"/>
      <c r="U43" s="294"/>
    </row>
    <row r="44" spans="1:28">
      <c r="F44" s="294"/>
      <c r="G44" s="308"/>
      <c r="I44" s="309"/>
      <c r="J44" s="309"/>
      <c r="K44" s="309"/>
      <c r="L44" s="309"/>
      <c r="M44" s="309"/>
      <c r="N44" s="309"/>
      <c r="O44" s="309"/>
    </row>
    <row r="45" spans="1:28">
      <c r="F45" s="294"/>
      <c r="G45" s="308"/>
      <c r="I45" s="309"/>
      <c r="J45" s="309"/>
      <c r="K45" s="309"/>
      <c r="L45" s="309"/>
      <c r="M45" s="309"/>
      <c r="N45" s="309"/>
      <c r="O45" s="309"/>
    </row>
    <row r="46" spans="1:28">
      <c r="F46" s="294"/>
      <c r="G46" s="308"/>
      <c r="I46" s="309"/>
      <c r="J46" s="309"/>
      <c r="K46" s="309"/>
      <c r="L46" s="309"/>
      <c r="M46" s="309"/>
      <c r="N46" s="309"/>
      <c r="O46" s="309"/>
    </row>
    <row r="47" spans="1:28">
      <c r="F47" s="294"/>
      <c r="G47" s="308"/>
      <c r="I47" s="309"/>
      <c r="J47" s="309"/>
      <c r="K47" s="309"/>
      <c r="L47" s="309"/>
      <c r="M47" s="309"/>
      <c r="N47" s="309"/>
      <c r="O47" s="309"/>
    </row>
    <row r="48" spans="1:28">
      <c r="F48" s="294"/>
      <c r="G48" s="308"/>
      <c r="I48" s="309"/>
      <c r="J48" s="309"/>
      <c r="K48" s="309"/>
      <c r="L48" s="309"/>
      <c r="M48" s="309"/>
      <c r="N48" s="309"/>
      <c r="O48" s="309"/>
    </row>
    <row r="49" spans="6:15">
      <c r="F49" s="294"/>
      <c r="G49" s="308"/>
      <c r="I49" s="309"/>
      <c r="J49" s="309"/>
      <c r="K49" s="309"/>
      <c r="L49" s="309"/>
      <c r="M49" s="309"/>
      <c r="N49" s="309"/>
      <c r="O49" s="309"/>
    </row>
    <row r="50" spans="6:15">
      <c r="F50" s="294"/>
      <c r="G50" s="308"/>
      <c r="I50" s="309"/>
      <c r="J50" s="309"/>
      <c r="K50" s="309"/>
      <c r="L50" s="309"/>
      <c r="M50" s="309"/>
      <c r="N50" s="309"/>
      <c r="O50" s="309"/>
    </row>
    <row r="51" spans="6:15">
      <c r="F51" s="294"/>
      <c r="G51" s="308"/>
      <c r="I51" s="309"/>
      <c r="J51" s="309"/>
      <c r="K51" s="309"/>
      <c r="L51" s="309"/>
      <c r="M51" s="309"/>
      <c r="N51" s="309"/>
      <c r="O51" s="309"/>
    </row>
    <row r="52" spans="6:15">
      <c r="F52" s="294"/>
      <c r="G52" s="308"/>
      <c r="I52" s="309"/>
      <c r="J52" s="309"/>
      <c r="K52" s="309"/>
      <c r="L52" s="309"/>
      <c r="M52" s="309"/>
      <c r="N52" s="309"/>
      <c r="O52" s="309"/>
    </row>
    <row r="53" spans="6:15">
      <c r="F53" s="294"/>
      <c r="G53" s="308"/>
      <c r="I53" s="309"/>
      <c r="J53" s="309"/>
      <c r="K53" s="309"/>
      <c r="L53" s="309"/>
      <c r="M53" s="309"/>
      <c r="N53" s="309"/>
      <c r="O53" s="309"/>
    </row>
    <row r="54" spans="6:15">
      <c r="F54" s="294"/>
      <c r="G54" s="308"/>
      <c r="I54" s="309"/>
      <c r="J54" s="309"/>
      <c r="K54" s="309"/>
      <c r="L54" s="309"/>
      <c r="M54" s="309"/>
      <c r="N54" s="309"/>
      <c r="O54" s="309"/>
    </row>
    <row r="55" spans="6:15">
      <c r="F55" s="294"/>
      <c r="G55" s="308"/>
      <c r="I55" s="309"/>
      <c r="J55" s="309"/>
      <c r="K55" s="309"/>
      <c r="L55" s="309"/>
      <c r="M55" s="309"/>
      <c r="N55" s="309"/>
      <c r="O55" s="309"/>
    </row>
    <row r="56" spans="6:15">
      <c r="F56" s="294"/>
      <c r="G56" s="308"/>
      <c r="I56" s="309"/>
      <c r="J56" s="309"/>
      <c r="K56" s="309"/>
      <c r="L56" s="309"/>
      <c r="M56" s="309"/>
      <c r="N56" s="309"/>
      <c r="O56" s="309"/>
    </row>
    <row r="57" spans="6:15">
      <c r="F57" s="294"/>
      <c r="G57" s="308"/>
      <c r="I57" s="309"/>
      <c r="J57" s="309"/>
      <c r="K57" s="309"/>
      <c r="L57" s="309"/>
      <c r="M57" s="309"/>
      <c r="N57" s="309"/>
      <c r="O57" s="309"/>
    </row>
    <row r="58" spans="6:15">
      <c r="F58" s="294"/>
      <c r="G58" s="308"/>
      <c r="I58" s="309"/>
      <c r="J58" s="309"/>
      <c r="K58" s="309"/>
      <c r="L58" s="309"/>
      <c r="M58" s="309"/>
      <c r="N58" s="309"/>
      <c r="O58" s="309"/>
    </row>
    <row r="59" spans="6:15">
      <c r="F59" s="294"/>
      <c r="G59" s="308"/>
      <c r="I59" s="309"/>
      <c r="J59" s="309"/>
      <c r="K59" s="309"/>
      <c r="L59" s="309"/>
      <c r="M59" s="309"/>
      <c r="N59" s="309"/>
      <c r="O59" s="309"/>
    </row>
  </sheetData>
  <mergeCells count="2">
    <mergeCell ref="G6:I6"/>
    <mergeCell ref="O6:Q6"/>
  </mergeCells>
  <printOptions horizontalCentered="1"/>
  <pageMargins left="0.25" right="0.25" top="0.5" bottom="0.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="80" zoomScaleNormal="80" zoomScaleSheetLayoutView="80" workbookViewId="0">
      <selection activeCell="C61" sqref="C61"/>
    </sheetView>
  </sheetViews>
  <sheetFormatPr defaultColWidth="9" defaultRowHeight="15.75"/>
  <cols>
    <col min="1" max="1" width="4.625" style="118" customWidth="1"/>
    <col min="2" max="2" width="1.625" style="118" customWidth="1"/>
    <col min="3" max="3" width="35.625" style="118" customWidth="1"/>
    <col min="4" max="4" width="1.5" style="134" customWidth="1"/>
    <col min="5" max="5" width="7.5" style="118" bestFit="1" customWidth="1"/>
    <col min="6" max="6" width="0.75" style="134" customWidth="1"/>
    <col min="7" max="7" width="10.625" style="134" customWidth="1"/>
    <col min="8" max="8" width="0.75" style="134" customWidth="1"/>
    <col min="9" max="9" width="12.25" style="134" customWidth="1"/>
    <col min="10" max="10" width="1.75" style="134" customWidth="1"/>
    <col min="11" max="11" width="12.25" style="134" customWidth="1"/>
    <col min="12" max="12" width="1.75" style="134" customWidth="1"/>
    <col min="13" max="13" width="8.875" style="134" customWidth="1"/>
    <col min="14" max="14" width="6.375" style="134" customWidth="1"/>
    <col min="15" max="15" width="1.75" style="134" customWidth="1"/>
    <col min="16" max="16" width="9.125" style="134" customWidth="1"/>
    <col min="17" max="17" width="7.875" style="134" bestFit="1" customWidth="1"/>
    <col min="18" max="16384" width="9" style="118"/>
  </cols>
  <sheetData>
    <row r="1" spans="1:17">
      <c r="A1" s="365" t="s">
        <v>355</v>
      </c>
      <c r="B1" s="115"/>
      <c r="C1" s="115"/>
      <c r="D1" s="116"/>
      <c r="E1" s="115"/>
      <c r="F1" s="116"/>
      <c r="G1" s="116"/>
      <c r="H1" s="116"/>
      <c r="I1" s="116"/>
      <c r="J1" s="116"/>
      <c r="K1" s="117"/>
      <c r="L1" s="116"/>
      <c r="M1" s="117"/>
      <c r="N1" s="116"/>
      <c r="O1" s="116"/>
      <c r="P1" s="117"/>
      <c r="Q1" s="116"/>
    </row>
    <row r="2" spans="1:17" s="120" customFormat="1">
      <c r="A2" s="115" t="s">
        <v>265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120" customFormat="1">
      <c r="A3" s="115" t="s">
        <v>351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s="120" customFormat="1">
      <c r="A4" s="115" t="s">
        <v>266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s="120" customFormat="1">
      <c r="A5" s="115" t="s">
        <v>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>
      <c r="A6" s="115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7"/>
      <c r="M6" s="121"/>
      <c r="N6" s="117"/>
      <c r="O6" s="117"/>
      <c r="P6" s="121"/>
      <c r="Q6" s="117"/>
    </row>
    <row r="7" spans="1:17">
      <c r="A7" s="115"/>
      <c r="B7" s="115"/>
      <c r="C7" s="115"/>
      <c r="D7" s="116"/>
      <c r="E7" s="115"/>
      <c r="F7" s="116"/>
      <c r="G7" s="116"/>
      <c r="H7" s="116"/>
      <c r="I7" s="116"/>
      <c r="J7" s="116"/>
      <c r="K7" s="117"/>
      <c r="L7" s="116"/>
      <c r="M7" s="117"/>
      <c r="N7" s="116"/>
      <c r="O7" s="116"/>
      <c r="P7" s="117"/>
      <c r="Q7" s="116"/>
    </row>
    <row r="8" spans="1:17" ht="12" customHeight="1">
      <c r="A8" s="115"/>
      <c r="B8" s="115"/>
      <c r="C8" s="115"/>
      <c r="D8" s="116"/>
      <c r="E8" s="115"/>
      <c r="F8" s="116"/>
      <c r="G8" s="116"/>
      <c r="H8" s="116"/>
      <c r="I8" s="116"/>
      <c r="J8" s="116"/>
    </row>
    <row r="9" spans="1:17">
      <c r="D9" s="124"/>
      <c r="E9" s="125"/>
      <c r="F9" s="124"/>
      <c r="G9" s="124" t="s">
        <v>267</v>
      </c>
      <c r="H9" s="124"/>
      <c r="I9" s="124"/>
      <c r="J9" s="124"/>
      <c r="K9" s="127"/>
      <c r="L9" s="127"/>
      <c r="M9" s="123" t="s">
        <v>353</v>
      </c>
      <c r="N9" s="157"/>
      <c r="O9" s="157"/>
      <c r="P9" s="123"/>
      <c r="Q9" s="157"/>
    </row>
    <row r="10" spans="1:17" s="128" customFormat="1">
      <c r="A10" s="128" t="s">
        <v>268</v>
      </c>
      <c r="D10" s="124"/>
      <c r="E10" s="125" t="s">
        <v>269</v>
      </c>
      <c r="F10" s="124"/>
      <c r="G10" s="126" t="s">
        <v>85</v>
      </c>
      <c r="H10" s="124"/>
      <c r="I10" s="124" t="s">
        <v>270</v>
      </c>
      <c r="J10" s="126"/>
      <c r="K10" s="124" t="s">
        <v>313</v>
      </c>
      <c r="L10" s="126"/>
      <c r="M10" s="157" t="s">
        <v>319</v>
      </c>
      <c r="N10" s="157"/>
      <c r="O10" s="126"/>
      <c r="P10" s="157" t="s">
        <v>330</v>
      </c>
      <c r="Q10" s="157"/>
    </row>
    <row r="11" spans="1:17" s="128" customFormat="1">
      <c r="A11" s="128" t="s">
        <v>271</v>
      </c>
      <c r="C11" s="125" t="s">
        <v>272</v>
      </c>
      <c r="E11" s="129" t="s">
        <v>271</v>
      </c>
      <c r="G11" s="122" t="s">
        <v>273</v>
      </c>
      <c r="I11" s="122" t="s">
        <v>273</v>
      </c>
      <c r="K11" s="130" t="s">
        <v>274</v>
      </c>
      <c r="M11" s="181" t="s">
        <v>274</v>
      </c>
      <c r="N11" s="182" t="s">
        <v>320</v>
      </c>
      <c r="P11" s="181" t="s">
        <v>274</v>
      </c>
      <c r="Q11" s="182" t="s">
        <v>320</v>
      </c>
    </row>
    <row r="12" spans="1:17" s="128" customFormat="1">
      <c r="C12" s="131">
        <v>-1</v>
      </c>
      <c r="D12" s="132"/>
      <c r="E12" s="131">
        <f>MIN($A12:D12)-1</f>
        <v>-2</v>
      </c>
      <c r="F12" s="132"/>
      <c r="G12" s="131">
        <f>MIN($A12:F12)-1</f>
        <v>-3</v>
      </c>
      <c r="H12" s="132"/>
      <c r="I12" s="131">
        <f>MIN($A12:H12)-1</f>
        <v>-4</v>
      </c>
      <c r="J12" s="132"/>
      <c r="K12" s="131">
        <f>MIN($A12:J12)-1</f>
        <v>-5</v>
      </c>
      <c r="L12" s="132"/>
      <c r="M12" s="131">
        <f>MIN($A12:L12)-1</f>
        <v>-6</v>
      </c>
      <c r="N12" s="132"/>
      <c r="O12" s="132"/>
      <c r="P12" s="131">
        <f>MIN($A12:O12)-1</f>
        <v>-7</v>
      </c>
      <c r="Q12" s="132"/>
    </row>
    <row r="13" spans="1:17" s="128" customFormat="1">
      <c r="D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7" ht="18.75" customHeight="1">
      <c r="C14" s="128" t="s">
        <v>276</v>
      </c>
    </row>
    <row r="15" spans="1:17">
      <c r="A15" s="118">
        <v>1</v>
      </c>
      <c r="C15" s="118" t="s">
        <v>276</v>
      </c>
      <c r="E15" s="135" t="s">
        <v>277</v>
      </c>
      <c r="G15" s="113">
        <v>740189</v>
      </c>
      <c r="I15" s="113">
        <v>6200666.1794248829</v>
      </c>
      <c r="K15" s="158">
        <f>('Rate Design'!H29+'Rate Design'!M29+'Rate Design'!Q29+'Rate Design'!U29+'Rate Design'!H49+'Rate Design'!M49+'Rate Design'!Q49+'Rate Design'!U49)/1000</f>
        <v>699252.34860267246</v>
      </c>
      <c r="L15" s="159"/>
      <c r="M15" s="158">
        <f>('Rate Design'!Y29+'Rate Design'!Y49)/1000</f>
        <v>25318.168934045541</v>
      </c>
      <c r="N15" s="186">
        <f>M15/$K15</f>
        <v>3.6207485015444366E-2</v>
      </c>
      <c r="O15" s="159"/>
      <c r="P15" s="158">
        <f>$K15*P$53</f>
        <v>27970.093944106899</v>
      </c>
      <c r="Q15" s="186">
        <f>P15/$K15</f>
        <v>0.04</v>
      </c>
    </row>
    <row r="16" spans="1:17">
      <c r="A16" s="118">
        <f>MAX(A$14:A15)+1</f>
        <v>2</v>
      </c>
      <c r="C16" s="118" t="s">
        <v>278</v>
      </c>
      <c r="E16" s="139">
        <v>2</v>
      </c>
      <c r="G16" s="113">
        <v>447</v>
      </c>
      <c r="I16" s="113">
        <v>3185.6706103628849</v>
      </c>
      <c r="K16" s="158">
        <f>('Rate Design'!H71+'Rate Design'!M71+'Rate Design'!Q71+'Rate Design'!U71)/1000</f>
        <v>358.96779339679358</v>
      </c>
      <c r="L16" s="159"/>
      <c r="M16" s="158">
        <f>'Rate Design'!Y71/1000</f>
        <v>12.809924701154308</v>
      </c>
      <c r="N16" s="186">
        <f>M16/$K16</f>
        <v>3.5685442919372305E-2</v>
      </c>
      <c r="O16" s="159"/>
      <c r="P16" s="158">
        <f>$K16*P$53</f>
        <v>14.358711735871744</v>
      </c>
      <c r="Q16" s="186">
        <f>P16/$K16</f>
        <v>0.04</v>
      </c>
    </row>
    <row r="17" spans="1:17">
      <c r="A17" s="118">
        <f>MAX(A$14:A16)+1</f>
        <v>3</v>
      </c>
      <c r="C17" s="140" t="s">
        <v>279</v>
      </c>
      <c r="E17" s="141" t="s">
        <v>280</v>
      </c>
      <c r="G17" s="142"/>
      <c r="I17" s="142"/>
      <c r="K17" s="160">
        <v>33.04027</v>
      </c>
      <c r="L17" s="159"/>
      <c r="M17" s="160"/>
      <c r="N17" s="187"/>
      <c r="O17" s="159"/>
      <c r="P17" s="160"/>
      <c r="Q17" s="187"/>
    </row>
    <row r="18" spans="1:17">
      <c r="A18" s="118">
        <f>MAX(A$14:A17)+1</f>
        <v>4</v>
      </c>
      <c r="C18" s="128" t="s">
        <v>281</v>
      </c>
      <c r="G18" s="113">
        <f>SUM(G15:G17)</f>
        <v>740636</v>
      </c>
      <c r="I18" s="113">
        <f>SUM(I15:I17)</f>
        <v>6203851.8500352455</v>
      </c>
      <c r="K18" s="158">
        <f>SUM(K15:K17)</f>
        <v>699644.35666606924</v>
      </c>
      <c r="L18" s="159"/>
      <c r="M18" s="158">
        <f>SUM(M15:M17)</f>
        <v>25330.978858746697</v>
      </c>
      <c r="N18" s="186">
        <f>M18/$K18</f>
        <v>3.6205507294382176E-2</v>
      </c>
      <c r="O18" s="159"/>
      <c r="P18" s="158">
        <f>SUM(P15:P17)</f>
        <v>27984.452655842771</v>
      </c>
      <c r="Q18" s="186">
        <f>P18/$K18</f>
        <v>3.9998111024855121E-2</v>
      </c>
    </row>
    <row r="19" spans="1:17" ht="24.75" customHeight="1">
      <c r="C19" s="128" t="s">
        <v>282</v>
      </c>
      <c r="G19" s="113"/>
      <c r="I19" s="113"/>
      <c r="K19" s="158"/>
      <c r="L19" s="159"/>
      <c r="M19" s="158"/>
      <c r="N19" s="186"/>
      <c r="O19" s="159"/>
      <c r="P19" s="158"/>
      <c r="Q19" s="186"/>
    </row>
    <row r="20" spans="1:17">
      <c r="A20" s="118">
        <f>MAX(A$14:A19)+1</f>
        <v>5</v>
      </c>
      <c r="C20" s="118" t="s">
        <v>283</v>
      </c>
      <c r="E20" s="143">
        <v>6</v>
      </c>
      <c r="G20" s="113">
        <v>13072</v>
      </c>
      <c r="I20" s="113">
        <v>5783806.2612344306</v>
      </c>
      <c r="K20" s="158">
        <f>('Rate Design'!H86+'Rate Design'!M86+'Rate Design'!Q86+'Rate Design'!U86)/1000</f>
        <v>505682.78988091822</v>
      </c>
      <c r="L20" s="159"/>
      <c r="M20" s="158">
        <f>'Rate Design'!Y86/1000</f>
        <v>18297.405827617789</v>
      </c>
      <c r="N20" s="186">
        <f t="shared" ref="N20:N38" si="0">M20/$K20</f>
        <v>3.6183564467215885E-2</v>
      </c>
      <c r="O20" s="159"/>
      <c r="P20" s="158">
        <f>$K20*P$53</f>
        <v>20227.31159523673</v>
      </c>
      <c r="Q20" s="186">
        <f t="shared" ref="Q20:Q38" si="1">P20/$K20</f>
        <v>0.04</v>
      </c>
    </row>
    <row r="21" spans="1:17">
      <c r="A21" s="118">
        <f>MAX(A$14:A20)+1</f>
        <v>6</v>
      </c>
      <c r="C21" s="118" t="s">
        <v>284</v>
      </c>
      <c r="E21" s="139" t="s">
        <v>285</v>
      </c>
      <c r="G21" s="113">
        <v>2276</v>
      </c>
      <c r="I21" s="113">
        <v>292031.09985016566</v>
      </c>
      <c r="K21" s="158">
        <f>('Rate Design'!H113+'Rate Design'!M113+'Rate Design'!Q113+'Rate Design'!U113)/1000</f>
        <v>34987.995354381615</v>
      </c>
      <c r="L21" s="159"/>
      <c r="M21" s="158">
        <f>'Rate Design'!Y113/1000</f>
        <v>1266.8071759956249</v>
      </c>
      <c r="N21" s="186">
        <f t="shared" si="0"/>
        <v>3.6206909346036029E-2</v>
      </c>
      <c r="O21" s="159"/>
      <c r="P21" s="158">
        <f>$K21*P$53</f>
        <v>1399.5198141752646</v>
      </c>
      <c r="Q21" s="186">
        <f t="shared" si="1"/>
        <v>0.04</v>
      </c>
    </row>
    <row r="22" spans="1:17">
      <c r="A22" s="118">
        <f>MAX(A$14:A21)+1</f>
        <v>7</v>
      </c>
      <c r="C22" s="118" t="s">
        <v>286</v>
      </c>
      <c r="E22" s="139" t="s">
        <v>287</v>
      </c>
      <c r="G22" s="144">
        <v>37</v>
      </c>
      <c r="I22" s="144">
        <v>3907.4969999999998</v>
      </c>
      <c r="K22" s="160">
        <f>('Rate Design'!H101+'Rate Design'!M101+'Rate Design'!Q101+'Rate Design'!U101)/1000</f>
        <v>353.06168986871876</v>
      </c>
      <c r="L22" s="159"/>
      <c r="M22" s="160">
        <f>'Rate Design'!Y101/1000</f>
        <v>12.12227658716885</v>
      </c>
      <c r="N22" s="187">
        <f t="shared" si="0"/>
        <v>3.4334726579018968E-2</v>
      </c>
      <c r="O22" s="159"/>
      <c r="P22" s="160">
        <f>$K22*P$53</f>
        <v>14.12246759474875</v>
      </c>
      <c r="Q22" s="187">
        <f t="shared" si="1"/>
        <v>0.04</v>
      </c>
    </row>
    <row r="23" spans="1:17">
      <c r="A23" s="118">
        <f>MAX(A$14:A22)+1</f>
        <v>8</v>
      </c>
      <c r="C23" s="145" t="s">
        <v>288</v>
      </c>
      <c r="G23" s="113">
        <f>SUM(G20:G22)</f>
        <v>15385</v>
      </c>
      <c r="I23" s="113">
        <f>SUM(I20:I22)</f>
        <v>6079744.8580845967</v>
      </c>
      <c r="K23" s="158">
        <f>SUM(K20:K22)</f>
        <v>541023.84692516853</v>
      </c>
      <c r="L23" s="159"/>
      <c r="M23" s="158">
        <f>SUM(M20:M22)</f>
        <v>19576.335280200583</v>
      </c>
      <c r="N23" s="186">
        <f t="shared" si="0"/>
        <v>3.6183867663985382E-2</v>
      </c>
      <c r="O23" s="159"/>
      <c r="P23" s="158">
        <f>SUM(P20:P22)</f>
        <v>21640.953877006745</v>
      </c>
      <c r="Q23" s="186">
        <f t="shared" si="1"/>
        <v>4.0000000000000008E-2</v>
      </c>
    </row>
    <row r="24" spans="1:17" ht="23.1" customHeight="1">
      <c r="A24" s="118">
        <f>MAX(A$14:A23)+1</f>
        <v>9</v>
      </c>
      <c r="C24" s="140" t="s">
        <v>289</v>
      </c>
      <c r="E24" s="118">
        <v>8</v>
      </c>
      <c r="F24" s="113"/>
      <c r="G24" s="113">
        <v>274</v>
      </c>
      <c r="I24" s="113">
        <v>2187047.3255884075</v>
      </c>
      <c r="K24" s="158">
        <f>('Rate Design'!H165+'Rate Design'!M165+'Rate Design'!Q165+'Rate Design'!U165)/1000</f>
        <v>171335.0615628805</v>
      </c>
      <c r="L24" s="159"/>
      <c r="M24" s="158">
        <f>'Rate Design'!Y165/1000</f>
        <v>6194.012640576273</v>
      </c>
      <c r="N24" s="186">
        <f t="shared" si="0"/>
        <v>3.615146009273211E-2</v>
      </c>
      <c r="O24" s="159"/>
      <c r="P24" s="158">
        <f>$K24*P$53</f>
        <v>6853.4024625152197</v>
      </c>
      <c r="Q24" s="186">
        <f t="shared" si="1"/>
        <v>0.04</v>
      </c>
    </row>
    <row r="25" spans="1:17" ht="23.1" customHeight="1">
      <c r="A25" s="118">
        <f>MAX(A$14:A24)+1</f>
        <v>10</v>
      </c>
      <c r="C25" s="118" t="s">
        <v>290</v>
      </c>
      <c r="E25" s="118">
        <v>9</v>
      </c>
      <c r="G25" s="113">
        <v>149</v>
      </c>
      <c r="I25" s="113">
        <v>5027435.5407653069</v>
      </c>
      <c r="K25" s="158">
        <f>('Rate Design'!H176+'Rate Design'!M176+'Rate Design'!Q176+'Rate Design'!U176)/1000</f>
        <v>292863.44154472009</v>
      </c>
      <c r="L25" s="159"/>
      <c r="M25" s="158">
        <f>'Rate Design'!Y176/1000</f>
        <v>10614.104483373339</v>
      </c>
      <c r="N25" s="186">
        <f t="shared" si="0"/>
        <v>3.6242504108361273E-2</v>
      </c>
      <c r="O25" s="159"/>
      <c r="P25" s="158">
        <f>$K25*P$53</f>
        <v>11714.537661788803</v>
      </c>
      <c r="Q25" s="186">
        <f t="shared" si="1"/>
        <v>0.04</v>
      </c>
    </row>
    <row r="26" spans="1:17">
      <c r="A26" s="118">
        <f>MAX(A$14:A25)+1</f>
        <v>11</v>
      </c>
      <c r="C26" s="118" t="s">
        <v>291</v>
      </c>
      <c r="E26" s="139" t="s">
        <v>292</v>
      </c>
      <c r="G26" s="144">
        <v>9</v>
      </c>
      <c r="I26" s="144">
        <v>42590.781425473026</v>
      </c>
      <c r="K26" s="160">
        <f>('Rate Design'!H184+'Rate Design'!M184+'Rate Design'!Q184+'Rate Design'!U184)/1000</f>
        <v>3384.3224357409481</v>
      </c>
      <c r="L26" s="159"/>
      <c r="M26" s="160">
        <f>'Rate Design'!Y184/1000</f>
        <v>122.5067909045446</v>
      </c>
      <c r="N26" s="187">
        <f t="shared" si="0"/>
        <v>3.6198321297871115E-2</v>
      </c>
      <c r="O26" s="159"/>
      <c r="P26" s="160">
        <f>$K26*P$53</f>
        <v>135.37289742963793</v>
      </c>
      <c r="Q26" s="187">
        <f t="shared" si="1"/>
        <v>0.04</v>
      </c>
    </row>
    <row r="27" spans="1:17">
      <c r="A27" s="118">
        <f>MAX(A$14:A26)+1</f>
        <v>12</v>
      </c>
      <c r="C27" s="145" t="s">
        <v>293</v>
      </c>
      <c r="G27" s="113">
        <f>SUM(G25:G26)</f>
        <v>158</v>
      </c>
      <c r="I27" s="113">
        <f>SUM(I25:I26)</f>
        <v>5070026.3221907802</v>
      </c>
      <c r="K27" s="158">
        <f>SUM(K25:K26)</f>
        <v>296247.76398046105</v>
      </c>
      <c r="L27" s="159"/>
      <c r="M27" s="158">
        <f>SUM(M25:M26)</f>
        <v>10736.611274277884</v>
      </c>
      <c r="N27" s="186">
        <f t="shared" si="0"/>
        <v>3.6241999365726911E-2</v>
      </c>
      <c r="O27" s="159"/>
      <c r="P27" s="158">
        <f>SUM(P25:P26)</f>
        <v>11849.910559218441</v>
      </c>
      <c r="Q27" s="186">
        <f t="shared" si="1"/>
        <v>3.9999999999999994E-2</v>
      </c>
    </row>
    <row r="28" spans="1:17" ht="23.1" customHeight="1">
      <c r="A28" s="118">
        <f>MAX(A$14:A27)+1</f>
        <v>13</v>
      </c>
      <c r="C28" s="118" t="s">
        <v>294</v>
      </c>
      <c r="E28" s="139">
        <v>10</v>
      </c>
      <c r="G28" s="113">
        <v>2784.3333333333335</v>
      </c>
      <c r="I28" s="113">
        <v>173133.39199999999</v>
      </c>
      <c r="K28" s="158">
        <f>('Rate Design'!H200+'Rate Design'!M200+'Rate Design'!Q200+'Rate Design'!U200)/1000</f>
        <v>13542.030936593606</v>
      </c>
      <c r="L28" s="159"/>
      <c r="M28" s="158">
        <f>'Rate Design'!Y200/1000</f>
        <v>490.19890564128224</v>
      </c>
      <c r="N28" s="186">
        <f t="shared" si="0"/>
        <v>3.6198330068546426E-2</v>
      </c>
      <c r="O28" s="159"/>
      <c r="P28" s="158">
        <f>$K28*P$53</f>
        <v>541.68123746374431</v>
      </c>
      <c r="Q28" s="186">
        <f t="shared" si="1"/>
        <v>0.04</v>
      </c>
    </row>
    <row r="29" spans="1:17">
      <c r="A29" s="118">
        <f>MAX(A$14:A28)+1</f>
        <v>14</v>
      </c>
      <c r="C29" s="118" t="s">
        <v>295</v>
      </c>
      <c r="E29" s="139" t="s">
        <v>296</v>
      </c>
      <c r="G29" s="144">
        <v>261</v>
      </c>
      <c r="I29" s="144">
        <v>16756.608</v>
      </c>
      <c r="K29" s="160">
        <f>('Rate Design'!H216+'Rate Design'!M216+'Rate Design'!Q216+'Rate Design'!U216)/1000</f>
        <v>1317.9403090913918</v>
      </c>
      <c r="L29" s="159"/>
      <c r="M29" s="160">
        <f>'Rate Design'!Y216/1000</f>
        <v>47.750117498199785</v>
      </c>
      <c r="N29" s="187">
        <f t="shared" si="0"/>
        <v>3.623086506180196E-2</v>
      </c>
      <c r="O29" s="159"/>
      <c r="P29" s="160">
        <f>$K29*P$53</f>
        <v>52.717612363655675</v>
      </c>
      <c r="Q29" s="187">
        <f t="shared" si="1"/>
        <v>0.04</v>
      </c>
    </row>
    <row r="30" spans="1:17">
      <c r="A30" s="118">
        <f>MAX(A$14:A29)+1</f>
        <v>15</v>
      </c>
      <c r="C30" s="145" t="s">
        <v>297</v>
      </c>
      <c r="G30" s="113">
        <f>SUM(G28:G29)</f>
        <v>3045.3333333333335</v>
      </c>
      <c r="I30" s="113">
        <f>SUM(I28:I29)</f>
        <v>189890</v>
      </c>
      <c r="K30" s="158">
        <f>SUM(K28:K29)</f>
        <v>14859.971245684997</v>
      </c>
      <c r="L30" s="159"/>
      <c r="M30" s="158">
        <f>SUM(M28:M29)</f>
        <v>537.94902313948205</v>
      </c>
      <c r="N30" s="186">
        <f t="shared" si="0"/>
        <v>3.6201215617808841E-2</v>
      </c>
      <c r="O30" s="159"/>
      <c r="P30" s="158">
        <f>SUM(P28:P29)</f>
        <v>594.3988498274</v>
      </c>
      <c r="Q30" s="186">
        <f t="shared" si="1"/>
        <v>4.0000000000000008E-2</v>
      </c>
    </row>
    <row r="31" spans="1:17" ht="23.1" customHeight="1">
      <c r="A31" s="118">
        <f>MAX(A$14:A30)+1</f>
        <v>16</v>
      </c>
      <c r="C31" s="118" t="s">
        <v>298</v>
      </c>
      <c r="E31" s="118">
        <v>21</v>
      </c>
      <c r="G31" s="113">
        <v>5</v>
      </c>
      <c r="I31" s="113">
        <v>4048.7003377015881</v>
      </c>
      <c r="K31" s="158">
        <f>('Rate Design'!H383+'Rate Design'!M383+'Rate Design'!Q383+'Rate Design'!U383)/1000</f>
        <v>488.83815184061638</v>
      </c>
      <c r="L31" s="159"/>
      <c r="M31" s="158">
        <f>'Rate Design'!Y383/1000</f>
        <v>17.708827987734679</v>
      </c>
      <c r="N31" s="186">
        <f t="shared" si="0"/>
        <v>3.6226362285872823E-2</v>
      </c>
      <c r="O31" s="159"/>
      <c r="P31" s="158">
        <f>$K31*P$53</f>
        <v>19.553526073624656</v>
      </c>
      <c r="Q31" s="186">
        <f t="shared" si="1"/>
        <v>0.04</v>
      </c>
    </row>
    <row r="32" spans="1:17">
      <c r="A32" s="118">
        <f>MAX(A$14:A31)+1</f>
        <v>17</v>
      </c>
      <c r="C32" s="118" t="s">
        <v>299</v>
      </c>
      <c r="E32" s="143">
        <v>23</v>
      </c>
      <c r="G32" s="113">
        <v>82668</v>
      </c>
      <c r="I32" s="113">
        <v>1390888.2107534346</v>
      </c>
      <c r="K32" s="158">
        <f>('Rate Design'!H396+'Rate Design'!M396+'Rate Design'!Q396+'Rate Design'!U396)/1000</f>
        <v>142010.71815382116</v>
      </c>
      <c r="L32" s="159"/>
      <c r="M32" s="158">
        <f>'Rate Design'!Y396/1000</f>
        <v>5138.321934183643</v>
      </c>
      <c r="N32" s="186">
        <f t="shared" si="0"/>
        <v>3.6182634669997146E-2</v>
      </c>
      <c r="O32" s="159"/>
      <c r="P32" s="158">
        <f>$K32*P$53</f>
        <v>5680.4287261528461</v>
      </c>
      <c r="Q32" s="186">
        <f t="shared" si="1"/>
        <v>0.04</v>
      </c>
    </row>
    <row r="33" spans="1:17">
      <c r="A33" s="118">
        <f>MAX(A$14:A32)+1</f>
        <v>18</v>
      </c>
      <c r="C33" s="118" t="s">
        <v>300</v>
      </c>
      <c r="E33" s="118">
        <v>31</v>
      </c>
      <c r="G33" s="113">
        <v>4</v>
      </c>
      <c r="I33" s="113">
        <v>56282.44502511515</v>
      </c>
      <c r="K33" s="158">
        <f>('Rate Design'!H457+'Rate Design'!M457+'Rate Design'!Q457+'Rate Design'!U457)/1000</f>
        <v>4672.4510428710246</v>
      </c>
      <c r="L33" s="159"/>
      <c r="M33" s="158">
        <f>'Rate Design'!Y457/1000</f>
        <v>169.11875237444769</v>
      </c>
      <c r="N33" s="186">
        <f t="shared" si="0"/>
        <v>3.6194868779305889E-2</v>
      </c>
      <c r="O33" s="159"/>
      <c r="P33" s="158">
        <f>$K33*P$53</f>
        <v>186.89804171484099</v>
      </c>
      <c r="Q33" s="186">
        <f t="shared" si="1"/>
        <v>0.04</v>
      </c>
    </row>
    <row r="34" spans="1:17">
      <c r="A34" s="118">
        <f>MAX(A$14:A33)+1</f>
        <v>19</v>
      </c>
      <c r="C34" s="140" t="s">
        <v>234</v>
      </c>
      <c r="E34" s="139" t="s">
        <v>280</v>
      </c>
      <c r="G34" s="113">
        <v>1</v>
      </c>
      <c r="I34" s="113">
        <v>535721.17000000004</v>
      </c>
      <c r="K34" s="158">
        <f>('Rate Design'!H464+'Rate Design'!M464+'Rate Design'!Q464+'Rate Design'!U464)/1000</f>
        <v>28631.806780724877</v>
      </c>
      <c r="L34" s="159"/>
      <c r="M34" s="158"/>
      <c r="N34" s="186">
        <f t="shared" si="0"/>
        <v>0</v>
      </c>
      <c r="O34" s="159"/>
      <c r="P34" s="158"/>
      <c r="Q34" s="186">
        <f t="shared" si="1"/>
        <v>0</v>
      </c>
    </row>
    <row r="35" spans="1:17">
      <c r="A35" s="118">
        <f>MAX(A$14:A34)+1</f>
        <v>20</v>
      </c>
      <c r="C35" s="140" t="s">
        <v>238</v>
      </c>
      <c r="E35" s="139" t="s">
        <v>280</v>
      </c>
      <c r="G35" s="113">
        <v>1</v>
      </c>
      <c r="I35" s="113">
        <v>795798.67578575748</v>
      </c>
      <c r="K35" s="158">
        <f>('Rate Design'!H469+'Rate Design'!M469+'Rate Design'!Q469+'Rate Design'!U469)/1000</f>
        <v>35904.399359999996</v>
      </c>
      <c r="L35" s="159"/>
      <c r="M35" s="158"/>
      <c r="N35" s="186">
        <f t="shared" si="0"/>
        <v>0</v>
      </c>
      <c r="O35" s="159"/>
      <c r="P35" s="158"/>
      <c r="Q35" s="186">
        <f t="shared" si="1"/>
        <v>0</v>
      </c>
    </row>
    <row r="36" spans="1:17">
      <c r="A36" s="118">
        <f>MAX(A$14:A35)+1</f>
        <v>21</v>
      </c>
      <c r="C36" s="140" t="s">
        <v>240</v>
      </c>
      <c r="E36" s="139" t="s">
        <v>280</v>
      </c>
      <c r="G36" s="113">
        <v>1</v>
      </c>
      <c r="I36" s="113">
        <v>621809.33325000003</v>
      </c>
      <c r="K36" s="158">
        <f>('Rate Design'!H491+'Rate Design'!M491+'Rate Design'!Q491+'Rate Design'!U491)/1000</f>
        <v>30879.891124291691</v>
      </c>
      <c r="L36" s="159"/>
      <c r="M36" s="158"/>
      <c r="N36" s="186">
        <f t="shared" si="0"/>
        <v>0</v>
      </c>
      <c r="O36" s="159"/>
      <c r="P36" s="158"/>
      <c r="Q36" s="186">
        <f t="shared" si="1"/>
        <v>0</v>
      </c>
    </row>
    <row r="37" spans="1:17">
      <c r="A37" s="118">
        <f>MAX(A$14:A36)+1</f>
        <v>22</v>
      </c>
      <c r="C37" s="140" t="s">
        <v>279</v>
      </c>
      <c r="E37" s="141" t="s">
        <v>280</v>
      </c>
      <c r="G37" s="142"/>
      <c r="I37" s="142"/>
      <c r="K37" s="160">
        <v>2927.6937100000005</v>
      </c>
      <c r="L37" s="159"/>
      <c r="M37" s="160"/>
      <c r="N37" s="187">
        <f t="shared" si="0"/>
        <v>0</v>
      </c>
      <c r="O37" s="159"/>
      <c r="P37" s="160"/>
      <c r="Q37" s="187">
        <f t="shared" si="1"/>
        <v>0</v>
      </c>
    </row>
    <row r="38" spans="1:17">
      <c r="A38" s="118">
        <f>MAX(A$14:A37)+1</f>
        <v>23</v>
      </c>
      <c r="C38" s="128" t="s">
        <v>301</v>
      </c>
      <c r="G38" s="113">
        <f>SUM(G20:G22,G24:G26,G28:G29,G31:G37)</f>
        <v>101542.33333333333</v>
      </c>
      <c r="I38" s="113">
        <f>SUM(I20:I22,I24:I26,I28:I29,I31:I37)</f>
        <v>16931257.041015793</v>
      </c>
      <c r="K38" s="158">
        <f>SUM(K20:K22,K24:K26,K28:K29,K31:K37)</f>
        <v>1268982.4420377442</v>
      </c>
      <c r="L38" s="159"/>
      <c r="M38" s="158">
        <f>SUM(M20:M22,M24:M26,M28:M29,M31:M37)</f>
        <v>42370.057732740053</v>
      </c>
      <c r="N38" s="186">
        <f t="shared" si="0"/>
        <v>3.3389002344825044E-2</v>
      </c>
      <c r="O38" s="159"/>
      <c r="P38" s="158">
        <f>SUM(P20:P22,P24:P26,P28:P29,P31:P37)</f>
        <v>46825.546042509108</v>
      </c>
      <c r="Q38" s="186">
        <f t="shared" si="1"/>
        <v>3.6900074020973998E-2</v>
      </c>
    </row>
    <row r="39" spans="1:17" ht="28.5" customHeight="1">
      <c r="C39" s="128" t="s">
        <v>302</v>
      </c>
      <c r="G39" s="113"/>
      <c r="I39" s="113"/>
      <c r="K39" s="158"/>
      <c r="L39" s="159"/>
      <c r="M39" s="158"/>
      <c r="N39" s="186"/>
      <c r="O39" s="159"/>
      <c r="P39" s="158"/>
      <c r="Q39" s="186"/>
    </row>
    <row r="40" spans="1:17">
      <c r="A40" s="118">
        <f>MAX(A$14:A39)+1</f>
        <v>24</v>
      </c>
      <c r="C40" s="118" t="s">
        <v>303</v>
      </c>
      <c r="E40" s="118">
        <v>7</v>
      </c>
      <c r="G40" s="113">
        <v>8046</v>
      </c>
      <c r="I40" s="113">
        <v>12440.930563737753</v>
      </c>
      <c r="K40" s="158">
        <f>('Rate Design'!H153+'Rate Design'!M153+'Rate Design'!Q153+'Rate Design'!U153)/1000</f>
        <v>3038.7774520836415</v>
      </c>
      <c r="L40" s="159"/>
      <c r="M40" s="158">
        <f>'Rate Design'!Y153/1000</f>
        <v>110.00374376542783</v>
      </c>
      <c r="N40" s="186">
        <f t="shared" ref="N40:N50" si="2">M40/$K40</f>
        <v>3.6200000000000003E-2</v>
      </c>
      <c r="O40" s="159"/>
      <c r="P40" s="158">
        <f>$K40*P$53</f>
        <v>121.55109808334566</v>
      </c>
      <c r="Q40" s="186">
        <f t="shared" ref="Q40:Q50" si="3">P40/$K40</f>
        <v>0.04</v>
      </c>
    </row>
    <row r="41" spans="1:17">
      <c r="A41" s="118">
        <f>MAX(A$14:A40)+1</f>
        <v>25</v>
      </c>
      <c r="C41" s="118" t="s">
        <v>304</v>
      </c>
      <c r="E41" s="118">
        <v>11</v>
      </c>
      <c r="G41" s="113">
        <v>809.41666666666663</v>
      </c>
      <c r="I41" s="113">
        <v>16496.197391013095</v>
      </c>
      <c r="K41" s="158">
        <f>('Rate Design'!H268+'Rate Design'!M268+'Rate Design'!Q268+'Rate Design'!U268)/1000</f>
        <v>5045.145723607704</v>
      </c>
      <c r="L41" s="159"/>
      <c r="M41" s="158">
        <f>'Rate Design'!Y268/1000</f>
        <v>182.63427519459893</v>
      </c>
      <c r="N41" s="186">
        <f t="shared" si="2"/>
        <v>3.620000000000001E-2</v>
      </c>
      <c r="O41" s="159"/>
      <c r="P41" s="158">
        <f>$K41*P$53</f>
        <v>201.80582894430816</v>
      </c>
      <c r="Q41" s="186">
        <f t="shared" si="3"/>
        <v>0.04</v>
      </c>
    </row>
    <row r="42" spans="1:17">
      <c r="A42" s="118">
        <f>MAX(A$14:A41)+1</f>
        <v>26</v>
      </c>
      <c r="C42" s="118" t="s">
        <v>305</v>
      </c>
      <c r="E42" s="118">
        <v>12</v>
      </c>
      <c r="G42" s="113">
        <v>839</v>
      </c>
      <c r="I42" s="146">
        <v>56516.774129293255</v>
      </c>
      <c r="K42" s="158">
        <f>('Rate Design'!H351+'Rate Design'!M351+'Rate Design'!Q351+'Rate Design'!U351)/1000</f>
        <v>4199.7543562289402</v>
      </c>
      <c r="L42" s="159"/>
      <c r="M42" s="158">
        <f>'Rate Design'!Y351/1000</f>
        <v>152.03110769548763</v>
      </c>
      <c r="N42" s="186">
        <f t="shared" si="2"/>
        <v>3.6200000000000003E-2</v>
      </c>
      <c r="O42" s="159"/>
      <c r="P42" s="158">
        <f>$K42*P$53</f>
        <v>167.9901742491576</v>
      </c>
      <c r="Q42" s="186">
        <f t="shared" si="3"/>
        <v>0.04</v>
      </c>
    </row>
    <row r="43" spans="1:17">
      <c r="A43" s="118">
        <f>MAX(A$14:A42)+1</f>
        <v>27</v>
      </c>
      <c r="C43" s="118" t="s">
        <v>306</v>
      </c>
      <c r="E43" s="118">
        <v>15</v>
      </c>
      <c r="G43" s="113">
        <v>2466</v>
      </c>
      <c r="I43" s="146">
        <v>6177.9471587633907</v>
      </c>
      <c r="K43" s="158">
        <f>('Rate Design'!H366+'Rate Design'!M366+'Rate Design'!Q366+'Rate Design'!U366)/1000</f>
        <v>694.40467089555887</v>
      </c>
      <c r="L43" s="161"/>
      <c r="M43" s="162">
        <f>'Rate Design'!Y366/1000</f>
        <v>25.092778866270379</v>
      </c>
      <c r="N43" s="186">
        <f t="shared" si="2"/>
        <v>3.6135671198623646E-2</v>
      </c>
      <c r="O43" s="161"/>
      <c r="P43" s="162">
        <f>$K43*P$53</f>
        <v>27.776186835822354</v>
      </c>
      <c r="Q43" s="186">
        <f t="shared" si="3"/>
        <v>0.04</v>
      </c>
    </row>
    <row r="44" spans="1:17">
      <c r="A44" s="118">
        <f>MAX(A$14:A43)+1</f>
        <v>28</v>
      </c>
      <c r="C44" s="118" t="s">
        <v>307</v>
      </c>
      <c r="E44" s="118">
        <v>15</v>
      </c>
      <c r="G44" s="144">
        <v>515</v>
      </c>
      <c r="I44" s="144">
        <v>17536.444611929484</v>
      </c>
      <c r="K44" s="160">
        <f>('Rate Design'!H360+'Rate Design'!M360+'Rate Design'!Q360+'Rate Design'!U360)/1000</f>
        <v>1261.4695063439005</v>
      </c>
      <c r="L44" s="159"/>
      <c r="M44" s="160">
        <f>'Rate Design'!Y360/1000</f>
        <v>45.595426550066499</v>
      </c>
      <c r="N44" s="187">
        <f t="shared" si="2"/>
        <v>3.6144691822329565E-2</v>
      </c>
      <c r="O44" s="159"/>
      <c r="P44" s="160">
        <f>$K44*P$53</f>
        <v>50.458780253756025</v>
      </c>
      <c r="Q44" s="187">
        <f t="shared" si="3"/>
        <v>0.04</v>
      </c>
    </row>
    <row r="45" spans="1:17">
      <c r="A45" s="118">
        <f>MAX(A$14:A44)+1</f>
        <v>29</v>
      </c>
      <c r="C45" s="145" t="s">
        <v>308</v>
      </c>
      <c r="D45" s="148"/>
      <c r="F45" s="148"/>
      <c r="G45" s="113">
        <f>SUM(G40:G44)</f>
        <v>12675.416666666666</v>
      </c>
      <c r="H45" s="148"/>
      <c r="I45" s="113">
        <f>SUM(I40:I44)</f>
        <v>109168.29385473697</v>
      </c>
      <c r="J45" s="148"/>
      <c r="K45" s="158">
        <f>SUM(K40:K44)</f>
        <v>14239.551709159747</v>
      </c>
      <c r="L45" s="158"/>
      <c r="M45" s="158">
        <f>SUM(M40:M44)</f>
        <v>515.35733207185126</v>
      </c>
      <c r="N45" s="186">
        <f t="shared" si="2"/>
        <v>3.6191963244203963E-2</v>
      </c>
      <c r="O45" s="158"/>
      <c r="P45" s="158">
        <f>SUM(P40:P44)</f>
        <v>569.58206836638976</v>
      </c>
      <c r="Q45" s="186">
        <f t="shared" si="3"/>
        <v>3.9999999999999994E-2</v>
      </c>
    </row>
    <row r="46" spans="1:17" ht="23.1" customHeight="1">
      <c r="A46" s="118">
        <f>MAX(A$14:A45)+1</f>
        <v>30</v>
      </c>
      <c r="C46" s="140" t="s">
        <v>309</v>
      </c>
      <c r="E46" s="139" t="s">
        <v>280</v>
      </c>
      <c r="G46" s="113">
        <v>5</v>
      </c>
      <c r="I46" s="113">
        <v>7.7366128294616923</v>
      </c>
      <c r="K46" s="158">
        <v>0.58299999999999996</v>
      </c>
      <c r="L46" s="159"/>
      <c r="M46" s="158"/>
      <c r="N46" s="186">
        <f t="shared" si="2"/>
        <v>0</v>
      </c>
      <c r="O46" s="159"/>
      <c r="P46" s="158"/>
      <c r="Q46" s="186">
        <f t="shared" si="3"/>
        <v>0</v>
      </c>
    </row>
    <row r="47" spans="1:17">
      <c r="A47" s="118">
        <f>MAX(A$14:A46)+1</f>
        <v>31</v>
      </c>
      <c r="C47" s="140" t="s">
        <v>279</v>
      </c>
      <c r="D47" s="149"/>
      <c r="E47" s="141" t="s">
        <v>280</v>
      </c>
      <c r="F47" s="149"/>
      <c r="G47" s="150"/>
      <c r="H47" s="149"/>
      <c r="I47" s="150"/>
      <c r="J47" s="149"/>
      <c r="K47" s="160">
        <v>4.6616400000000002</v>
      </c>
      <c r="L47" s="159"/>
      <c r="M47" s="160"/>
      <c r="N47" s="187">
        <f t="shared" si="2"/>
        <v>0</v>
      </c>
      <c r="O47" s="159"/>
      <c r="P47" s="160"/>
      <c r="Q47" s="187">
        <f t="shared" si="3"/>
        <v>0</v>
      </c>
    </row>
    <row r="48" spans="1:17">
      <c r="A48" s="118">
        <f>MAX(A$14:A47)+1</f>
        <v>32</v>
      </c>
      <c r="C48" s="128" t="s">
        <v>310</v>
      </c>
      <c r="E48" s="151"/>
      <c r="G48" s="144">
        <f>SUM(G45:G47)</f>
        <v>12680.416666666666</v>
      </c>
      <c r="I48" s="144">
        <f>SUM(I45:I47)</f>
        <v>109176.03046756644</v>
      </c>
      <c r="K48" s="160">
        <f>SUM(K45:K47)</f>
        <v>14244.796349159747</v>
      </c>
      <c r="L48" s="159"/>
      <c r="M48" s="183">
        <f>SUM(M45:M47)</f>
        <v>515.35733207185126</v>
      </c>
      <c r="N48" s="188">
        <f t="shared" si="2"/>
        <v>3.6178638110347605E-2</v>
      </c>
      <c r="O48" s="159"/>
      <c r="P48" s="183">
        <f>SUM(P45:P47)</f>
        <v>569.58206836638976</v>
      </c>
      <c r="Q48" s="188">
        <f t="shared" si="3"/>
        <v>3.9985272825608875E-2</v>
      </c>
    </row>
    <row r="49" spans="1:17" ht="27.75" customHeight="1" thickBot="1">
      <c r="A49" s="118">
        <f>MAX(A$14:A48)+1</f>
        <v>33</v>
      </c>
      <c r="C49" s="128" t="s">
        <v>311</v>
      </c>
      <c r="E49" s="151"/>
      <c r="G49" s="114">
        <f>G48+G38+G18</f>
        <v>854858.75</v>
      </c>
      <c r="I49" s="114">
        <f>I48+I38+I18</f>
        <v>23244284.921518605</v>
      </c>
      <c r="K49" s="163">
        <f>K48+K38+K18</f>
        <v>1982871.5950529731</v>
      </c>
      <c r="L49" s="159"/>
      <c r="M49" s="184">
        <f>M48+M38+M18</f>
        <v>68216.3939235586</v>
      </c>
      <c r="N49" s="189">
        <f t="shared" si="2"/>
        <v>3.4402829761518761E-2</v>
      </c>
      <c r="O49" s="159"/>
      <c r="P49" s="184">
        <f>P48+P38+P18</f>
        <v>75379.580766718267</v>
      </c>
      <c r="Q49" s="189">
        <f t="shared" si="3"/>
        <v>3.8015361637526751E-2</v>
      </c>
    </row>
    <row r="50" spans="1:17" ht="33" thickTop="1" thickBot="1">
      <c r="A50" s="118">
        <f>MAX(A$14:A49)+1</f>
        <v>34</v>
      </c>
      <c r="C50" s="152" t="s">
        <v>315</v>
      </c>
      <c r="E50" s="151"/>
      <c r="G50" s="114">
        <f>G49-G17-G34-G35-G36-G37-G46-G47</f>
        <v>854850.75</v>
      </c>
      <c r="I50" s="114">
        <f>I49-I17-I34-I35-I36-I37-I46-I47</f>
        <v>21290948.005870014</v>
      </c>
      <c r="K50" s="163">
        <f>K49-K17-K34-K35-K36-K37-K46-K47</f>
        <v>1884489.5191679567</v>
      </c>
      <c r="L50" s="159"/>
      <c r="M50" s="185">
        <f>M49-M17-M34-M35-M36-M37-M46-M47</f>
        <v>68216.3939235586</v>
      </c>
      <c r="N50" s="190">
        <f t="shared" si="2"/>
        <v>3.6198871487318027E-2</v>
      </c>
      <c r="O50" s="159"/>
      <c r="P50" s="185">
        <f>P49-P17-P34-P35-P36-P37-P46-P47</f>
        <v>75379.580766718267</v>
      </c>
      <c r="Q50" s="190">
        <f t="shared" si="3"/>
        <v>0.04</v>
      </c>
    </row>
    <row r="51" spans="1:17" ht="16.5" thickTop="1">
      <c r="A51" s="153"/>
      <c r="B51" s="153"/>
      <c r="C51" s="154"/>
      <c r="D51" s="138"/>
      <c r="E51" s="155"/>
      <c r="F51" s="138"/>
      <c r="G51" s="138"/>
      <c r="H51" s="138"/>
      <c r="I51" s="138"/>
      <c r="J51" s="138"/>
      <c r="K51" s="164"/>
      <c r="L51" s="164"/>
      <c r="M51" s="164"/>
      <c r="N51" s="164"/>
      <c r="O51" s="164"/>
      <c r="P51" s="164"/>
      <c r="Q51" s="164"/>
    </row>
    <row r="52" spans="1:17">
      <c r="A52" s="153"/>
      <c r="B52" s="153"/>
      <c r="C52" s="154"/>
      <c r="D52" s="138"/>
      <c r="E52" s="155"/>
      <c r="F52" s="138"/>
      <c r="G52" s="138"/>
      <c r="H52" s="138"/>
      <c r="I52" s="138"/>
      <c r="J52" s="138"/>
      <c r="K52" s="164"/>
      <c r="L52" s="164"/>
      <c r="M52" s="369"/>
      <c r="N52" s="370" t="s">
        <v>358</v>
      </c>
      <c r="O52" s="371"/>
      <c r="P52" s="371"/>
      <c r="Q52" s="372"/>
    </row>
    <row r="53" spans="1:17">
      <c r="K53" s="191"/>
      <c r="M53" s="369"/>
      <c r="N53" s="192"/>
      <c r="O53" s="193"/>
      <c r="P53" s="194">
        <v>0.04</v>
      </c>
      <c r="Q53" s="368"/>
    </row>
    <row r="54" spans="1:17">
      <c r="P54" s="373"/>
    </row>
  </sheetData>
  <printOptions horizontalCentered="1"/>
  <pageMargins left="0.25" right="0.25" top="0.75" bottom="0.5" header="0.25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Rate Spread</vt:lpstr>
      <vt:lpstr>Rate Design</vt:lpstr>
      <vt:lpstr>Res Bill Impact</vt:lpstr>
      <vt:lpstr>RateSpread-1</vt:lpstr>
      <vt:lpstr>'RateSpread-1'!Print_Area</vt:lpstr>
      <vt:lpstr>'Res Bill Impact'!Print_Area</vt:lpstr>
      <vt:lpstr>'Rate Design'!Print_Titles</vt:lpstr>
      <vt:lpstr>'RateSpread-1'!Print_Titles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2015-11-18T22:47:52Z</dcterms:created>
  <dcterms:modified xsi:type="dcterms:W3CDTF">2015-11-23T18:35:28Z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