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605"/>
  </bookViews>
  <sheets>
    <sheet name="(Exh.1) Comm Ord Meth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>'[4]1993'!#REF!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'[13]Check Dollars'!$R$258:$S$643</definedName>
    <definedName name="ContractTypeMWh">'[13]Check MWh'!$R$258:$S$643</definedName>
    <definedName name="COSFacVal">[5]Inputs!$W$11</definedName>
    <definedName name="Cost">#REF!</definedName>
    <definedName name="DATA5">[14]DS13!$E$2:$E$103</definedName>
    <definedName name="DATA6">[14]DS13!$F$2:$F$103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[19]!Macro2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[20]lookup!$C$98:$D$107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'[4]1993'!#REF!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[21]Inputs!#REF!</definedName>
    <definedName name="PSATable">[13]Hermiston!$A$41:$E$56</definedName>
    <definedName name="Purchases">[20]lookup!$C$21:$D$64</definedName>
    <definedName name="QFs">[20]lookup!$C$66:$D$96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[20]lookup!$C$3:$D$19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[20]lookup!$C$109:$D$126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[22]Transm2!$A$1:$M$461:'[22]10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[23]Inputs!#REF!</definedName>
    <definedName name="WinterPeak">'[24]Load Data'!$D$9:$H$12,'[24]Load Data'!$D$20:$H$22</definedName>
    <definedName name="Workforce_Data">OFFSET([25]Workforce!$A$1,0,0,COUNTA([25]Workforce!$A$1:$A$65536),COUNTA([25]Workforce!$A$1:$IV$1))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  <c r="S44" i="1"/>
  <c r="M43" i="1"/>
  <c r="N43" i="1" s="1"/>
  <c r="O43" i="1" s="1"/>
  <c r="P43" i="1" s="1"/>
  <c r="Q43" i="1" s="1"/>
  <c r="I43" i="1"/>
  <c r="J43" i="1" s="1"/>
  <c r="K43" i="1" s="1"/>
  <c r="L43" i="1" s="1"/>
  <c r="H43" i="1"/>
  <c r="G43" i="1"/>
  <c r="S37" i="1"/>
  <c r="P37" i="1" s="1"/>
  <c r="Q37" i="1"/>
  <c r="M37" i="1"/>
  <c r="I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Q24" i="1"/>
  <c r="P24" i="1"/>
  <c r="O24" i="1"/>
  <c r="N24" i="1"/>
  <c r="M24" i="1"/>
  <c r="L24" i="1"/>
  <c r="K24" i="1"/>
  <c r="J24" i="1"/>
  <c r="I24" i="1"/>
  <c r="H24" i="1"/>
  <c r="G24" i="1"/>
  <c r="F24" i="1"/>
  <c r="S24" i="1" s="1"/>
  <c r="G21" i="1"/>
  <c r="F21" i="1"/>
  <c r="D21" i="1"/>
  <c r="G20" i="1"/>
  <c r="G22" i="1" s="1"/>
  <c r="G26" i="1" s="1"/>
  <c r="F20" i="1"/>
  <c r="F22" i="1" s="1"/>
  <c r="D20" i="1"/>
  <c r="F14" i="1"/>
  <c r="D14" i="1"/>
  <c r="G11" i="1"/>
  <c r="G12" i="1" s="1"/>
  <c r="G16" i="1" s="1"/>
  <c r="G30" i="1" s="1"/>
  <c r="G32" i="1" s="1"/>
  <c r="G34" i="1" s="1"/>
  <c r="F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H6" i="1"/>
  <c r="H21" i="1" s="1"/>
  <c r="G6" i="1"/>
  <c r="G14" i="1" s="1"/>
  <c r="A3" i="1"/>
  <c r="A2" i="1"/>
  <c r="A1" i="1"/>
  <c r="G39" i="1" l="1"/>
  <c r="G45" i="1" s="1"/>
  <c r="H14" i="1"/>
  <c r="F12" i="1"/>
  <c r="S10" i="1"/>
  <c r="A12" i="1"/>
  <c r="A10" i="1"/>
  <c r="A11" i="1"/>
  <c r="H20" i="1"/>
  <c r="H22" i="1" s="1"/>
  <c r="H26" i="1" s="1"/>
  <c r="H11" i="1"/>
  <c r="H12" i="1" s="1"/>
  <c r="I6" i="1"/>
  <c r="F26" i="1"/>
  <c r="S36" i="1"/>
  <c r="G37" i="1"/>
  <c r="K37" i="1"/>
  <c r="O37" i="1"/>
  <c r="F37" i="1"/>
  <c r="J37" i="1"/>
  <c r="N37" i="1"/>
  <c r="H37" i="1"/>
  <c r="L37" i="1"/>
  <c r="D12" i="1" l="1"/>
  <c r="I20" i="1"/>
  <c r="I11" i="1"/>
  <c r="J6" i="1"/>
  <c r="I21" i="1"/>
  <c r="I14" i="1"/>
  <c r="A14" i="1"/>
  <c r="F16" i="1"/>
  <c r="F30" i="1" s="1"/>
  <c r="F32" i="1" s="1"/>
  <c r="H16" i="1"/>
  <c r="H30" i="1" s="1"/>
  <c r="H32" i="1" s="1"/>
  <c r="H34" i="1" s="1"/>
  <c r="H39" i="1" s="1"/>
  <c r="H45" i="1" s="1"/>
  <c r="A16" i="1" l="1"/>
  <c r="J21" i="1"/>
  <c r="J14" i="1"/>
  <c r="K6" i="1"/>
  <c r="J20" i="1"/>
  <c r="J22" i="1" s="1"/>
  <c r="J26" i="1" s="1"/>
  <c r="J11" i="1"/>
  <c r="J12" i="1" s="1"/>
  <c r="D16" i="1"/>
  <c r="I12" i="1"/>
  <c r="F34" i="1"/>
  <c r="I22" i="1"/>
  <c r="F39" i="1" l="1"/>
  <c r="I16" i="1"/>
  <c r="K14" i="1"/>
  <c r="K21" i="1"/>
  <c r="K20" i="1"/>
  <c r="K11" i="1"/>
  <c r="L6" i="1"/>
  <c r="I26" i="1"/>
  <c r="J16" i="1"/>
  <c r="J30" i="1" s="1"/>
  <c r="J32" i="1" s="1"/>
  <c r="J34" i="1" s="1"/>
  <c r="J39" i="1" s="1"/>
  <c r="J45" i="1" s="1"/>
  <c r="A20" i="1"/>
  <c r="L20" i="1" l="1"/>
  <c r="L11" i="1"/>
  <c r="L12" i="1" s="1"/>
  <c r="M6" i="1"/>
  <c r="L14" i="1"/>
  <c r="L21" i="1"/>
  <c r="F45" i="1"/>
  <c r="K12" i="1"/>
  <c r="A21" i="1"/>
  <c r="K22" i="1"/>
  <c r="I30" i="1"/>
  <c r="I32" i="1" s="1"/>
  <c r="K26" i="1" l="1"/>
  <c r="K16" i="1"/>
  <c r="A22" i="1"/>
  <c r="A24" i="1" s="1"/>
  <c r="D22" i="1"/>
  <c r="F47" i="1"/>
  <c r="G44" i="1" s="1"/>
  <c r="F46" i="1"/>
  <c r="M20" i="1"/>
  <c r="M22" i="1" s="1"/>
  <c r="M26" i="1" s="1"/>
  <c r="M11" i="1"/>
  <c r="N6" i="1"/>
  <c r="M21" i="1"/>
  <c r="M14" i="1"/>
  <c r="I34" i="1"/>
  <c r="L16" i="1"/>
  <c r="L22" i="1"/>
  <c r="L26" i="1" s="1"/>
  <c r="A26" i="1" l="1"/>
  <c r="D30" i="1" s="1"/>
  <c r="I39" i="1"/>
  <c r="M12" i="1"/>
  <c r="G46" i="1"/>
  <c r="G47" i="1"/>
  <c r="H44" i="1" s="1"/>
  <c r="L30" i="1"/>
  <c r="L32" i="1" s="1"/>
  <c r="L34" i="1" s="1"/>
  <c r="L39" i="1" s="1"/>
  <c r="L45" i="1" s="1"/>
  <c r="K30" i="1"/>
  <c r="K32" i="1" s="1"/>
  <c r="A30" i="1"/>
  <c r="D32" i="1" s="1"/>
  <c r="N21" i="1"/>
  <c r="N14" i="1"/>
  <c r="N20" i="1"/>
  <c r="N11" i="1"/>
  <c r="N12" i="1" s="1"/>
  <c r="O6" i="1"/>
  <c r="D26" i="1"/>
  <c r="A32" i="1"/>
  <c r="D34" i="1" l="1"/>
  <c r="A34" i="1"/>
  <c r="I45" i="1"/>
  <c r="O14" i="1"/>
  <c r="P6" i="1"/>
  <c r="O21" i="1"/>
  <c r="O20" i="1"/>
  <c r="O22" i="1" s="1"/>
  <c r="O26" i="1" s="1"/>
  <c r="O11" i="1"/>
  <c r="O12" i="1" s="1"/>
  <c r="O16" i="1" s="1"/>
  <c r="K34" i="1"/>
  <c r="N16" i="1"/>
  <c r="N30" i="1" s="1"/>
  <c r="N32" i="1" s="1"/>
  <c r="N34" i="1" s="1"/>
  <c r="N39" i="1" s="1"/>
  <c r="N45" i="1" s="1"/>
  <c r="M16" i="1"/>
  <c r="M30" i="1" s="1"/>
  <c r="M32" i="1" s="1"/>
  <c r="M34" i="1" s="1"/>
  <c r="M39" i="1" s="1"/>
  <c r="M45" i="1" s="1"/>
  <c r="N22" i="1"/>
  <c r="N26" i="1" s="1"/>
  <c r="H46" i="1"/>
  <c r="H47" i="1"/>
  <c r="I44" i="1" s="1"/>
  <c r="I46" i="1" l="1"/>
  <c r="I47" i="1"/>
  <c r="J44" i="1" s="1"/>
  <c r="K39" i="1"/>
  <c r="P20" i="1"/>
  <c r="P22" i="1" s="1"/>
  <c r="P26" i="1" s="1"/>
  <c r="P11" i="1"/>
  <c r="P12" i="1" s="1"/>
  <c r="Q6" i="1"/>
  <c r="P21" i="1"/>
  <c r="P14" i="1"/>
  <c r="A36" i="1"/>
  <c r="A37" i="1" s="1"/>
  <c r="A39" i="1" s="1"/>
  <c r="O30" i="1"/>
  <c r="O32" i="1" s="1"/>
  <c r="O34" i="1" s="1"/>
  <c r="O39" i="1" s="1"/>
  <c r="O45" i="1" s="1"/>
  <c r="Q20" i="1" l="1"/>
  <c r="Q11" i="1"/>
  <c r="Q21" i="1"/>
  <c r="S21" i="1" s="1"/>
  <c r="Q14" i="1"/>
  <c r="S14" i="1" s="1"/>
  <c r="K45" i="1"/>
  <c r="D39" i="1"/>
  <c r="P16" i="1"/>
  <c r="P30" i="1" s="1"/>
  <c r="P32" i="1" s="1"/>
  <c r="J46" i="1"/>
  <c r="J47" i="1" s="1"/>
  <c r="K44" i="1" s="1"/>
  <c r="D45" i="1"/>
  <c r="A43" i="1"/>
  <c r="K46" i="1" l="1"/>
  <c r="K47" i="1"/>
  <c r="L44" i="1" s="1"/>
  <c r="P34" i="1"/>
  <c r="A44" i="1"/>
  <c r="Q12" i="1"/>
  <c r="S11" i="1"/>
  <c r="Q22" i="1"/>
  <c r="S20" i="1"/>
  <c r="Q16" i="1" l="1"/>
  <c r="S12" i="1"/>
  <c r="S16" i="1" s="1"/>
  <c r="P39" i="1"/>
  <c r="Q26" i="1"/>
  <c r="S22" i="1"/>
  <c r="S26" i="1" s="1"/>
  <c r="A45" i="1"/>
  <c r="A46" i="1" s="1"/>
  <c r="A47" i="1" s="1"/>
  <c r="L46" i="1"/>
  <c r="L47" i="1"/>
  <c r="M44" i="1" s="1"/>
  <c r="D44" i="1" l="1"/>
  <c r="A50" i="1"/>
  <c r="A52" i="1" s="1"/>
  <c r="A54" i="1" s="1"/>
  <c r="D46" i="1"/>
  <c r="D47" i="1"/>
  <c r="P45" i="1"/>
  <c r="M46" i="1"/>
  <c r="M47" i="1"/>
  <c r="N44" i="1" s="1"/>
  <c r="S30" i="1"/>
  <c r="Q30" i="1"/>
  <c r="Q32" i="1" s="1"/>
  <c r="Q34" i="1" l="1"/>
  <c r="S32" i="1"/>
  <c r="N46" i="1"/>
  <c r="N47" i="1" s="1"/>
  <c r="O44" i="1" s="1"/>
  <c r="D54" i="1"/>
  <c r="D52" i="1"/>
  <c r="O46" i="1" l="1"/>
  <c r="O47" i="1"/>
  <c r="P44" i="1" s="1"/>
  <c r="Q39" i="1"/>
  <c r="S34" i="1"/>
  <c r="Q45" i="1" l="1"/>
  <c r="S45" i="1" s="1"/>
  <c r="S39" i="1"/>
  <c r="P46" i="1"/>
  <c r="P47" i="1"/>
  <c r="Q44" i="1" s="1"/>
  <c r="Q46" i="1" l="1"/>
  <c r="S46" i="1" s="1"/>
  <c r="Q47" i="1"/>
  <c r="S47" i="1"/>
  <c r="S52" i="1" l="1"/>
  <c r="S54" i="1" s="1"/>
</calcChain>
</file>

<file path=xl/sharedStrings.xml><?xml version="1.0" encoding="utf-8"?>
<sst xmlns="http://schemas.openxmlformats.org/spreadsheetml/2006/main" count="38" uniqueCount="32">
  <si>
    <t>Line No.</t>
  </si>
  <si>
    <t>Reference</t>
  </si>
  <si>
    <t>Total</t>
  </si>
  <si>
    <t>Actual: Utah Allocated</t>
  </si>
  <si>
    <t>NPC</t>
  </si>
  <si>
    <t>Wheeling Revenue</t>
  </si>
  <si>
    <t>Jurisdictional Sales</t>
  </si>
  <si>
    <t>Actual Utah $/MWh</t>
  </si>
  <si>
    <t>Base:  Utah Allocated</t>
  </si>
  <si>
    <t>Base Utah $/MWh</t>
  </si>
  <si>
    <t>Deferral:</t>
  </si>
  <si>
    <t>$/ MWH Differential</t>
  </si>
  <si>
    <t>Total Deferrable</t>
  </si>
  <si>
    <t>Incremental EBA Deferral at 70% Sharing</t>
  </si>
  <si>
    <t>Coal Fuel Savings from Deer Creek Mine Closure not Subject to Sharing</t>
  </si>
  <si>
    <t>Workpaper (6.1)</t>
  </si>
  <si>
    <t>Incremental Non-Fuel FAS 106 Savings</t>
  </si>
  <si>
    <t>Workpaper (6.2)</t>
  </si>
  <si>
    <t>Total Incremental EBA Deferral</t>
  </si>
  <si>
    <t>Energy Balancing Account:</t>
  </si>
  <si>
    <t>Monthly Interest Rate (6% Annual)</t>
  </si>
  <si>
    <t>Note 1</t>
  </si>
  <si>
    <t>Beginning Balance</t>
  </si>
  <si>
    <t>Incremental Deferral</t>
  </si>
  <si>
    <t>Interest</t>
  </si>
  <si>
    <t>Ending Balance</t>
  </si>
  <si>
    <t>Deer Creek Mine Amortization</t>
  </si>
  <si>
    <t>Interest through October 31, 2016</t>
  </si>
  <si>
    <t>Requested EBA Recovery</t>
  </si>
  <si>
    <t xml:space="preserve">Note: </t>
  </si>
  <si>
    <t>Docket No. 09-035-15, March 2, 2011 Report and Order, Page 79 and</t>
  </si>
  <si>
    <t>Docket No. 15-035-69, January 20, 2016 Order, Page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</si>
</sst>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\ #,##0.00_);_(&quot;$&quot;* \(#,##0.00\);_(&quot;$&quot;* &quot;-&quot;??_);_(@_)"/>
    <numFmt numFmtId="166" formatCode="_(* #,##0_);_(* \(#,##0\);_(* &quot;-&quot;??_);_(@_)"/>
    <numFmt numFmtId="167" formatCode="_(&quot;$&quot;\ #,##0.00_);_(&quot;$&quot;\ \(#,##0.00\);_(&quot;$&quot;\ &quot;-&quot;??_);_(@_)"/>
    <numFmt numFmtId="168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3" fillId="0" borderId="0" xfId="0" quotePrefix="1" applyNumberFormat="1" applyFont="1" applyFill="1" applyAlignment="1">
      <alignment horizontal="center" vertical="center" wrapText="1"/>
    </xf>
    <xf numFmtId="4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0" xfId="0" quotePrefix="1" applyFont="1" applyFill="1" applyAlignment="1">
      <alignment horizontal="center" vertical="center" wrapText="1"/>
    </xf>
    <xf numFmtId="42" fontId="3" fillId="0" borderId="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166" fontId="3" fillId="0" borderId="0" xfId="1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7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42" fontId="4" fillId="0" borderId="2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0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2" fontId="3" fillId="0" borderId="1" xfId="0" applyNumberFormat="1" applyFont="1" applyFill="1" applyBorder="1" applyAlignment="1">
      <alignment horizontal="right" vertical="center"/>
    </xf>
    <xf numFmtId="42" fontId="4" fillId="0" borderId="3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38" fontId="3" fillId="0" borderId="0" xfId="0" applyNumberFormat="1" applyFont="1" applyFill="1" applyAlignment="1">
      <alignment horizontal="right" vertical="center"/>
    </xf>
    <xf numFmtId="168" fontId="4" fillId="0" borderId="0" xfId="2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8" fontId="2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7" fontId="3" fillId="0" borderId="0" xfId="0" applyNumberFormat="1" applyFont="1" applyFill="1" applyAlignment="1">
      <alignment vertical="center"/>
    </xf>
    <xf numFmtId="166" fontId="0" fillId="0" borderId="0" xfId="1" applyNumberFormat="1" applyFont="1" applyFill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AppData\Local\Temp\Temp1_16-035-01%20RMP%20EBA%20Response%20Testimony%20Natives%20.zip\Wilding\Confidential%20EBA%20Response%20Workpap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\WY%2020000-xxx-EA-16%20(2016%20ECAM)\Quarterly%20Filings\Q3\Source\WY%20(CY%202012)%20ECAM%20ECD_Exhibit%20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Response Table 1"/>
      <sheetName val="(Exh.1) Comm Ord Methd"/>
      <sheetName val="(2.1) UT Allocated Actual NPC"/>
      <sheetName val="(2.2) Adj Actual NPC by Cat"/>
      <sheetName val="(2.3) Adj Actual NPC"/>
      <sheetName val="(2.4) Adjustments"/>
      <sheetName val="(2.5) Actual NPC"/>
      <sheetName val="(3.1) Allctd Base NPC (GRC14)"/>
      <sheetName val="(3.2) Base NPC by Cat (GRC14)"/>
      <sheetName val="(3.3) Base UTGRC14 Stlmt NPC"/>
      <sheetName val="(3.4) BaseNPC by Cat (GRC14) S2"/>
      <sheetName val="(3.5) Base UTGRC14 Stlmt NPC S2"/>
      <sheetName val="(4.1) Wheeling Revenues"/>
      <sheetName val="(5.1) Actual Factors"/>
      <sheetName val="(5.2) Utah Sales"/>
      <sheetName val="(6.1) Deer Creek"/>
      <sheetName val="(6.2) Deer Creek FAS 106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2015 - December 31, 2015</v>
          </cell>
        </row>
        <row r="8">
          <cell r="B8" t="str">
            <v>Response Exhibit 1</v>
          </cell>
          <cell r="C8" t="str">
            <v>Commission Order Calculation Method (Dynamic Annual Allocation Factor)</v>
          </cell>
        </row>
        <row r="11">
          <cell r="B11" t="str">
            <v>(2.1)</v>
          </cell>
        </row>
        <row r="18">
          <cell r="B18" t="str">
            <v>(3.1)</v>
          </cell>
        </row>
        <row r="25">
          <cell r="B25" t="str">
            <v>(4.1)</v>
          </cell>
        </row>
        <row r="29">
          <cell r="B29" t="str">
            <v>(5.2)</v>
          </cell>
        </row>
      </sheetData>
      <sheetData sheetId="1"/>
      <sheetData sheetId="2"/>
      <sheetData sheetId="3">
        <row r="78">
          <cell r="I78">
            <v>54014607.182504341</v>
          </cell>
          <cell r="J78">
            <v>47500165.981084302</v>
          </cell>
          <cell r="K78">
            <v>52889401.701993927</v>
          </cell>
          <cell r="L78">
            <v>51439400.737394214</v>
          </cell>
          <cell r="M78">
            <v>52364633.575614676</v>
          </cell>
          <cell r="N78">
            <v>65248126.670799322</v>
          </cell>
          <cell r="O78">
            <v>72269773.157944709</v>
          </cell>
          <cell r="P78">
            <v>63563420.663557686</v>
          </cell>
          <cell r="Q78">
            <v>54000275.352265351</v>
          </cell>
          <cell r="R78">
            <v>50132190.163587235</v>
          </cell>
          <cell r="S78">
            <v>50396484.547194749</v>
          </cell>
          <cell r="T78">
            <v>54153592.629895553</v>
          </cell>
        </row>
      </sheetData>
      <sheetData sheetId="4"/>
      <sheetData sheetId="5"/>
      <sheetData sheetId="6"/>
      <sheetData sheetId="7"/>
      <sheetData sheetId="8">
        <row r="47">
          <cell r="I47">
            <v>7</v>
          </cell>
          <cell r="J47">
            <v>8</v>
          </cell>
          <cell r="K47">
            <v>9</v>
          </cell>
          <cell r="L47">
            <v>10</v>
          </cell>
          <cell r="M47">
            <v>11</v>
          </cell>
          <cell r="N47">
            <v>12</v>
          </cell>
          <cell r="O47">
            <v>1</v>
          </cell>
          <cell r="P47">
            <v>2</v>
          </cell>
          <cell r="Q47">
            <v>3</v>
          </cell>
          <cell r="R47">
            <v>4</v>
          </cell>
          <cell r="S47">
            <v>5</v>
          </cell>
          <cell r="T47">
            <v>6</v>
          </cell>
        </row>
        <row r="83">
          <cell r="I83">
            <v>60701242.888681665</v>
          </cell>
          <cell r="J83">
            <v>61062006.270769373</v>
          </cell>
          <cell r="K83">
            <v>49740054.401154719</v>
          </cell>
          <cell r="L83">
            <v>49325488.310134262</v>
          </cell>
          <cell r="M83">
            <v>49731889.450345367</v>
          </cell>
          <cell r="N83">
            <v>53488152.98428151</v>
          </cell>
          <cell r="O83">
            <v>53117940.757971913</v>
          </cell>
          <cell r="P83">
            <v>49507268.866086148</v>
          </cell>
          <cell r="Q83">
            <v>52799108.019019946</v>
          </cell>
          <cell r="R83">
            <v>48414024.514419563</v>
          </cell>
          <cell r="S83">
            <v>49396078.649529129</v>
          </cell>
          <cell r="T83">
            <v>52050078.220939748</v>
          </cell>
        </row>
      </sheetData>
      <sheetData sheetId="9"/>
      <sheetData sheetId="10"/>
      <sheetData sheetId="11"/>
      <sheetData sheetId="12"/>
      <sheetData sheetId="13">
        <row r="10"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42005</v>
          </cell>
          <cell r="H10">
            <v>42036</v>
          </cell>
          <cell r="I10">
            <v>42064</v>
          </cell>
          <cell r="J10">
            <v>42095</v>
          </cell>
          <cell r="K10">
            <v>42125</v>
          </cell>
          <cell r="L10">
            <v>42156</v>
          </cell>
          <cell r="M10">
            <v>42186</v>
          </cell>
          <cell r="N10">
            <v>42217</v>
          </cell>
          <cell r="O10">
            <v>42248</v>
          </cell>
          <cell r="P10">
            <v>42278</v>
          </cell>
          <cell r="Q10">
            <v>42309</v>
          </cell>
          <cell r="R10">
            <v>42339</v>
          </cell>
          <cell r="T10" t="str">
            <v>Total</v>
          </cell>
        </row>
        <row r="45">
          <cell r="F45" t="str">
            <v>Utah Allocated Actual Wheeling Revenues</v>
          </cell>
          <cell r="G45">
            <v>-3056143.9152936041</v>
          </cell>
          <cell r="H45">
            <v>-3173895.7028008653</v>
          </cell>
          <cell r="I45">
            <v>-3252175.8063646303</v>
          </cell>
          <cell r="J45">
            <v>-3105832.2071205387</v>
          </cell>
          <cell r="K45">
            <v>-3005935.7865662929</v>
          </cell>
          <cell r="L45">
            <v>-3805638.5351652983</v>
          </cell>
          <cell r="M45">
            <v>-3998361.4505489431</v>
          </cell>
          <cell r="N45">
            <v>-4076570.2017495828</v>
          </cell>
          <cell r="O45">
            <v>-3810703.1779843443</v>
          </cell>
          <cell r="P45">
            <v>-3258190.4776467923</v>
          </cell>
          <cell r="Q45">
            <v>-3289461.410626153</v>
          </cell>
          <cell r="R45">
            <v>-3097781.2146133762</v>
          </cell>
          <cell r="T45">
            <v>-40930689.886480421</v>
          </cell>
        </row>
        <row r="51">
          <cell r="G51">
            <v>42005</v>
          </cell>
          <cell r="H51">
            <v>42036</v>
          </cell>
          <cell r="I51">
            <v>42064</v>
          </cell>
          <cell r="J51">
            <v>42095</v>
          </cell>
          <cell r="K51">
            <v>42125</v>
          </cell>
          <cell r="L51">
            <v>42156</v>
          </cell>
          <cell r="M51">
            <v>42186</v>
          </cell>
          <cell r="N51">
            <v>42217</v>
          </cell>
          <cell r="O51">
            <v>42248</v>
          </cell>
          <cell r="P51">
            <v>42278</v>
          </cell>
          <cell r="Q51">
            <v>42309</v>
          </cell>
          <cell r="R51">
            <v>42339</v>
          </cell>
        </row>
        <row r="59">
          <cell r="G59">
            <v>-3422346.376176998</v>
          </cell>
          <cell r="H59">
            <v>-3422346.376176998</v>
          </cell>
          <cell r="I59">
            <v>-3422346.376176998</v>
          </cell>
          <cell r="J59">
            <v>-3422346.376176998</v>
          </cell>
          <cell r="K59">
            <v>-3422346.376176998</v>
          </cell>
          <cell r="L59">
            <v>-3422346.376176998</v>
          </cell>
          <cell r="M59">
            <v>-3422346.376176998</v>
          </cell>
          <cell r="N59">
            <v>-3422346.376176998</v>
          </cell>
          <cell r="O59">
            <v>-3422346.376176998</v>
          </cell>
          <cell r="P59">
            <v>-3422346.376176998</v>
          </cell>
          <cell r="Q59">
            <v>-3422346.376176998</v>
          </cell>
          <cell r="R59">
            <v>-3422346.376176998</v>
          </cell>
        </row>
      </sheetData>
      <sheetData sheetId="14"/>
      <sheetData sheetId="15">
        <row r="9">
          <cell r="E9">
            <v>42005</v>
          </cell>
          <cell r="F9">
            <v>42036</v>
          </cell>
          <cell r="G9">
            <v>42064</v>
          </cell>
          <cell r="H9">
            <v>42095</v>
          </cell>
          <cell r="I9">
            <v>42125</v>
          </cell>
          <cell r="J9">
            <v>42156</v>
          </cell>
          <cell r="K9">
            <v>42186</v>
          </cell>
          <cell r="L9">
            <v>42217</v>
          </cell>
          <cell r="M9">
            <v>42248</v>
          </cell>
          <cell r="N9">
            <v>42278</v>
          </cell>
          <cell r="O9">
            <v>42309</v>
          </cell>
          <cell r="P9">
            <v>42339</v>
          </cell>
          <cell r="R9" t="str">
            <v>Total</v>
          </cell>
        </row>
        <row r="15">
          <cell r="C15" t="str">
            <v>Total Utah Retail Sales</v>
          </cell>
          <cell r="E15">
            <v>2062868.3909999998</v>
          </cell>
          <cell r="F15">
            <v>1768977.2779999999</v>
          </cell>
          <cell r="G15">
            <v>1862919.2930000001</v>
          </cell>
          <cell r="H15">
            <v>1794971.3110000002</v>
          </cell>
          <cell r="I15">
            <v>1837620.2750000004</v>
          </cell>
          <cell r="J15">
            <v>2222023.4810000001</v>
          </cell>
          <cell r="K15">
            <v>2298574.8170000003</v>
          </cell>
          <cell r="L15">
            <v>2353460.7780000004</v>
          </cell>
          <cell r="M15">
            <v>1948417.8359999999</v>
          </cell>
          <cell r="N15">
            <v>1903130.686</v>
          </cell>
          <cell r="O15">
            <v>1967030.2259999998</v>
          </cell>
          <cell r="P15">
            <v>2107548.0990000004</v>
          </cell>
          <cell r="R15">
            <v>24127542.471000001</v>
          </cell>
        </row>
        <row r="23">
          <cell r="E23">
            <v>2191141.30568837</v>
          </cell>
          <cell r="F23">
            <v>2157502.0906118797</v>
          </cell>
          <cell r="G23">
            <v>1865836.6002939758</v>
          </cell>
          <cell r="H23">
            <v>1829380.8936000003</v>
          </cell>
          <cell r="I23">
            <v>1877678.2182000002</v>
          </cell>
          <cell r="J23">
            <v>2013528.5713025413</v>
          </cell>
          <cell r="K23">
            <v>2020369.6340750149</v>
          </cell>
          <cell r="L23">
            <v>1829853.6334000006</v>
          </cell>
          <cell r="M23">
            <v>1902391.4871999996</v>
          </cell>
          <cell r="N23">
            <v>1832113.2551000002</v>
          </cell>
          <cell r="O23">
            <v>1821070.3979</v>
          </cell>
          <cell r="P23">
            <v>1903418.8341139755</v>
          </cell>
        </row>
      </sheetData>
      <sheetData sheetId="16">
        <row r="38">
          <cell r="D38">
            <v>-36391.329567505694</v>
          </cell>
          <cell r="E38">
            <v>-48934.010528659564</v>
          </cell>
          <cell r="F38">
            <v>9320.4503722967929</v>
          </cell>
          <cell r="G38">
            <v>-138029.14155202213</v>
          </cell>
          <cell r="H38">
            <v>-140198.6417440231</v>
          </cell>
          <cell r="I38">
            <v>-160756.28403328775</v>
          </cell>
          <cell r="J38">
            <v>-230556.74701469982</v>
          </cell>
          <cell r="K38">
            <v>-309302.84381917294</v>
          </cell>
          <cell r="L38">
            <v>-534208.03756695811</v>
          </cell>
          <cell r="M38">
            <v>-235945.39556929993</v>
          </cell>
          <cell r="N38">
            <v>-316463.59429858986</v>
          </cell>
          <cell r="O38">
            <v>-288816.94344835076</v>
          </cell>
          <cell r="P38">
            <v>-2430282.5187702728</v>
          </cell>
        </row>
        <row r="42">
          <cell r="P42">
            <v>9098763.9753091317</v>
          </cell>
        </row>
      </sheetData>
      <sheetData sheetId="17">
        <row r="13">
          <cell r="B13">
            <v>2941860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4"/>
  <sheetViews>
    <sheetView showGridLines="0" tabSelected="1" zoomScale="80" zoomScaleNormal="80" zoomScaleSheetLayoutView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20" sqref="K20"/>
    </sheetView>
  </sheetViews>
  <sheetFormatPr defaultColWidth="9.140625" defaultRowHeight="15.75" customHeight="1" x14ac:dyDescent="0.2"/>
  <cols>
    <col min="1" max="1" width="5.5703125" style="7" customWidth="1"/>
    <col min="2" max="2" width="36.42578125" style="8" customWidth="1"/>
    <col min="3" max="3" width="2.28515625" style="9" customWidth="1"/>
    <col min="4" max="4" width="25.140625" style="10" customWidth="1"/>
    <col min="5" max="5" width="2.28515625" style="9" customWidth="1"/>
    <col min="6" max="6" width="12.85546875" style="9" bestFit="1" customWidth="1"/>
    <col min="7" max="7" width="13.5703125" style="9" bestFit="1" customWidth="1"/>
    <col min="8" max="8" width="13.140625" style="9" bestFit="1" customWidth="1"/>
    <col min="9" max="9" width="12.85546875" style="9" bestFit="1" customWidth="1"/>
    <col min="10" max="10" width="13.140625" style="9" bestFit="1" customWidth="1"/>
    <col min="11" max="13" width="13.5703125" style="9" bestFit="1" customWidth="1"/>
    <col min="14" max="14" width="13.85546875" style="9" bestFit="1" customWidth="1"/>
    <col min="15" max="16" width="13.5703125" style="9" bestFit="1" customWidth="1"/>
    <col min="17" max="17" width="13.85546875" style="9" bestFit="1" customWidth="1"/>
    <col min="18" max="18" width="2.28515625" style="9" customWidth="1"/>
    <col min="19" max="19" width="15.28515625" style="9" customWidth="1"/>
    <col min="20" max="20" width="2.28515625" style="9" customWidth="1"/>
    <col min="21" max="21" width="20.28515625" style="12" customWidth="1"/>
    <col min="22" max="23" width="9.7109375" style="9" customWidth="1"/>
    <col min="24" max="16384" width="9.140625" style="9"/>
  </cols>
  <sheetData>
    <row r="1" spans="1:21" s="3" customFormat="1" ht="15.75" customHeight="1" x14ac:dyDescent="0.2">
      <c r="A1" s="1" t="str">
        <f>+'[26]Workpaper Index'!C4</f>
        <v>Utah Energy Balancing Account Mechanism</v>
      </c>
      <c r="B1" s="2"/>
      <c r="D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3" customFormat="1" ht="15.75" customHeight="1" x14ac:dyDescent="0.2">
      <c r="A2" s="1" t="str">
        <f>+'[26]Workpaper Index'!C5</f>
        <v>January 1, 2015 - December 31, 2015</v>
      </c>
      <c r="B2" s="2"/>
      <c r="D2" s="4"/>
      <c r="U2" s="6"/>
    </row>
    <row r="3" spans="1:21" s="3" customFormat="1" ht="15.75" customHeight="1" x14ac:dyDescent="0.2">
      <c r="A3" s="1" t="str">
        <f>+'[26]Workpaper Index'!B8&amp;" - "&amp;'[26]Workpaper Index'!C8</f>
        <v>Response Exhibit 1 - Commission Order Calculation Method (Dynamic Annual Allocation Factor)</v>
      </c>
      <c r="B3" s="2"/>
      <c r="D3" s="4"/>
      <c r="U3" s="6"/>
    </row>
    <row r="4" spans="1:21" ht="15.75" customHeight="1" x14ac:dyDescent="0.2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1:21" ht="15.75" customHeight="1" x14ac:dyDescent="0.2">
      <c r="A5" s="9"/>
      <c r="B5" s="13"/>
      <c r="R5" s="3"/>
    </row>
    <row r="6" spans="1:21" ht="25.5" x14ac:dyDescent="0.2">
      <c r="A6" s="14" t="s">
        <v>0</v>
      </c>
      <c r="B6" s="15"/>
      <c r="C6" s="3"/>
      <c r="D6" s="16" t="s">
        <v>1</v>
      </c>
      <c r="E6" s="3"/>
      <c r="F6" s="17">
        <v>42005</v>
      </c>
      <c r="G6" s="17">
        <f>EDATE(F6,1)</f>
        <v>42036</v>
      </c>
      <c r="H6" s="17">
        <f t="shared" ref="H6:O6" si="0">EDATE(G6,1)</f>
        <v>42064</v>
      </c>
      <c r="I6" s="17">
        <f t="shared" si="0"/>
        <v>42095</v>
      </c>
      <c r="J6" s="17">
        <f t="shared" si="0"/>
        <v>42125</v>
      </c>
      <c r="K6" s="17">
        <f t="shared" si="0"/>
        <v>42156</v>
      </c>
      <c r="L6" s="17">
        <f t="shared" si="0"/>
        <v>42186</v>
      </c>
      <c r="M6" s="17">
        <f t="shared" si="0"/>
        <v>42217</v>
      </c>
      <c r="N6" s="17">
        <f t="shared" si="0"/>
        <v>42248</v>
      </c>
      <c r="O6" s="17">
        <f t="shared" si="0"/>
        <v>42278</v>
      </c>
      <c r="P6" s="17">
        <f>EDATE(O6,1)</f>
        <v>42309</v>
      </c>
      <c r="Q6" s="17">
        <f>EDATE(P6,1)</f>
        <v>42339</v>
      </c>
      <c r="R6" s="3"/>
      <c r="S6" s="17" t="s">
        <v>2</v>
      </c>
      <c r="T6" s="18"/>
    </row>
    <row r="7" spans="1:21" ht="15.75" customHeight="1" x14ac:dyDescent="0.2">
      <c r="A7" s="19"/>
      <c r="B7" s="20"/>
      <c r="C7" s="3"/>
      <c r="D7" s="21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3"/>
      <c r="S7" s="22"/>
      <c r="T7" s="23"/>
      <c r="U7" s="24"/>
    </row>
    <row r="8" spans="1:21" ht="15.75" customHeight="1" x14ac:dyDescent="0.2">
      <c r="A8" s="25" t="s">
        <v>3</v>
      </c>
      <c r="B8" s="2"/>
      <c r="C8" s="3"/>
      <c r="D8" s="21"/>
      <c r="E8" s="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23"/>
      <c r="T8" s="23"/>
      <c r="U8" s="24"/>
    </row>
    <row r="9" spans="1:21" ht="15.75" customHeight="1" x14ac:dyDescent="0.2">
      <c r="A9" s="26"/>
      <c r="B9" s="20"/>
      <c r="C9" s="25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"/>
      <c r="S9" s="28"/>
      <c r="T9" s="23"/>
      <c r="U9" s="24"/>
    </row>
    <row r="10" spans="1:21" ht="15.75" customHeight="1" x14ac:dyDescent="0.2">
      <c r="A10" s="26">
        <f>+MAX($A$1:A9)+1</f>
        <v>1</v>
      </c>
      <c r="B10" s="21" t="s">
        <v>4</v>
      </c>
      <c r="D10" s="29" t="str">
        <f>+'[26]Workpaper Index'!$B$11</f>
        <v>(2.1)</v>
      </c>
      <c r="F10" s="30">
        <f>+'[26](2.1) UT Allocated Actual NPC'!I$78</f>
        <v>54014607.182504341</v>
      </c>
      <c r="G10" s="30">
        <f>+'[26](2.1) UT Allocated Actual NPC'!J$78</f>
        <v>47500165.981084302</v>
      </c>
      <c r="H10" s="30">
        <f>+'[26](2.1) UT Allocated Actual NPC'!K$78</f>
        <v>52889401.701993927</v>
      </c>
      <c r="I10" s="30">
        <f>+'[26](2.1) UT Allocated Actual NPC'!L$78</f>
        <v>51439400.737394214</v>
      </c>
      <c r="J10" s="30">
        <f>+'[26](2.1) UT Allocated Actual NPC'!M$78</f>
        <v>52364633.575614676</v>
      </c>
      <c r="K10" s="30">
        <f>+'[26](2.1) UT Allocated Actual NPC'!N$78</f>
        <v>65248126.670799322</v>
      </c>
      <c r="L10" s="30">
        <f>+'[26](2.1) UT Allocated Actual NPC'!O$78</f>
        <v>72269773.157944709</v>
      </c>
      <c r="M10" s="30">
        <f>+'[26](2.1) UT Allocated Actual NPC'!P$78</f>
        <v>63563420.663557686</v>
      </c>
      <c r="N10" s="30">
        <f>+'[26](2.1) UT Allocated Actual NPC'!Q$78</f>
        <v>54000275.352265351</v>
      </c>
      <c r="O10" s="30">
        <f>+'[26](2.1) UT Allocated Actual NPC'!R$78</f>
        <v>50132190.163587235</v>
      </c>
      <c r="P10" s="30">
        <f>+'[26](2.1) UT Allocated Actual NPC'!S$78</f>
        <v>50396484.547194749</v>
      </c>
      <c r="Q10" s="30">
        <f>+'[26](2.1) UT Allocated Actual NPC'!T$78</f>
        <v>54153592.629895553</v>
      </c>
      <c r="R10" s="31"/>
      <c r="S10" s="30">
        <f>+SUM(F10:Q10)</f>
        <v>667972072.36383617</v>
      </c>
      <c r="T10" s="23"/>
      <c r="U10" s="24"/>
    </row>
    <row r="11" spans="1:21" ht="15.75" customHeight="1" x14ac:dyDescent="0.2">
      <c r="A11" s="26">
        <f>+MAX($A$1:A10)+1</f>
        <v>2</v>
      </c>
      <c r="B11" s="21" t="s">
        <v>5</v>
      </c>
      <c r="D11" s="32" t="str">
        <f>+'[26]Workpaper Index'!$B$25</f>
        <v>(4.1)</v>
      </c>
      <c r="F11" s="43">
        <f>+INDEX('[26](4.1) Wheeling Revenues'!$45:$45,1,MATCH(F$6,'[26](4.1) Wheeling Revenues'!$10:$10,0))</f>
        <v>-3056143.9152936041</v>
      </c>
      <c r="G11" s="43">
        <f>+INDEX('[26](4.1) Wheeling Revenues'!$45:$45,1,MATCH(G$6,'[26](4.1) Wheeling Revenues'!$10:$10,0))</f>
        <v>-3173895.7028008653</v>
      </c>
      <c r="H11" s="43">
        <f>+INDEX('[26](4.1) Wheeling Revenues'!$45:$45,1,MATCH(H$6,'[26](4.1) Wheeling Revenues'!$10:$10,0))</f>
        <v>-3252175.8063646303</v>
      </c>
      <c r="I11" s="43">
        <f>+INDEX('[26](4.1) Wheeling Revenues'!$45:$45,1,MATCH(I$6,'[26](4.1) Wheeling Revenues'!$10:$10,0))</f>
        <v>-3105832.2071205387</v>
      </c>
      <c r="J11" s="43">
        <f>+INDEX('[26](4.1) Wheeling Revenues'!$45:$45,1,MATCH(J$6,'[26](4.1) Wheeling Revenues'!$10:$10,0))</f>
        <v>-3005935.7865662929</v>
      </c>
      <c r="K11" s="43">
        <f>+INDEX('[26](4.1) Wheeling Revenues'!$45:$45,1,MATCH(K$6,'[26](4.1) Wheeling Revenues'!$10:$10,0))</f>
        <v>-3805638.5351652983</v>
      </c>
      <c r="L11" s="43">
        <f>+INDEX('[26](4.1) Wheeling Revenues'!$45:$45,1,MATCH(L$6,'[26](4.1) Wheeling Revenues'!$10:$10,0))</f>
        <v>-3998361.4505489431</v>
      </c>
      <c r="M11" s="43">
        <f>+INDEX('[26](4.1) Wheeling Revenues'!$45:$45,1,MATCH(M$6,'[26](4.1) Wheeling Revenues'!$10:$10,0))</f>
        <v>-4076570.2017495828</v>
      </c>
      <c r="N11" s="43">
        <f>+INDEX('[26](4.1) Wheeling Revenues'!$45:$45,1,MATCH(N$6,'[26](4.1) Wheeling Revenues'!$10:$10,0))</f>
        <v>-3810703.1779843443</v>
      </c>
      <c r="O11" s="43">
        <f>+INDEX('[26](4.1) Wheeling Revenues'!$45:$45,1,MATCH(O$6,'[26](4.1) Wheeling Revenues'!$10:$10,0))</f>
        <v>-3258190.4776467923</v>
      </c>
      <c r="P11" s="43">
        <f>+INDEX('[26](4.1) Wheeling Revenues'!$45:$45,1,MATCH(P$6,'[26](4.1) Wheeling Revenues'!$10:$10,0))</f>
        <v>-3289461.410626153</v>
      </c>
      <c r="Q11" s="43">
        <f>+INDEX('[26](4.1) Wheeling Revenues'!$45:$45,1,MATCH(Q$6,'[26](4.1) Wheeling Revenues'!$10:$10,0))</f>
        <v>-3097781.2146133762</v>
      </c>
      <c r="R11" s="71"/>
      <c r="S11" s="43">
        <f>+SUM(F11:Q11)</f>
        <v>-40930689.886480421</v>
      </c>
      <c r="T11" s="23"/>
      <c r="U11" s="24"/>
    </row>
    <row r="12" spans="1:21" ht="15.75" customHeight="1" x14ac:dyDescent="0.2">
      <c r="A12" s="26">
        <f>+MAX($A$1:A11)+1</f>
        <v>3</v>
      </c>
      <c r="B12" s="21" t="s">
        <v>2</v>
      </c>
      <c r="D12" s="10" t="str">
        <f>"∑ Lines "&amp;$A$10&amp;":"&amp;$A$11&amp;""</f>
        <v>∑ Lines 1:2</v>
      </c>
      <c r="F12" s="33">
        <f>+SUM(F10:F11)</f>
        <v>50958463.267210737</v>
      </c>
      <c r="G12" s="33">
        <f>+SUM(G10:G11)</f>
        <v>44326270.27828344</v>
      </c>
      <c r="H12" s="33">
        <f>+SUM(H10:H11)</f>
        <v>49637225.895629294</v>
      </c>
      <c r="I12" s="33">
        <f t="shared" ref="I12:Q12" si="1">+SUM(I10:I11)</f>
        <v>48333568.530273676</v>
      </c>
      <c r="J12" s="33">
        <f t="shared" si="1"/>
        <v>49358697.789048381</v>
      </c>
      <c r="K12" s="33">
        <f t="shared" si="1"/>
        <v>61442488.135634027</v>
      </c>
      <c r="L12" s="33">
        <f t="shared" si="1"/>
        <v>68271411.707395762</v>
      </c>
      <c r="M12" s="33">
        <f t="shared" si="1"/>
        <v>59486850.4618081</v>
      </c>
      <c r="N12" s="33">
        <f t="shared" si="1"/>
        <v>50189572.174281009</v>
      </c>
      <c r="O12" s="33">
        <f t="shared" si="1"/>
        <v>46873999.685940444</v>
      </c>
      <c r="P12" s="33">
        <f t="shared" si="1"/>
        <v>47107023.136568598</v>
      </c>
      <c r="Q12" s="33">
        <f t="shared" si="1"/>
        <v>51055811.415282175</v>
      </c>
      <c r="R12" s="31"/>
      <c r="S12" s="33">
        <f>+SUM(F12:Q12)</f>
        <v>627041382.4773556</v>
      </c>
      <c r="T12" s="23"/>
      <c r="U12" s="24"/>
    </row>
    <row r="13" spans="1:21" ht="15.75" customHeight="1" x14ac:dyDescent="0.2">
      <c r="A13" s="26"/>
      <c r="B13" s="2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1"/>
      <c r="S13" s="34"/>
      <c r="T13" s="23"/>
      <c r="U13" s="24"/>
    </row>
    <row r="14" spans="1:21" ht="15.75" customHeight="1" x14ac:dyDescent="0.2">
      <c r="A14" s="26">
        <f>+MAX($A$1:A13)+1</f>
        <v>4</v>
      </c>
      <c r="B14" s="21" t="s">
        <v>6</v>
      </c>
      <c r="D14" s="32" t="str">
        <f>+'[26]Workpaper Index'!$B$29</f>
        <v>(5.2)</v>
      </c>
      <c r="F14" s="34">
        <f>+INDEX('[26](5.2) Utah Sales'!15:15,MATCH(F6,'[26](5.2) Utah Sales'!9:9,0))</f>
        <v>2062868.3909999998</v>
      </c>
      <c r="G14" s="34">
        <f>+INDEX('[26](5.2) Utah Sales'!15:15,MATCH(G6,'[26](5.2) Utah Sales'!9:9,0))</f>
        <v>1768977.2779999999</v>
      </c>
      <c r="H14" s="34">
        <f>+INDEX('[26](5.2) Utah Sales'!15:15,MATCH(H6,'[26](5.2) Utah Sales'!9:9,0))</f>
        <v>1862919.2930000001</v>
      </c>
      <c r="I14" s="34">
        <f>+INDEX('[26](5.2) Utah Sales'!15:15,MATCH(I6,'[26](5.2) Utah Sales'!9:9,0))</f>
        <v>1794971.3110000002</v>
      </c>
      <c r="J14" s="34">
        <f>+INDEX('[26](5.2) Utah Sales'!15:15,MATCH(J6,'[26](5.2) Utah Sales'!9:9,0))</f>
        <v>1837620.2750000004</v>
      </c>
      <c r="K14" s="34">
        <f>+INDEX('[26](5.2) Utah Sales'!15:15,MATCH(K6,'[26](5.2) Utah Sales'!9:9,0))</f>
        <v>2222023.4810000001</v>
      </c>
      <c r="L14" s="34">
        <f>+INDEX('[26](5.2) Utah Sales'!15:15,MATCH(L6,'[26](5.2) Utah Sales'!9:9,0))</f>
        <v>2298574.8170000003</v>
      </c>
      <c r="M14" s="34">
        <f>+INDEX('[26](5.2) Utah Sales'!15:15,MATCH(M6,'[26](5.2) Utah Sales'!9:9,0))</f>
        <v>2353460.7780000004</v>
      </c>
      <c r="N14" s="34">
        <f>+INDEX('[26](5.2) Utah Sales'!15:15,MATCH(N6,'[26](5.2) Utah Sales'!9:9,0))</f>
        <v>1948417.8359999999</v>
      </c>
      <c r="O14" s="34">
        <f>+INDEX('[26](5.2) Utah Sales'!15:15,MATCH(O6,'[26](5.2) Utah Sales'!9:9,0))</f>
        <v>1903130.686</v>
      </c>
      <c r="P14" s="34">
        <f>+INDEX('[26](5.2) Utah Sales'!15:15,MATCH(P6,'[26](5.2) Utah Sales'!9:9,0))</f>
        <v>1967030.2259999998</v>
      </c>
      <c r="Q14" s="34">
        <f>+INDEX('[26](5.2) Utah Sales'!15:15,MATCH(Q6,'[26](5.2) Utah Sales'!9:9,0))</f>
        <v>2107548.0990000004</v>
      </c>
      <c r="R14" s="31"/>
      <c r="S14" s="34">
        <f>+SUM(F14:Q14)</f>
        <v>24127542.471000001</v>
      </c>
      <c r="T14" s="23"/>
      <c r="U14" s="24"/>
    </row>
    <row r="15" spans="1:21" ht="15.75" customHeight="1" x14ac:dyDescent="0.2">
      <c r="A15" s="26"/>
      <c r="B15" s="21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5"/>
      <c r="T15" s="23"/>
      <c r="U15" s="24"/>
    </row>
    <row r="16" spans="1:21" ht="15.75" customHeight="1" x14ac:dyDescent="0.2">
      <c r="A16" s="26">
        <f>+MAX($A$1:A15)+1</f>
        <v>5</v>
      </c>
      <c r="B16" s="21" t="s">
        <v>7</v>
      </c>
      <c r="D16" s="10" t="str">
        <f>"Line "&amp;$A$12&amp;" / Line "&amp;$A$14&amp;""</f>
        <v>Line 3 / Line 4</v>
      </c>
      <c r="F16" s="36">
        <f t="shared" ref="F16:Q16" si="2">+F12/F14</f>
        <v>24.702721457915217</v>
      </c>
      <c r="G16" s="36">
        <f t="shared" si="2"/>
        <v>25.057569042604424</v>
      </c>
      <c r="H16" s="36">
        <f t="shared" si="2"/>
        <v>26.644861149993627</v>
      </c>
      <c r="I16" s="36">
        <f t="shared" si="2"/>
        <v>26.927209495814427</v>
      </c>
      <c r="J16" s="36">
        <f t="shared" si="2"/>
        <v>26.860118197731776</v>
      </c>
      <c r="K16" s="36">
        <f t="shared" si="2"/>
        <v>27.65159264112836</v>
      </c>
      <c r="L16" s="36">
        <f t="shared" si="2"/>
        <v>29.701626939644555</v>
      </c>
      <c r="M16" s="36">
        <f t="shared" si="2"/>
        <v>25.276329657960456</v>
      </c>
      <c r="N16" s="36">
        <f t="shared" si="2"/>
        <v>25.759142236819994</v>
      </c>
      <c r="O16" s="36">
        <f t="shared" si="2"/>
        <v>24.629942668025713</v>
      </c>
      <c r="P16" s="36">
        <f t="shared" si="2"/>
        <v>23.948296530430948</v>
      </c>
      <c r="Q16" s="36">
        <f t="shared" si="2"/>
        <v>24.225217654347905</v>
      </c>
      <c r="R16" s="36"/>
      <c r="S16" s="36">
        <f>+S12/S14</f>
        <v>25.988613769140613</v>
      </c>
      <c r="T16" s="23"/>
      <c r="U16" s="24"/>
    </row>
    <row r="17" spans="1:21" ht="15.75" customHeight="1" x14ac:dyDescent="0.2">
      <c r="A17" s="2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1"/>
      <c r="S17" s="37"/>
      <c r="T17" s="23"/>
      <c r="U17" s="24"/>
    </row>
    <row r="18" spans="1:21" ht="15.75" customHeight="1" x14ac:dyDescent="0.2">
      <c r="A18" s="38" t="s">
        <v>8</v>
      </c>
      <c r="B18" s="39"/>
      <c r="C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1"/>
      <c r="S18" s="41"/>
      <c r="T18" s="23"/>
      <c r="U18" s="24"/>
    </row>
    <row r="19" spans="1:21" ht="15.75" customHeight="1" x14ac:dyDescent="0.2">
      <c r="A19" s="38"/>
      <c r="B19" s="39"/>
      <c r="C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1"/>
      <c r="S19" s="41"/>
      <c r="T19" s="23"/>
      <c r="U19" s="24"/>
    </row>
    <row r="20" spans="1:21" ht="15.75" customHeight="1" x14ac:dyDescent="0.2">
      <c r="A20" s="26">
        <f>+MAX($A$1:A19)+1</f>
        <v>6</v>
      </c>
      <c r="B20" s="21" t="s">
        <v>4</v>
      </c>
      <c r="C20" s="25"/>
      <c r="D20" s="32" t="str">
        <f>+'[26]Workpaper Index'!B18</f>
        <v>(3.1)</v>
      </c>
      <c r="E20" s="27"/>
      <c r="F20" s="30">
        <f>+INDEX('[26](3.1) Allctd Base NPC (GRC14)'!$I$83:$T$83,1,MATCH(MONTH(F$6),'[26](3.1) Allctd Base NPC (GRC14)'!$I$47:$T$47,0))</f>
        <v>53117940.757971913</v>
      </c>
      <c r="G20" s="30">
        <f>+INDEX('[26](3.1) Allctd Base NPC (GRC14)'!$I$83:$T$83,1,MATCH(MONTH(G$6),'[26](3.1) Allctd Base NPC (GRC14)'!$I$47:$T$47,0))</f>
        <v>49507268.866086148</v>
      </c>
      <c r="H20" s="30">
        <f>+INDEX('[26](3.1) Allctd Base NPC (GRC14)'!$I$83:$T$83,1,MATCH(MONTH(H$6),'[26](3.1) Allctd Base NPC (GRC14)'!$I$47:$T$47,0))</f>
        <v>52799108.019019946</v>
      </c>
      <c r="I20" s="30">
        <f>+INDEX('[26](3.1) Allctd Base NPC (GRC14)'!$I$83:$T$83,1,MATCH(MONTH(I$6),'[26](3.1) Allctd Base NPC (GRC14)'!$I$47:$T$47,0))</f>
        <v>48414024.514419563</v>
      </c>
      <c r="J20" s="30">
        <f>+INDEX('[26](3.1) Allctd Base NPC (GRC14)'!$I$83:$T$83,1,MATCH(MONTH(J$6),'[26](3.1) Allctd Base NPC (GRC14)'!$I$47:$T$47,0))</f>
        <v>49396078.649529129</v>
      </c>
      <c r="K20" s="30">
        <f>+INDEX('[26](3.1) Allctd Base NPC (GRC14)'!$I$83:$T$83,1,MATCH(MONTH(K$6),'[26](3.1) Allctd Base NPC (GRC14)'!$I$47:$T$47,0))</f>
        <v>52050078.220939748</v>
      </c>
      <c r="L20" s="30">
        <f>+INDEX('[26](3.1) Allctd Base NPC (GRC14)'!$I$83:$T$83,1,MATCH(MONTH(L$6),'[26](3.1) Allctd Base NPC (GRC14)'!$I$47:$T$47,0))</f>
        <v>60701242.888681665</v>
      </c>
      <c r="M20" s="30">
        <f>+INDEX('[26](3.1) Allctd Base NPC (GRC14)'!$I$83:$T$83,1,MATCH(MONTH(M$6),'[26](3.1) Allctd Base NPC (GRC14)'!$I$47:$T$47,0))</f>
        <v>61062006.270769373</v>
      </c>
      <c r="N20" s="30">
        <f>+INDEX('[26](3.1) Allctd Base NPC (GRC14)'!$I$83:$T$83,1,MATCH(MONTH(N$6),'[26](3.1) Allctd Base NPC (GRC14)'!$I$47:$T$47,0))</f>
        <v>49740054.401154719</v>
      </c>
      <c r="O20" s="30">
        <f>+INDEX('[26](3.1) Allctd Base NPC (GRC14)'!$I$83:$T$83,1,MATCH(MONTH(O$6),'[26](3.1) Allctd Base NPC (GRC14)'!$I$47:$T$47,0))</f>
        <v>49325488.310134262</v>
      </c>
      <c r="P20" s="30">
        <f>+INDEX('[26](3.1) Allctd Base NPC (GRC14)'!$I$83:$T$83,1,MATCH(MONTH(P$6),'[26](3.1) Allctd Base NPC (GRC14)'!$I$47:$T$47,0))</f>
        <v>49731889.450345367</v>
      </c>
      <c r="Q20" s="30">
        <f>+INDEX('[26](3.1) Allctd Base NPC (GRC14)'!$I$83:$T$83,1,MATCH(MONTH(Q$6),'[26](3.1) Allctd Base NPC (GRC14)'!$I$47:$T$47,0))</f>
        <v>53488152.98428151</v>
      </c>
      <c r="R20" s="31"/>
      <c r="S20" s="30">
        <f>+SUM(F20:Q20)</f>
        <v>629333333.33333337</v>
      </c>
      <c r="T20" s="23"/>
      <c r="U20" s="42"/>
    </row>
    <row r="21" spans="1:21" ht="15.75" customHeight="1" x14ac:dyDescent="0.2">
      <c r="A21" s="26">
        <f>+MAX($A$1:A20)+1</f>
        <v>7</v>
      </c>
      <c r="B21" s="21" t="s">
        <v>5</v>
      </c>
      <c r="C21" s="25"/>
      <c r="D21" s="32" t="str">
        <f>+'[26]Workpaper Index'!$B$25</f>
        <v>(4.1)</v>
      </c>
      <c r="E21" s="27"/>
      <c r="F21" s="43">
        <f>+INDEX('[26](4.1) Wheeling Revenues'!$G$59:$R$59,MATCH(F$6,'[26](4.1) Wheeling Revenues'!$G$51:$R$51,0))</f>
        <v>-3422346.376176998</v>
      </c>
      <c r="G21" s="43">
        <f>+INDEX('[26](4.1) Wheeling Revenues'!$G$59:$R$59,MATCH(G$6,'[26](4.1) Wheeling Revenues'!$G$51:$R$51,0))</f>
        <v>-3422346.376176998</v>
      </c>
      <c r="H21" s="43">
        <f>+INDEX('[26](4.1) Wheeling Revenues'!$G$59:$R$59,MATCH(H$6,'[26](4.1) Wheeling Revenues'!$G$51:$R$51,0))</f>
        <v>-3422346.376176998</v>
      </c>
      <c r="I21" s="43">
        <f>+INDEX('[26](4.1) Wheeling Revenues'!$G$59:$R$59,MATCH(I$6,'[26](4.1) Wheeling Revenues'!$G$51:$R$51,0))</f>
        <v>-3422346.376176998</v>
      </c>
      <c r="J21" s="43">
        <f>+INDEX('[26](4.1) Wheeling Revenues'!$G$59:$R$59,MATCH(J$6,'[26](4.1) Wheeling Revenues'!$G$51:$R$51,0))</f>
        <v>-3422346.376176998</v>
      </c>
      <c r="K21" s="43">
        <f>+INDEX('[26](4.1) Wheeling Revenues'!$G$59:$R$59,MATCH(K$6,'[26](4.1) Wheeling Revenues'!$G$51:$R$51,0))</f>
        <v>-3422346.376176998</v>
      </c>
      <c r="L21" s="43">
        <f>+INDEX('[26](4.1) Wheeling Revenues'!$G$59:$R$59,MATCH(L$6,'[26](4.1) Wheeling Revenues'!$G$51:$R$51,0))</f>
        <v>-3422346.376176998</v>
      </c>
      <c r="M21" s="43">
        <f>+INDEX('[26](4.1) Wheeling Revenues'!$G$59:$R$59,MATCH(M$6,'[26](4.1) Wheeling Revenues'!$G$51:$R$51,0))</f>
        <v>-3422346.376176998</v>
      </c>
      <c r="N21" s="43">
        <f>+INDEX('[26](4.1) Wheeling Revenues'!$G$59:$R$59,MATCH(N$6,'[26](4.1) Wheeling Revenues'!$G$51:$R$51,0))</f>
        <v>-3422346.376176998</v>
      </c>
      <c r="O21" s="43">
        <f>+INDEX('[26](4.1) Wheeling Revenues'!$G$59:$R$59,MATCH(O$6,'[26](4.1) Wheeling Revenues'!$G$51:$R$51,0))</f>
        <v>-3422346.376176998</v>
      </c>
      <c r="P21" s="43">
        <f>+INDEX('[26](4.1) Wheeling Revenues'!$G$59:$R$59,MATCH(P$6,'[26](4.1) Wheeling Revenues'!$G$51:$R$51,0))</f>
        <v>-3422346.376176998</v>
      </c>
      <c r="Q21" s="43">
        <f>+INDEX('[26](4.1) Wheeling Revenues'!$G$59:$R$59,MATCH(Q$6,'[26](4.1) Wheeling Revenues'!$G$51:$R$51,0))</f>
        <v>-3422346.376176998</v>
      </c>
      <c r="R21" s="31"/>
      <c r="S21" s="43">
        <f>+SUM(F21:Q21)</f>
        <v>-41068156.514123976</v>
      </c>
      <c r="T21" s="44"/>
      <c r="U21" s="24"/>
    </row>
    <row r="22" spans="1:21" ht="15.75" customHeight="1" x14ac:dyDescent="0.2">
      <c r="A22" s="26">
        <f>+MAX($A$1:A21)+1</f>
        <v>8</v>
      </c>
      <c r="B22" s="21" t="s">
        <v>2</v>
      </c>
      <c r="C22" s="25"/>
      <c r="D22" s="10" t="str">
        <f>"∑ Lines "&amp;$A$20&amp;":"&amp;$A$21&amp;""</f>
        <v>∑ Lines 6:7</v>
      </c>
      <c r="E22" s="27"/>
      <c r="F22" s="33">
        <f>+SUM(F20:F21)</f>
        <v>49695594.381794915</v>
      </c>
      <c r="G22" s="33">
        <f>+SUM(G20:G21)</f>
        <v>46084922.48990915</v>
      </c>
      <c r="H22" s="33">
        <f>+SUM(H20:H21)</f>
        <v>49376761.642842948</v>
      </c>
      <c r="I22" s="33">
        <f t="shared" ref="I22:Q22" si="3">+SUM(I20:I21)</f>
        <v>44991678.138242565</v>
      </c>
      <c r="J22" s="33">
        <f t="shared" si="3"/>
        <v>45973732.273352131</v>
      </c>
      <c r="K22" s="33">
        <f t="shared" si="3"/>
        <v>48627731.84476275</v>
      </c>
      <c r="L22" s="33">
        <f t="shared" si="3"/>
        <v>57278896.512504667</v>
      </c>
      <c r="M22" s="33">
        <f t="shared" si="3"/>
        <v>57639659.894592375</v>
      </c>
      <c r="N22" s="33">
        <f t="shared" si="3"/>
        <v>46317708.024977721</v>
      </c>
      <c r="O22" s="33">
        <f t="shared" si="3"/>
        <v>45903141.933957264</v>
      </c>
      <c r="P22" s="33">
        <f t="shared" si="3"/>
        <v>46309543.074168369</v>
      </c>
      <c r="Q22" s="33">
        <f t="shared" si="3"/>
        <v>50065806.608104512</v>
      </c>
      <c r="R22" s="31"/>
      <c r="S22" s="33">
        <f>+SUM(F22:Q22)</f>
        <v>588265176.81920934</v>
      </c>
      <c r="T22" s="23"/>
      <c r="U22" s="24"/>
    </row>
    <row r="23" spans="1:21" ht="15.75" customHeight="1" x14ac:dyDescent="0.2">
      <c r="A23" s="26"/>
      <c r="B23" s="21"/>
      <c r="C23" s="25"/>
      <c r="E23" s="2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1"/>
      <c r="S23" s="34"/>
      <c r="T23" s="23"/>
      <c r="U23" s="24"/>
    </row>
    <row r="24" spans="1:21" ht="15.75" customHeight="1" x14ac:dyDescent="0.2">
      <c r="A24" s="26">
        <f>+MAX($A$1:A23)+1</f>
        <v>9</v>
      </c>
      <c r="B24" s="21" t="s">
        <v>6</v>
      </c>
      <c r="C24" s="25"/>
      <c r="D24" s="32"/>
      <c r="E24" s="27"/>
      <c r="F24" s="34">
        <f>+'[26](5.2) Utah Sales'!K23</f>
        <v>2020369.6340750149</v>
      </c>
      <c r="G24" s="34">
        <f>+'[26](5.2) Utah Sales'!L23</f>
        <v>1829853.6334000006</v>
      </c>
      <c r="H24" s="34">
        <f>+'[26](5.2) Utah Sales'!M23</f>
        <v>1902391.4871999996</v>
      </c>
      <c r="I24" s="34">
        <f>+'[26](5.2) Utah Sales'!N23</f>
        <v>1832113.2551000002</v>
      </c>
      <c r="J24" s="34">
        <f>+'[26](5.2) Utah Sales'!O23</f>
        <v>1821070.3979</v>
      </c>
      <c r="K24" s="34">
        <f>+'[26](5.2) Utah Sales'!P23</f>
        <v>1903418.8341139755</v>
      </c>
      <c r="L24" s="34">
        <f>+'[26](5.2) Utah Sales'!E23</f>
        <v>2191141.30568837</v>
      </c>
      <c r="M24" s="34">
        <f>+'[26](5.2) Utah Sales'!F23</f>
        <v>2157502.0906118797</v>
      </c>
      <c r="N24" s="34">
        <f>+'[26](5.2) Utah Sales'!G23</f>
        <v>1865836.6002939758</v>
      </c>
      <c r="O24" s="34">
        <f>+'[26](5.2) Utah Sales'!H23</f>
        <v>1829380.8936000003</v>
      </c>
      <c r="P24" s="34">
        <f>+'[26](5.2) Utah Sales'!I23</f>
        <v>1877678.2182000002</v>
      </c>
      <c r="Q24" s="34">
        <f>+'[26](5.2) Utah Sales'!J23</f>
        <v>2013528.5713025413</v>
      </c>
      <c r="R24" s="31"/>
      <c r="S24" s="34">
        <f>+SUM(F24:Q24)</f>
        <v>23244284.921485759</v>
      </c>
      <c r="T24" s="23"/>
      <c r="U24" s="24"/>
    </row>
    <row r="25" spans="1:21" ht="15.75" customHeight="1" x14ac:dyDescent="0.2">
      <c r="A25" s="26"/>
      <c r="B25" s="21"/>
      <c r="C25" s="25"/>
      <c r="E25" s="27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5"/>
      <c r="T25" s="23"/>
      <c r="U25" s="24"/>
    </row>
    <row r="26" spans="1:21" ht="15.75" customHeight="1" x14ac:dyDescent="0.2">
      <c r="A26" s="26">
        <f>+MAX($A$1:A25)+1</f>
        <v>10</v>
      </c>
      <c r="B26" s="21" t="s">
        <v>9</v>
      </c>
      <c r="C26" s="25"/>
      <c r="D26" s="10" t="str">
        <f>"Line "&amp;$A$22&amp;" / Line "&amp;$A$24&amp;""</f>
        <v>Line 8 / Line 9</v>
      </c>
      <c r="E26" s="27"/>
      <c r="F26" s="36">
        <f>+F22/F24</f>
        <v>24.59727841066421</v>
      </c>
      <c r="G26" s="36">
        <f>+G22/G24</f>
        <v>25.185032096955222</v>
      </c>
      <c r="H26" s="36">
        <f>+H22/H24</f>
        <v>25.955100185775766</v>
      </c>
      <c r="I26" s="36">
        <f t="shared" ref="I26:Q26" si="4">+I22/I24</f>
        <v>24.557258135107393</v>
      </c>
      <c r="J26" s="36">
        <f t="shared" si="4"/>
        <v>25.245444836381704</v>
      </c>
      <c r="K26" s="36">
        <f t="shared" si="4"/>
        <v>25.547573121182509</v>
      </c>
      <c r="L26" s="36">
        <f t="shared" si="4"/>
        <v>26.141123972152904</v>
      </c>
      <c r="M26" s="36">
        <f t="shared" si="4"/>
        <v>26.71592307854749</v>
      </c>
      <c r="N26" s="36">
        <f t="shared" si="4"/>
        <v>24.824096610432036</v>
      </c>
      <c r="O26" s="36">
        <f t="shared" si="4"/>
        <v>25.092173037636485</v>
      </c>
      <c r="P26" s="36">
        <f t="shared" si="4"/>
        <v>24.663194484176376</v>
      </c>
      <c r="Q26" s="36">
        <f t="shared" si="4"/>
        <v>24.864711294221763</v>
      </c>
      <c r="R26" s="31"/>
      <c r="S26" s="36">
        <f>+S22/S24</f>
        <v>25.307948977834496</v>
      </c>
      <c r="T26" s="23"/>
      <c r="U26" s="24"/>
    </row>
    <row r="27" spans="1:21" ht="15.75" customHeight="1" x14ac:dyDescent="0.2">
      <c r="A27" s="26"/>
      <c r="B27" s="45"/>
      <c r="C27" s="25"/>
      <c r="E27" s="27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5"/>
      <c r="T27" s="23"/>
      <c r="U27" s="24"/>
    </row>
    <row r="28" spans="1:21" ht="15.75" customHeight="1" x14ac:dyDescent="0.2">
      <c r="A28" s="25" t="s">
        <v>10</v>
      </c>
      <c r="B28" s="45"/>
      <c r="C28" s="25"/>
      <c r="E28" s="27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5"/>
      <c r="T28" s="23"/>
      <c r="U28" s="24"/>
    </row>
    <row r="29" spans="1:21" ht="15.75" customHeight="1" x14ac:dyDescent="0.2">
      <c r="A29" s="25"/>
      <c r="B29" s="45"/>
      <c r="C29" s="25"/>
      <c r="E29" s="27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5"/>
      <c r="T29" s="23"/>
      <c r="U29" s="24"/>
    </row>
    <row r="30" spans="1:21" ht="15.75" customHeight="1" x14ac:dyDescent="0.2">
      <c r="A30" s="26">
        <f>+MAX($A$1:A28)+1</f>
        <v>11</v>
      </c>
      <c r="B30" s="21" t="s">
        <v>11</v>
      </c>
      <c r="C30" s="25"/>
      <c r="D30" s="10" t="str">
        <f>"Line "&amp;$A$16&amp;" - Line "&amp;$A$26&amp;""</f>
        <v>Line 5 - Line 10</v>
      </c>
      <c r="E30" s="27"/>
      <c r="F30" s="46">
        <f t="shared" ref="F30:Q30" si="5">+F16-F26</f>
        <v>0.10544304725100773</v>
      </c>
      <c r="G30" s="46">
        <f t="shared" si="5"/>
        <v>-0.12746305435079819</v>
      </c>
      <c r="H30" s="46">
        <f t="shared" si="5"/>
        <v>0.68976096421786082</v>
      </c>
      <c r="I30" s="46">
        <f t="shared" si="5"/>
        <v>2.3699513607070344</v>
      </c>
      <c r="J30" s="46">
        <f t="shared" si="5"/>
        <v>1.6146733613500714</v>
      </c>
      <c r="K30" s="46">
        <f t="shared" si="5"/>
        <v>2.1040195199458509</v>
      </c>
      <c r="L30" s="46">
        <f t="shared" si="5"/>
        <v>3.5605029674916508</v>
      </c>
      <c r="M30" s="46">
        <f t="shared" si="5"/>
        <v>-1.439593420587034</v>
      </c>
      <c r="N30" s="46">
        <f t="shared" si="5"/>
        <v>0.93504562638795718</v>
      </c>
      <c r="O30" s="46">
        <f t="shared" si="5"/>
        <v>-0.46223036961077213</v>
      </c>
      <c r="P30" s="46">
        <f t="shared" si="5"/>
        <v>-0.71489795374542808</v>
      </c>
      <c r="Q30" s="46">
        <f t="shared" si="5"/>
        <v>-0.63949363987385865</v>
      </c>
      <c r="R30" s="46"/>
      <c r="S30" s="46">
        <f>+S16-S26</f>
        <v>0.68066479130611768</v>
      </c>
      <c r="T30" s="23"/>
      <c r="U30" s="24"/>
    </row>
    <row r="31" spans="1:21" ht="15.75" customHeight="1" x14ac:dyDescent="0.2">
      <c r="A31" s="26"/>
      <c r="B31" s="21"/>
      <c r="C31" s="25"/>
      <c r="E31" s="2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31"/>
      <c r="S31" s="47"/>
      <c r="T31" s="23"/>
      <c r="U31" s="24"/>
    </row>
    <row r="32" spans="1:21" ht="15.75" customHeight="1" x14ac:dyDescent="0.2">
      <c r="A32" s="26">
        <f>+MAX($A$1:A31)+1</f>
        <v>12</v>
      </c>
      <c r="B32" s="21" t="s">
        <v>12</v>
      </c>
      <c r="C32" s="25"/>
      <c r="D32" s="10" t="str">
        <f>"Line "&amp;$A$14&amp;" * Line "&amp;$A$30&amp;""</f>
        <v>Line 4 * Line 11</v>
      </c>
      <c r="E32" s="27"/>
      <c r="F32" s="30">
        <f t="shared" ref="F32:Q32" si="6">+F30*F14</f>
        <v>217515.12922482326</v>
      </c>
      <c r="G32" s="30">
        <f t="shared" si="6"/>
        <v>-225479.24693104104</v>
      </c>
      <c r="H32" s="30">
        <f t="shared" si="6"/>
        <v>1284969.0077997355</v>
      </c>
      <c r="I32" s="30">
        <f t="shared" si="6"/>
        <v>4253994.7009345395</v>
      </c>
      <c r="J32" s="30">
        <f t="shared" si="6"/>
        <v>2967156.5063192933</v>
      </c>
      <c r="K32" s="30">
        <f t="shared" si="6"/>
        <v>4675180.7778020287</v>
      </c>
      <c r="L32" s="30">
        <f t="shared" si="6"/>
        <v>8184082.4569300795</v>
      </c>
      <c r="M32" s="30">
        <f t="shared" si="6"/>
        <v>-3388026.651618443</v>
      </c>
      <c r="N32" s="30">
        <f t="shared" si="6"/>
        <v>1821859.575928088</v>
      </c>
      <c r="O32" s="30">
        <f t="shared" si="6"/>
        <v>-879684.80040738231</v>
      </c>
      <c r="P32" s="30">
        <f t="shared" si="6"/>
        <v>-1406225.8835228067</v>
      </c>
      <c r="Q32" s="30">
        <f t="shared" si="6"/>
        <v>-1347763.6050387416</v>
      </c>
      <c r="R32" s="31"/>
      <c r="S32" s="30">
        <f>+SUM(F32:Q32)</f>
        <v>16157577.967420174</v>
      </c>
      <c r="T32" s="23"/>
      <c r="U32" s="24"/>
    </row>
    <row r="33" spans="1:21" ht="15.75" customHeight="1" x14ac:dyDescent="0.2">
      <c r="A33" s="26"/>
      <c r="B33" s="21"/>
      <c r="C33" s="25"/>
      <c r="E33" s="27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5"/>
      <c r="T33" s="23"/>
      <c r="U33" s="24"/>
    </row>
    <row r="34" spans="1:21" ht="15.75" customHeight="1" x14ac:dyDescent="0.2">
      <c r="A34" s="26">
        <f>+MAX($A$1:A33)+1</f>
        <v>13</v>
      </c>
      <c r="B34" s="21" t="s">
        <v>13</v>
      </c>
      <c r="C34" s="25"/>
      <c r="D34" s="10" t="str">
        <f>"Line "&amp;A32&amp;" * 70%"</f>
        <v>Line 12 * 70%</v>
      </c>
      <c r="E34" s="27"/>
      <c r="F34" s="48">
        <f>F32*0.7</f>
        <v>152260.59045737627</v>
      </c>
      <c r="G34" s="48">
        <f>G32*0.7</f>
        <v>-157835.47285172873</v>
      </c>
      <c r="H34" s="48">
        <f>H32*0.7</f>
        <v>899478.30545981484</v>
      </c>
      <c r="I34" s="48">
        <f t="shared" ref="I34:Q34" si="7">I32*0.7</f>
        <v>2977796.2906541773</v>
      </c>
      <c r="J34" s="48">
        <f t="shared" si="7"/>
        <v>2077009.5544235052</v>
      </c>
      <c r="K34" s="48">
        <f t="shared" si="7"/>
        <v>3272626.5444614198</v>
      </c>
      <c r="L34" s="48">
        <f t="shared" si="7"/>
        <v>5728857.7198510552</v>
      </c>
      <c r="M34" s="48">
        <f t="shared" si="7"/>
        <v>-2371618.6561329099</v>
      </c>
      <c r="N34" s="48">
        <f t="shared" si="7"/>
        <v>1275301.7031496617</v>
      </c>
      <c r="O34" s="48">
        <f t="shared" si="7"/>
        <v>-615779.36028516758</v>
      </c>
      <c r="P34" s="48">
        <f t="shared" si="7"/>
        <v>-984358.11846596457</v>
      </c>
      <c r="Q34" s="48">
        <f t="shared" si="7"/>
        <v>-943434.52352711908</v>
      </c>
      <c r="R34" s="31"/>
      <c r="S34" s="48">
        <f>+SUM(F34:Q34)</f>
        <v>11310304.577194121</v>
      </c>
      <c r="T34" s="23"/>
      <c r="U34" s="24"/>
    </row>
    <row r="35" spans="1:21" ht="15.75" customHeight="1" x14ac:dyDescent="0.2">
      <c r="A35" s="26"/>
      <c r="B35" s="21"/>
      <c r="C35" s="25"/>
      <c r="E35" s="2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31"/>
      <c r="S35" s="49"/>
      <c r="T35" s="23"/>
      <c r="U35" s="24"/>
    </row>
    <row r="36" spans="1:21" ht="28.5" customHeight="1" x14ac:dyDescent="0.2">
      <c r="A36" s="26">
        <f>+MAX($A$1:A35)+1</f>
        <v>14</v>
      </c>
      <c r="B36" s="50" t="s">
        <v>14</v>
      </c>
      <c r="C36" s="25"/>
      <c r="D36" s="10" t="s">
        <v>15</v>
      </c>
      <c r="E36" s="27"/>
      <c r="F36" s="51">
        <f>+'[26](6.1) Deer Creek'!D38</f>
        <v>-36391.329567505694</v>
      </c>
      <c r="G36" s="51">
        <f>+'[26](6.1) Deer Creek'!E38</f>
        <v>-48934.010528659564</v>
      </c>
      <c r="H36" s="51">
        <f>+'[26](6.1) Deer Creek'!F38</f>
        <v>9320.4503722967929</v>
      </c>
      <c r="I36" s="51">
        <f>+'[26](6.1) Deer Creek'!G38</f>
        <v>-138029.14155202213</v>
      </c>
      <c r="J36" s="51">
        <f>+'[26](6.1) Deer Creek'!H38</f>
        <v>-140198.6417440231</v>
      </c>
      <c r="K36" s="51">
        <f>+'[26](6.1) Deer Creek'!I38</f>
        <v>-160756.28403328775</v>
      </c>
      <c r="L36" s="51">
        <f>+'[26](6.1) Deer Creek'!J38</f>
        <v>-230556.74701469982</v>
      </c>
      <c r="M36" s="51">
        <f>+'[26](6.1) Deer Creek'!K38</f>
        <v>-309302.84381917294</v>
      </c>
      <c r="N36" s="51">
        <f>+'[26](6.1) Deer Creek'!L38</f>
        <v>-534208.03756695811</v>
      </c>
      <c r="O36" s="51">
        <f>+'[26](6.1) Deer Creek'!M38</f>
        <v>-235945.39556929993</v>
      </c>
      <c r="P36" s="51">
        <f>+'[26](6.1) Deer Creek'!N38</f>
        <v>-316463.59429858986</v>
      </c>
      <c r="Q36" s="51">
        <f>+'[26](6.1) Deer Creek'!O38</f>
        <v>-288816.94344835076</v>
      </c>
      <c r="R36" s="51">
        <f>+'[26](6.1) Deer Creek'!P38</f>
        <v>-2430282.5187702728</v>
      </c>
      <c r="S36" s="51">
        <f>+SUM(F36:Q36)</f>
        <v>-2430282.5187702728</v>
      </c>
      <c r="T36" s="23"/>
      <c r="U36" s="24"/>
    </row>
    <row r="37" spans="1:21" ht="28.5" customHeight="1" x14ac:dyDescent="0.2">
      <c r="A37" s="26">
        <f>+MAX($A$1:A36)+1</f>
        <v>15</v>
      </c>
      <c r="B37" s="50" t="s">
        <v>16</v>
      </c>
      <c r="C37" s="25"/>
      <c r="D37" s="10" t="s">
        <v>17</v>
      </c>
      <c r="E37" s="27"/>
      <c r="F37" s="51">
        <f>+$S$37/12</f>
        <v>-245155</v>
      </c>
      <c r="G37" s="51">
        <f t="shared" ref="G37:Q37" si="8">+$S$37/12</f>
        <v>-245155</v>
      </c>
      <c r="H37" s="51">
        <f t="shared" si="8"/>
        <v>-245155</v>
      </c>
      <c r="I37" s="51">
        <f t="shared" si="8"/>
        <v>-245155</v>
      </c>
      <c r="J37" s="51">
        <f t="shared" si="8"/>
        <v>-245155</v>
      </c>
      <c r="K37" s="51">
        <f t="shared" si="8"/>
        <v>-245155</v>
      </c>
      <c r="L37" s="51">
        <f t="shared" si="8"/>
        <v>-245155</v>
      </c>
      <c r="M37" s="51">
        <f t="shared" si="8"/>
        <v>-245155</v>
      </c>
      <c r="N37" s="51">
        <f t="shared" si="8"/>
        <v>-245155</v>
      </c>
      <c r="O37" s="51">
        <f t="shared" si="8"/>
        <v>-245155</v>
      </c>
      <c r="P37" s="51">
        <f t="shared" si="8"/>
        <v>-245155</v>
      </c>
      <c r="Q37" s="51">
        <f t="shared" si="8"/>
        <v>-245155</v>
      </c>
      <c r="R37" s="51"/>
      <c r="S37" s="51">
        <f>+-'[26](6.2) Deer Creek FAS 106'!$B$13</f>
        <v>-2941860</v>
      </c>
      <c r="T37" s="23"/>
      <c r="U37" s="24"/>
    </row>
    <row r="38" spans="1:21" ht="12.75" x14ac:dyDescent="0.2">
      <c r="A38" s="26"/>
      <c r="B38" s="50"/>
      <c r="C38" s="25"/>
      <c r="E38" s="27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23"/>
      <c r="U38" s="24"/>
    </row>
    <row r="39" spans="1:21" ht="12.75" x14ac:dyDescent="0.2">
      <c r="A39" s="26">
        <f>+MAX($A$1:A38)+1</f>
        <v>16</v>
      </c>
      <c r="B39" s="50" t="s">
        <v>18</v>
      </c>
      <c r="C39" s="25"/>
      <c r="D39" s="10" t="str">
        <f>"∑ Lines "&amp;$A$34&amp;":"&amp;$A$36&amp;""</f>
        <v>∑ Lines 13:14</v>
      </c>
      <c r="E39" s="27"/>
      <c r="F39" s="48">
        <f>+F34+F36+F37</f>
        <v>-129285.73911012942</v>
      </c>
      <c r="G39" s="48">
        <f t="shared" ref="G39:Q39" si="9">+G34+G36+G37</f>
        <v>-451924.48338038829</v>
      </c>
      <c r="H39" s="48">
        <f t="shared" si="9"/>
        <v>663643.7558321117</v>
      </c>
      <c r="I39" s="48">
        <f t="shared" si="9"/>
        <v>2594612.1491021551</v>
      </c>
      <c r="J39" s="48">
        <f t="shared" si="9"/>
        <v>1691655.912679482</v>
      </c>
      <c r="K39" s="48">
        <f t="shared" si="9"/>
        <v>2866715.260428132</v>
      </c>
      <c r="L39" s="48">
        <f t="shared" si="9"/>
        <v>5253145.9728363557</v>
      </c>
      <c r="M39" s="48">
        <f t="shared" si="9"/>
        <v>-2926076.499952083</v>
      </c>
      <c r="N39" s="48">
        <f t="shared" si="9"/>
        <v>495938.66558270354</v>
      </c>
      <c r="O39" s="48">
        <f t="shared" si="9"/>
        <v>-1096879.7558544674</v>
      </c>
      <c r="P39" s="48">
        <f t="shared" si="9"/>
        <v>-1545976.7127645544</v>
      </c>
      <c r="Q39" s="48">
        <f t="shared" si="9"/>
        <v>-1477406.4669754698</v>
      </c>
      <c r="R39" s="49"/>
      <c r="S39" s="48">
        <f>+SUM(F39:Q39)</f>
        <v>5938162.058423847</v>
      </c>
      <c r="T39" s="23"/>
      <c r="U39" s="24"/>
    </row>
    <row r="40" spans="1:21" ht="15.75" customHeight="1" x14ac:dyDescent="0.2">
      <c r="A40" s="26"/>
      <c r="B40" s="21"/>
      <c r="C40" s="25"/>
      <c r="E40" s="27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31"/>
      <c r="S40" s="49"/>
      <c r="T40" s="23"/>
      <c r="U40" s="24"/>
    </row>
    <row r="41" spans="1:21" ht="15.75" customHeight="1" x14ac:dyDescent="0.2">
      <c r="A41" s="25" t="s">
        <v>19</v>
      </c>
      <c r="B41" s="45"/>
      <c r="C41" s="25"/>
      <c r="E41" s="27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1"/>
      <c r="S41" s="35"/>
      <c r="T41" s="23"/>
      <c r="U41" s="24"/>
    </row>
    <row r="42" spans="1:21" ht="15.75" customHeight="1" x14ac:dyDescent="0.2">
      <c r="A42" s="26"/>
      <c r="B42" s="45"/>
      <c r="C42" s="52"/>
      <c r="E42" s="53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1"/>
      <c r="S42" s="35"/>
      <c r="T42" s="54"/>
      <c r="U42" s="24"/>
    </row>
    <row r="43" spans="1:21" ht="15.75" customHeight="1" x14ac:dyDescent="0.2">
      <c r="A43" s="26">
        <f>+MAX($A$1:A42)+1</f>
        <v>17</v>
      </c>
      <c r="B43" s="21" t="s">
        <v>20</v>
      </c>
      <c r="C43" s="55"/>
      <c r="D43" s="10" t="s">
        <v>21</v>
      </c>
      <c r="E43" s="56"/>
      <c r="F43" s="57">
        <v>5.0000000000000001E-3</v>
      </c>
      <c r="G43" s="57">
        <f>+F43</f>
        <v>5.0000000000000001E-3</v>
      </c>
      <c r="H43" s="57">
        <f t="shared" ref="H43:Q43" si="10">+G43</f>
        <v>5.0000000000000001E-3</v>
      </c>
      <c r="I43" s="57">
        <f t="shared" si="10"/>
        <v>5.0000000000000001E-3</v>
      </c>
      <c r="J43" s="57">
        <f t="shared" si="10"/>
        <v>5.0000000000000001E-3</v>
      </c>
      <c r="K43" s="57">
        <f t="shared" si="10"/>
        <v>5.0000000000000001E-3</v>
      </c>
      <c r="L43" s="57">
        <f t="shared" si="10"/>
        <v>5.0000000000000001E-3</v>
      </c>
      <c r="M43" s="57">
        <f t="shared" si="10"/>
        <v>5.0000000000000001E-3</v>
      </c>
      <c r="N43" s="57">
        <f t="shared" si="10"/>
        <v>5.0000000000000001E-3</v>
      </c>
      <c r="O43" s="57">
        <f t="shared" si="10"/>
        <v>5.0000000000000001E-3</v>
      </c>
      <c r="P43" s="57">
        <f t="shared" si="10"/>
        <v>5.0000000000000001E-3</v>
      </c>
      <c r="Q43" s="57">
        <f t="shared" si="10"/>
        <v>5.0000000000000001E-3</v>
      </c>
      <c r="R43" s="31"/>
      <c r="S43" s="57"/>
      <c r="T43" s="11"/>
      <c r="U43" s="24"/>
    </row>
    <row r="44" spans="1:21" ht="15.75" customHeight="1" x14ac:dyDescent="0.2">
      <c r="A44" s="26">
        <f>+MAX($A$1:A43)+1</f>
        <v>18</v>
      </c>
      <c r="B44" s="21" t="s">
        <v>22</v>
      </c>
      <c r="C44" s="55"/>
      <c r="D44" s="10" t="str">
        <f>"Prior Month Line "&amp;$A$47&amp;""</f>
        <v>Prior Month Line 21</v>
      </c>
      <c r="E44" s="56"/>
      <c r="F44" s="30">
        <v>0</v>
      </c>
      <c r="G44" s="30">
        <f t="shared" ref="G44:Q44" si="11">+F47</f>
        <v>-129608.95345790475</v>
      </c>
      <c r="H44" s="30">
        <f t="shared" si="11"/>
        <v>-583311.29281403346</v>
      </c>
      <c r="I44" s="30">
        <f t="shared" si="11"/>
        <v>79075.015943588354</v>
      </c>
      <c r="J44" s="30">
        <f t="shared" si="11"/>
        <v>2680569.0704982169</v>
      </c>
      <c r="K44" s="30">
        <f t="shared" si="11"/>
        <v>4389856.9683118891</v>
      </c>
      <c r="L44" s="30">
        <f t="shared" si="11"/>
        <v>7285688.301732651</v>
      </c>
      <c r="M44" s="30">
        <f t="shared" si="11"/>
        <v>12588395.58100976</v>
      </c>
      <c r="N44" s="30">
        <f t="shared" si="11"/>
        <v>9717945.867712846</v>
      </c>
      <c r="O44" s="30">
        <f t="shared" si="11"/>
        <v>10263714.109298071</v>
      </c>
      <c r="P44" s="30">
        <f t="shared" si="11"/>
        <v>9215410.7246004585</v>
      </c>
      <c r="Q44" s="30">
        <f t="shared" si="11"/>
        <v>7711646.1236769948</v>
      </c>
      <c r="R44" s="31"/>
      <c r="S44" s="30">
        <f>+F44</f>
        <v>0</v>
      </c>
      <c r="T44" s="58"/>
      <c r="U44" s="24"/>
    </row>
    <row r="45" spans="1:21" ht="15.75" customHeight="1" x14ac:dyDescent="0.2">
      <c r="A45" s="26">
        <f>+MAX($A$1:A44)+1</f>
        <v>19</v>
      </c>
      <c r="B45" s="21" t="s">
        <v>23</v>
      </c>
      <c r="C45" s="55"/>
      <c r="D45" s="10" t="str">
        <f>"Line "&amp;A39</f>
        <v>Line 16</v>
      </c>
      <c r="E45" s="56"/>
      <c r="F45" s="30">
        <f>+F39</f>
        <v>-129285.73911012942</v>
      </c>
      <c r="G45" s="30">
        <f t="shared" ref="G45:Q45" si="12">+G39</f>
        <v>-451924.48338038829</v>
      </c>
      <c r="H45" s="30">
        <f t="shared" si="12"/>
        <v>663643.7558321117</v>
      </c>
      <c r="I45" s="30">
        <f t="shared" si="12"/>
        <v>2594612.1491021551</v>
      </c>
      <c r="J45" s="30">
        <f t="shared" si="12"/>
        <v>1691655.912679482</v>
      </c>
      <c r="K45" s="30">
        <f t="shared" si="12"/>
        <v>2866715.260428132</v>
      </c>
      <c r="L45" s="30">
        <f t="shared" si="12"/>
        <v>5253145.9728363557</v>
      </c>
      <c r="M45" s="30">
        <f t="shared" si="12"/>
        <v>-2926076.499952083</v>
      </c>
      <c r="N45" s="30">
        <f t="shared" si="12"/>
        <v>495938.66558270354</v>
      </c>
      <c r="O45" s="30">
        <f t="shared" si="12"/>
        <v>-1096879.7558544674</v>
      </c>
      <c r="P45" s="30">
        <f t="shared" si="12"/>
        <v>-1545976.7127645544</v>
      </c>
      <c r="Q45" s="30">
        <f t="shared" si="12"/>
        <v>-1477406.4669754698</v>
      </c>
      <c r="R45" s="31"/>
      <c r="S45" s="30">
        <f>+SUM(F45:Q45)</f>
        <v>5938162.058423847</v>
      </c>
      <c r="T45" s="58"/>
      <c r="U45" s="24"/>
    </row>
    <row r="46" spans="1:21" ht="15.75" customHeight="1" x14ac:dyDescent="0.2">
      <c r="A46" s="26">
        <f>+MAX($A$1:A45)+1</f>
        <v>20</v>
      </c>
      <c r="B46" s="59" t="s">
        <v>24</v>
      </c>
      <c r="C46" s="55"/>
      <c r="D46" s="10" t="str">
        <f>"Line "&amp;$A$43&amp;" * ( Line "&amp;$A$44&amp;" + 50% x Line "&amp;$A$45&amp;")"</f>
        <v>Line 17 * ( Line 18 + 50% x Line 19)</v>
      </c>
      <c r="E46" s="56"/>
      <c r="F46" s="60">
        <f t="shared" ref="F46:N46" si="13">+(F44+0.5*SUM(F45))*F43</f>
        <v>-323.21434777532357</v>
      </c>
      <c r="G46" s="60">
        <f t="shared" si="13"/>
        <v>-1777.8559757404944</v>
      </c>
      <c r="H46" s="60">
        <f t="shared" si="13"/>
        <v>-1257.4470744898881</v>
      </c>
      <c r="I46" s="60">
        <f t="shared" si="13"/>
        <v>6881.9054524733301</v>
      </c>
      <c r="J46" s="60">
        <f t="shared" si="13"/>
        <v>17631.985134189792</v>
      </c>
      <c r="K46" s="60">
        <f t="shared" si="13"/>
        <v>29116.072992629779</v>
      </c>
      <c r="L46" s="60">
        <f t="shared" si="13"/>
        <v>49561.306440754146</v>
      </c>
      <c r="M46" s="60">
        <f t="shared" si="13"/>
        <v>55626.786655168602</v>
      </c>
      <c r="N46" s="60">
        <f t="shared" si="13"/>
        <v>49829.576002520997</v>
      </c>
      <c r="O46" s="60">
        <f t="shared" ref="O46:Q46" si="14">+(O44+0.5*SUM(O45))*O43</f>
        <v>48576.371156854184</v>
      </c>
      <c r="P46" s="60">
        <f t="shared" si="14"/>
        <v>42212.111841090911</v>
      </c>
      <c r="Q46" s="60">
        <f t="shared" si="14"/>
        <v>34864.714450946303</v>
      </c>
      <c r="R46" s="31"/>
      <c r="S46" s="30">
        <f>+SUM(F46:Q46)</f>
        <v>330942.31272862235</v>
      </c>
      <c r="T46" s="58"/>
      <c r="U46" s="24"/>
    </row>
    <row r="47" spans="1:21" ht="15.75" customHeight="1" thickBot="1" x14ac:dyDescent="0.25">
      <c r="A47" s="26">
        <f>+MAX($A$1:A46)+1</f>
        <v>21</v>
      </c>
      <c r="B47" s="45" t="s">
        <v>25</v>
      </c>
      <c r="C47" s="55"/>
      <c r="D47" s="10" t="str">
        <f>"∑ Lines "&amp;$A$44&amp;":"&amp;$A$46&amp;""</f>
        <v>∑ Lines 18:20</v>
      </c>
      <c r="E47" s="56"/>
      <c r="F47" s="61">
        <f t="shared" ref="F47:Q47" si="15">+SUM(F44:F46)</f>
        <v>-129608.95345790475</v>
      </c>
      <c r="G47" s="61">
        <f t="shared" si="15"/>
        <v>-583311.29281403346</v>
      </c>
      <c r="H47" s="61">
        <f t="shared" si="15"/>
        <v>79075.015943588354</v>
      </c>
      <c r="I47" s="61">
        <f t="shared" si="15"/>
        <v>2680569.0704982169</v>
      </c>
      <c r="J47" s="61">
        <f t="shared" si="15"/>
        <v>4389856.9683118891</v>
      </c>
      <c r="K47" s="61">
        <f t="shared" si="15"/>
        <v>7285688.301732651</v>
      </c>
      <c r="L47" s="61">
        <f t="shared" si="15"/>
        <v>12588395.58100976</v>
      </c>
      <c r="M47" s="61">
        <f t="shared" si="15"/>
        <v>9717945.867712846</v>
      </c>
      <c r="N47" s="61">
        <f t="shared" si="15"/>
        <v>10263714.109298071</v>
      </c>
      <c r="O47" s="61">
        <f t="shared" si="15"/>
        <v>9215410.7246004585</v>
      </c>
      <c r="P47" s="61">
        <f t="shared" si="15"/>
        <v>7711646.1236769948</v>
      </c>
      <c r="Q47" s="61">
        <f t="shared" si="15"/>
        <v>6269104.3711524708</v>
      </c>
      <c r="R47" s="31"/>
      <c r="S47" s="61">
        <f>+SUM(S44:S46)</f>
        <v>6269104.371152469</v>
      </c>
      <c r="T47" s="58"/>
      <c r="U47" s="24"/>
    </row>
    <row r="48" spans="1:21" ht="15.75" customHeight="1" thickTop="1" x14ac:dyDescent="0.2">
      <c r="A48" s="26"/>
      <c r="B48" s="25"/>
      <c r="C48" s="25"/>
      <c r="D48" s="4"/>
      <c r="E48" s="25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3"/>
      <c r="S48" s="11"/>
      <c r="T48" s="11"/>
      <c r="U48" s="24"/>
    </row>
    <row r="49" spans="1:21" ht="12.75" x14ac:dyDescent="0.2">
      <c r="A49" s="20"/>
      <c r="B49" s="63"/>
      <c r="C49" s="25"/>
      <c r="E49" s="25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3"/>
      <c r="S49" s="64"/>
      <c r="T49" s="11"/>
      <c r="U49" s="24"/>
    </row>
    <row r="50" spans="1:21" ht="12.75" x14ac:dyDescent="0.2">
      <c r="A50" s="26">
        <f>+MAX($A$1:A49)+1</f>
        <v>22</v>
      </c>
      <c r="B50" s="2" t="s">
        <v>26</v>
      </c>
      <c r="C50" s="25"/>
      <c r="D50" s="10" t="s">
        <v>15</v>
      </c>
      <c r="E50" s="25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3"/>
      <c r="S50" s="65">
        <f>+'[26](6.1) Deer Creek'!P42</f>
        <v>9098763.9753091317</v>
      </c>
      <c r="T50" s="11"/>
      <c r="U50" s="24"/>
    </row>
    <row r="51" spans="1:21" ht="15.75" customHeight="1" x14ac:dyDescent="0.2">
      <c r="A51" s="26"/>
      <c r="B51" s="2"/>
      <c r="C51" s="25"/>
      <c r="E51" s="25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3"/>
      <c r="S51" s="65"/>
      <c r="T51" s="11"/>
      <c r="U51" s="24"/>
    </row>
    <row r="52" spans="1:21" ht="22.5" x14ac:dyDescent="0.2">
      <c r="A52" s="26">
        <f>+MAX($A$1:A51)+1</f>
        <v>23</v>
      </c>
      <c r="B52" s="21" t="s">
        <v>27</v>
      </c>
      <c r="C52" s="25"/>
      <c r="D52" s="10" t="str">
        <f>"∑ Lines "&amp;$A$47&amp;":"&amp;$A$50&amp;" * (1 + 1.06% / 12) ^ 10 - ∑ Lines "&amp;$A$47&amp;":"&amp;$A$50</f>
        <v>∑ Lines 21:22 * (1 + 1.06% / 12) ^ 10 - ∑ Lines 21:22</v>
      </c>
      <c r="E52" s="25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3"/>
      <c r="S52" s="66">
        <f>+(S47+S50)*(1+0.06/12)^10-(S47+S50)</f>
        <v>785914.81642351113</v>
      </c>
      <c r="T52" s="11"/>
      <c r="U52" s="24"/>
    </row>
    <row r="53" spans="1:21" ht="15.75" customHeight="1" x14ac:dyDescent="0.2">
      <c r="A53" s="26"/>
      <c r="B53" s="63"/>
      <c r="C53" s="25"/>
      <c r="E53" s="25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3"/>
      <c r="S53" s="64"/>
      <c r="T53" s="11"/>
      <c r="U53" s="24"/>
    </row>
    <row r="54" spans="1:21" ht="15.75" customHeight="1" thickBot="1" x14ac:dyDescent="0.25">
      <c r="A54" s="26">
        <f>+MAX($A$1:A53)+1</f>
        <v>24</v>
      </c>
      <c r="B54" s="45" t="s">
        <v>28</v>
      </c>
      <c r="C54" s="25"/>
      <c r="D54" s="10" t="str">
        <f>"∑ Lines "&amp;$A$47&amp;":"&amp;$A$52&amp;""</f>
        <v>∑ Lines 21:23</v>
      </c>
      <c r="E54" s="25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3"/>
      <c r="S54" s="67">
        <f>S47+S52+S50</f>
        <v>16153783.162885111</v>
      </c>
      <c r="T54" s="11"/>
      <c r="U54" s="24"/>
    </row>
    <row r="55" spans="1:21" ht="15.75" customHeight="1" thickTop="1" x14ac:dyDescent="0.2">
      <c r="A55" s="26"/>
      <c r="B55" s="20"/>
      <c r="C55" s="25"/>
      <c r="D55" s="4"/>
      <c r="E55" s="25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3"/>
      <c r="S55" s="11"/>
      <c r="T55" s="11"/>
      <c r="U55" s="24"/>
    </row>
    <row r="56" spans="1:21" ht="15.75" customHeight="1" x14ac:dyDescent="0.2">
      <c r="A56" s="3" t="s">
        <v>29</v>
      </c>
      <c r="C56" s="25"/>
      <c r="D56" s="4"/>
      <c r="E56" s="25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3"/>
      <c r="S56" s="11"/>
      <c r="T56" s="11"/>
      <c r="U56" s="24"/>
    </row>
    <row r="57" spans="1:21" ht="15.75" customHeight="1" x14ac:dyDescent="0.2">
      <c r="A57" s="68">
        <v>1</v>
      </c>
      <c r="B57" s="69" t="s">
        <v>30</v>
      </c>
      <c r="C57" s="27"/>
      <c r="E57" s="27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3"/>
      <c r="S57" s="11"/>
      <c r="T57" s="11"/>
      <c r="U57" s="24"/>
    </row>
    <row r="58" spans="1:21" ht="15.75" customHeight="1" x14ac:dyDescent="0.2">
      <c r="A58" s="68"/>
      <c r="B58" s="69" t="s">
        <v>31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3"/>
      <c r="S58" s="70"/>
      <c r="T58" s="70"/>
      <c r="U58" s="24"/>
    </row>
    <row r="59" spans="1:21" ht="15.75" customHeight="1" x14ac:dyDescent="0.2">
      <c r="R59" s="3"/>
      <c r="S59" s="70"/>
      <c r="T59" s="70"/>
      <c r="U59" s="24"/>
    </row>
    <row r="60" spans="1:21" ht="15.75" customHeight="1" x14ac:dyDescent="0.2"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3"/>
      <c r="S60" s="70"/>
      <c r="T60" s="70"/>
      <c r="U60" s="24"/>
    </row>
    <row r="61" spans="1:21" ht="15.75" customHeight="1" x14ac:dyDescent="0.2">
      <c r="R61" s="3"/>
      <c r="S61" s="70"/>
      <c r="T61" s="70"/>
      <c r="U61" s="24"/>
    </row>
    <row r="62" spans="1:21" ht="15.75" customHeight="1" x14ac:dyDescent="0.2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"/>
      <c r="S62" s="70"/>
      <c r="T62" s="70"/>
      <c r="U62" s="24"/>
    </row>
    <row r="63" spans="1:21" ht="15.75" customHeight="1" x14ac:dyDescent="0.2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3"/>
      <c r="S63" s="70"/>
      <c r="T63" s="70"/>
      <c r="U63" s="24"/>
    </row>
    <row r="64" spans="1:21" ht="15.75" customHeight="1" x14ac:dyDescent="0.2">
      <c r="R64" s="3"/>
      <c r="S64" s="70"/>
      <c r="T64" s="70"/>
      <c r="U64" s="24"/>
    </row>
    <row r="65" spans="6:21" ht="15.75" customHeight="1" x14ac:dyDescent="0.2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"/>
      <c r="S65" s="70"/>
      <c r="T65" s="70"/>
      <c r="U65" s="24"/>
    </row>
    <row r="66" spans="6:21" ht="15.75" customHeight="1" x14ac:dyDescent="0.2">
      <c r="R66" s="3"/>
      <c r="S66" s="70"/>
      <c r="T66" s="70"/>
      <c r="U66" s="24"/>
    </row>
    <row r="67" spans="6:21" ht="15.75" customHeight="1" x14ac:dyDescent="0.2">
      <c r="R67" s="3"/>
      <c r="U67" s="24"/>
    </row>
    <row r="68" spans="6:21" ht="15.75" customHeight="1" x14ac:dyDescent="0.2">
      <c r="R68" s="3"/>
      <c r="U68" s="24"/>
    </row>
    <row r="69" spans="6:21" ht="15.75" customHeight="1" x14ac:dyDescent="0.2">
      <c r="R69" s="3"/>
      <c r="U69" s="24"/>
    </row>
    <row r="70" spans="6:21" ht="15.75" customHeight="1" x14ac:dyDescent="0.2">
      <c r="R70" s="3"/>
      <c r="U70" s="24"/>
    </row>
    <row r="71" spans="6:21" ht="15.75" customHeight="1" x14ac:dyDescent="0.2">
      <c r="R71" s="3"/>
      <c r="U71" s="24"/>
    </row>
    <row r="72" spans="6:21" ht="15.75" customHeight="1" x14ac:dyDescent="0.2">
      <c r="R72" s="3"/>
      <c r="U72" s="24"/>
    </row>
    <row r="73" spans="6:21" ht="15.75" customHeight="1" x14ac:dyDescent="0.2">
      <c r="R73" s="3"/>
      <c r="U73" s="24"/>
    </row>
    <row r="74" spans="6:21" ht="15.75" customHeight="1" x14ac:dyDescent="0.2">
      <c r="R74" s="3"/>
      <c r="U74" s="24"/>
    </row>
    <row r="75" spans="6:21" ht="15.75" customHeight="1" x14ac:dyDescent="0.2">
      <c r="R75" s="3"/>
      <c r="U75" s="24"/>
    </row>
    <row r="76" spans="6:21" ht="15.75" customHeight="1" x14ac:dyDescent="0.2">
      <c r="R76" s="3"/>
      <c r="U76" s="24"/>
    </row>
    <row r="77" spans="6:21" ht="15.75" customHeight="1" x14ac:dyDescent="0.2">
      <c r="R77" s="3"/>
      <c r="U77" s="24"/>
    </row>
    <row r="78" spans="6:21" ht="15.75" customHeight="1" x14ac:dyDescent="0.2">
      <c r="R78" s="3"/>
      <c r="U78" s="24"/>
    </row>
    <row r="79" spans="6:21" ht="15.75" customHeight="1" x14ac:dyDescent="0.2">
      <c r="R79" s="3"/>
      <c r="U79" s="24"/>
    </row>
    <row r="80" spans="6:21" ht="15.75" customHeight="1" x14ac:dyDescent="0.2">
      <c r="R80" s="3"/>
      <c r="U80" s="24"/>
    </row>
    <row r="81" spans="18:21" ht="15.75" customHeight="1" x14ac:dyDescent="0.2">
      <c r="R81" s="3"/>
      <c r="U81" s="24"/>
    </row>
    <row r="82" spans="18:21" ht="15.75" customHeight="1" x14ac:dyDescent="0.2">
      <c r="R82" s="3"/>
      <c r="U82" s="24"/>
    </row>
    <row r="83" spans="18:21" ht="15.75" customHeight="1" x14ac:dyDescent="0.2">
      <c r="R83" s="3"/>
      <c r="U83" s="24"/>
    </row>
    <row r="84" spans="18:21" ht="15.75" customHeight="1" x14ac:dyDescent="0.2">
      <c r="R84" s="3"/>
      <c r="U84" s="24"/>
    </row>
    <row r="85" spans="18:21" ht="15.75" customHeight="1" x14ac:dyDescent="0.2">
      <c r="R85" s="3"/>
      <c r="U85" s="24"/>
    </row>
    <row r="86" spans="18:21" ht="15.75" customHeight="1" x14ac:dyDescent="0.2">
      <c r="R86" s="3"/>
      <c r="U86" s="24"/>
    </row>
    <row r="87" spans="18:21" ht="15.75" customHeight="1" x14ac:dyDescent="0.2">
      <c r="R87" s="3"/>
      <c r="U87" s="24"/>
    </row>
    <row r="88" spans="18:21" ht="15.75" customHeight="1" x14ac:dyDescent="0.2">
      <c r="R88" s="3"/>
      <c r="U88" s="24"/>
    </row>
    <row r="89" spans="18:21" ht="15.75" customHeight="1" x14ac:dyDescent="0.2">
      <c r="R89" s="3"/>
      <c r="U89" s="24"/>
    </row>
    <row r="90" spans="18:21" ht="15.75" customHeight="1" x14ac:dyDescent="0.2">
      <c r="R90" s="3"/>
      <c r="U90" s="24"/>
    </row>
    <row r="91" spans="18:21" ht="15.75" customHeight="1" x14ac:dyDescent="0.2">
      <c r="R91" s="3"/>
      <c r="U91" s="24"/>
    </row>
    <row r="92" spans="18:21" ht="15.75" customHeight="1" x14ac:dyDescent="0.2">
      <c r="R92" s="3"/>
      <c r="U92" s="24"/>
    </row>
    <row r="93" spans="18:21" ht="15.75" customHeight="1" x14ac:dyDescent="0.2">
      <c r="R93" s="3"/>
      <c r="U93" s="24"/>
    </row>
    <row r="94" spans="18:21" ht="15.75" customHeight="1" x14ac:dyDescent="0.2">
      <c r="R94" s="3"/>
      <c r="U94" s="24"/>
    </row>
    <row r="95" spans="18:21" ht="15.75" customHeight="1" x14ac:dyDescent="0.2">
      <c r="R95" s="3"/>
      <c r="U95" s="24"/>
    </row>
    <row r="96" spans="18:21" ht="15.75" customHeight="1" x14ac:dyDescent="0.2">
      <c r="R96" s="3"/>
      <c r="U96" s="24"/>
    </row>
    <row r="97" spans="18:21" ht="15.75" customHeight="1" x14ac:dyDescent="0.2">
      <c r="R97" s="3"/>
      <c r="U97" s="24"/>
    </row>
    <row r="98" spans="18:21" ht="15.75" customHeight="1" x14ac:dyDescent="0.2">
      <c r="R98" s="3"/>
      <c r="U98" s="24"/>
    </row>
    <row r="99" spans="18:21" ht="15.75" customHeight="1" x14ac:dyDescent="0.2">
      <c r="R99" s="3"/>
      <c r="U99" s="24"/>
    </row>
    <row r="100" spans="18:21" ht="15.75" customHeight="1" x14ac:dyDescent="0.2">
      <c r="R100" s="3"/>
      <c r="U100" s="24"/>
    </row>
    <row r="101" spans="18:21" ht="15.75" customHeight="1" x14ac:dyDescent="0.2">
      <c r="R101" s="3"/>
      <c r="U101" s="24"/>
    </row>
    <row r="102" spans="18:21" ht="15.75" customHeight="1" x14ac:dyDescent="0.2">
      <c r="R102" s="3"/>
      <c r="U102" s="24"/>
    </row>
    <row r="103" spans="18:21" ht="15.75" customHeight="1" x14ac:dyDescent="0.2">
      <c r="R103" s="3"/>
      <c r="U103" s="24"/>
    </row>
    <row r="104" spans="18:21" ht="15.75" customHeight="1" x14ac:dyDescent="0.2">
      <c r="R104" s="3"/>
      <c r="U104" s="24"/>
    </row>
    <row r="105" spans="18:21" ht="15.75" customHeight="1" x14ac:dyDescent="0.2">
      <c r="R105" s="3"/>
      <c r="U105" s="24"/>
    </row>
    <row r="106" spans="18:21" ht="15.75" customHeight="1" x14ac:dyDescent="0.2">
      <c r="R106" s="3"/>
      <c r="U106" s="24"/>
    </row>
    <row r="107" spans="18:21" ht="15.75" customHeight="1" x14ac:dyDescent="0.2">
      <c r="R107" s="3"/>
      <c r="U107" s="24"/>
    </row>
    <row r="108" spans="18:21" ht="15.75" customHeight="1" x14ac:dyDescent="0.2">
      <c r="R108" s="3"/>
      <c r="U108" s="24"/>
    </row>
    <row r="109" spans="18:21" ht="15.75" customHeight="1" x14ac:dyDescent="0.2">
      <c r="R109" s="3"/>
      <c r="U109" s="24"/>
    </row>
    <row r="110" spans="18:21" ht="15.75" customHeight="1" x14ac:dyDescent="0.2">
      <c r="R110" s="3"/>
      <c r="U110" s="24"/>
    </row>
    <row r="111" spans="18:21" ht="15.75" customHeight="1" x14ac:dyDescent="0.2">
      <c r="R111" s="3"/>
      <c r="U111" s="24"/>
    </row>
    <row r="112" spans="18:21" ht="15.75" customHeight="1" x14ac:dyDescent="0.2">
      <c r="R112" s="3"/>
      <c r="U112" s="24"/>
    </row>
    <row r="113" spans="18:21" ht="15.75" customHeight="1" x14ac:dyDescent="0.2">
      <c r="R113" s="3"/>
      <c r="U113" s="24"/>
    </row>
    <row r="114" spans="18:21" ht="15.75" customHeight="1" x14ac:dyDescent="0.2">
      <c r="R114" s="3"/>
      <c r="U114" s="24"/>
    </row>
    <row r="115" spans="18:21" ht="15.75" customHeight="1" x14ac:dyDescent="0.2">
      <c r="R115" s="3"/>
      <c r="U115" s="24"/>
    </row>
    <row r="116" spans="18:21" ht="15.75" customHeight="1" x14ac:dyDescent="0.2">
      <c r="R116" s="3"/>
      <c r="U116" s="24"/>
    </row>
    <row r="117" spans="18:21" ht="15.75" customHeight="1" x14ac:dyDescent="0.2">
      <c r="R117" s="3"/>
      <c r="U117" s="24"/>
    </row>
    <row r="118" spans="18:21" ht="15.75" customHeight="1" x14ac:dyDescent="0.2">
      <c r="R118" s="3"/>
      <c r="U118" s="24"/>
    </row>
    <row r="119" spans="18:21" ht="15.75" customHeight="1" x14ac:dyDescent="0.2">
      <c r="R119" s="3"/>
      <c r="U119" s="24"/>
    </row>
    <row r="120" spans="18:21" ht="15.75" customHeight="1" x14ac:dyDescent="0.2">
      <c r="R120" s="3"/>
      <c r="U120" s="24"/>
    </row>
    <row r="121" spans="18:21" ht="15.75" customHeight="1" x14ac:dyDescent="0.2">
      <c r="R121" s="3"/>
      <c r="U121" s="24"/>
    </row>
    <row r="122" spans="18:21" ht="15.75" customHeight="1" x14ac:dyDescent="0.2">
      <c r="R122" s="3"/>
      <c r="U122" s="24"/>
    </row>
    <row r="123" spans="18:21" ht="15.75" customHeight="1" x14ac:dyDescent="0.2">
      <c r="R123" s="3"/>
      <c r="U123" s="24"/>
    </row>
    <row r="124" spans="18:21" ht="15.75" customHeight="1" x14ac:dyDescent="0.2">
      <c r="R124" s="3"/>
      <c r="U124" s="24"/>
    </row>
    <row r="125" spans="18:21" ht="15.75" customHeight="1" x14ac:dyDescent="0.2">
      <c r="R125" s="3"/>
      <c r="U125" s="24"/>
    </row>
    <row r="126" spans="18:21" ht="15.75" customHeight="1" x14ac:dyDescent="0.2">
      <c r="R126" s="3"/>
      <c r="U126" s="24"/>
    </row>
    <row r="127" spans="18:21" ht="15.75" customHeight="1" x14ac:dyDescent="0.2">
      <c r="R127" s="3"/>
      <c r="U127" s="24"/>
    </row>
    <row r="128" spans="18:21" ht="15.75" customHeight="1" x14ac:dyDescent="0.2">
      <c r="R128" s="3"/>
      <c r="U128" s="24"/>
    </row>
    <row r="129" spans="18:21" ht="15.75" customHeight="1" x14ac:dyDescent="0.2">
      <c r="R129" s="3"/>
      <c r="U129" s="24"/>
    </row>
    <row r="130" spans="18:21" ht="15.75" customHeight="1" x14ac:dyDescent="0.2">
      <c r="R130" s="3"/>
      <c r="U130" s="24"/>
    </row>
    <row r="131" spans="18:21" ht="15.75" customHeight="1" x14ac:dyDescent="0.2">
      <c r="R131" s="3"/>
      <c r="U131" s="24"/>
    </row>
    <row r="132" spans="18:21" ht="15.75" customHeight="1" x14ac:dyDescent="0.2">
      <c r="R132" s="3"/>
      <c r="U132" s="24"/>
    </row>
    <row r="133" spans="18:21" ht="15.75" customHeight="1" x14ac:dyDescent="0.2">
      <c r="R133" s="3"/>
      <c r="U133" s="24"/>
    </row>
    <row r="134" spans="18:21" ht="15.75" customHeight="1" x14ac:dyDescent="0.2">
      <c r="R134" s="3"/>
      <c r="U134" s="24"/>
    </row>
    <row r="135" spans="18:21" ht="15.75" customHeight="1" x14ac:dyDescent="0.2">
      <c r="R135" s="3"/>
      <c r="U135" s="24"/>
    </row>
    <row r="136" spans="18:21" ht="15.75" customHeight="1" x14ac:dyDescent="0.2">
      <c r="R136" s="3"/>
      <c r="U136" s="24"/>
    </row>
    <row r="137" spans="18:21" ht="15.75" customHeight="1" x14ac:dyDescent="0.2">
      <c r="R137" s="3"/>
      <c r="U137" s="24"/>
    </row>
    <row r="138" spans="18:21" ht="15.75" customHeight="1" x14ac:dyDescent="0.2">
      <c r="R138" s="3"/>
      <c r="U138" s="24"/>
    </row>
    <row r="139" spans="18:21" ht="15.75" customHeight="1" x14ac:dyDescent="0.2">
      <c r="R139" s="3"/>
      <c r="U139" s="24"/>
    </row>
    <row r="140" spans="18:21" ht="15.75" customHeight="1" x14ac:dyDescent="0.2">
      <c r="R140" s="3"/>
      <c r="U140" s="24"/>
    </row>
    <row r="141" spans="18:21" ht="15.75" customHeight="1" x14ac:dyDescent="0.2">
      <c r="R141" s="3"/>
      <c r="U141" s="24"/>
    </row>
    <row r="142" spans="18:21" ht="15.75" customHeight="1" x14ac:dyDescent="0.2">
      <c r="R142" s="3"/>
      <c r="U142" s="24"/>
    </row>
    <row r="143" spans="18:21" ht="15.75" customHeight="1" x14ac:dyDescent="0.2">
      <c r="R143" s="3"/>
      <c r="U143" s="24"/>
    </row>
    <row r="144" spans="18:21" ht="15.75" customHeight="1" x14ac:dyDescent="0.2">
      <c r="R144" s="3"/>
      <c r="U144" s="24"/>
    </row>
    <row r="145" spans="18:21" ht="15.75" customHeight="1" x14ac:dyDescent="0.2">
      <c r="R145" s="3"/>
      <c r="U145" s="24"/>
    </row>
    <row r="146" spans="18:21" ht="15.75" customHeight="1" x14ac:dyDescent="0.2">
      <c r="U146" s="24"/>
    </row>
    <row r="147" spans="18:21" ht="15.75" customHeight="1" x14ac:dyDescent="0.2">
      <c r="U147" s="24"/>
    </row>
    <row r="148" spans="18:21" ht="15.75" customHeight="1" x14ac:dyDescent="0.2">
      <c r="U148" s="24"/>
    </row>
    <row r="149" spans="18:21" ht="15.75" customHeight="1" x14ac:dyDescent="0.2">
      <c r="U149" s="24"/>
    </row>
    <row r="150" spans="18:21" ht="15.75" customHeight="1" x14ac:dyDescent="0.2">
      <c r="U150" s="24"/>
    </row>
    <row r="151" spans="18:21" ht="15.75" customHeight="1" x14ac:dyDescent="0.2">
      <c r="U151" s="24"/>
    </row>
    <row r="152" spans="18:21" ht="15.75" customHeight="1" x14ac:dyDescent="0.2">
      <c r="U152" s="24"/>
    </row>
    <row r="153" spans="18:21" ht="15.75" customHeight="1" x14ac:dyDescent="0.2">
      <c r="U153" s="24"/>
    </row>
    <row r="154" spans="18:21" ht="15.75" customHeight="1" x14ac:dyDescent="0.2">
      <c r="U154" s="24"/>
    </row>
    <row r="155" spans="18:21" ht="15.75" customHeight="1" x14ac:dyDescent="0.2">
      <c r="U155" s="24"/>
    </row>
    <row r="156" spans="18:21" ht="15.75" customHeight="1" x14ac:dyDescent="0.2">
      <c r="U156" s="24"/>
    </row>
    <row r="157" spans="18:21" ht="15.75" customHeight="1" x14ac:dyDescent="0.2">
      <c r="U157" s="24"/>
    </row>
    <row r="158" spans="18:21" ht="15.75" customHeight="1" x14ac:dyDescent="0.2">
      <c r="U158" s="24"/>
    </row>
    <row r="159" spans="18:21" ht="15.75" customHeight="1" x14ac:dyDescent="0.2">
      <c r="U159" s="24"/>
    </row>
    <row r="160" spans="18:21" ht="15.75" customHeight="1" x14ac:dyDescent="0.2">
      <c r="U160" s="24"/>
    </row>
    <row r="161" spans="21:21" ht="15.75" customHeight="1" x14ac:dyDescent="0.2">
      <c r="U161" s="24"/>
    </row>
    <row r="162" spans="21:21" ht="15.75" customHeight="1" x14ac:dyDescent="0.2">
      <c r="U162" s="24"/>
    </row>
    <row r="163" spans="21:21" ht="15.75" customHeight="1" x14ac:dyDescent="0.2">
      <c r="U163" s="24"/>
    </row>
    <row r="164" spans="21:21" ht="15.75" customHeight="1" x14ac:dyDescent="0.2">
      <c r="U164" s="24"/>
    </row>
  </sheetData>
  <pageMargins left="0.25" right="0.25" top="0.5" bottom="0.25" header="0" footer="0.3"/>
  <pageSetup scale="54" orientation="landscape" r:id="rId1"/>
  <headerFooter alignWithMargins="0">
    <oddFooter>&amp;C&amp;"arial"&amp;11Exhibit 2 - Docket 09-035-15 Commission Order Calculation (Dynamic Annual Allocation Factor)&amp;R&amp;"arial"&amp;11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(Exh.1) Comm Ord Methd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2016-08-17T21:47:18Z</dcterms:created>
  <dcterms:modified xsi:type="dcterms:W3CDTF">2016-08-18T22:29:21Z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