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-15" windowWidth="14370" windowHeight="14520"/>
  </bookViews>
  <sheets>
    <sheet name="Appendix B" sheetId="38" r:id="rId1"/>
    <sheet name="Table 1" sheetId="25" r:id="rId2"/>
    <sheet name="Table 2" sheetId="17" r:id="rId3"/>
    <sheet name="Table 3 635 (Wyo)" sheetId="37" state="hidden" r:id="rId4"/>
    <sheet name="Table 3 477 (WM)" sheetId="29" r:id="rId5"/>
    <sheet name="Table 3 635 (Ut S)" sheetId="36" state="hidden" r:id="rId6"/>
    <sheet name="Table 4" sheetId="28" r:id="rId7"/>
    <sheet name="Table 5" sheetId="31" r:id="rId8"/>
  </sheets>
  <definedNames>
    <definedName name="_477_CCCT_WestMain" localSheetId="0">'Table 1'!$I$18</definedName>
    <definedName name="_477_CCCT_WestMain">'Table 1'!$I$18</definedName>
    <definedName name="_635_CCCT_UtahS" localSheetId="0">'Table 1'!$I$19</definedName>
    <definedName name="_635_CCCT_UtahS">'Table 1'!$I$19</definedName>
    <definedName name="_635_CCCT_WyoNE" localSheetId="0">'Table 1'!$I$17</definedName>
    <definedName name="_635_CCCT_WyoNE">'Table 1'!$I$17</definedName>
    <definedName name="_Order1" hidden="1">255</definedName>
    <definedName name="_Order2" hidden="1">0</definedName>
    <definedName name="_Percent_Last_CCCT">'Table 1'!$I$26</definedName>
    <definedName name="Discount_Rate" localSheetId="0">'Table 1'!$I$35</definedName>
    <definedName name="Discount_Rate">'Table 1'!$I$35</definedName>
    <definedName name="_xlnm.Print_Area" localSheetId="0">'Appendix B'!$A$1:$G$42</definedName>
    <definedName name="_xlnm.Print_Area" localSheetId="1">'Table 1'!$A$1:$H$50</definedName>
    <definedName name="_xlnm.Print_Area" localSheetId="2">'Table 2'!$B$1:$Q$35</definedName>
    <definedName name="_xlnm.Print_Area" localSheetId="4">'Table 3 477 (WM)'!$A$1:$K$89</definedName>
    <definedName name="_xlnm.Print_Area" localSheetId="5">'Table 3 635 (Ut S)'!$A$1:$K$89</definedName>
    <definedName name="_xlnm.Print_Area" localSheetId="3">'Table 3 635 (Wyo)'!$A$1:$K$89</definedName>
    <definedName name="_xlnm.Print_Area" localSheetId="6">'Table 4'!$A$1:$D$41</definedName>
    <definedName name="_xlnm.Print_Area" localSheetId="7">'Table 5'!$A$1:$H$266</definedName>
    <definedName name="_xlnm.Print_Titles" localSheetId="2">'Table 2'!$1:$9</definedName>
    <definedName name="_xlnm.Print_Titles" localSheetId="4">'Table 3 477 (WM)'!$1:$6</definedName>
    <definedName name="_xlnm.Print_Titles" localSheetId="5">'Table 3 635 (Ut S)'!$1:$6</definedName>
    <definedName name="_xlnm.Print_Titles" localSheetId="3">'Table 3 635 (Wyo)'!$1:$6</definedName>
    <definedName name="Study_Cap_Adj" localSheetId="0">'Table 1'!$I$8</definedName>
    <definedName name="Study_Cap_Adj">'Table 1'!$I$8</definedName>
    <definedName name="Study_CF" localSheetId="0">'Table 5'!$M$7</definedName>
    <definedName name="Study_CF">'Table 5'!$M$7</definedName>
    <definedName name="Study_MW" localSheetId="0">'Table 5'!$M$6</definedName>
    <definedName name="Study_MW">'Table 5'!$M$6</definedName>
    <definedName name="Study_Name">'Table 5'!$M$4</definedName>
  </definedNames>
  <calcPr calcId="152511" calcOnSave="0"/>
</workbook>
</file>

<file path=xl/calcChain.xml><?xml version="1.0" encoding="utf-8"?>
<calcChain xmlns="http://schemas.openxmlformats.org/spreadsheetml/2006/main">
  <c r="C36" i="25" l="1"/>
  <c r="E37" i="25"/>
  <c r="B35" i="38" l="1"/>
  <c r="G30" i="38"/>
  <c r="G29" i="38"/>
  <c r="B29" i="38"/>
  <c r="I8" i="25" l="1"/>
  <c r="B35" i="25" l="1"/>
  <c r="B41" i="28" l="1"/>
  <c r="C74" i="36" l="1"/>
  <c r="C71" i="36"/>
  <c r="I302" i="28"/>
  <c r="I301" i="28"/>
  <c r="I300" i="28"/>
  <c r="I298" i="28"/>
  <c r="I297" i="28"/>
  <c r="I296" i="28"/>
  <c r="I294" i="28"/>
  <c r="I293" i="28"/>
  <c r="I292" i="28"/>
  <c r="I290" i="28"/>
  <c r="I289" i="28"/>
  <c r="I288" i="28"/>
  <c r="I286" i="28"/>
  <c r="I285" i="28"/>
  <c r="I284" i="28"/>
  <c r="I282" i="28"/>
  <c r="I281" i="28"/>
  <c r="I304" i="28"/>
  <c r="C84" i="37"/>
  <c r="J63" i="37"/>
  <c r="D73" i="37"/>
  <c r="I59" i="37" s="1"/>
  <c r="C73" i="37"/>
  <c r="I58" i="37" s="1"/>
  <c r="H59" i="37"/>
  <c r="H58" i="37"/>
  <c r="F64" i="37"/>
  <c r="F58" i="37"/>
  <c r="E68" i="37"/>
  <c r="K64" i="37"/>
  <c r="J64" i="37"/>
  <c r="G64" i="37"/>
  <c r="C64" i="37"/>
  <c r="K63" i="37"/>
  <c r="G63" i="37"/>
  <c r="C63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F63" i="37" l="1"/>
  <c r="H63" i="37" s="1"/>
  <c r="F59" i="37"/>
  <c r="F60" i="37" s="1"/>
  <c r="H60" i="37" s="1"/>
  <c r="C14" i="37" s="1"/>
  <c r="D14" i="37" s="1"/>
  <c r="D15" i="37" s="1"/>
  <c r="I283" i="28"/>
  <c r="I287" i="28"/>
  <c r="I291" i="28"/>
  <c r="I295" i="28"/>
  <c r="I299" i="28"/>
  <c r="I303" i="28"/>
  <c r="B30" i="37"/>
  <c r="H64" i="37"/>
  <c r="C85" i="37"/>
  <c r="F65" i="37" l="1"/>
  <c r="H65" i="37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D78" i="37" l="1"/>
  <c r="I63" i="37"/>
  <c r="I64" i="37" s="1"/>
  <c r="K65" i="37" s="1"/>
  <c r="G65" i="37"/>
  <c r="D48" i="37" s="1"/>
  <c r="D17" i="37"/>
  <c r="C87" i="37"/>
  <c r="E18" i="37"/>
  <c r="B32" i="37"/>
  <c r="D18" i="37" l="1"/>
  <c r="D51" i="37"/>
  <c r="I65" i="37"/>
  <c r="B33" i="37"/>
  <c r="J65" i="37"/>
  <c r="F14" i="37" s="1"/>
  <c r="F15" i="37" s="1"/>
  <c r="F16" i="37" s="1"/>
  <c r="F17" i="37" s="1"/>
  <c r="F18" i="37" s="1"/>
  <c r="E19" i="37"/>
  <c r="C88" i="37"/>
  <c r="G18" i="37" l="1"/>
  <c r="H18" i="37" s="1"/>
  <c r="F19" i="37"/>
  <c r="D19" i="37"/>
  <c r="G14" i="37"/>
  <c r="H14" i="37" s="1"/>
  <c r="C89" i="37"/>
  <c r="E20" i="37"/>
  <c r="B34" i="37"/>
  <c r="D20" i="37" l="1"/>
  <c r="F20" i="37"/>
  <c r="G19" i="37"/>
  <c r="H19" i="37" s="1"/>
  <c r="E21" i="37"/>
  <c r="C90" i="37"/>
  <c r="B35" i="37"/>
  <c r="G15" i="37"/>
  <c r="H15" i="37" s="1"/>
  <c r="D21" i="37" l="1"/>
  <c r="F21" i="37"/>
  <c r="G20" i="37"/>
  <c r="H20" i="37" s="1"/>
  <c r="G16" i="37"/>
  <c r="H16" i="37" s="1"/>
  <c r="B36" i="37"/>
  <c r="C91" i="37"/>
  <c r="E22" i="37"/>
  <c r="F22" i="37" l="1"/>
  <c r="G21" i="37"/>
  <c r="H21" i="37" s="1"/>
  <c r="D22" i="37"/>
  <c r="E23" i="37"/>
  <c r="F83" i="37"/>
  <c r="B37" i="37"/>
  <c r="G17" i="37"/>
  <c r="H17" i="37" s="1"/>
  <c r="D23" i="37" l="1"/>
  <c r="F23" i="37"/>
  <c r="G22" i="37"/>
  <c r="H22" i="37" s="1"/>
  <c r="F84" i="37"/>
  <c r="E24" i="37"/>
  <c r="B38" i="37"/>
  <c r="G23" i="37" l="1"/>
  <c r="H23" i="37" s="1"/>
  <c r="F24" i="37"/>
  <c r="D24" i="37"/>
  <c r="B39" i="37"/>
  <c r="E25" i="37"/>
  <c r="F85" i="37"/>
  <c r="D25" i="37" l="1"/>
  <c r="D26" i="37" s="1"/>
  <c r="F25" i="37"/>
  <c r="B40" i="37"/>
  <c r="F86" i="37"/>
  <c r="E26" i="37" l="1"/>
  <c r="F26" i="37"/>
  <c r="G25" i="37"/>
  <c r="H25" i="37" s="1"/>
  <c r="D27" i="37"/>
  <c r="F87" i="37"/>
  <c r="B41" i="37"/>
  <c r="E27" i="37" l="1"/>
  <c r="F27" i="37"/>
  <c r="G26" i="37"/>
  <c r="H26" i="37" s="1"/>
  <c r="F88" i="37"/>
  <c r="D28" i="37"/>
  <c r="B42" i="37"/>
  <c r="E28" i="37" l="1"/>
  <c r="F28" i="37"/>
  <c r="G27" i="37"/>
  <c r="H27" i="37" s="1"/>
  <c r="D29" i="37"/>
  <c r="F89" i="37"/>
  <c r="E29" i="37" l="1"/>
  <c r="F29" i="37"/>
  <c r="G28" i="37"/>
  <c r="H28" i="37" s="1"/>
  <c r="G24" i="37"/>
  <c r="H24" i="37" s="1"/>
  <c r="F90" i="37"/>
  <c r="D30" i="37"/>
  <c r="G29" i="37" l="1"/>
  <c r="H29" i="37" s="1"/>
  <c r="F30" i="37"/>
  <c r="E30" i="37"/>
  <c r="D31" i="37"/>
  <c r="F91" i="37"/>
  <c r="E31" i="37" l="1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E41" i="37"/>
  <c r="E42" i="37" s="1"/>
  <c r="D41" i="37" l="1"/>
  <c r="D42" i="37" l="1"/>
  <c r="F41" i="37" l="1"/>
  <c r="F42" i="37" l="1"/>
  <c r="G42" i="37" s="1"/>
  <c r="H42" i="37" s="1"/>
  <c r="G41" i="37"/>
  <c r="H41" i="37" s="1"/>
  <c r="C82" i="37" l="1"/>
  <c r="H59" i="36" l="1"/>
  <c r="H58" i="36"/>
  <c r="F59" i="36"/>
  <c r="F58" i="36"/>
  <c r="I328" i="28" l="1"/>
  <c r="I327" i="28"/>
  <c r="I326" i="28"/>
  <c r="I324" i="28"/>
  <c r="I323" i="28"/>
  <c r="I322" i="28"/>
  <c r="I320" i="28"/>
  <c r="I319" i="28"/>
  <c r="I318" i="28"/>
  <c r="I316" i="28"/>
  <c r="I315" i="28"/>
  <c r="I314" i="28"/>
  <c r="I312" i="28"/>
  <c r="I311" i="28"/>
  <c r="I310" i="28"/>
  <c r="I308" i="28"/>
  <c r="I307" i="28"/>
  <c r="I306" i="28"/>
  <c r="I280" i="28"/>
  <c r="I279" i="28"/>
  <c r="I278" i="28"/>
  <c r="I276" i="28"/>
  <c r="I275" i="28"/>
  <c r="I274" i="28"/>
  <c r="I272" i="28"/>
  <c r="I271" i="28"/>
  <c r="I270" i="28"/>
  <c r="I268" i="28"/>
  <c r="I267" i="28"/>
  <c r="I266" i="28"/>
  <c r="I264" i="28"/>
  <c r="I263" i="28"/>
  <c r="I262" i="28"/>
  <c r="I260" i="28"/>
  <c r="I259" i="28"/>
  <c r="I258" i="28"/>
  <c r="I256" i="28"/>
  <c r="I255" i="28"/>
  <c r="I254" i="28"/>
  <c r="I251" i="28"/>
  <c r="I250" i="28"/>
  <c r="I249" i="28"/>
  <c r="I247" i="28"/>
  <c r="I246" i="28"/>
  <c r="I245" i="28"/>
  <c r="I243" i="28"/>
  <c r="I242" i="28"/>
  <c r="I241" i="28"/>
  <c r="I239" i="28"/>
  <c r="I238" i="28"/>
  <c r="I237" i="28"/>
  <c r="I235" i="28"/>
  <c r="I234" i="28"/>
  <c r="I233" i="28"/>
  <c r="I231" i="28"/>
  <c r="I230" i="28"/>
  <c r="I229" i="28"/>
  <c r="I227" i="28"/>
  <c r="I226" i="28"/>
  <c r="I225" i="28"/>
  <c r="I223" i="28"/>
  <c r="I222" i="28"/>
  <c r="I221" i="28"/>
  <c r="I219" i="28"/>
  <c r="I218" i="28"/>
  <c r="I217" i="28"/>
  <c r="I215" i="28"/>
  <c r="I214" i="28"/>
  <c r="I213" i="28"/>
  <c r="I211" i="28"/>
  <c r="I210" i="28"/>
  <c r="I209" i="28"/>
  <c r="I207" i="28"/>
  <c r="I206" i="28"/>
  <c r="I205" i="28"/>
  <c r="I203" i="28"/>
  <c r="I202" i="28"/>
  <c r="I201" i="28"/>
  <c r="I199" i="28"/>
  <c r="I197" i="28"/>
  <c r="I195" i="28"/>
  <c r="I193" i="28"/>
  <c r="I191" i="28"/>
  <c r="I190" i="28"/>
  <c r="I189" i="28"/>
  <c r="I187" i="28"/>
  <c r="I185" i="28"/>
  <c r="I183" i="28"/>
  <c r="I181" i="28"/>
  <c r="I179" i="28"/>
  <c r="I178" i="28"/>
  <c r="I177" i="28"/>
  <c r="I175" i="28"/>
  <c r="I174" i="28"/>
  <c r="I173" i="28"/>
  <c r="I171" i="28"/>
  <c r="I169" i="28"/>
  <c r="I167" i="28"/>
  <c r="I166" i="28"/>
  <c r="I165" i="28"/>
  <c r="I163" i="28"/>
  <c r="I161" i="28"/>
  <c r="I186" i="28" l="1"/>
  <c r="I162" i="28"/>
  <c r="I194" i="28"/>
  <c r="I170" i="28"/>
  <c r="I224" i="28"/>
  <c r="I253" i="28"/>
  <c r="I265" i="28"/>
  <c r="I273" i="28"/>
  <c r="I305" i="28"/>
  <c r="I325" i="28"/>
  <c r="I172" i="28"/>
  <c r="I196" i="28"/>
  <c r="I244" i="28"/>
  <c r="I182" i="28"/>
  <c r="I198" i="28"/>
  <c r="I200" i="28"/>
  <c r="I248" i="28"/>
  <c r="I208" i="28"/>
  <c r="I240" i="28"/>
  <c r="I257" i="28"/>
  <c r="I261" i="28"/>
  <c r="I269" i="28"/>
  <c r="I277" i="28"/>
  <c r="I309" i="28"/>
  <c r="I313" i="28"/>
  <c r="I317" i="28"/>
  <c r="I321" i="28"/>
  <c r="I164" i="28"/>
  <c r="I180" i="28"/>
  <c r="I188" i="28"/>
  <c r="I212" i="28"/>
  <c r="I228" i="28"/>
  <c r="I216" i="28"/>
  <c r="I232" i="28"/>
  <c r="I168" i="28"/>
  <c r="I176" i="28"/>
  <c r="I184" i="28"/>
  <c r="I192" i="28"/>
  <c r="I204" i="28"/>
  <c r="I220" i="28"/>
  <c r="I236" i="28"/>
  <c r="I252" i="28"/>
  <c r="B15" i="28" l="1"/>
  <c r="B16" i="28" l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C84" i="36" l="1"/>
  <c r="D76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D16" i="36" l="1"/>
  <c r="C85" i="36"/>
  <c r="H64" i="36"/>
  <c r="F65" i="36"/>
  <c r="H63" i="36"/>
  <c r="G58" i="36"/>
  <c r="G59" i="36" s="1"/>
  <c r="I60" i="36"/>
  <c r="E14" i="36" s="1"/>
  <c r="E15" i="36" s="1"/>
  <c r="E16" i="36" s="1"/>
  <c r="B31" i="36"/>
  <c r="E17" i="36" l="1"/>
  <c r="D17" i="36"/>
  <c r="I42" i="37"/>
  <c r="J42" i="37" s="1"/>
  <c r="K42" i="37" s="1"/>
  <c r="C86" i="36"/>
  <c r="H65" i="36"/>
  <c r="I63" i="36" s="1"/>
  <c r="I64" i="36" s="1"/>
  <c r="K65" i="36" s="1"/>
  <c r="G60" i="36"/>
  <c r="C82" i="36"/>
  <c r="B32" i="36"/>
  <c r="C87" i="36" l="1"/>
  <c r="E18" i="36"/>
  <c r="D78" i="36"/>
  <c r="D18" i="36"/>
  <c r="G65" i="36"/>
  <c r="D48" i="36" s="1"/>
  <c r="J65" i="36"/>
  <c r="F14" i="36" s="1"/>
  <c r="F15" i="36" s="1"/>
  <c r="F16" i="36" s="1"/>
  <c r="F17" i="36" s="1"/>
  <c r="F18" i="36" s="1"/>
  <c r="I65" i="36"/>
  <c r="D51" i="36"/>
  <c r="C88" i="36"/>
  <c r="B33" i="36"/>
  <c r="E19" i="36" l="1"/>
  <c r="E20" i="36" s="1"/>
  <c r="G18" i="36"/>
  <c r="H18" i="36" s="1"/>
  <c r="F19" i="36"/>
  <c r="D19" i="36"/>
  <c r="G14" i="36"/>
  <c r="H14" i="36" s="1"/>
  <c r="B34" i="36"/>
  <c r="C89" i="36"/>
  <c r="G15" i="36"/>
  <c r="H15" i="36" s="1"/>
  <c r="B3" i="31"/>
  <c r="E21" i="36" l="1"/>
  <c r="F20" i="36"/>
  <c r="G19" i="36"/>
  <c r="H19" i="36" s="1"/>
  <c r="D20" i="36"/>
  <c r="G16" i="36"/>
  <c r="H16" i="36" s="1"/>
  <c r="B35" i="36"/>
  <c r="C90" i="36"/>
  <c r="E22" i="36" l="1"/>
  <c r="F21" i="36"/>
  <c r="G20" i="36"/>
  <c r="H20" i="36" s="1"/>
  <c r="D21" i="36"/>
  <c r="C91" i="36"/>
  <c r="B36" i="36"/>
  <c r="G17" i="36"/>
  <c r="H17" i="36" s="1"/>
  <c r="E23" i="36" l="1"/>
  <c r="F22" i="36"/>
  <c r="G21" i="36"/>
  <c r="H21" i="36" s="1"/>
  <c r="D22" i="36"/>
  <c r="B37" i="36"/>
  <c r="F83" i="36"/>
  <c r="E24" i="36" l="1"/>
  <c r="F23" i="36"/>
  <c r="G22" i="36"/>
  <c r="H22" i="36" s="1"/>
  <c r="D23" i="36"/>
  <c r="F84" i="36"/>
  <c r="B38" i="36"/>
  <c r="E25" i="36" l="1"/>
  <c r="G23" i="36"/>
  <c r="H23" i="36" s="1"/>
  <c r="F24" i="36"/>
  <c r="F25" i="36" s="1"/>
  <c r="D24" i="36"/>
  <c r="B39" i="36"/>
  <c r="F85" i="36"/>
  <c r="E26" i="36" l="1"/>
  <c r="F26" i="36"/>
  <c r="G25" i="36"/>
  <c r="D25" i="36"/>
  <c r="F86" i="36"/>
  <c r="B40" i="36"/>
  <c r="E27" i="36" l="1"/>
  <c r="F27" i="36"/>
  <c r="G26" i="36"/>
  <c r="D26" i="36"/>
  <c r="H25" i="36"/>
  <c r="B41" i="36"/>
  <c r="F87" i="36"/>
  <c r="E28" i="36" l="1"/>
  <c r="F28" i="36"/>
  <c r="G27" i="36"/>
  <c r="D27" i="36"/>
  <c r="D28" i="36" s="1"/>
  <c r="H26" i="36"/>
  <c r="F88" i="36"/>
  <c r="B42" i="36"/>
  <c r="E29" i="36" l="1"/>
  <c r="G28" i="36"/>
  <c r="H28" i="36" s="1"/>
  <c r="F29" i="36"/>
  <c r="D29" i="36"/>
  <c r="H27" i="36"/>
  <c r="F89" i="36"/>
  <c r="G24" i="36"/>
  <c r="H24" i="36" s="1"/>
  <c r="E30" i="36" l="1"/>
  <c r="G29" i="36"/>
  <c r="H29" i="36" s="1"/>
  <c r="F30" i="36"/>
  <c r="F90" i="36"/>
  <c r="E31" i="36" l="1"/>
  <c r="F31" i="36"/>
  <c r="G30" i="36"/>
  <c r="D30" i="36"/>
  <c r="D31" i="36" s="1"/>
  <c r="F91" i="36"/>
  <c r="G31" i="36" l="1"/>
  <c r="H31" i="36" s="1"/>
  <c r="E32" i="36"/>
  <c r="F32" i="36"/>
  <c r="D32" i="36"/>
  <c r="H30" i="36"/>
  <c r="I83" i="36"/>
  <c r="G32" i="36" l="1"/>
  <c r="H32" i="36" s="1"/>
  <c r="E33" i="36"/>
  <c r="F33" i="36"/>
  <c r="I84" i="36"/>
  <c r="E34" i="36" l="1"/>
  <c r="G33" i="36"/>
  <c r="F34" i="36"/>
  <c r="D33" i="36"/>
  <c r="I85" i="36"/>
  <c r="E35" i="36" l="1"/>
  <c r="F35" i="36"/>
  <c r="G34" i="36"/>
  <c r="D34" i="36"/>
  <c r="H33" i="36"/>
  <c r="I86" i="36"/>
  <c r="E36" i="36" l="1"/>
  <c r="F36" i="36"/>
  <c r="G35" i="36"/>
  <c r="D35" i="36"/>
  <c r="H34" i="36"/>
  <c r="I87" i="36"/>
  <c r="E37" i="36" l="1"/>
  <c r="G36" i="36"/>
  <c r="D36" i="36"/>
  <c r="H35" i="36"/>
  <c r="I88" i="36"/>
  <c r="F37" i="36" l="1"/>
  <c r="G37" i="36" s="1"/>
  <c r="E38" i="36"/>
  <c r="D37" i="36"/>
  <c r="H36" i="36"/>
  <c r="I89" i="36"/>
  <c r="F38" i="36" l="1"/>
  <c r="G38" i="36" s="1"/>
  <c r="E39" i="36"/>
  <c r="D38" i="36"/>
  <c r="H37" i="36"/>
  <c r="I90" i="36"/>
  <c r="F39" i="36" l="1"/>
  <c r="G39" i="36" s="1"/>
  <c r="E40" i="36"/>
  <c r="D39" i="36"/>
  <c r="H38" i="36"/>
  <c r="I91" i="36"/>
  <c r="F40" i="36" l="1"/>
  <c r="G40" i="36" s="1"/>
  <c r="D40" i="36"/>
  <c r="H39" i="36"/>
  <c r="H40" i="36" l="1"/>
  <c r="E41" i="36"/>
  <c r="E42" i="36" l="1"/>
  <c r="D41" i="36"/>
  <c r="D42" i="36" l="1"/>
  <c r="F41" i="36" l="1"/>
  <c r="F42" i="36" l="1"/>
  <c r="G42" i="36" s="1"/>
  <c r="H42" i="36" s="1"/>
  <c r="G41" i="36"/>
  <c r="H41" i="36" s="1"/>
  <c r="B40" i="25" l="1"/>
  <c r="I148" i="28" l="1"/>
  <c r="I147" i="28"/>
  <c r="I146" i="28"/>
  <c r="I145" i="28"/>
  <c r="I144" i="28"/>
  <c r="I143" i="28"/>
  <c r="I141" i="28"/>
  <c r="I140" i="28"/>
  <c r="I139" i="28"/>
  <c r="I138" i="28"/>
  <c r="I137" i="28"/>
  <c r="I142" i="28"/>
  <c r="C64" i="29" l="1"/>
  <c r="C63" i="29"/>
  <c r="D73" i="29"/>
  <c r="C73" i="29"/>
  <c r="E68" i="29"/>
  <c r="I160" i="28" l="1"/>
  <c r="I159" i="28"/>
  <c r="I158" i="28"/>
  <c r="I157" i="28"/>
  <c r="I156" i="28"/>
  <c r="I155" i="28"/>
  <c r="I154" i="28"/>
  <c r="I153" i="28"/>
  <c r="I152" i="28"/>
  <c r="I151" i="28"/>
  <c r="I150" i="28"/>
  <c r="I149" i="28"/>
  <c r="I136" i="28"/>
  <c r="I135" i="28"/>
  <c r="I134" i="28"/>
  <c r="I132" i="28"/>
  <c r="I131" i="28"/>
  <c r="I130" i="28"/>
  <c r="I129" i="28"/>
  <c r="I128" i="28"/>
  <c r="I127" i="28"/>
  <c r="I126" i="28"/>
  <c r="I125" i="28"/>
  <c r="I124" i="28"/>
  <c r="I122" i="28"/>
  <c r="I121" i="28"/>
  <c r="I120" i="28"/>
  <c r="I118" i="28"/>
  <c r="I117" i="28"/>
  <c r="I116" i="28"/>
  <c r="I115" i="28"/>
  <c r="I114" i="28"/>
  <c r="I113" i="28" l="1"/>
  <c r="I119" i="28"/>
  <c r="I123" i="28"/>
  <c r="I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B29" i="29" s="1"/>
  <c r="B30" i="29" s="1"/>
  <c r="H64" i="29"/>
  <c r="F65" i="29"/>
  <c r="F58" i="29"/>
  <c r="F60" i="29" s="1"/>
  <c r="G58" i="29" s="1"/>
  <c r="H63" i="29"/>
  <c r="H65" i="29" l="1"/>
  <c r="D78" i="29" s="1"/>
  <c r="G59" i="29"/>
  <c r="G60" i="29" s="1"/>
  <c r="I60" i="29"/>
  <c r="E14" i="29" s="1"/>
  <c r="E15" i="29" s="1"/>
  <c r="B31" i="29"/>
  <c r="H60" i="29"/>
  <c r="C14" i="29" s="1"/>
  <c r="D14" i="29" s="1"/>
  <c r="D15" i="29" s="1"/>
  <c r="G65" i="29" l="1"/>
  <c r="D48" i="29" s="1"/>
  <c r="I63" i="29"/>
  <c r="I64" i="29" s="1"/>
  <c r="K65" i="29" s="1"/>
  <c r="D51" i="29" s="1"/>
  <c r="B32" i="29"/>
  <c r="I65" i="29" l="1"/>
  <c r="J65" i="29"/>
  <c r="F14" i="29" s="1"/>
  <c r="B33" i="29"/>
  <c r="G14" i="29" l="1"/>
  <c r="H14" i="29" s="1"/>
  <c r="F15" i="29"/>
  <c r="B34" i="29"/>
  <c r="B35" i="29" l="1"/>
  <c r="B36" i="29" l="1"/>
  <c r="B37" i="29" l="1"/>
  <c r="B38" i="29" l="1"/>
  <c r="B39" i="29" l="1"/>
  <c r="B40" i="29" l="1"/>
  <c r="B41" i="29" l="1"/>
  <c r="B42" i="29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3" i="28"/>
  <c r="I41" i="28"/>
  <c r="I39" i="28"/>
  <c r="I37" i="28"/>
  <c r="I35" i="28"/>
  <c r="I33" i="28"/>
  <c r="I31" i="28"/>
  <c r="I29" i="28"/>
  <c r="I27" i="28"/>
  <c r="I25" i="28"/>
  <c r="I23" i="28"/>
  <c r="I21" i="28"/>
  <c r="I19" i="28"/>
  <c r="I17" i="28"/>
  <c r="D20" i="29" l="1"/>
  <c r="E20" i="29"/>
  <c r="G19" i="29"/>
  <c r="H19" i="29" s="1"/>
  <c r="F20" i="29"/>
  <c r="C89" i="29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C90" i="29" l="1"/>
  <c r="D21" i="29"/>
  <c r="E21" i="29"/>
  <c r="F21" i="29"/>
  <c r="G20" i="29"/>
  <c r="H20" i="29" s="1"/>
  <c r="C91" i="29" l="1"/>
  <c r="E22" i="29"/>
  <c r="D22" i="29"/>
  <c r="G21" i="29"/>
  <c r="H21" i="29" s="1"/>
  <c r="F22" i="29"/>
  <c r="D23" i="29" l="1"/>
  <c r="F83" i="29"/>
  <c r="E23" i="29"/>
  <c r="F23" i="29"/>
  <c r="G22" i="29"/>
  <c r="H22" i="29" s="1"/>
  <c r="F84" i="29"/>
  <c r="E24" i="29" l="1"/>
  <c r="E25" i="29" s="1"/>
  <c r="D24" i="29"/>
  <c r="D25" i="29" s="1"/>
  <c r="G23" i="29"/>
  <c r="H23" i="29" s="1"/>
  <c r="F24" i="29"/>
  <c r="F25" i="29" s="1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" i="31"/>
  <c r="I14" i="31"/>
  <c r="K9" i="31"/>
  <c r="G32" i="29" l="1"/>
  <c r="H32" i="29" s="1"/>
  <c r="D34" i="29"/>
  <c r="E33" i="29"/>
  <c r="F33" i="29"/>
  <c r="I85" i="29"/>
  <c r="I134" i="31"/>
  <c r="I145" i="31"/>
  <c r="I26" i="31"/>
  <c r="I15" i="31"/>
  <c r="I37" i="31"/>
  <c r="F34" i="29" l="1"/>
  <c r="E34" i="29"/>
  <c r="G33" i="29"/>
  <c r="H33" i="29" s="1"/>
  <c r="D35" i="29"/>
  <c r="I86" i="29"/>
  <c r="I157" i="31"/>
  <c r="I49" i="31"/>
  <c r="I146" i="31"/>
  <c r="I38" i="31"/>
  <c r="I135" i="31"/>
  <c r="I27" i="31"/>
  <c r="I16" i="31"/>
  <c r="G34" i="29" l="1"/>
  <c r="H34" i="29" s="1"/>
  <c r="F35" i="29"/>
  <c r="E35" i="29"/>
  <c r="D36" i="29"/>
  <c r="I87" i="29"/>
  <c r="I147" i="31"/>
  <c r="I39" i="31"/>
  <c r="I169" i="31"/>
  <c r="I61" i="31"/>
  <c r="I136" i="31"/>
  <c r="I17" i="31"/>
  <c r="I28" i="31"/>
  <c r="I158" i="31"/>
  <c r="I50" i="31"/>
  <c r="G35" i="29" l="1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9" i="31"/>
  <c r="I18" i="31"/>
  <c r="I181" i="31"/>
  <c r="I73" i="31"/>
  <c r="G36" i="29" l="1"/>
  <c r="H36" i="29" s="1"/>
  <c r="F37" i="29"/>
  <c r="E37" i="29"/>
  <c r="D38" i="29"/>
  <c r="I89" i="29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G37" i="29" l="1"/>
  <c r="H37" i="29" s="1"/>
  <c r="F38" i="29"/>
  <c r="E38" i="29"/>
  <c r="D39" i="29"/>
  <c r="I90" i="29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G38" i="29" l="1"/>
  <c r="H38" i="29" s="1"/>
  <c r="E39" i="29"/>
  <c r="F39" i="29"/>
  <c r="D40" i="29"/>
  <c r="I91" i="29"/>
  <c r="I151" i="31"/>
  <c r="I43" i="31"/>
  <c r="I195" i="31"/>
  <c r="I87" i="31"/>
  <c r="I162" i="31"/>
  <c r="I54" i="31"/>
  <c r="I217" i="31"/>
  <c r="I109" i="31"/>
  <c r="I184" i="31"/>
  <c r="I76" i="31"/>
  <c r="I140" i="31"/>
  <c r="I21" i="31"/>
  <c r="I32" i="31"/>
  <c r="I206" i="31"/>
  <c r="I98" i="31"/>
  <c r="I173" i="31"/>
  <c r="I65" i="31"/>
  <c r="G39" i="29" l="1"/>
  <c r="H39" i="29" s="1"/>
  <c r="F40" i="29"/>
  <c r="E40" i="29"/>
  <c r="I152" i="31"/>
  <c r="I44" i="31"/>
  <c r="I174" i="31"/>
  <c r="I66" i="31"/>
  <c r="I185" i="31"/>
  <c r="I77" i="31"/>
  <c r="I218" i="31"/>
  <c r="I110" i="31"/>
  <c r="I141" i="31"/>
  <c r="I33" i="31"/>
  <c r="I22" i="31"/>
  <c r="I196" i="31"/>
  <c r="I88" i="31"/>
  <c r="I229" i="31"/>
  <c r="I121" i="31"/>
  <c r="I207" i="31"/>
  <c r="I99" i="31"/>
  <c r="I163" i="31"/>
  <c r="I55" i="31"/>
  <c r="G40" i="29" l="1"/>
  <c r="H40" i="29" s="1"/>
  <c r="E41" i="29"/>
  <c r="I175" i="31"/>
  <c r="I67" i="31"/>
  <c r="I208" i="31"/>
  <c r="I100" i="31"/>
  <c r="I153" i="31"/>
  <c r="I45" i="31"/>
  <c r="I230" i="31"/>
  <c r="I122" i="31"/>
  <c r="I164" i="31"/>
  <c r="I56" i="31"/>
  <c r="I219" i="31"/>
  <c r="I111" i="31"/>
  <c r="I241" i="31"/>
  <c r="I142" i="31"/>
  <c r="I23" i="31"/>
  <c r="I34" i="31"/>
  <c r="I197" i="31"/>
  <c r="I89" i="31"/>
  <c r="I186" i="31"/>
  <c r="I78" i="31"/>
  <c r="I42" i="36" l="1"/>
  <c r="J42" i="36" s="1"/>
  <c r="K42" i="36" s="1"/>
  <c r="D41" i="29"/>
  <c r="E42" i="29"/>
  <c r="I42" i="29"/>
  <c r="J42" i="29" s="1"/>
  <c r="F41" i="29"/>
  <c r="I198" i="31"/>
  <c r="I90" i="31"/>
  <c r="I143" i="31"/>
  <c r="I35" i="31"/>
  <c r="I24" i="31"/>
  <c r="I231" i="31"/>
  <c r="I123" i="31"/>
  <c r="I242" i="31"/>
  <c r="I187" i="31"/>
  <c r="I79" i="31"/>
  <c r="I209" i="31"/>
  <c r="I101" i="31"/>
  <c r="I154" i="31"/>
  <c r="I46" i="31"/>
  <c r="I176" i="31"/>
  <c r="I68" i="31"/>
  <c r="I165" i="31"/>
  <c r="I57" i="31"/>
  <c r="I220" i="31"/>
  <c r="I112" i="31"/>
  <c r="D42" i="29" l="1"/>
  <c r="F42" i="29"/>
  <c r="G42" i="29" s="1"/>
  <c r="G41" i="29"/>
  <c r="H41" i="29" s="1"/>
  <c r="I177" i="31"/>
  <c r="I69" i="31"/>
  <c r="I188" i="31"/>
  <c r="I80" i="31"/>
  <c r="I221" i="31"/>
  <c r="I113" i="31"/>
  <c r="I199" i="31"/>
  <c r="I91" i="31"/>
  <c r="I243" i="31"/>
  <c r="I155" i="31"/>
  <c r="I47" i="31"/>
  <c r="I232" i="31"/>
  <c r="I124" i="31"/>
  <c r="I166" i="31"/>
  <c r="I58" i="31"/>
  <c r="I144" i="31"/>
  <c r="I36" i="31"/>
  <c r="I210" i="31"/>
  <c r="I102" i="31"/>
  <c r="H42" i="29" l="1"/>
  <c r="K42" i="29" s="1"/>
  <c r="I222" i="31"/>
  <c r="I114" i="31"/>
  <c r="I211" i="31"/>
  <c r="I103" i="31"/>
  <c r="I189" i="31"/>
  <c r="I81" i="31"/>
  <c r="I156" i="31"/>
  <c r="I48" i="31"/>
  <c r="I178" i="31"/>
  <c r="I70" i="31"/>
  <c r="I244" i="31"/>
  <c r="I167" i="31"/>
  <c r="I59" i="31"/>
  <c r="I233" i="31"/>
  <c r="I125" i="31"/>
  <c r="I200" i="31"/>
  <c r="I92" i="31"/>
  <c r="I212" i="31" l="1"/>
  <c r="I104" i="31"/>
  <c r="I190" i="31"/>
  <c r="I82" i="31"/>
  <c r="I201" i="31"/>
  <c r="I93" i="31"/>
  <c r="I245" i="31"/>
  <c r="I179" i="31"/>
  <c r="I71" i="31"/>
  <c r="I168" i="31"/>
  <c r="I60" i="31"/>
  <c r="I223" i="31"/>
  <c r="I115" i="31"/>
  <c r="I234" i="31"/>
  <c r="I126" i="31"/>
  <c r="I235" i="31" l="1"/>
  <c r="I127" i="31"/>
  <c r="I246" i="31"/>
  <c r="I191" i="31"/>
  <c r="I83" i="31"/>
  <c r="I213" i="31"/>
  <c r="I105" i="31"/>
  <c r="I202" i="31"/>
  <c r="I94" i="31"/>
  <c r="I180" i="31"/>
  <c r="I72" i="31"/>
  <c r="I224" i="31"/>
  <c r="I116" i="31"/>
  <c r="I225" i="31" l="1"/>
  <c r="I117" i="31"/>
  <c r="I203" i="31"/>
  <c r="I95" i="31"/>
  <c r="I236" i="31"/>
  <c r="I128" i="31"/>
  <c r="I192" i="31"/>
  <c r="I84" i="31"/>
  <c r="I214" i="31"/>
  <c r="I106" i="31"/>
  <c r="I247" i="31"/>
  <c r="I226" i="31" l="1"/>
  <c r="I118" i="31"/>
  <c r="I248" i="31"/>
  <c r="I215" i="31"/>
  <c r="I107" i="31"/>
  <c r="I204" i="31"/>
  <c r="I96" i="31"/>
  <c r="I237" i="31"/>
  <c r="I129" i="31"/>
  <c r="I249" i="31" l="1"/>
  <c r="I227" i="31"/>
  <c r="I119" i="31"/>
  <c r="I216" i="31"/>
  <c r="I108" i="31"/>
  <c r="I238" i="31"/>
  <c r="I130" i="31"/>
  <c r="I250" i="31" l="1"/>
  <c r="I239" i="31"/>
  <c r="I131" i="31"/>
  <c r="I228" i="31"/>
  <c r="I120" i="31"/>
  <c r="I251" i="31" l="1"/>
  <c r="I240" i="31"/>
  <c r="I132" i="31"/>
  <c r="I252" i="31" l="1"/>
  <c r="B3" i="17" l="1"/>
  <c r="D50" i="29" l="1"/>
  <c r="B51" i="25" l="1"/>
  <c r="C10" i="25"/>
  <c r="B43" i="25"/>
  <c r="K264" i="31" l="1"/>
  <c r="L16" i="31" l="1"/>
  <c r="B14" i="31"/>
  <c r="J13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B15" i="31"/>
  <c r="J14" i="31"/>
  <c r="B16" i="31" l="1"/>
  <c r="J15" i="31"/>
  <c r="B13" i="17"/>
  <c r="B13" i="25"/>
  <c r="B8" i="38" s="1"/>
  <c r="L32" i="31"/>
  <c r="B9" i="38" l="1"/>
  <c r="K224" i="31"/>
  <c r="K209" i="31"/>
  <c r="K194" i="31"/>
  <c r="K232" i="31"/>
  <c r="K242" i="31"/>
  <c r="K252" i="31"/>
  <c r="K237" i="31"/>
  <c r="K231" i="31"/>
  <c r="L33" i="31"/>
  <c r="J16" i="31"/>
  <c r="B17" i="31"/>
  <c r="B14" i="25"/>
  <c r="B14" i="17"/>
  <c r="B10" i="38" l="1"/>
  <c r="K239" i="31"/>
  <c r="K250" i="31"/>
  <c r="K227" i="31"/>
  <c r="K218" i="31"/>
  <c r="K230" i="31"/>
  <c r="K234" i="31"/>
  <c r="K235" i="31"/>
  <c r="D239" i="31"/>
  <c r="E239" i="31" s="1"/>
  <c r="K251" i="31"/>
  <c r="K200" i="31"/>
  <c r="D227" i="31"/>
  <c r="D200" i="31"/>
  <c r="E200" i="31" s="1"/>
  <c r="D209" i="31"/>
  <c r="D235" i="31"/>
  <c r="K233" i="31"/>
  <c r="D233" i="31"/>
  <c r="K197" i="31"/>
  <c r="D197" i="31"/>
  <c r="K207" i="31"/>
  <c r="D207" i="31"/>
  <c r="D206" i="31"/>
  <c r="K206" i="31"/>
  <c r="K245" i="31"/>
  <c r="K243" i="31"/>
  <c r="K247" i="31"/>
  <c r="D231" i="31"/>
  <c r="D232" i="31"/>
  <c r="D198" i="31"/>
  <c r="K198" i="31"/>
  <c r="K248" i="31"/>
  <c r="D221" i="31"/>
  <c r="K221" i="31"/>
  <c r="K228" i="31"/>
  <c r="D228" i="31"/>
  <c r="K214" i="31"/>
  <c r="D214" i="31"/>
  <c r="D222" i="31"/>
  <c r="K222" i="31"/>
  <c r="D238" i="31"/>
  <c r="K238" i="31"/>
  <c r="K212" i="31"/>
  <c r="D212" i="31"/>
  <c r="K208" i="31"/>
  <c r="D208" i="31"/>
  <c r="D229" i="31"/>
  <c r="K229" i="31"/>
  <c r="K236" i="31"/>
  <c r="D236" i="31"/>
  <c r="D194" i="31"/>
  <c r="D224" i="31"/>
  <c r="K203" i="31"/>
  <c r="D203" i="31"/>
  <c r="D201" i="31"/>
  <c r="K201" i="31"/>
  <c r="D226" i="31"/>
  <c r="K226" i="31"/>
  <c r="D218" i="31"/>
  <c r="K202" i="31"/>
  <c r="D202" i="31"/>
  <c r="K195" i="31"/>
  <c r="D195" i="31"/>
  <c r="K249" i="31"/>
  <c r="D210" i="31"/>
  <c r="K210" i="31"/>
  <c r="K211" i="31"/>
  <c r="D211" i="31"/>
  <c r="K219" i="31"/>
  <c r="D219" i="31"/>
  <c r="K223" i="31"/>
  <c r="D223" i="31"/>
  <c r="K220" i="31"/>
  <c r="D220" i="31"/>
  <c r="D230" i="31"/>
  <c r="E230" i="31" s="1"/>
  <c r="D216" i="31"/>
  <c r="K216" i="31"/>
  <c r="K205" i="31"/>
  <c r="D205" i="31"/>
  <c r="K241" i="31"/>
  <c r="D241" i="31"/>
  <c r="K246" i="31"/>
  <c r="K213" i="31"/>
  <c r="D213" i="31"/>
  <c r="D193" i="31"/>
  <c r="K193" i="31"/>
  <c r="D215" i="31"/>
  <c r="K215" i="31"/>
  <c r="K225" i="31"/>
  <c r="D225" i="31"/>
  <c r="K204" i="31"/>
  <c r="D204" i="31"/>
  <c r="D196" i="31"/>
  <c r="K196" i="31"/>
  <c r="D234" i="31"/>
  <c r="K199" i="31"/>
  <c r="D199" i="31"/>
  <c r="D217" i="31"/>
  <c r="K217" i="31"/>
  <c r="K244" i="31"/>
  <c r="K240" i="31"/>
  <c r="D240" i="31"/>
  <c r="D237" i="31"/>
  <c r="J17" i="31"/>
  <c r="B18" i="31"/>
  <c r="B15" i="17"/>
  <c r="B15" i="25"/>
  <c r="L34" i="31"/>
  <c r="B11" i="38" l="1"/>
  <c r="E194" i="31"/>
  <c r="E224" i="31"/>
  <c r="E227" i="31"/>
  <c r="E218" i="31"/>
  <c r="G218" i="31" s="1"/>
  <c r="E231" i="31"/>
  <c r="E209" i="31"/>
  <c r="G209" i="31" s="1"/>
  <c r="E235" i="31"/>
  <c r="G235" i="31" s="1"/>
  <c r="E232" i="31"/>
  <c r="G232" i="31" s="1"/>
  <c r="E234" i="31"/>
  <c r="G234" i="31" s="1"/>
  <c r="E237" i="31"/>
  <c r="G237" i="31" s="1"/>
  <c r="E236" i="31"/>
  <c r="E204" i="31"/>
  <c r="G204" i="31" s="1"/>
  <c r="E228" i="31"/>
  <c r="G228" i="31" s="1"/>
  <c r="E240" i="31"/>
  <c r="G240" i="31" s="1"/>
  <c r="E203" i="31"/>
  <c r="E205" i="31"/>
  <c r="G205" i="31" s="1"/>
  <c r="E225" i="31"/>
  <c r="G225" i="31" s="1"/>
  <c r="E195" i="31"/>
  <c r="E213" i="31"/>
  <c r="G213" i="31" s="1"/>
  <c r="E212" i="31"/>
  <c r="E238" i="31"/>
  <c r="E214" i="31"/>
  <c r="E197" i="31"/>
  <c r="G197" i="31" s="1"/>
  <c r="E233" i="31"/>
  <c r="G194" i="31"/>
  <c r="G230" i="31"/>
  <c r="E217" i="31"/>
  <c r="E199" i="31"/>
  <c r="E196" i="31"/>
  <c r="E193" i="31"/>
  <c r="E223" i="31"/>
  <c r="E211" i="31"/>
  <c r="E210" i="31"/>
  <c r="E226" i="31"/>
  <c r="E201" i="31"/>
  <c r="E221" i="31"/>
  <c r="E198" i="31"/>
  <c r="E206" i="31"/>
  <c r="E207" i="31"/>
  <c r="G200" i="31"/>
  <c r="E215" i="31"/>
  <c r="E241" i="31"/>
  <c r="E216" i="31"/>
  <c r="E220" i="31"/>
  <c r="E219" i="31"/>
  <c r="E202" i="31"/>
  <c r="E222" i="31"/>
  <c r="G239" i="31"/>
  <c r="E229" i="31"/>
  <c r="E208" i="31"/>
  <c r="L35" i="31"/>
  <c r="B16" i="25"/>
  <c r="B16" i="17"/>
  <c r="B19" i="31"/>
  <c r="J18" i="31"/>
  <c r="B12" i="38" l="1"/>
  <c r="G224" i="31"/>
  <c r="G227" i="31"/>
  <c r="G231" i="31"/>
  <c r="G236" i="31"/>
  <c r="G212" i="31"/>
  <c r="G203" i="31"/>
  <c r="G214" i="31"/>
  <c r="G238" i="31"/>
  <c r="G195" i="31"/>
  <c r="G233" i="31"/>
  <c r="G222" i="31"/>
  <c r="G219" i="31"/>
  <c r="G207" i="31"/>
  <c r="G210" i="31"/>
  <c r="G217" i="31"/>
  <c r="G220" i="31"/>
  <c r="G241" i="31"/>
  <c r="G206" i="31"/>
  <c r="G221" i="31"/>
  <c r="G216" i="31"/>
  <c r="G198" i="31"/>
  <c r="G208" i="31"/>
  <c r="G229" i="31"/>
  <c r="G202" i="31"/>
  <c r="G215" i="31"/>
  <c r="G201" i="31"/>
  <c r="G193" i="31"/>
  <c r="G226" i="31"/>
  <c r="G211" i="31"/>
  <c r="G223" i="31"/>
  <c r="G196" i="31"/>
  <c r="G199" i="31"/>
  <c r="L36" i="31"/>
  <c r="B17" i="25"/>
  <c r="B20" i="31"/>
  <c r="J19" i="31"/>
  <c r="B17" i="17"/>
  <c r="B13" i="38" l="1"/>
  <c r="B18" i="25"/>
  <c r="B18" i="17"/>
  <c r="B21" i="31"/>
  <c r="J20" i="31"/>
  <c r="B14" i="38" l="1"/>
  <c r="J21" i="31"/>
  <c r="B22" i="31"/>
  <c r="B19" i="25"/>
  <c r="B19" i="17"/>
  <c r="B15" i="38" l="1"/>
  <c r="B20" i="25"/>
  <c r="B20" i="17"/>
  <c r="B23" i="31"/>
  <c r="J22" i="31"/>
  <c r="B16" i="38" l="1"/>
  <c r="B21" i="17"/>
  <c r="B24" i="31"/>
  <c r="J23" i="31"/>
  <c r="B21" i="25"/>
  <c r="B17" i="38" l="1"/>
  <c r="B22" i="25"/>
  <c r="J24" i="31"/>
  <c r="B25" i="31"/>
  <c r="B22" i="17"/>
  <c r="B18" i="38" l="1"/>
  <c r="B23" i="17"/>
  <c r="B23" i="25"/>
  <c r="J25" i="31"/>
  <c r="B26" i="31"/>
  <c r="B19" i="38" l="1"/>
  <c r="J26" i="31"/>
  <c r="B27" i="31"/>
  <c r="B24" i="25"/>
  <c r="B24" i="17"/>
  <c r="B20" i="38" l="1"/>
  <c r="B25" i="17"/>
  <c r="J27" i="31"/>
  <c r="B28" i="31"/>
  <c r="B25" i="25"/>
  <c r="B21" i="38" l="1"/>
  <c r="B26" i="17"/>
  <c r="B26" i="25"/>
  <c r="J28" i="31"/>
  <c r="B29" i="31"/>
  <c r="B22" i="38" l="1"/>
  <c r="B30" i="31"/>
  <c r="J29" i="31"/>
  <c r="B27" i="17"/>
  <c r="B27" i="25"/>
  <c r="B23" i="38" l="1"/>
  <c r="B24" i="38" s="1"/>
  <c r="B25" i="38" s="1"/>
  <c r="B26" i="38" s="1"/>
  <c r="B27" i="38" s="1"/>
  <c r="D30" i="38"/>
  <c r="B37" i="38"/>
  <c r="B28" i="17"/>
  <c r="B28" i="25"/>
  <c r="J30" i="31"/>
  <c r="B31" i="31"/>
  <c r="B29" i="17" l="1"/>
  <c r="J31" i="31"/>
  <c r="B32" i="31"/>
  <c r="B29" i="25"/>
  <c r="J32" i="31" l="1"/>
  <c r="B33" i="31"/>
  <c r="B30" i="25"/>
  <c r="B30" i="17"/>
  <c r="B31" i="17" l="1"/>
  <c r="B31" i="25"/>
  <c r="J33" i="31"/>
  <c r="B34" i="31"/>
  <c r="B32" i="25" l="1"/>
  <c r="J34" i="31"/>
  <c r="B35" i="31"/>
  <c r="B36" i="31" l="1"/>
  <c r="J35" i="31"/>
  <c r="B33" i="25"/>
  <c r="B42" i="25" l="1"/>
  <c r="B37" i="31"/>
  <c r="J36" i="31"/>
  <c r="J37" i="31" l="1"/>
  <c r="B38" i="31"/>
  <c r="J38" i="31" l="1"/>
  <c r="B39" i="31"/>
  <c r="B40" i="31" l="1"/>
  <c r="J39" i="31"/>
  <c r="J40" i="31" l="1"/>
  <c r="B41" i="31"/>
  <c r="B42" i="31" l="1"/>
  <c r="J41" i="31"/>
  <c r="B43" i="31" l="1"/>
  <c r="J42" i="31"/>
  <c r="J43" i="31" l="1"/>
  <c r="B44" i="31"/>
  <c r="J44" i="31" l="1"/>
  <c r="B45" i="31"/>
  <c r="B46" i="31" l="1"/>
  <c r="J45" i="31"/>
  <c r="B47" i="31" l="1"/>
  <c r="J46" i="31"/>
  <c r="B48" i="31" l="1"/>
  <c r="J47" i="31"/>
  <c r="B49" i="31" l="1"/>
  <c r="J48" i="31"/>
  <c r="J49" i="31" l="1"/>
  <c r="B50" i="31"/>
  <c r="J50" i="31" l="1"/>
  <c r="B51" i="31"/>
  <c r="J51" i="31" l="1"/>
  <c r="B52" i="31"/>
  <c r="B53" i="31" l="1"/>
  <c r="J52" i="31"/>
  <c r="J53" i="31" l="1"/>
  <c r="B54" i="31"/>
  <c r="B55" i="31" l="1"/>
  <c r="J54" i="31"/>
  <c r="J55" i="31" l="1"/>
  <c r="B56" i="31"/>
  <c r="B57" i="31" l="1"/>
  <c r="J56" i="31"/>
  <c r="J57" i="31" l="1"/>
  <c r="B58" i="31"/>
  <c r="J58" i="31" l="1"/>
  <c r="B59" i="31"/>
  <c r="J59" i="31" l="1"/>
  <c r="B60" i="31"/>
  <c r="B61" i="31" l="1"/>
  <c r="J60" i="31"/>
  <c r="J61" i="31" l="1"/>
  <c r="B62" i="31"/>
  <c r="J62" i="31" l="1"/>
  <c r="B63" i="31"/>
  <c r="J63" i="31" l="1"/>
  <c r="B64" i="31"/>
  <c r="J64" i="31" l="1"/>
  <c r="B65" i="31"/>
  <c r="B66" i="31" l="1"/>
  <c r="J65" i="31"/>
  <c r="J66" i="31" l="1"/>
  <c r="B67" i="31"/>
  <c r="B68" i="31" l="1"/>
  <c r="J67" i="31"/>
  <c r="B69" i="31" l="1"/>
  <c r="J68" i="31"/>
  <c r="B70" i="31" l="1"/>
  <c r="J69" i="31"/>
  <c r="J70" i="31" l="1"/>
  <c r="B71" i="31"/>
  <c r="J71" i="31" l="1"/>
  <c r="B72" i="31"/>
  <c r="B73" i="31" l="1"/>
  <c r="J72" i="31"/>
  <c r="J73" i="31" l="1"/>
  <c r="B74" i="31"/>
  <c r="J74" i="31" l="1"/>
  <c r="B75" i="31"/>
  <c r="B76" i="31" l="1"/>
  <c r="J75" i="31"/>
  <c r="B77" i="31" l="1"/>
  <c r="J76" i="31"/>
  <c r="J77" i="31" l="1"/>
  <c r="B78" i="31"/>
  <c r="J78" i="31" l="1"/>
  <c r="B79" i="31"/>
  <c r="B80" i="31" l="1"/>
  <c r="J79" i="31"/>
  <c r="B81" i="31" l="1"/>
  <c r="J80" i="31"/>
  <c r="J81" i="31" l="1"/>
  <c r="B82" i="31"/>
  <c r="J82" i="31" l="1"/>
  <c r="B83" i="31"/>
  <c r="J83" i="31" l="1"/>
  <c r="B84" i="31"/>
  <c r="B85" i="31" l="1"/>
  <c r="J84" i="31"/>
  <c r="J85" i="31" l="1"/>
  <c r="B86" i="31"/>
  <c r="B87" i="31" l="1"/>
  <c r="J86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B95" i="31" l="1"/>
  <c r="J94" i="31"/>
  <c r="J95" i="31" l="1"/>
  <c r="B96" i="31"/>
  <c r="B97" i="31" l="1"/>
  <c r="J96" i="31"/>
  <c r="B98" i="31" l="1"/>
  <c r="J97" i="31"/>
  <c r="B99" i="31" l="1"/>
  <c r="J98" i="31"/>
  <c r="B100" i="31" l="1"/>
  <c r="J99" i="31"/>
  <c r="J100" i="31" l="1"/>
  <c r="B101" i="31"/>
  <c r="J101" i="31" l="1"/>
  <c r="B102" i="31"/>
  <c r="J102" i="31" l="1"/>
  <c r="B103" i="31"/>
  <c r="B104" i="31" l="1"/>
  <c r="J103" i="31"/>
  <c r="J104" i="31" l="1"/>
  <c r="B105" i="31"/>
  <c r="J105" i="31" l="1"/>
  <c r="B106" i="31"/>
  <c r="B107" i="31" l="1"/>
  <c r="J106" i="31"/>
  <c r="B108" i="31" l="1"/>
  <c r="J107" i="31"/>
  <c r="J108" i="31" l="1"/>
  <c r="B109" i="31"/>
  <c r="J109" i="31" l="1"/>
  <c r="B110" i="31"/>
  <c r="B111" i="31" l="1"/>
  <c r="J110" i="31"/>
  <c r="B112" i="31" l="1"/>
  <c r="J111" i="31"/>
  <c r="B113" i="31" l="1"/>
  <c r="J112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B122" i="31" l="1"/>
  <c r="J121" i="31"/>
  <c r="J122" i="31" l="1"/>
  <c r="B123" i="31"/>
  <c r="B124" i="31" l="1"/>
  <c r="J123" i="31"/>
  <c r="B125" i="31" l="1"/>
  <c r="J124" i="31"/>
  <c r="J125" i="31" l="1"/>
  <c r="B126" i="31"/>
  <c r="J126" i="31" l="1"/>
  <c r="B127" i="31"/>
  <c r="J127" i="31" l="1"/>
  <c r="B128" i="31"/>
  <c r="B129" i="31" l="1"/>
  <c r="J128" i="31"/>
  <c r="B130" i="31" l="1"/>
  <c r="J129" i="31"/>
  <c r="B131" i="31" l="1"/>
  <c r="J130" i="31"/>
  <c r="B132" i="31" l="1"/>
  <c r="J131" i="31"/>
  <c r="J132" i="31" l="1"/>
  <c r="B133" i="31"/>
  <c r="J133" i="31" l="1"/>
  <c r="B134" i="31"/>
  <c r="K133" i="31"/>
  <c r="J134" i="31" l="1"/>
  <c r="B135" i="31"/>
  <c r="K134" i="31"/>
  <c r="J135" i="31" l="1"/>
  <c r="B136" i="31"/>
  <c r="K135" i="31"/>
  <c r="J136" i="31" l="1"/>
  <c r="B137" i="31"/>
  <c r="K136" i="31"/>
  <c r="B138" i="31" l="1"/>
  <c r="J137" i="31"/>
  <c r="K137" i="31"/>
  <c r="B139" i="31" l="1"/>
  <c r="J138" i="31"/>
  <c r="K138" i="31"/>
  <c r="B140" i="31" l="1"/>
  <c r="J139" i="31"/>
  <c r="K139" i="31"/>
  <c r="J140" i="31" l="1"/>
  <c r="B141" i="31"/>
  <c r="K140" i="31"/>
  <c r="B142" i="31" l="1"/>
  <c r="J141" i="31"/>
  <c r="K141" i="31"/>
  <c r="J142" i="31" l="1"/>
  <c r="B143" i="31"/>
  <c r="K142" i="31"/>
  <c r="B144" i="31" l="1"/>
  <c r="J143" i="31"/>
  <c r="K143" i="31"/>
  <c r="J144" i="31" l="1"/>
  <c r="B145" i="31"/>
  <c r="K144" i="31"/>
  <c r="B146" i="31" l="1"/>
  <c r="J145" i="31"/>
  <c r="K145" i="31"/>
  <c r="B147" i="31" l="1"/>
  <c r="J146" i="31"/>
  <c r="K146" i="31"/>
  <c r="J147" i="31" l="1"/>
  <c r="B148" i="31"/>
  <c r="K147" i="31"/>
  <c r="J148" i="31" l="1"/>
  <c r="B149" i="31"/>
  <c r="K148" i="31"/>
  <c r="B150" i="31" l="1"/>
  <c r="J149" i="31"/>
  <c r="K149" i="31"/>
  <c r="B151" i="31" l="1"/>
  <c r="J150" i="31"/>
  <c r="K150" i="31"/>
  <c r="B152" i="31" l="1"/>
  <c r="J151" i="31"/>
  <c r="K151" i="31"/>
  <c r="J152" i="31" l="1"/>
  <c r="B153" i="31"/>
  <c r="K152" i="31"/>
  <c r="J153" i="31" l="1"/>
  <c r="B154" i="31"/>
  <c r="K153" i="31"/>
  <c r="J154" i="31" l="1"/>
  <c r="B155" i="31"/>
  <c r="K154" i="31"/>
  <c r="J155" i="31" l="1"/>
  <c r="B156" i="31"/>
  <c r="K155" i="31"/>
  <c r="B157" i="31" l="1"/>
  <c r="J156" i="31"/>
  <c r="K156" i="31"/>
  <c r="J157" i="31" l="1"/>
  <c r="B158" i="31"/>
  <c r="K157" i="31"/>
  <c r="J158" i="31" l="1"/>
  <c r="B159" i="31"/>
  <c r="K158" i="31"/>
  <c r="B160" i="31" l="1"/>
  <c r="J159" i="31"/>
  <c r="K159" i="31"/>
  <c r="B161" i="31" l="1"/>
  <c r="J160" i="31"/>
  <c r="K160" i="31"/>
  <c r="J161" i="31" l="1"/>
  <c r="B162" i="31"/>
  <c r="K161" i="31"/>
  <c r="J162" i="31" l="1"/>
  <c r="B163" i="31"/>
  <c r="K162" i="31"/>
  <c r="J163" i="31" l="1"/>
  <c r="B164" i="31"/>
  <c r="K163" i="31"/>
  <c r="J164" i="31" l="1"/>
  <c r="B165" i="31"/>
  <c r="K164" i="31"/>
  <c r="B166" i="31" l="1"/>
  <c r="J165" i="31"/>
  <c r="K165" i="31"/>
  <c r="J166" i="31" l="1"/>
  <c r="B167" i="31"/>
  <c r="K166" i="31"/>
  <c r="B46" i="25" l="1"/>
  <c r="B44" i="25"/>
  <c r="B45" i="25"/>
  <c r="B168" i="31"/>
  <c r="J167" i="31"/>
  <c r="K167" i="31"/>
  <c r="K16" i="28" l="1"/>
  <c r="Q12" i="17"/>
  <c r="Q13" i="17"/>
  <c r="D14" i="25"/>
  <c r="Q14" i="17"/>
  <c r="D15" i="25"/>
  <c r="Q15" i="17"/>
  <c r="Q16" i="17"/>
  <c r="D16" i="25"/>
  <c r="Q17" i="17"/>
  <c r="D17" i="25"/>
  <c r="D18" i="25"/>
  <c r="Q18" i="17"/>
  <c r="D19" i="25"/>
  <c r="Q19" i="17"/>
  <c r="D20" i="25"/>
  <c r="Q20" i="17"/>
  <c r="D21" i="25"/>
  <c r="Q21" i="17"/>
  <c r="D22" i="25"/>
  <c r="D23" i="25"/>
  <c r="D24" i="25"/>
  <c r="D25" i="25"/>
  <c r="D26" i="25"/>
  <c r="D27" i="25"/>
  <c r="D28" i="25"/>
  <c r="D29" i="25"/>
  <c r="D30" i="25"/>
  <c r="D31" i="25"/>
  <c r="D32" i="25"/>
  <c r="D33" i="25"/>
  <c r="J168" i="31"/>
  <c r="B169" i="31"/>
  <c r="K168" i="31"/>
  <c r="C9" i="28" l="1"/>
  <c r="B170" i="31"/>
  <c r="J169" i="31"/>
  <c r="K169" i="31"/>
  <c r="B171" i="31" l="1"/>
  <c r="J170" i="31"/>
  <c r="K170" i="31"/>
  <c r="C30" i="28" l="1"/>
  <c r="I32" i="37" s="1"/>
  <c r="J32" i="37" s="1"/>
  <c r="K32" i="37" s="1"/>
  <c r="C32" i="28"/>
  <c r="I34" i="29" s="1"/>
  <c r="J34" i="29" s="1"/>
  <c r="C34" i="28"/>
  <c r="I36" i="29" s="1"/>
  <c r="J36" i="29" s="1"/>
  <c r="C27" i="28"/>
  <c r="I29" i="37" s="1"/>
  <c r="J29" i="37" s="1"/>
  <c r="K29" i="37" s="1"/>
  <c r="C24" i="28"/>
  <c r="C38" i="28"/>
  <c r="C18" i="28"/>
  <c r="C21" i="28"/>
  <c r="C23" i="28"/>
  <c r="C17" i="28"/>
  <c r="C31" i="28"/>
  <c r="C26" i="28"/>
  <c r="C29" i="28"/>
  <c r="C14" i="28"/>
  <c r="C15" i="28"/>
  <c r="C20" i="28"/>
  <c r="C35" i="28"/>
  <c r="C22" i="28"/>
  <c r="C37" i="28"/>
  <c r="C16" i="28"/>
  <c r="C33" i="28"/>
  <c r="C25" i="28"/>
  <c r="C39" i="28"/>
  <c r="C36" i="28"/>
  <c r="C19" i="28"/>
  <c r="C28" i="28"/>
  <c r="B172" i="31"/>
  <c r="J171" i="31"/>
  <c r="K171" i="31"/>
  <c r="I32" i="36" l="1"/>
  <c r="J32" i="36" s="1"/>
  <c r="K32" i="36" s="1"/>
  <c r="I32" i="29"/>
  <c r="J32" i="29" s="1"/>
  <c r="Q26" i="17" s="1"/>
  <c r="I36" i="37"/>
  <c r="J36" i="37" s="1"/>
  <c r="K36" i="37" s="1"/>
  <c r="I36" i="36"/>
  <c r="J36" i="36" s="1"/>
  <c r="K36" i="36" s="1"/>
  <c r="I34" i="36"/>
  <c r="J34" i="36" s="1"/>
  <c r="K34" i="36" s="1"/>
  <c r="I34" i="37"/>
  <c r="J34" i="37" s="1"/>
  <c r="K34" i="37" s="1"/>
  <c r="I29" i="29"/>
  <c r="J29" i="29" s="1"/>
  <c r="K29" i="29" s="1"/>
  <c r="I41" i="29"/>
  <c r="J41" i="29" s="1"/>
  <c r="K41" i="29" s="1"/>
  <c r="I41" i="36"/>
  <c r="J41" i="36" s="1"/>
  <c r="K41" i="36" s="1"/>
  <c r="I41" i="37"/>
  <c r="J41" i="37" s="1"/>
  <c r="K41" i="37" s="1"/>
  <c r="I39" i="36"/>
  <c r="J39" i="36" s="1"/>
  <c r="K39" i="36" s="1"/>
  <c r="I39" i="29"/>
  <c r="J39" i="29" s="1"/>
  <c r="K39" i="29" s="1"/>
  <c r="I39" i="37"/>
  <c r="J39" i="37" s="1"/>
  <c r="K39" i="37" s="1"/>
  <c r="I37" i="37"/>
  <c r="J37" i="37" s="1"/>
  <c r="K37" i="37" s="1"/>
  <c r="I37" i="29"/>
  <c r="J37" i="29" s="1"/>
  <c r="I37" i="36"/>
  <c r="J37" i="36" s="1"/>
  <c r="K37" i="36" s="1"/>
  <c r="I31" i="37"/>
  <c r="J31" i="37" s="1"/>
  <c r="K31" i="37" s="1"/>
  <c r="I31" i="29"/>
  <c r="J31" i="29" s="1"/>
  <c r="I31" i="36"/>
  <c r="J31" i="36" s="1"/>
  <c r="K31" i="36" s="1"/>
  <c r="K36" i="29"/>
  <c r="Q30" i="17"/>
  <c r="I30" i="29"/>
  <c r="J30" i="29" s="1"/>
  <c r="I30" i="36"/>
  <c r="J30" i="36" s="1"/>
  <c r="K30" i="36" s="1"/>
  <c r="I30" i="37"/>
  <c r="J30" i="37" s="1"/>
  <c r="K30" i="37" s="1"/>
  <c r="I28" i="37"/>
  <c r="J28" i="37" s="1"/>
  <c r="K28" i="37" s="1"/>
  <c r="I28" i="29"/>
  <c r="J28" i="29" s="1"/>
  <c r="I35" i="29"/>
  <c r="J35" i="29" s="1"/>
  <c r="I35" i="37"/>
  <c r="J35" i="37" s="1"/>
  <c r="K35" i="37" s="1"/>
  <c r="I35" i="36"/>
  <c r="J35" i="36" s="1"/>
  <c r="K35" i="36" s="1"/>
  <c r="K32" i="29"/>
  <c r="I33" i="29"/>
  <c r="J33" i="29" s="1"/>
  <c r="I33" i="37"/>
  <c r="J33" i="37" s="1"/>
  <c r="K33" i="37" s="1"/>
  <c r="I33" i="36"/>
  <c r="J33" i="36" s="1"/>
  <c r="K33" i="36" s="1"/>
  <c r="I38" i="29"/>
  <c r="J38" i="29" s="1"/>
  <c r="K38" i="29" s="1"/>
  <c r="I38" i="37"/>
  <c r="J38" i="37" s="1"/>
  <c r="K38" i="37" s="1"/>
  <c r="I38" i="36"/>
  <c r="J38" i="36" s="1"/>
  <c r="K38" i="36" s="1"/>
  <c r="I40" i="36"/>
  <c r="J40" i="36" s="1"/>
  <c r="K40" i="36" s="1"/>
  <c r="I40" i="29"/>
  <c r="J40" i="29" s="1"/>
  <c r="K40" i="29" s="1"/>
  <c r="I40" i="37"/>
  <c r="J40" i="37" s="1"/>
  <c r="K40" i="37" s="1"/>
  <c r="K34" i="29"/>
  <c r="Q28" i="17"/>
  <c r="J172" i="31"/>
  <c r="B173" i="31"/>
  <c r="K172" i="31"/>
  <c r="Q23" i="17" l="1"/>
  <c r="K33" i="29"/>
  <c r="Q27" i="17"/>
  <c r="K35" i="29"/>
  <c r="Q29" i="17"/>
  <c r="K28" i="29"/>
  <c r="Q22" i="17"/>
  <c r="K31" i="29"/>
  <c r="Q25" i="17"/>
  <c r="K37" i="29"/>
  <c r="Q31" i="17"/>
  <c r="K30" i="29"/>
  <c r="Q24" i="17"/>
  <c r="J173" i="31"/>
  <c r="B174" i="31"/>
  <c r="K173" i="31"/>
  <c r="J174" i="31" l="1"/>
  <c r="B175" i="31"/>
  <c r="K174" i="31"/>
  <c r="B176" i="31" l="1"/>
  <c r="J175" i="31"/>
  <c r="K175" i="31"/>
  <c r="B177" i="31" l="1"/>
  <c r="J176" i="31"/>
  <c r="K176" i="31"/>
  <c r="J177" i="31" l="1"/>
  <c r="B178" i="31"/>
  <c r="K177" i="31"/>
  <c r="J178" i="31" l="1"/>
  <c r="B179" i="31"/>
  <c r="K178" i="31"/>
  <c r="J179" i="31" l="1"/>
  <c r="B180" i="31"/>
  <c r="K179" i="31"/>
  <c r="J180" i="31" l="1"/>
  <c r="B181" i="31"/>
  <c r="K180" i="31"/>
  <c r="J181" i="31" l="1"/>
  <c r="B182" i="31"/>
  <c r="K181" i="31"/>
  <c r="J182" i="31" l="1"/>
  <c r="B183" i="31"/>
  <c r="K182" i="31"/>
  <c r="J183" i="31" l="1"/>
  <c r="B184" i="31"/>
  <c r="K183" i="31"/>
  <c r="B185" i="31" l="1"/>
  <c r="J184" i="31"/>
  <c r="K184" i="31"/>
  <c r="J185" i="31" l="1"/>
  <c r="B186" i="31"/>
  <c r="K185" i="31"/>
  <c r="J186" i="31" l="1"/>
  <c r="B187" i="31"/>
  <c r="K186" i="31"/>
  <c r="J187" i="31" l="1"/>
  <c r="B188" i="31"/>
  <c r="K187" i="31"/>
  <c r="J188" i="31" l="1"/>
  <c r="B189" i="31"/>
  <c r="K188" i="31"/>
  <c r="J189" i="31" l="1"/>
  <c r="B190" i="31"/>
  <c r="K189" i="31"/>
  <c r="B191" i="31" l="1"/>
  <c r="J190" i="31"/>
  <c r="K190" i="31"/>
  <c r="J191" i="31" l="1"/>
  <c r="B192" i="31"/>
  <c r="K191" i="31"/>
  <c r="B193" i="31" l="1"/>
  <c r="J192" i="31"/>
  <c r="K192" i="31"/>
  <c r="B194" i="31" l="1"/>
  <c r="J193" i="31"/>
  <c r="B195" i="31" l="1"/>
  <c r="J194" i="31"/>
  <c r="B196" i="31" l="1"/>
  <c r="J195" i="31"/>
  <c r="J196" i="31" l="1"/>
  <c r="B197" i="31"/>
  <c r="J197" i="31" l="1"/>
  <c r="B198" i="31"/>
  <c r="J198" i="31" l="1"/>
  <c r="B199" i="31"/>
  <c r="B200" i="31" l="1"/>
  <c r="J199" i="31"/>
  <c r="J200" i="31" l="1"/>
  <c r="B201" i="31"/>
  <c r="J201" i="31" l="1"/>
  <c r="B202" i="31"/>
  <c r="J202" i="31" l="1"/>
  <c r="B203" i="31"/>
  <c r="B204" i="31" l="1"/>
  <c r="J203" i="31"/>
  <c r="J204" i="31" l="1"/>
  <c r="B205" i="31"/>
  <c r="J205" i="31" l="1"/>
  <c r="B206" i="31"/>
  <c r="J206" i="31" l="1"/>
  <c r="B207" i="31"/>
  <c r="J207" i="31" l="1"/>
  <c r="B208" i="31"/>
  <c r="J208" i="31" l="1"/>
  <c r="B209" i="31"/>
  <c r="J209" i="31" l="1"/>
  <c r="B210" i="31"/>
  <c r="B211" i="31" l="1"/>
  <c r="J210" i="31"/>
  <c r="J211" i="31" l="1"/>
  <c r="B212" i="31"/>
  <c r="B213" i="31" l="1"/>
  <c r="J212" i="31"/>
  <c r="J213" i="31" l="1"/>
  <c r="B214" i="31"/>
  <c r="J214" i="31" l="1"/>
  <c r="B215" i="31"/>
  <c r="J215" i="31" l="1"/>
  <c r="B216" i="31"/>
  <c r="J216" i="31" l="1"/>
  <c r="B217" i="31"/>
  <c r="J217" i="31" l="1"/>
  <c r="B218" i="31"/>
  <c r="J218" i="31" l="1"/>
  <c r="B219" i="31"/>
  <c r="J219" i="31" l="1"/>
  <c r="B220" i="31"/>
  <c r="B221" i="31" l="1"/>
  <c r="J220" i="31"/>
  <c r="J221" i="31" l="1"/>
  <c r="B222" i="31"/>
  <c r="J222" i="31" l="1"/>
  <c r="B223" i="31"/>
  <c r="B224" i="31" l="1"/>
  <c r="J223" i="31"/>
  <c r="B225" i="31" l="1"/>
  <c r="J224" i="31"/>
  <c r="J225" i="31" l="1"/>
  <c r="B226" i="31"/>
  <c r="J226" i="31" l="1"/>
  <c r="B227" i="31"/>
  <c r="B228" i="31" l="1"/>
  <c r="J227" i="31"/>
  <c r="J228" i="31" l="1"/>
  <c r="B229" i="31"/>
  <c r="J229" i="31" l="1"/>
  <c r="B230" i="31"/>
  <c r="B231" i="31" l="1"/>
  <c r="J230" i="31"/>
  <c r="J231" i="31" l="1"/>
  <c r="B232" i="31"/>
  <c r="J232" i="31" l="1"/>
  <c r="B233" i="31"/>
  <c r="J233" i="31" l="1"/>
  <c r="B234" i="31"/>
  <c r="J234" i="31" l="1"/>
  <c r="B235" i="31"/>
  <c r="J235" i="31" l="1"/>
  <c r="B236" i="31"/>
  <c r="J236" i="31" l="1"/>
  <c r="B237" i="31"/>
  <c r="J237" i="31" l="1"/>
  <c r="B238" i="31"/>
  <c r="J238" i="31" l="1"/>
  <c r="B239" i="31"/>
  <c r="J239" i="31" l="1"/>
  <c r="B240" i="31"/>
  <c r="B241" i="31" l="1"/>
  <c r="J240" i="31"/>
  <c r="J241" i="31" l="1"/>
  <c r="B242" i="31"/>
  <c r="J242" i="31" l="1"/>
  <c r="B243" i="31"/>
  <c r="K50" i="31"/>
  <c r="K77" i="31"/>
  <c r="K115" i="31"/>
  <c r="K128" i="31"/>
  <c r="K42" i="31"/>
  <c r="K85" i="31"/>
  <c r="C255" i="31"/>
  <c r="K15" i="31"/>
  <c r="F255" i="31"/>
  <c r="K63" i="31"/>
  <c r="K121" i="31"/>
  <c r="K127" i="31"/>
  <c r="K22" i="31"/>
  <c r="C262" i="31"/>
  <c r="F262" i="31"/>
  <c r="K54" i="31"/>
  <c r="K69" i="31"/>
  <c r="K81" i="31"/>
  <c r="K99" i="31"/>
  <c r="K123" i="31"/>
  <c r="K18" i="31"/>
  <c r="C258" i="31"/>
  <c r="F258" i="31"/>
  <c r="K32" i="31"/>
  <c r="K51" i="31"/>
  <c r="K61" i="31"/>
  <c r="K76" i="31"/>
  <c r="K95" i="31"/>
  <c r="K106" i="31"/>
  <c r="K16" i="31"/>
  <c r="F256" i="31"/>
  <c r="C256" i="31"/>
  <c r="K34" i="31"/>
  <c r="K46" i="31"/>
  <c r="K57" i="31"/>
  <c r="K74" i="31"/>
  <c r="K86" i="31"/>
  <c r="K97" i="31"/>
  <c r="K120" i="31"/>
  <c r="F259" i="31"/>
  <c r="K19" i="31"/>
  <c r="C259" i="31"/>
  <c r="K31" i="31"/>
  <c r="K45" i="31"/>
  <c r="K67" i="31"/>
  <c r="K82" i="31"/>
  <c r="K98" i="31"/>
  <c r="K124" i="31"/>
  <c r="K126" i="31"/>
  <c r="K116" i="31"/>
  <c r="K131" i="31"/>
  <c r="F257" i="31"/>
  <c r="C257" i="31"/>
  <c r="K17" i="31"/>
  <c r="K29" i="31"/>
  <c r="K60" i="31"/>
  <c r="K103" i="31"/>
  <c r="K53" i="31"/>
  <c r="K96" i="31"/>
  <c r="K26" i="31"/>
  <c r="K78" i="31"/>
  <c r="K118" i="31"/>
  <c r="K40" i="31"/>
  <c r="K72" i="31"/>
  <c r="K102" i="31"/>
  <c r="F261" i="31"/>
  <c r="C261" i="31"/>
  <c r="K21" i="31"/>
  <c r="K38" i="31"/>
  <c r="K55" i="31"/>
  <c r="K64" i="31"/>
  <c r="K80" i="31"/>
  <c r="K113" i="31"/>
  <c r="F260" i="31"/>
  <c r="K20" i="31"/>
  <c r="C260" i="31"/>
  <c r="K37" i="31"/>
  <c r="K48" i="31"/>
  <c r="K79" i="31"/>
  <c r="K90" i="31"/>
  <c r="K101" i="31"/>
  <c r="K125" i="31"/>
  <c r="K23" i="31"/>
  <c r="F263" i="31"/>
  <c r="C263" i="31"/>
  <c r="K35" i="31"/>
  <c r="K52" i="31"/>
  <c r="K70" i="31"/>
  <c r="K84" i="31"/>
  <c r="K109" i="31"/>
  <c r="K111" i="31"/>
  <c r="K130" i="31"/>
  <c r="K105" i="31"/>
  <c r="K119" i="31"/>
  <c r="K33" i="31"/>
  <c r="K66" i="31"/>
  <c r="K93" i="31"/>
  <c r="K13" i="31"/>
  <c r="F253" i="31"/>
  <c r="C253" i="31"/>
  <c r="K47" i="31"/>
  <c r="K91" i="31"/>
  <c r="K30" i="31"/>
  <c r="K68" i="31"/>
  <c r="K110" i="31"/>
  <c r="K41" i="31"/>
  <c r="K92" i="31"/>
  <c r="K112" i="31"/>
  <c r="K24" i="31"/>
  <c r="K59" i="31"/>
  <c r="K129" i="31"/>
  <c r="K14" i="31"/>
  <c r="C254" i="31"/>
  <c r="F254" i="31"/>
  <c r="K28" i="31"/>
  <c r="K44" i="31"/>
  <c r="K62" i="31"/>
  <c r="K73" i="31"/>
  <c r="K88" i="31"/>
  <c r="K108" i="31"/>
  <c r="K43" i="31"/>
  <c r="K58" i="31"/>
  <c r="K71" i="31"/>
  <c r="K87" i="31"/>
  <c r="K100" i="31"/>
  <c r="K27" i="31"/>
  <c r="K39" i="31"/>
  <c r="K49" i="31"/>
  <c r="K65" i="31"/>
  <c r="K83" i="31"/>
  <c r="K94" i="31"/>
  <c r="K104" i="31"/>
  <c r="K25" i="31"/>
  <c r="D12" i="31"/>
  <c r="G12" i="31" s="1"/>
  <c r="K36" i="31"/>
  <c r="K56" i="31"/>
  <c r="K75" i="31"/>
  <c r="K89" i="31"/>
  <c r="K117" i="31"/>
  <c r="K114" i="31"/>
  <c r="K132" i="31"/>
  <c r="K107" i="31"/>
  <c r="K122" i="31"/>
  <c r="J243" i="31" l="1"/>
  <c r="B244" i="31"/>
  <c r="F9" i="31"/>
  <c r="D261" i="31"/>
  <c r="E261" i="31" s="1"/>
  <c r="G261" i="31"/>
  <c r="K261" i="31"/>
  <c r="G258" i="31"/>
  <c r="K258" i="31"/>
  <c r="D258" i="31"/>
  <c r="E258" i="31" s="1"/>
  <c r="D254" i="31"/>
  <c r="E254" i="31" s="1"/>
  <c r="K254" i="31"/>
  <c r="G254" i="31"/>
  <c r="D260" i="31"/>
  <c r="E260" i="31" s="1"/>
  <c r="K260" i="31"/>
  <c r="G260" i="31"/>
  <c r="D257" i="31"/>
  <c r="E257" i="31" s="1"/>
  <c r="G257" i="31"/>
  <c r="K257" i="31"/>
  <c r="K5" i="31"/>
  <c r="K253" i="31"/>
  <c r="D253" i="31"/>
  <c r="G253" i="31"/>
  <c r="E253" i="31"/>
  <c r="D250" i="31"/>
  <c r="E250" i="31" s="1"/>
  <c r="D243" i="31"/>
  <c r="E243" i="31" s="1"/>
  <c r="D246" i="31"/>
  <c r="E246" i="31" s="1"/>
  <c r="D245" i="31"/>
  <c r="E245" i="31" s="1"/>
  <c r="D247" i="31"/>
  <c r="E247" i="31" s="1"/>
  <c r="D249" i="31"/>
  <c r="E249" i="31" s="1"/>
  <c r="D248" i="31"/>
  <c r="E248" i="31" s="1"/>
  <c r="D244" i="31"/>
  <c r="E244" i="31" s="1"/>
  <c r="D242" i="31"/>
  <c r="D251" i="31"/>
  <c r="E251" i="31" s="1"/>
  <c r="D252" i="31"/>
  <c r="E252" i="31" s="1"/>
  <c r="C9" i="31"/>
  <c r="G263" i="31"/>
  <c r="D263" i="31"/>
  <c r="E263" i="31"/>
  <c r="K263" i="31"/>
  <c r="K259" i="31"/>
  <c r="G259" i="31"/>
  <c r="D259" i="31"/>
  <c r="E259" i="31" s="1"/>
  <c r="K262" i="31"/>
  <c r="D262" i="31"/>
  <c r="E262" i="31"/>
  <c r="G262" i="31"/>
  <c r="D256" i="31"/>
  <c r="E256" i="31" s="1"/>
  <c r="G256" i="31"/>
  <c r="K256" i="31"/>
  <c r="G255" i="31"/>
  <c r="K255" i="31"/>
  <c r="D255" i="31"/>
  <c r="E255" i="31" s="1"/>
  <c r="B245" i="31" l="1"/>
  <c r="J244" i="31"/>
  <c r="G251" i="31"/>
  <c r="G243" i="31"/>
  <c r="G252" i="31"/>
  <c r="G248" i="31"/>
  <c r="G246" i="31"/>
  <c r="G249" i="31"/>
  <c r="G247" i="31"/>
  <c r="G250" i="31"/>
  <c r="G244" i="31"/>
  <c r="G245" i="31"/>
  <c r="K6" i="31"/>
  <c r="E242" i="31"/>
  <c r="M7" i="31"/>
  <c r="B36" i="38" s="1"/>
  <c r="B47" i="25"/>
  <c r="B5" i="31" l="1"/>
  <c r="J245" i="31"/>
  <c r="B246" i="31"/>
  <c r="G9" i="25"/>
  <c r="C7" i="38" s="1"/>
  <c r="B5" i="25"/>
  <c r="B4" i="38" s="1"/>
  <c r="G242" i="31"/>
  <c r="J246" i="31" l="1"/>
  <c r="B247" i="31"/>
  <c r="B4" i="31"/>
  <c r="B5" i="17"/>
  <c r="B5" i="28"/>
  <c r="J247" i="31" l="1"/>
  <c r="B248" i="31"/>
  <c r="B249" i="31" l="1"/>
  <c r="J248" i="31"/>
  <c r="J249" i="31" l="1"/>
  <c r="B250" i="31"/>
  <c r="J250" i="31" l="1"/>
  <c r="B251" i="31"/>
  <c r="J251" i="31" l="1"/>
  <c r="B252" i="31"/>
  <c r="J252" i="31" l="1"/>
  <c r="B253" i="31"/>
  <c r="J253" i="31" l="1"/>
  <c r="B266" i="31"/>
  <c r="B254" i="31"/>
  <c r="B255" i="31" l="1"/>
  <c r="J254" i="31"/>
  <c r="J255" i="31" l="1"/>
  <c r="B256" i="31"/>
  <c r="B257" i="31" l="1"/>
  <c r="J256" i="31"/>
  <c r="J257" i="31" l="1"/>
  <c r="B258" i="31"/>
  <c r="J258" i="31" l="1"/>
  <c r="B259" i="31"/>
  <c r="J259" i="31" l="1"/>
  <c r="B260" i="31"/>
  <c r="J260" i="31" l="1"/>
  <c r="B261" i="31"/>
  <c r="J261" i="31" l="1"/>
  <c r="B262" i="31"/>
  <c r="J262" i="31" l="1"/>
  <c r="B263" i="31"/>
  <c r="J263" i="31" l="1"/>
  <c r="B264" i="31"/>
  <c r="J264" i="31" s="1"/>
  <c r="N31" i="31" l="1"/>
  <c r="M34" i="31"/>
  <c r="M31" i="31"/>
  <c r="N32" i="31"/>
  <c r="M32" i="31"/>
  <c r="M33" i="31"/>
  <c r="N34" i="31"/>
  <c r="N33" i="31"/>
  <c r="M35" i="31"/>
  <c r="E30" i="25"/>
  <c r="C30" i="25" s="1"/>
  <c r="E28" i="25"/>
  <c r="C28" i="25" s="1"/>
  <c r="E29" i="25"/>
  <c r="C29" i="25" s="1"/>
  <c r="G28" i="25"/>
  <c r="C23" i="38" s="1"/>
  <c r="E23" i="38" s="1"/>
  <c r="G29" i="25"/>
  <c r="C24" i="38" s="1"/>
  <c r="E24" i="38" s="1"/>
  <c r="E31" i="25"/>
  <c r="C31" i="25" s="1"/>
  <c r="G31" i="25"/>
  <c r="C26" i="38" s="1"/>
  <c r="E26" i="38" s="1"/>
  <c r="G30" i="25"/>
  <c r="C25" i="38" s="1"/>
  <c r="E25" i="38" s="1"/>
  <c r="E32" i="25"/>
  <c r="C32" i="25" s="1"/>
  <c r="E14" i="25"/>
  <c r="C14" i="25" s="1"/>
  <c r="M22" i="31"/>
  <c r="M21" i="31"/>
  <c r="E33" i="25"/>
  <c r="C33" i="25" s="1"/>
  <c r="M28" i="31"/>
  <c r="M30" i="31"/>
  <c r="E20" i="25"/>
  <c r="C20" i="25" s="1"/>
  <c r="E26" i="25"/>
  <c r="C26" i="25" s="1"/>
  <c r="E21" i="25"/>
  <c r="C21" i="25" s="1"/>
  <c r="M26" i="31"/>
  <c r="E13" i="25"/>
  <c r="C13" i="25" s="1"/>
  <c r="M25" i="31"/>
  <c r="E16" i="25"/>
  <c r="C16" i="25" s="1"/>
  <c r="M18" i="31"/>
  <c r="E24" i="25"/>
  <c r="C24" i="25" s="1"/>
  <c r="M23" i="31"/>
  <c r="M27" i="31"/>
  <c r="M24" i="31"/>
  <c r="M36" i="31"/>
  <c r="E25" i="25"/>
  <c r="C25" i="25" s="1"/>
  <c r="M16" i="31"/>
  <c r="E18" i="25"/>
  <c r="C18" i="25" s="1"/>
  <c r="M17" i="31"/>
  <c r="E23" i="25"/>
  <c r="C23" i="25" s="1"/>
  <c r="N35" i="31"/>
  <c r="N36" i="31"/>
  <c r="E22" i="25"/>
  <c r="C22" i="25" s="1"/>
  <c r="E27" i="25"/>
  <c r="C27" i="25" s="1"/>
  <c r="E15" i="25"/>
  <c r="C15" i="25" s="1"/>
  <c r="M29" i="31"/>
  <c r="E17" i="25"/>
  <c r="C17" i="25" s="1"/>
  <c r="E19" i="25"/>
  <c r="C19" i="25" s="1"/>
  <c r="M19" i="31"/>
  <c r="M20" i="31"/>
  <c r="G33" i="25"/>
  <c r="G32" i="25"/>
  <c r="C27" i="38" s="1"/>
  <c r="E27" i="38" s="1"/>
  <c r="D24" i="31" l="1"/>
  <c r="E24" i="31" s="1"/>
  <c r="D15" i="31"/>
  <c r="E15" i="31" s="1"/>
  <c r="D22" i="31"/>
  <c r="E22" i="31" s="1"/>
  <c r="D14" i="31"/>
  <c r="E14" i="31" s="1"/>
  <c r="D13" i="31"/>
  <c r="E13" i="31" s="1"/>
  <c r="D21" i="31"/>
  <c r="E21" i="31" s="1"/>
  <c r="D18" i="31"/>
  <c r="E18" i="31" s="1"/>
  <c r="D19" i="31"/>
  <c r="E19" i="31" s="1"/>
  <c r="D16" i="31"/>
  <c r="E16" i="31" s="1"/>
  <c r="D23" i="31"/>
  <c r="E23" i="31" s="1"/>
  <c r="D17" i="31"/>
  <c r="E17" i="31" s="1"/>
  <c r="D20" i="31"/>
  <c r="E20" i="31" s="1"/>
  <c r="D25" i="31"/>
  <c r="E25" i="31" s="1"/>
  <c r="D81" i="31"/>
  <c r="E81" i="31" s="1"/>
  <c r="D80" i="31"/>
  <c r="E80" i="31" s="1"/>
  <c r="D77" i="31"/>
  <c r="E77" i="31" s="1"/>
  <c r="D79" i="31"/>
  <c r="E79" i="31" s="1"/>
  <c r="D84" i="31"/>
  <c r="E84" i="31" s="1"/>
  <c r="D75" i="31"/>
  <c r="E75" i="31" s="1"/>
  <c r="D74" i="31"/>
  <c r="D83" i="31"/>
  <c r="E83" i="31" s="1"/>
  <c r="D82" i="31"/>
  <c r="E82" i="31" s="1"/>
  <c r="D78" i="31"/>
  <c r="E78" i="31" s="1"/>
  <c r="D76" i="31"/>
  <c r="E76" i="31" s="1"/>
  <c r="D85" i="31"/>
  <c r="E85" i="31" s="1"/>
  <c r="D73" i="31"/>
  <c r="E73" i="31" s="1"/>
  <c r="D66" i="31"/>
  <c r="E66" i="31" s="1"/>
  <c r="D71" i="31"/>
  <c r="E71" i="31" s="1"/>
  <c r="D67" i="31"/>
  <c r="E67" i="31" s="1"/>
  <c r="D70" i="31"/>
  <c r="E70" i="31" s="1"/>
  <c r="D62" i="31"/>
  <c r="D69" i="31"/>
  <c r="E69" i="31" s="1"/>
  <c r="D68" i="31"/>
  <c r="E68" i="31" s="1"/>
  <c r="D65" i="31"/>
  <c r="E65" i="31" s="1"/>
  <c r="D64" i="31"/>
  <c r="E64" i="31" s="1"/>
  <c r="D72" i="31"/>
  <c r="E72" i="31" s="1"/>
  <c r="D63" i="31"/>
  <c r="E63" i="31" s="1"/>
  <c r="D128" i="31"/>
  <c r="E128" i="31" s="1"/>
  <c r="D130" i="31"/>
  <c r="E130" i="31" s="1"/>
  <c r="D133" i="31"/>
  <c r="E133" i="31" s="1"/>
  <c r="D132" i="31"/>
  <c r="E132" i="31" s="1"/>
  <c r="D127" i="31"/>
  <c r="E127" i="31" s="1"/>
  <c r="D126" i="31"/>
  <c r="E126" i="31" s="1"/>
  <c r="D129" i="31"/>
  <c r="E129" i="31" s="1"/>
  <c r="D131" i="31"/>
  <c r="E131" i="31" s="1"/>
  <c r="D123" i="31"/>
  <c r="E123" i="31" s="1"/>
  <c r="D122" i="31"/>
  <c r="D125" i="31"/>
  <c r="E125" i="31" s="1"/>
  <c r="D124" i="31"/>
  <c r="E124" i="31" s="1"/>
  <c r="D147" i="31"/>
  <c r="E147" i="31" s="1"/>
  <c r="D146" i="31"/>
  <c r="D155" i="31"/>
  <c r="E155" i="31" s="1"/>
  <c r="D157" i="31"/>
  <c r="E157" i="31" s="1"/>
  <c r="D156" i="31"/>
  <c r="E156" i="31" s="1"/>
  <c r="D154" i="31"/>
  <c r="E154" i="31" s="1"/>
  <c r="D149" i="31"/>
  <c r="E149" i="31" s="1"/>
  <c r="D151" i="31"/>
  <c r="E151" i="31" s="1"/>
  <c r="D150" i="31"/>
  <c r="E150" i="31" s="1"/>
  <c r="D148" i="31"/>
  <c r="E148" i="31" s="1"/>
  <c r="D152" i="31"/>
  <c r="E152" i="31" s="1"/>
  <c r="D153" i="31"/>
  <c r="E153" i="31" s="1"/>
  <c r="D98" i="31"/>
  <c r="D108" i="31"/>
  <c r="E108" i="31" s="1"/>
  <c r="D103" i="31"/>
  <c r="E103" i="31" s="1"/>
  <c r="D109" i="31"/>
  <c r="E109" i="31" s="1"/>
  <c r="D99" i="31"/>
  <c r="E99" i="31" s="1"/>
  <c r="D101" i="31"/>
  <c r="E101" i="31" s="1"/>
  <c r="D104" i="31"/>
  <c r="E104" i="31" s="1"/>
  <c r="D107" i="31"/>
  <c r="E107" i="31" s="1"/>
  <c r="D105" i="31"/>
  <c r="E105" i="31" s="1"/>
  <c r="D106" i="31"/>
  <c r="E106" i="31" s="1"/>
  <c r="D102" i="31"/>
  <c r="E102" i="31" s="1"/>
  <c r="D100" i="31"/>
  <c r="E100" i="31" s="1"/>
  <c r="D57" i="31"/>
  <c r="E57" i="31" s="1"/>
  <c r="D58" i="31"/>
  <c r="E58" i="31" s="1"/>
  <c r="D51" i="31"/>
  <c r="E51" i="31" s="1"/>
  <c r="D61" i="31"/>
  <c r="E61" i="31" s="1"/>
  <c r="D54" i="31"/>
  <c r="E54" i="31" s="1"/>
  <c r="D59" i="31"/>
  <c r="E59" i="31" s="1"/>
  <c r="D52" i="31"/>
  <c r="E52" i="31" s="1"/>
  <c r="D56" i="31"/>
  <c r="E56" i="31" s="1"/>
  <c r="D60" i="31"/>
  <c r="E60" i="31" s="1"/>
  <c r="D50" i="31"/>
  <c r="D53" i="31"/>
  <c r="E53" i="31" s="1"/>
  <c r="D55" i="31"/>
  <c r="E55" i="31" s="1"/>
  <c r="D121" i="31"/>
  <c r="E121" i="31" s="1"/>
  <c r="D119" i="31"/>
  <c r="E119" i="31" s="1"/>
  <c r="D113" i="31"/>
  <c r="E113" i="31" s="1"/>
  <c r="D115" i="31"/>
  <c r="E115" i="31" s="1"/>
  <c r="D111" i="31"/>
  <c r="E111" i="31" s="1"/>
  <c r="D118" i="31"/>
  <c r="E118" i="31" s="1"/>
  <c r="D112" i="31"/>
  <c r="E112" i="31" s="1"/>
  <c r="D116" i="31"/>
  <c r="E116" i="31" s="1"/>
  <c r="D117" i="31"/>
  <c r="E117" i="31" s="1"/>
  <c r="D114" i="31"/>
  <c r="E114" i="31" s="1"/>
  <c r="D120" i="31"/>
  <c r="E120" i="31" s="1"/>
  <c r="D110" i="31"/>
  <c r="D31" i="31"/>
  <c r="E31" i="31" s="1"/>
  <c r="D35" i="31"/>
  <c r="E35" i="31" s="1"/>
  <c r="D33" i="31"/>
  <c r="E33" i="31" s="1"/>
  <c r="D36" i="31"/>
  <c r="E36" i="31" s="1"/>
  <c r="D26" i="31"/>
  <c r="D32" i="31"/>
  <c r="E32" i="31" s="1"/>
  <c r="D34" i="31"/>
  <c r="E34" i="31" s="1"/>
  <c r="D28" i="31"/>
  <c r="E28" i="31" s="1"/>
  <c r="D27" i="31"/>
  <c r="E27" i="31" s="1"/>
  <c r="D37" i="31"/>
  <c r="E37" i="31" s="1"/>
  <c r="D29" i="31"/>
  <c r="E29" i="31" s="1"/>
  <c r="D30" i="31"/>
  <c r="E30" i="31" s="1"/>
  <c r="D40" i="31"/>
  <c r="E40" i="31" s="1"/>
  <c r="D38" i="31"/>
  <c r="D44" i="31"/>
  <c r="E44" i="31" s="1"/>
  <c r="D49" i="31"/>
  <c r="E49" i="31" s="1"/>
  <c r="D46" i="31"/>
  <c r="E46" i="31" s="1"/>
  <c r="D45" i="31"/>
  <c r="E45" i="31" s="1"/>
  <c r="D41" i="31"/>
  <c r="E41" i="31" s="1"/>
  <c r="D43" i="31"/>
  <c r="E43" i="31" s="1"/>
  <c r="D39" i="31"/>
  <c r="E39" i="31" s="1"/>
  <c r="D42" i="31"/>
  <c r="E42" i="31" s="1"/>
  <c r="D48" i="31"/>
  <c r="E48" i="31" s="1"/>
  <c r="D47" i="31"/>
  <c r="E47" i="31" s="1"/>
  <c r="D96" i="31"/>
  <c r="E96" i="31" s="1"/>
  <c r="D92" i="31"/>
  <c r="E92" i="31" s="1"/>
  <c r="D94" i="31"/>
  <c r="E94" i="31" s="1"/>
  <c r="D97" i="31"/>
  <c r="E97" i="31" s="1"/>
  <c r="D89" i="31"/>
  <c r="E89" i="31" s="1"/>
  <c r="D90" i="31"/>
  <c r="E90" i="31" s="1"/>
  <c r="D86" i="31"/>
  <c r="D91" i="31"/>
  <c r="E91" i="31" s="1"/>
  <c r="D87" i="31"/>
  <c r="E87" i="31" s="1"/>
  <c r="D95" i="31"/>
  <c r="E95" i="31" s="1"/>
  <c r="D88" i="31"/>
  <c r="E88" i="31" s="1"/>
  <c r="D93" i="31"/>
  <c r="E93" i="31" s="1"/>
  <c r="D188" i="31"/>
  <c r="E188" i="31" s="1"/>
  <c r="D189" i="31"/>
  <c r="E189" i="31" s="1"/>
  <c r="D183" i="31"/>
  <c r="E183" i="31" s="1"/>
  <c r="D187" i="31"/>
  <c r="E187" i="31" s="1"/>
  <c r="D186" i="31"/>
  <c r="E186" i="31" s="1"/>
  <c r="D184" i="31"/>
  <c r="E184" i="31" s="1"/>
  <c r="D185" i="31"/>
  <c r="E185" i="31" s="1"/>
  <c r="D190" i="31"/>
  <c r="E190" i="31" s="1"/>
  <c r="D191" i="31"/>
  <c r="E191" i="31" s="1"/>
  <c r="D182" i="31"/>
  <c r="D192" i="31"/>
  <c r="E192" i="31" s="1"/>
  <c r="D137" i="31"/>
  <c r="E137" i="31" s="1"/>
  <c r="D136" i="31"/>
  <c r="E136" i="31" s="1"/>
  <c r="D134" i="31"/>
  <c r="D144" i="31"/>
  <c r="E144" i="31" s="1"/>
  <c r="D140" i="31"/>
  <c r="E140" i="31" s="1"/>
  <c r="D135" i="31"/>
  <c r="E135" i="31" s="1"/>
  <c r="D142" i="31"/>
  <c r="E142" i="31" s="1"/>
  <c r="D138" i="31"/>
  <c r="E138" i="31" s="1"/>
  <c r="D145" i="31"/>
  <c r="E145" i="31" s="1"/>
  <c r="D141" i="31"/>
  <c r="E141" i="31" s="1"/>
  <c r="D139" i="31"/>
  <c r="E139" i="31" s="1"/>
  <c r="D143" i="31"/>
  <c r="E143" i="31" s="1"/>
  <c r="D162" i="31"/>
  <c r="E162" i="31" s="1"/>
  <c r="D167" i="31"/>
  <c r="E167" i="31" s="1"/>
  <c r="D165" i="31"/>
  <c r="E165" i="31" s="1"/>
  <c r="D164" i="31"/>
  <c r="E164" i="31" s="1"/>
  <c r="D169" i="31"/>
  <c r="E169" i="31" s="1"/>
  <c r="D161" i="31"/>
  <c r="E161" i="31" s="1"/>
  <c r="D163" i="31"/>
  <c r="E163" i="31" s="1"/>
  <c r="D160" i="31"/>
  <c r="E160" i="31" s="1"/>
  <c r="D158" i="31"/>
  <c r="D166" i="31"/>
  <c r="E166" i="31" s="1"/>
  <c r="D168" i="31"/>
  <c r="E168" i="31" s="1"/>
  <c r="D159" i="31"/>
  <c r="E159" i="31" s="1"/>
  <c r="D181" i="31"/>
  <c r="E181" i="31" s="1"/>
  <c r="D172" i="31"/>
  <c r="E172" i="31" s="1"/>
  <c r="D170" i="31"/>
  <c r="D180" i="31"/>
  <c r="E180" i="31" s="1"/>
  <c r="D177" i="31"/>
  <c r="E177" i="31" s="1"/>
  <c r="D171" i="31"/>
  <c r="E171" i="31" s="1"/>
  <c r="D173" i="31"/>
  <c r="E173" i="31" s="1"/>
  <c r="D176" i="31"/>
  <c r="E176" i="31" s="1"/>
  <c r="D178" i="31"/>
  <c r="E178" i="31" s="1"/>
  <c r="D179" i="31"/>
  <c r="E179" i="31" s="1"/>
  <c r="D174" i="31"/>
  <c r="E174" i="31" s="1"/>
  <c r="D175" i="31"/>
  <c r="E175" i="31" s="1"/>
  <c r="N16" i="31" l="1"/>
  <c r="G20" i="31"/>
  <c r="G19" i="31"/>
  <c r="G14" i="31"/>
  <c r="G17" i="31"/>
  <c r="G18" i="31"/>
  <c r="G22" i="31"/>
  <c r="G23" i="31"/>
  <c r="G21" i="31"/>
  <c r="G15" i="31"/>
  <c r="G16" i="31"/>
  <c r="G13" i="31"/>
  <c r="G24" i="31"/>
  <c r="D9" i="31"/>
  <c r="G174" i="31"/>
  <c r="G173" i="31"/>
  <c r="E170" i="31"/>
  <c r="N29" i="31"/>
  <c r="G168" i="31"/>
  <c r="G163" i="31"/>
  <c r="G165" i="31"/>
  <c r="G139" i="31"/>
  <c r="G142" i="31"/>
  <c r="E134" i="31"/>
  <c r="N26" i="31"/>
  <c r="E182" i="31"/>
  <c r="N30" i="31"/>
  <c r="G184" i="31"/>
  <c r="G189" i="31"/>
  <c r="G95" i="31"/>
  <c r="G90" i="31"/>
  <c r="G92" i="31"/>
  <c r="G39" i="31"/>
  <c r="G46" i="31"/>
  <c r="G40" i="31"/>
  <c r="G29" i="31"/>
  <c r="G34" i="31"/>
  <c r="G33" i="31"/>
  <c r="G120" i="31"/>
  <c r="G112" i="31"/>
  <c r="G113" i="31"/>
  <c r="G53" i="31"/>
  <c r="G52" i="31"/>
  <c r="G51" i="31"/>
  <c r="G100" i="31"/>
  <c r="G107" i="31"/>
  <c r="G109" i="31"/>
  <c r="G152" i="31"/>
  <c r="G149" i="31"/>
  <c r="G155" i="31"/>
  <c r="G125" i="31"/>
  <c r="G129" i="31"/>
  <c r="G133" i="31"/>
  <c r="G72" i="31"/>
  <c r="G69" i="31"/>
  <c r="G71" i="31"/>
  <c r="G76" i="31"/>
  <c r="E74" i="31"/>
  <c r="N21" i="31"/>
  <c r="G77" i="31"/>
  <c r="G179" i="31"/>
  <c r="G171" i="31"/>
  <c r="G172" i="31"/>
  <c r="G166" i="31"/>
  <c r="G161" i="31"/>
  <c r="G167" i="31"/>
  <c r="G141" i="31"/>
  <c r="G135" i="31"/>
  <c r="G136" i="31"/>
  <c r="G191" i="31"/>
  <c r="G186" i="31"/>
  <c r="G188" i="31"/>
  <c r="G87" i="31"/>
  <c r="G89" i="31"/>
  <c r="G96" i="31"/>
  <c r="G47" i="31"/>
  <c r="G43" i="31"/>
  <c r="G49" i="31"/>
  <c r="G178" i="31"/>
  <c r="G177" i="31"/>
  <c r="G181" i="31"/>
  <c r="E158" i="31"/>
  <c r="N28" i="31"/>
  <c r="G169" i="31"/>
  <c r="G162" i="31"/>
  <c r="G145" i="31"/>
  <c r="G140" i="31"/>
  <c r="G137" i="31"/>
  <c r="G190" i="31"/>
  <c r="G187" i="31"/>
  <c r="G93" i="31"/>
  <c r="G91" i="31"/>
  <c r="G97" i="31"/>
  <c r="G48" i="31"/>
  <c r="G41" i="31"/>
  <c r="G44" i="31"/>
  <c r="G175" i="31"/>
  <c r="G176" i="31"/>
  <c r="G180" i="31"/>
  <c r="G159" i="31"/>
  <c r="G160" i="31"/>
  <c r="G164" i="31"/>
  <c r="G143" i="31"/>
  <c r="G138" i="31"/>
  <c r="G144" i="31"/>
  <c r="G192" i="31"/>
  <c r="G185" i="31"/>
  <c r="G183" i="31"/>
  <c r="G88" i="31"/>
  <c r="E86" i="31"/>
  <c r="N22" i="31"/>
  <c r="G94" i="31"/>
  <c r="G42" i="31"/>
  <c r="G45" i="31"/>
  <c r="E38" i="31"/>
  <c r="N18" i="31"/>
  <c r="G30" i="31"/>
  <c r="G28" i="31"/>
  <c r="G36" i="31"/>
  <c r="E110" i="31"/>
  <c r="N24" i="31"/>
  <c r="G116" i="31"/>
  <c r="G115" i="31"/>
  <c r="G55" i="31"/>
  <c r="G56" i="31"/>
  <c r="G61" i="31"/>
  <c r="G105" i="31"/>
  <c r="G99" i="31"/>
  <c r="E98" i="31"/>
  <c r="N23" i="31"/>
  <c r="G153" i="31"/>
  <c r="G151" i="31"/>
  <c r="G157" i="31"/>
  <c r="G124" i="31"/>
  <c r="G131" i="31"/>
  <c r="G132" i="31"/>
  <c r="G63" i="31"/>
  <c r="G68" i="31"/>
  <c r="G67" i="31"/>
  <c r="G85" i="31"/>
  <c r="G83" i="31"/>
  <c r="G79" i="31"/>
  <c r="G37" i="31"/>
  <c r="G32" i="31"/>
  <c r="G35" i="31"/>
  <c r="G114" i="31"/>
  <c r="G118" i="31"/>
  <c r="G119" i="31"/>
  <c r="E50" i="31"/>
  <c r="N19" i="31"/>
  <c r="G59" i="31"/>
  <c r="G58" i="31"/>
  <c r="G102" i="31"/>
  <c r="G104" i="31"/>
  <c r="G103" i="31"/>
  <c r="G13" i="25"/>
  <c r="C8" i="38" s="1"/>
  <c r="E8" i="38" s="1"/>
  <c r="G25" i="31"/>
  <c r="G148" i="31"/>
  <c r="G154" i="31"/>
  <c r="E146" i="31"/>
  <c r="N27" i="31"/>
  <c r="E122" i="31"/>
  <c r="N25" i="31"/>
  <c r="G126" i="31"/>
  <c r="G130" i="31"/>
  <c r="G64" i="31"/>
  <c r="E62" i="31"/>
  <c r="N20" i="31"/>
  <c r="G66" i="31"/>
  <c r="G78" i="31"/>
  <c r="G75" i="31"/>
  <c r="G80" i="31"/>
  <c r="G27" i="31"/>
  <c r="E26" i="31"/>
  <c r="N17" i="31"/>
  <c r="G31" i="31"/>
  <c r="G117" i="31"/>
  <c r="G111" i="31"/>
  <c r="G121" i="31"/>
  <c r="G60" i="31"/>
  <c r="G54" i="31"/>
  <c r="G57" i="31"/>
  <c r="G106" i="31"/>
  <c r="G101" i="31"/>
  <c r="G108" i="31"/>
  <c r="G150" i="31"/>
  <c r="G156" i="31"/>
  <c r="G147" i="31"/>
  <c r="G123" i="31"/>
  <c r="G127" i="31"/>
  <c r="G128" i="31"/>
  <c r="G65" i="31"/>
  <c r="G70" i="31"/>
  <c r="G73" i="31"/>
  <c r="G82" i="31"/>
  <c r="G84" i="31"/>
  <c r="G81" i="31"/>
  <c r="G9" i="31" l="1"/>
  <c r="E9" i="31"/>
  <c r="G26" i="31"/>
  <c r="G14" i="25"/>
  <c r="C9" i="38" s="1"/>
  <c r="E9" i="38" s="1"/>
  <c r="G146" i="31"/>
  <c r="G24" i="25"/>
  <c r="C19" i="38" s="1"/>
  <c r="E19" i="38" s="1"/>
  <c r="G50" i="31"/>
  <c r="G16" i="25"/>
  <c r="C11" i="38" s="1"/>
  <c r="E11" i="38" s="1"/>
  <c r="G98" i="31"/>
  <c r="G20" i="25"/>
  <c r="C15" i="38" s="1"/>
  <c r="E15" i="38" s="1"/>
  <c r="G110" i="31"/>
  <c r="G21" i="25"/>
  <c r="C16" i="38" s="1"/>
  <c r="E16" i="38" s="1"/>
  <c r="G38" i="31"/>
  <c r="G15" i="25"/>
  <c r="C10" i="38" s="1"/>
  <c r="E10" i="38" s="1"/>
  <c r="G86" i="31"/>
  <c r="G19" i="25"/>
  <c r="C14" i="38" s="1"/>
  <c r="E14" i="38" s="1"/>
  <c r="G74" i="31"/>
  <c r="G18" i="25"/>
  <c r="C13" i="38" s="1"/>
  <c r="E13" i="38" s="1"/>
  <c r="G182" i="31"/>
  <c r="G27" i="25"/>
  <c r="C22" i="38" s="1"/>
  <c r="E22" i="38" s="1"/>
  <c r="G62" i="31"/>
  <c r="G17" i="25"/>
  <c r="C12" i="38" s="1"/>
  <c r="E12" i="38" s="1"/>
  <c r="G122" i="31"/>
  <c r="G22" i="25"/>
  <c r="C17" i="38" s="1"/>
  <c r="E17" i="38" s="1"/>
  <c r="G158" i="31"/>
  <c r="G25" i="25"/>
  <c r="C20" i="38" s="1"/>
  <c r="E20" i="38" s="1"/>
  <c r="G134" i="31"/>
  <c r="G23" i="25"/>
  <c r="C18" i="38" s="1"/>
  <c r="E18" i="38" s="1"/>
  <c r="G170" i="31"/>
  <c r="G26" i="25"/>
  <c r="C21" i="38" s="1"/>
  <c r="E21" i="38" s="1"/>
  <c r="I38" i="25" l="1"/>
  <c r="I49" i="25" s="1"/>
  <c r="B38" i="38"/>
  <c r="B48" i="25"/>
  <c r="G37" i="25"/>
  <c r="C30" i="38" s="1"/>
  <c r="E30" i="38" s="1"/>
  <c r="I48" i="25"/>
  <c r="I39" i="25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<sst xmlns="http://schemas.openxmlformats.org/spreadsheetml/2006/main" count="309" uniqueCount="142">
  <si>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</si>
  <si>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</si>
  <si>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</si>
  <si>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</si>
  <si>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</si>
  <si>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</si>
  <si>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</si>
  <si>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</si>
  <si>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</si>
  <si>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</si>
  <si>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</si>
  <si>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</si>
  <si>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</si>
  <si>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</si>
  <si>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</si>
  <si>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</si>
  <si>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</si>
  <si>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</si>
  <si>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</si>
  <si>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</si>
  <si>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</si>
  <si>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</si>
  <si>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</si>
  <si>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</si>
  <si>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</si>
  <si>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</si>
  <si>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</si>
  <si>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</si>
  <si>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</si>
  <si>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</si>
  <si>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</si>
  <si>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</si>
  <si>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</si>
  <si>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</si>
  <si>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</si>
  <si>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</si>
  <si>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</si>
  <si>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</si>
  <si>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</si>
  <si>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</si>
  <si>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</si>
  <si>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</si>
  <si>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</si>
  <si>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</si>
  <si>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</si>
  <si>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</si>
  <si>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</si>
  <si>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Cap Energy Prices (Yes / No)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</si>
  <si>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</si>
  <si>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</si>
  <si>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</si>
  <si>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</si>
  <si>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</si>
  <si>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</si>
  <si>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</si>
  <si>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</si>
  <si>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</si>
  <si>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</si>
  <si>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</si>
  <si>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</si>
  <si>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</si>
  <si>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</si>
  <si>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</si>
  <si>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</si>
  <si>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</si>
  <si>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</si>
  <si>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</si>
  <si>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</si>
  <si>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</si>
  <si>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</si>
  <si>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</si>
  <si>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</si>
  <si>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</si>
  <si>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</si>
  <si>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</si>
  <si>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</si>
  <si>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</si>
  <si>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</si>
  <si>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</si>
  <si>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</si>
  <si>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</si>
  <si>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</si>
  <si>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</si>
  <si>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</si>
  <si>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</si>
  <si>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</si>
  <si>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</si>
  <si>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</si>
  <si>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</si>
  <si>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</si>
  <si>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</si>
  <si>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</si>
  <si>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</si>
  <si>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</si>
  <si>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</si>
  <si>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</si>
  <si>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</si>
  <si>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</si>
  <si>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</si>
  <si>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</si>
  <si>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</si>
  <si>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</si>
  <si>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</si>
  <si>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</si>
  <si>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Percent of QF</t>
  </si>
  <si>
    <t>Energy Cost (1)</t>
  </si>
  <si>
    <t>(1)</t>
  </si>
  <si>
    <t xml:space="preserve">Consistent with Docket No. 03-035-14, QFs requesting a tolling option will have variable energy priced at the IRP Resource Energy Cost (heat rate </t>
  </si>
  <si>
    <t>times the cost of fuel).  Additionally, the energy price for unscheduled or non-firm deliveries is capped at the IRP Resource Energy Cost.</t>
  </si>
  <si>
    <t xml:space="preserve">See Table 3, Column (h). </t>
  </si>
  <si>
    <t>Table 4</t>
  </si>
  <si>
    <t>Table 3</t>
  </si>
  <si>
    <t xml:space="preserve">       The levelized monthly calculation is more accurate when the QF has seasonal</t>
  </si>
  <si>
    <t xml:space="preserve">        loads or when the QF project doesn't start in January. </t>
  </si>
  <si>
    <t>&lt;---- Calculated Monthly</t>
  </si>
  <si>
    <t>Discount Rate - 2015 IRP Page 141</t>
  </si>
  <si>
    <t>Plant Costs  - 2015 IRP - Table 6.1 &amp; 6.2 - Page 92</t>
  </si>
  <si>
    <t>CCCT Resource Costs - 2015 Integrated Resource Plan</t>
  </si>
  <si>
    <t>Utah - 635 MW - CCCT Dry "F" 2x1 - East Side Resource (5,050')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</si>
  <si>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</si>
  <si>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</si>
  <si>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</si>
  <si>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</si>
  <si>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</si>
  <si>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</si>
  <si>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West M - 477 MW - CCCT Dry "J", Adv 1x1 - West Side Resource (1,500')</t>
  </si>
  <si>
    <t>2014 $</t>
  </si>
  <si>
    <t>WYNE  DJohns - 665 MW - CCCT Dry "JF, 2x1 - East Side Resource (5,050')</t>
  </si>
  <si>
    <t>CCCT Resource Costs - 2015 Integrated Resource Plan Update</t>
  </si>
  <si>
    <t>IRP - 2028 - 477 MW CCCT - West M</t>
  </si>
  <si>
    <t>IRP - 2028 - 635 MW CCCT - Wyo NE</t>
  </si>
  <si>
    <t>IRP - 2030 - 635 MW CCCT - Utah S</t>
  </si>
  <si>
    <t>Yes</t>
  </si>
  <si>
    <t>Avoided Cost Prices $/MWh</t>
  </si>
  <si>
    <t>Avoided Cost at</t>
  </si>
  <si>
    <t>Difference</t>
  </si>
  <si>
    <t>Filing</t>
  </si>
  <si>
    <t xml:space="preserve"> x   Extrapolated</t>
  </si>
  <si>
    <t>(x)  Escalated</t>
  </si>
  <si>
    <t>2016.Q1</t>
  </si>
  <si>
    <t>Avoided Cost Resource</t>
  </si>
  <si>
    <t>Utah 2016.Q2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</si>
</sst>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#0\(\p\)"/>
    <numFmt numFmtId="180" formatCode="&quot;$&quot;#,##0.00_)\(\4\)"/>
    <numFmt numFmtId="181" formatCode="&quot;$&quot;#,##0.00_)&quot;x&quot;"/>
  </numFmts>
  <fonts count="34" x14ac:knownFonts="1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Times New Roman"/>
      <family val="1"/>
    </font>
    <font>
      <sz val="10"/>
      <color theme="2" tint="-0.249977111117893"/>
      <name val="Arial"/>
      <family val="2"/>
    </font>
    <font>
      <sz val="10"/>
      <color rgb="FFCCEC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7" fillId="0" borderId="0" applyFont="0" applyFill="0" applyBorder="0" applyProtection="0">
      <alignment horizontal="right"/>
    </xf>
    <xf numFmtId="177" fontId="18" fillId="0" borderId="0" applyNumberFormat="0" applyFill="0" applyBorder="0" applyAlignment="0" applyProtection="0"/>
    <xf numFmtId="0" fontId="16" fillId="0" borderId="23" applyNumberFormat="0" applyBorder="0" applyAlignment="0"/>
    <xf numFmtId="12" fontId="28" fillId="8" borderId="22">
      <alignment horizontal="left"/>
    </xf>
    <xf numFmtId="37" fontId="16" fillId="9" borderId="0" applyNumberFormat="0" applyBorder="0" applyAlignment="0" applyProtection="0"/>
    <xf numFmtId="37" fontId="16" fillId="0" borderId="0"/>
    <xf numFmtId="3" fontId="24" fillId="10" borderId="24" applyProtection="0"/>
    <xf numFmtId="172" fontId="1" fillId="0" borderId="0"/>
    <xf numFmtId="9" fontId="1" fillId="0" borderId="0" applyFont="0" applyFill="0" applyBorder="0" applyAlignment="0" applyProtection="0"/>
    <xf numFmtId="0" fontId="1" fillId="0" borderId="0"/>
  </cellStyleXfs>
  <cellXfs count="303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10" fillId="0" borderId="0" xfId="0" applyFont="1" applyFill="1"/>
    <xf numFmtId="172" fontId="10" fillId="0" borderId="1" xfId="0" applyFont="1" applyFill="1" applyBorder="1" applyAlignment="1">
      <alignment horizontal="center"/>
    </xf>
    <xf numFmtId="172" fontId="11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2" fontId="8" fillId="0" borderId="0" xfId="0" applyFont="1" applyFill="1"/>
    <xf numFmtId="172" fontId="3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9" fillId="0" borderId="0" xfId="0" applyFont="1" applyFill="1"/>
    <xf numFmtId="172" fontId="3" fillId="0" borderId="0" xfId="0" quotePrefix="1" applyFont="1" applyFill="1"/>
    <xf numFmtId="172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2" fontId="3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172" fontId="10" fillId="0" borderId="3" xfId="0" applyFont="1" applyFill="1" applyBorder="1" applyAlignment="1">
      <alignment horizontal="centerContinuous"/>
    </xf>
    <xf numFmtId="172" fontId="10" fillId="0" borderId="4" xfId="0" applyFont="1" applyFill="1" applyBorder="1" applyAlignment="1">
      <alignment horizontal="centerContinuous"/>
    </xf>
    <xf numFmtId="172" fontId="10" fillId="0" borderId="5" xfId="0" applyFont="1" applyFill="1" applyBorder="1"/>
    <xf numFmtId="172" fontId="10" fillId="0" borderId="6" xfId="0" applyFont="1" applyFill="1" applyBorder="1" applyAlignment="1">
      <alignment horizontal="center"/>
    </xf>
    <xf numFmtId="172" fontId="10" fillId="0" borderId="0" xfId="0" quotePrefix="1" applyFont="1" applyFill="1" applyBorder="1" applyAlignment="1">
      <alignment horizontal="center"/>
    </xf>
    <xf numFmtId="172" fontId="10" fillId="0" borderId="7" xfId="0" applyFont="1" applyFill="1" applyBorder="1" applyAlignment="1">
      <alignment horizontal="centerContinuous"/>
    </xf>
    <xf numFmtId="172" fontId="10" fillId="0" borderId="5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Continuous"/>
    </xf>
    <xf numFmtId="172" fontId="10" fillId="0" borderId="9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"/>
    </xf>
    <xf numFmtId="172" fontId="10" fillId="0" borderId="10" xfId="0" applyFont="1" applyFill="1" applyBorder="1" applyAlignment="1">
      <alignment horizontal="center"/>
    </xf>
    <xf numFmtId="172" fontId="10" fillId="0" borderId="5" xfId="0" quotePrefix="1" applyFont="1" applyFill="1" applyBorder="1" applyAlignment="1">
      <alignment horizontal="centerContinuous"/>
    </xf>
    <xf numFmtId="172" fontId="10" fillId="0" borderId="3" xfId="0" applyFont="1" applyFill="1" applyBorder="1" applyAlignment="1">
      <alignment horizontal="center"/>
    </xf>
    <xf numFmtId="172" fontId="10" fillId="0" borderId="11" xfId="0" applyFont="1" applyFill="1" applyBorder="1" applyAlignment="1">
      <alignment horizontal="center"/>
    </xf>
    <xf numFmtId="172" fontId="10" fillId="0" borderId="4" xfId="0" applyFont="1" applyFill="1" applyBorder="1" applyAlignment="1">
      <alignment horizontal="center"/>
    </xf>
    <xf numFmtId="172" fontId="10" fillId="0" borderId="2" xfId="0" applyFont="1" applyFill="1" applyBorder="1" applyAlignment="1">
      <alignment horizontal="centerContinuous"/>
    </xf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2" fontId="3" fillId="2" borderId="0" xfId="0" applyFont="1" applyFill="1"/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11" fillId="0" borderId="6" xfId="0" applyFont="1" applyFill="1" applyBorder="1" applyAlignment="1">
      <alignment horizontal="centerContinuous"/>
    </xf>
    <xf numFmtId="172" fontId="14" fillId="0" borderId="6" xfId="0" quotePrefix="1" applyFont="1" applyFill="1" applyBorder="1" applyAlignment="1">
      <alignment horizontal="center" wrapText="1"/>
    </xf>
    <xf numFmtId="172" fontId="14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5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11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6" fillId="3" borderId="0" xfId="0" applyFont="1" applyFill="1" applyAlignment="1">
      <alignment horizontal="centerContinuous"/>
    </xf>
    <xf numFmtId="172" fontId="18" fillId="3" borderId="0" xfId="0" applyFont="1" applyFill="1" applyBorder="1" applyAlignment="1">
      <alignment horizontal="centerContinuous"/>
    </xf>
    <xf numFmtId="171" fontId="16" fillId="3" borderId="0" xfId="1" applyNumberFormat="1" applyFont="1" applyFill="1" applyAlignment="1">
      <alignment horizontal="centerContinuous"/>
    </xf>
    <xf numFmtId="172" fontId="16" fillId="0" borderId="0" xfId="0" applyFont="1" applyFill="1" applyBorder="1"/>
    <xf numFmtId="172" fontId="18" fillId="0" borderId="0" xfId="0" applyFont="1" applyFill="1" applyBorder="1" applyAlignment="1">
      <alignment wrapText="1"/>
    </xf>
    <xf numFmtId="172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/>
    <xf numFmtId="8" fontId="3" fillId="0" borderId="6" xfId="1" applyNumberFormat="1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21" fillId="0" borderId="0" xfId="0" applyFont="1" applyFill="1"/>
    <xf numFmtId="167" fontId="21" fillId="0" borderId="0" xfId="8" applyNumberFormat="1" applyFont="1" applyFill="1"/>
    <xf numFmtId="43" fontId="21" fillId="0" borderId="0" xfId="2" applyNumberFormat="1" applyFont="1" applyFill="1"/>
    <xf numFmtId="164" fontId="2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1" fillId="0" borderId="0" xfId="0" applyNumberFormat="1" applyFont="1" applyFill="1"/>
    <xf numFmtId="8" fontId="21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8" xfId="0" applyFont="1" applyFill="1" applyBorder="1" applyAlignment="1">
      <alignment horizontal="centerContinuous"/>
    </xf>
    <xf numFmtId="172" fontId="2" fillId="0" borderId="19" xfId="0" applyFont="1" applyFill="1" applyBorder="1" applyAlignment="1">
      <alignment horizontal="centerContinuous"/>
    </xf>
    <xf numFmtId="172" fontId="2" fillId="0" borderId="20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8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23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6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3" fontId="3" fillId="0" borderId="0" xfId="0" applyNumberFormat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3" fillId="0" borderId="0" xfId="11"/>
    <xf numFmtId="41" fontId="3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1" fillId="0" borderId="0" xfId="10" applyNumberFormat="1" applyFont="1"/>
    <xf numFmtId="17" fontId="1" fillId="0" borderId="0" xfId="10" applyNumberFormat="1" applyFont="1"/>
    <xf numFmtId="174" fontId="1" fillId="6" borderId="0" xfId="10" applyNumberFormat="1" applyFont="1" applyFill="1"/>
    <xf numFmtId="170" fontId="1" fillId="0" borderId="0" xfId="2" applyNumberFormat="1" applyFont="1"/>
    <xf numFmtId="10" fontId="1" fillId="0" borderId="0" xfId="8" applyNumberFormat="1" applyFont="1"/>
    <xf numFmtId="172" fontId="1" fillId="0" borderId="5" xfId="10" applyNumberFormat="1" applyFont="1" applyBorder="1"/>
    <xf numFmtId="172" fontId="1" fillId="0" borderId="7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Continuous"/>
    </xf>
    <xf numFmtId="172" fontId="1" fillId="0" borderId="4" xfId="10" applyNumberFormat="1" applyFont="1" applyBorder="1" applyAlignment="1">
      <alignment horizontal="centerContinuous"/>
    </xf>
    <xf numFmtId="172" fontId="1" fillId="0" borderId="6" xfId="10" applyNumberFormat="1" applyFont="1" applyBorder="1"/>
    <xf numFmtId="172" fontId="1" fillId="0" borderId="4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"/>
    </xf>
    <xf numFmtId="172" fontId="1" fillId="0" borderId="6" xfId="10" applyNumberFormat="1" applyFont="1" applyBorder="1" applyAlignment="1">
      <alignment horizontal="center"/>
    </xf>
    <xf numFmtId="172" fontId="1" fillId="0" borderId="11" xfId="10" applyNumberFormat="1" applyFont="1" applyBorder="1" applyAlignment="1">
      <alignment horizontal="centerContinuous"/>
    </xf>
    <xf numFmtId="172" fontId="1" fillId="0" borderId="2" xfId="10" applyNumberFormat="1" applyFont="1" applyBorder="1"/>
    <xf numFmtId="41" fontId="1" fillId="0" borderId="9" xfId="10" applyNumberFormat="1" applyFont="1" applyBorder="1"/>
    <xf numFmtId="41" fontId="1" fillId="0" borderId="13" xfId="10" applyNumberFormat="1" applyFont="1" applyBorder="1"/>
    <xf numFmtId="168" fontId="1" fillId="0" borderId="9" xfId="10" applyNumberFormat="1" applyFont="1" applyBorder="1"/>
    <xf numFmtId="0" fontId="1" fillId="0" borderId="0" xfId="10" applyNumberFormat="1" applyFont="1"/>
    <xf numFmtId="17" fontId="1" fillId="0" borderId="5" xfId="10" applyNumberFormat="1" applyFont="1" applyBorder="1" applyAlignment="1">
      <alignment horizontal="center"/>
    </xf>
    <xf numFmtId="172" fontId="1" fillId="0" borderId="0" xfId="10" applyNumberFormat="1" applyFont="1" applyBorder="1"/>
    <xf numFmtId="168" fontId="1" fillId="0" borderId="13" xfId="10" applyNumberFormat="1" applyFont="1" applyBorder="1"/>
    <xf numFmtId="172" fontId="1" fillId="0" borderId="15" xfId="10" applyNumberFormat="1" applyFont="1" applyBorder="1"/>
    <xf numFmtId="17" fontId="1" fillId="0" borderId="15" xfId="10" applyNumberFormat="1" applyFont="1" applyBorder="1" applyAlignment="1">
      <alignment horizontal="center"/>
    </xf>
    <xf numFmtId="172" fontId="1" fillId="0" borderId="1" xfId="10" applyNumberFormat="1" applyFont="1" applyBorder="1"/>
    <xf numFmtId="41" fontId="1" fillId="0" borderId="14" xfId="10" applyNumberFormat="1" applyFont="1" applyBorder="1"/>
    <xf numFmtId="168" fontId="1" fillId="0" borderId="14" xfId="10" applyNumberFormat="1" applyFont="1" applyBorder="1"/>
    <xf numFmtId="17" fontId="1" fillId="0" borderId="6" xfId="10" applyNumberFormat="1" applyFont="1" applyBorder="1" applyAlignment="1">
      <alignment horizontal="center"/>
    </xf>
    <xf numFmtId="172" fontId="1" fillId="6" borderId="2" xfId="10" applyNumberFormat="1" applyFont="1" applyFill="1" applyBorder="1"/>
    <xf numFmtId="41" fontId="1" fillId="6" borderId="9" xfId="10" applyNumberFormat="1" applyFont="1" applyFill="1" applyBorder="1"/>
    <xf numFmtId="168" fontId="1" fillId="6" borderId="9" xfId="10" applyNumberFormat="1" applyFont="1" applyFill="1" applyBorder="1"/>
    <xf numFmtId="172" fontId="1" fillId="6" borderId="0" xfId="10" applyNumberFormat="1" applyFont="1" applyFill="1" applyBorder="1"/>
    <xf numFmtId="41" fontId="1" fillId="6" borderId="13" xfId="10" applyNumberFormat="1" applyFont="1" applyFill="1" applyBorder="1"/>
    <xf numFmtId="168" fontId="1" fillId="6" borderId="13" xfId="10" applyNumberFormat="1" applyFont="1" applyFill="1" applyBorder="1"/>
    <xf numFmtId="172" fontId="1" fillId="6" borderId="1" xfId="10" applyNumberFormat="1" applyFont="1" applyFill="1" applyBorder="1"/>
    <xf numFmtId="41" fontId="1" fillId="6" borderId="14" xfId="10" applyNumberFormat="1" applyFont="1" applyFill="1" applyBorder="1"/>
    <xf numFmtId="168" fontId="1" fillId="6" borderId="14" xfId="10" applyNumberFormat="1" applyFont="1" applyFill="1" applyBorder="1"/>
    <xf numFmtId="172" fontId="1" fillId="0" borderId="0" xfId="10" applyNumberFormat="1" applyFont="1" applyAlignment="1">
      <alignment horizontal="center"/>
    </xf>
    <xf numFmtId="172" fontId="17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21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11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3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21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1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22" fillId="7" borderId="0" xfId="10" applyNumberFormat="1" applyFont="1" applyFill="1"/>
    <xf numFmtId="8" fontId="0" fillId="0" borderId="22" xfId="0" applyNumberFormat="1" applyFont="1" applyFill="1" applyBorder="1"/>
    <xf numFmtId="7" fontId="1" fillId="0" borderId="0" xfId="2" applyNumberFormat="1" applyFont="1"/>
    <xf numFmtId="17" fontId="1" fillId="6" borderId="5" xfId="10" applyNumberFormat="1" applyFont="1" applyFill="1" applyBorder="1" applyAlignment="1">
      <alignment horizontal="center"/>
    </xf>
    <xf numFmtId="17" fontId="1" fillId="6" borderId="15" xfId="10" applyNumberFormat="1" applyFont="1" applyFill="1" applyBorder="1" applyAlignment="1">
      <alignment horizontal="center"/>
    </xf>
    <xf numFmtId="17" fontId="1" fillId="6" borderId="6" xfId="10" applyNumberFormat="1" applyFont="1" applyFill="1" applyBorder="1" applyAlignment="1">
      <alignment horizontal="center"/>
    </xf>
    <xf numFmtId="172" fontId="1" fillId="0" borderId="5" xfId="10" applyNumberFormat="1" applyFont="1" applyBorder="1" applyAlignment="1">
      <alignment horizontal="center"/>
    </xf>
    <xf numFmtId="175" fontId="1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6" fillId="0" borderId="0" xfId="0" applyFont="1" applyFill="1"/>
    <xf numFmtId="172" fontId="18" fillId="3" borderId="0" xfId="0" applyFont="1" applyFill="1" applyBorder="1" applyAlignment="1">
      <alignment horizontal="center"/>
    </xf>
    <xf numFmtId="14" fontId="24" fillId="4" borderId="7" xfId="0" applyNumberFormat="1" applyFont="1" applyFill="1" applyBorder="1" applyAlignment="1">
      <alignment horizontal="center"/>
    </xf>
    <xf numFmtId="172" fontId="18" fillId="3" borderId="0" xfId="0" applyFont="1" applyFill="1" applyAlignment="1">
      <alignment horizontal="centerContinuous"/>
    </xf>
    <xf numFmtId="172" fontId="6" fillId="0" borderId="0" xfId="0" applyFont="1" applyFill="1" applyBorder="1"/>
    <xf numFmtId="14" fontId="25" fillId="3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6" fillId="3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6" fillId="0" borderId="17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5" borderId="16" xfId="0" applyFont="1" applyFill="1" applyBorder="1"/>
    <xf numFmtId="0" fontId="2" fillId="0" borderId="0" xfId="0" applyNumberFormat="1" applyFont="1" applyFill="1" applyAlignment="1"/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2" fontId="17" fillId="0" borderId="0" xfId="10" applyNumberFormat="1" applyFont="1"/>
    <xf numFmtId="167" fontId="26" fillId="6" borderId="0" xfId="8" applyNumberFormat="1" applyFont="1" applyFill="1"/>
    <xf numFmtId="8" fontId="0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10" fontId="0" fillId="6" borderId="0" xfId="8" applyNumberFormat="1" applyFont="1" applyFill="1"/>
    <xf numFmtId="10" fontId="1" fillId="0" borderId="0" xfId="10" applyNumberFormat="1" applyFont="1"/>
    <xf numFmtId="174" fontId="0" fillId="0" borderId="0" xfId="0" applyNumberFormat="1" applyFont="1" applyFill="1"/>
    <xf numFmtId="174" fontId="21" fillId="0" borderId="0" xfId="0" applyNumberFormat="1" applyFont="1" applyFill="1"/>
    <xf numFmtId="167" fontId="1" fillId="6" borderId="0" xfId="8" applyNumberFormat="1" applyFont="1" applyFill="1"/>
    <xf numFmtId="172" fontId="17" fillId="0" borderId="7" xfId="23" applyFont="1" applyFill="1" applyBorder="1" applyAlignment="1">
      <alignment horizontal="centerContinuous"/>
    </xf>
    <xf numFmtId="172" fontId="30" fillId="0" borderId="6" xfId="0" applyFont="1" applyBorder="1" applyAlignment="1">
      <alignment horizontal="center"/>
    </xf>
    <xf numFmtId="172" fontId="30" fillId="0" borderId="0" xfId="0" applyFont="1"/>
    <xf numFmtId="172" fontId="30" fillId="0" borderId="7" xfId="0" applyFont="1" applyBorder="1"/>
    <xf numFmtId="167" fontId="29" fillId="0" borderId="7" xfId="24" applyNumberFormat="1" applyFont="1" applyFill="1" applyBorder="1"/>
    <xf numFmtId="8" fontId="31" fillId="0" borderId="0" xfId="0" applyNumberFormat="1" applyFont="1" applyFill="1" applyBorder="1" applyAlignment="1">
      <alignment horizontal="center"/>
    </xf>
    <xf numFmtId="8" fontId="31" fillId="0" borderId="13" xfId="0" applyNumberFormat="1" applyFont="1" applyFill="1" applyBorder="1" applyAlignment="1">
      <alignment horizontal="center"/>
    </xf>
    <xf numFmtId="8" fontId="31" fillId="0" borderId="1" xfId="0" applyNumberFormat="1" applyFont="1" applyFill="1" applyBorder="1" applyAlignment="1">
      <alignment horizontal="center"/>
    </xf>
    <xf numFmtId="8" fontId="31" fillId="0" borderId="14" xfId="0" applyNumberFormat="1" applyFont="1" applyFill="1" applyBorder="1" applyAlignment="1">
      <alignment horizontal="center"/>
    </xf>
    <xf numFmtId="8" fontId="31" fillId="0" borderId="15" xfId="0" applyNumberFormat="1" applyFont="1" applyFill="1" applyBorder="1"/>
    <xf numFmtId="8" fontId="31" fillId="0" borderId="12" xfId="0" applyNumberFormat="1" applyFont="1" applyFill="1" applyBorder="1" applyAlignment="1">
      <alignment horizontal="center"/>
    </xf>
    <xf numFmtId="8" fontId="31" fillId="0" borderId="6" xfId="0" applyNumberFormat="1" applyFont="1" applyFill="1" applyBorder="1"/>
    <xf numFmtId="8" fontId="31" fillId="0" borderId="10" xfId="0" applyNumberFormat="1" applyFont="1" applyFill="1" applyBorder="1" applyAlignment="1">
      <alignment horizontal="center"/>
    </xf>
    <xf numFmtId="172" fontId="32" fillId="0" borderId="2" xfId="10" applyNumberFormat="1" applyFont="1" applyBorder="1"/>
    <xf numFmtId="41" fontId="32" fillId="0" borderId="9" xfId="10" applyNumberFormat="1" applyFont="1" applyBorder="1"/>
    <xf numFmtId="168" fontId="32" fillId="0" borderId="9" xfId="10" applyNumberFormat="1" applyFont="1" applyBorder="1"/>
    <xf numFmtId="172" fontId="32" fillId="0" borderId="0" xfId="10" applyNumberFormat="1" applyFont="1" applyBorder="1"/>
    <xf numFmtId="41" fontId="32" fillId="0" borderId="13" xfId="10" applyNumberFormat="1" applyFont="1" applyBorder="1"/>
    <xf numFmtId="168" fontId="32" fillId="0" borderId="13" xfId="10" applyNumberFormat="1" applyFont="1" applyBorder="1"/>
    <xf numFmtId="172" fontId="32" fillId="0" borderId="1" xfId="10" applyNumberFormat="1" applyFont="1" applyBorder="1"/>
    <xf numFmtId="41" fontId="32" fillId="0" borderId="14" xfId="10" applyNumberFormat="1" applyFont="1" applyBorder="1"/>
    <xf numFmtId="168" fontId="32" fillId="0" borderId="14" xfId="10" applyNumberFormat="1" applyFont="1" applyBorder="1"/>
    <xf numFmtId="8" fontId="3" fillId="0" borderId="6" xfId="0" applyNumberFormat="1" applyFont="1" applyFill="1" applyBorder="1"/>
    <xf numFmtId="8" fontId="3" fillId="0" borderId="10" xfId="0" applyNumberFormat="1" applyFont="1" applyFill="1" applyBorder="1" applyAlignment="1">
      <alignment horizontal="center"/>
    </xf>
    <xf numFmtId="43" fontId="0" fillId="0" borderId="0" xfId="1" applyFont="1"/>
    <xf numFmtId="0" fontId="0" fillId="0" borderId="22" xfId="0" applyNumberFormat="1" applyFont="1" applyFill="1" applyBorder="1"/>
    <xf numFmtId="165" fontId="0" fillId="0" borderId="22" xfId="0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left"/>
    </xf>
    <xf numFmtId="37" fontId="1" fillId="0" borderId="0" xfId="2" applyNumberFormat="1" applyFont="1"/>
    <xf numFmtId="8" fontId="3" fillId="0" borderId="1" xfId="0" quotePrefix="1" applyNumberFormat="1" applyFont="1" applyFill="1" applyBorder="1" applyAlignment="1">
      <alignment horizontal="center"/>
    </xf>
    <xf numFmtId="41" fontId="4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5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17" fontId="3" fillId="0" borderId="0" xfId="11" applyNumberFormat="1" applyFont="1" applyFill="1" applyBorder="1" applyAlignment="1"/>
    <xf numFmtId="0" fontId="3" fillId="0" borderId="0" xfId="7" applyFont="1" applyFill="1" applyBorder="1" applyAlignment="1">
      <alignment horizontal="center"/>
    </xf>
    <xf numFmtId="41" fontId="3" fillId="0" borderId="0" xfId="11" quotePrefix="1" applyFont="1" applyFill="1" applyAlignment="1">
      <alignment horizontal="centerContinuous"/>
    </xf>
    <xf numFmtId="41" fontId="3" fillId="0" borderId="0" xfId="11" applyFont="1" applyFill="1" applyBorder="1" applyAlignment="1">
      <alignment horizontal="center"/>
    </xf>
    <xf numFmtId="41" fontId="3" fillId="0" borderId="0" xfId="11" applyFont="1" applyFill="1" applyAlignment="1"/>
    <xf numFmtId="0" fontId="3" fillId="0" borderId="8" xfId="11" applyNumberFormat="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168" fontId="33" fillId="0" borderId="0" xfId="11" applyNumberFormat="1" applyFont="1" applyFill="1" applyBorder="1" applyAlignment="1">
      <alignment horizontal="centerContinuous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8" fontId="3" fillId="0" borderId="14" xfId="11" applyNumberFormat="1" applyFont="1" applyFill="1" applyBorder="1" applyAlignment="1">
      <alignment horizontal="center"/>
    </xf>
    <xf numFmtId="8" fontId="31" fillId="0" borderId="0" xfId="11" applyNumberFormat="1" applyFont="1" applyFill="1" applyBorder="1" applyAlignment="1">
      <alignment horizontal="center"/>
    </xf>
    <xf numFmtId="7" fontId="31" fillId="0" borderId="13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8" fontId="31" fillId="0" borderId="1" xfId="11" applyNumberFormat="1" applyFont="1" applyFill="1" applyBorder="1" applyAlignment="1">
      <alignment horizontal="center"/>
    </xf>
    <xf numFmtId="7" fontId="31" fillId="0" borderId="14" xfId="11" applyNumberFormat="1" applyFont="1" applyFill="1" applyBorder="1" applyAlignment="1">
      <alignment horizontal="center"/>
    </xf>
    <xf numFmtId="41" fontId="26" fillId="0" borderId="0" xfId="11" applyFont="1" applyFill="1"/>
    <xf numFmtId="41" fontId="3" fillId="0" borderId="0" xfId="11" applyFont="1" applyFill="1" applyAlignment="1">
      <alignment horizontal="left" indent="1"/>
    </xf>
    <xf numFmtId="180" fontId="3" fillId="0" borderId="0" xfId="11" applyNumberFormat="1" applyFont="1" applyFill="1" applyBorder="1" applyAlignment="1">
      <alignment horizontal="center"/>
    </xf>
    <xf numFmtId="175" fontId="26" fillId="0" borderId="0" xfId="8" applyNumberFormat="1" applyFont="1" applyFill="1"/>
    <xf numFmtId="8" fontId="3" fillId="0" borderId="0" xfId="11" applyNumberFormat="1"/>
    <xf numFmtId="39" fontId="3" fillId="0" borderId="0" xfId="25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43" fontId="3" fillId="0" borderId="0" xfId="1" applyFont="1" applyFill="1"/>
    <xf numFmtId="8" fontId="3" fillId="0" borderId="0" xfId="11" applyNumberFormat="1" applyFont="1" applyFill="1"/>
    <xf numFmtId="0" fontId="3" fillId="0" borderId="8" xfId="0" applyNumberFormat="1" applyFont="1" applyFill="1" applyBorder="1" applyAlignment="1">
      <alignment horizontal="center"/>
    </xf>
    <xf numFmtId="181" fontId="3" fillId="0" borderId="1" xfId="11" applyNumberFormat="1" applyFont="1" applyFill="1" applyBorder="1" applyAlignment="1">
      <alignment horizontal="center"/>
    </xf>
  </cellXfs>
  <cellStyles count="26">
    <cellStyle name="Comma" xfId="1" builtinId="3"/>
    <cellStyle name="Comma 2" xfId="14"/>
    <cellStyle name="Currency" xfId="2" builtinId="4"/>
    <cellStyle name="Currency 2" xfId="15"/>
    <cellStyle name="Currency No Comma" xfId="16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5" xfId="12"/>
    <cellStyle name="Normal_DRR AC Study - Utah Valley - 53 MW 90 CF (2.28.2005)" xfId="4"/>
    <cellStyle name="Normal_Exhibit GND-1 - 5.24.2005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numFmt numFmtId="181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4"/>
  <sheetViews>
    <sheetView tabSelected="1" zoomScaleNormal="100" workbookViewId="0">
      <selection activeCell="B6" sqref="B6"/>
    </sheetView>
  </sheetViews>
  <sheetFormatPr defaultRowHeight="12.75" x14ac:dyDescent="0.2"/>
  <cols>
    <col min="1" max="1" width="2.83203125" style="116" customWidth="1"/>
    <col min="2" max="2" width="19.1640625" style="116" customWidth="1"/>
    <col min="3" max="5" width="21.6640625" style="116" customWidth="1"/>
    <col min="6" max="6" width="3.33203125" style="116" customWidth="1"/>
    <col min="7" max="7" width="9.33203125" style="116" hidden="1" customWidth="1"/>
    <col min="8" max="8" width="9.33203125" style="115" customWidth="1"/>
    <col min="9" max="9" width="10.5" style="115" bestFit="1" customWidth="1"/>
    <col min="10" max="16384" width="9.33203125" style="115"/>
  </cols>
  <sheetData>
    <row r="1" spans="2:7" ht="15.75" x14ac:dyDescent="0.25">
      <c r="B1" s="263" t="s">
        <v>71</v>
      </c>
      <c r="C1" s="264"/>
      <c r="D1" s="264"/>
      <c r="E1" s="265"/>
      <c r="F1" s="266"/>
      <c r="G1" s="267"/>
    </row>
    <row r="2" spans="2:7" ht="5.25" customHeight="1" x14ac:dyDescent="0.25">
      <c r="B2" s="263"/>
      <c r="C2" s="264"/>
      <c r="D2" s="264"/>
      <c r="E2" s="265"/>
      <c r="F2" s="266"/>
      <c r="G2" s="267"/>
    </row>
    <row r="3" spans="2:7" ht="15.75" x14ac:dyDescent="0.25">
      <c r="B3" s="268" t="s">
        <v>133</v>
      </c>
      <c r="C3" s="268"/>
      <c r="D3" s="268"/>
      <c r="E3" s="263"/>
      <c r="F3" s="266"/>
      <c r="G3" s="267"/>
    </row>
    <row r="4" spans="2:7" ht="15.75" x14ac:dyDescent="0.25">
      <c r="B4" s="7" t="str">
        <f ca="1">'Table 1'!B5</f>
        <v>Utah 2016.Q2 - 100.0 MW and 85.0% CF</v>
      </c>
      <c r="C4" s="268"/>
      <c r="D4" s="268"/>
      <c r="E4" s="263"/>
      <c r="F4" s="266"/>
      <c r="G4" s="267"/>
    </row>
    <row r="5" spans="2:7" ht="25.5" customHeight="1" x14ac:dyDescent="0.2">
      <c r="C5" s="269"/>
      <c r="F5" s="266"/>
      <c r="G5" s="267"/>
    </row>
    <row r="6" spans="2:7" x14ac:dyDescent="0.2">
      <c r="B6" s="269" t="s">
        <v>0</v>
      </c>
      <c r="C6" s="270" t="s">
        <v>134</v>
      </c>
      <c r="D6" s="270" t="s">
        <v>139</v>
      </c>
      <c r="E6" s="271" t="s">
        <v>135</v>
      </c>
      <c r="F6" s="266"/>
      <c r="G6" s="272"/>
    </row>
    <row r="7" spans="2:7" x14ac:dyDescent="0.2">
      <c r="B7" s="269"/>
      <c r="C7" s="273" t="str">
        <f ca="1">TEXT('Table 1'!G9,"0.0%")&amp;" CF (2)"</f>
        <v>85.0% CF (2)</v>
      </c>
      <c r="D7" s="274" t="s">
        <v>136</v>
      </c>
      <c r="E7" s="275"/>
      <c r="F7" s="266"/>
      <c r="G7" s="276"/>
    </row>
    <row r="8" spans="2:7" x14ac:dyDescent="0.2">
      <c r="B8" s="277">
        <f>'Table 1'!B13</f>
        <v>2018</v>
      </c>
      <c r="C8" s="278">
        <f>'Table 1'!G13</f>
        <v>22.006170000604385</v>
      </c>
      <c r="D8" s="278">
        <v>21.503</v>
      </c>
      <c r="E8" s="279">
        <f t="shared" ref="E8:E27" si="0">C8-D8</f>
        <v>0.50317000060438488</v>
      </c>
      <c r="F8" s="266"/>
      <c r="G8" s="280"/>
    </row>
    <row r="9" spans="2:7" x14ac:dyDescent="0.2">
      <c r="B9" s="281">
        <f t="shared" ref="B9:B27" si="1">B8+1</f>
        <v>2019</v>
      </c>
      <c r="C9" s="282">
        <f>'Table 1'!G14</f>
        <v>21.890118673105768</v>
      </c>
      <c r="D9" s="282">
        <v>23.565999999999999</v>
      </c>
      <c r="E9" s="283">
        <f t="shared" si="0"/>
        <v>-1.6758813268942312</v>
      </c>
      <c r="F9" s="266"/>
      <c r="G9" s="280"/>
    </row>
    <row r="10" spans="2:7" x14ac:dyDescent="0.2">
      <c r="B10" s="281">
        <f t="shared" si="1"/>
        <v>2020</v>
      </c>
      <c r="C10" s="282">
        <f>'Table 1'!G15</f>
        <v>22.518825246659077</v>
      </c>
      <c r="D10" s="282">
        <v>23.928000000000001</v>
      </c>
      <c r="E10" s="283">
        <f t="shared" si="0"/>
        <v>-1.409174753340924</v>
      </c>
      <c r="F10" s="266"/>
      <c r="G10" s="280"/>
    </row>
    <row r="11" spans="2:7" x14ac:dyDescent="0.2">
      <c r="B11" s="281">
        <f t="shared" si="1"/>
        <v>2021</v>
      </c>
      <c r="C11" s="282">
        <f>'Table 1'!G16</f>
        <v>22.26951464122693</v>
      </c>
      <c r="D11" s="282">
        <v>26.021000000000001</v>
      </c>
      <c r="E11" s="283">
        <f t="shared" si="0"/>
        <v>-3.7514853587730705</v>
      </c>
      <c r="F11" s="266"/>
      <c r="G11" s="280"/>
    </row>
    <row r="12" spans="2:7" x14ac:dyDescent="0.2">
      <c r="B12" s="281">
        <f t="shared" si="1"/>
        <v>2022</v>
      </c>
      <c r="C12" s="282">
        <f>'Table 1'!G17</f>
        <v>24.140440371523948</v>
      </c>
      <c r="D12" s="282">
        <v>27.957000000000001</v>
      </c>
      <c r="E12" s="283">
        <f t="shared" si="0"/>
        <v>-3.8165596284760532</v>
      </c>
      <c r="F12" s="266"/>
      <c r="G12" s="280"/>
    </row>
    <row r="13" spans="2:7" x14ac:dyDescent="0.2">
      <c r="B13" s="281">
        <f t="shared" si="1"/>
        <v>2023</v>
      </c>
      <c r="C13" s="282">
        <f>'Table 1'!G18</f>
        <v>27.07757305687397</v>
      </c>
      <c r="D13" s="282">
        <v>30.175999999999998</v>
      </c>
      <c r="E13" s="283">
        <f t="shared" si="0"/>
        <v>-3.0984269431260287</v>
      </c>
      <c r="F13" s="266"/>
      <c r="G13" s="280"/>
    </row>
    <row r="14" spans="2:7" x14ac:dyDescent="0.2">
      <c r="B14" s="281">
        <f t="shared" si="1"/>
        <v>2024</v>
      </c>
      <c r="C14" s="282">
        <f>'Table 1'!G19</f>
        <v>29.160526128124765</v>
      </c>
      <c r="D14" s="282">
        <v>32.512</v>
      </c>
      <c r="E14" s="283">
        <f t="shared" si="0"/>
        <v>-3.3514738718752355</v>
      </c>
      <c r="F14" s="266"/>
      <c r="G14" s="280"/>
    </row>
    <row r="15" spans="2:7" x14ac:dyDescent="0.2">
      <c r="B15" s="281">
        <f t="shared" si="1"/>
        <v>2025</v>
      </c>
      <c r="C15" s="282">
        <f>'Table 1'!G20</f>
        <v>32.944683875424744</v>
      </c>
      <c r="D15" s="282">
        <v>34.460999999999999</v>
      </c>
      <c r="E15" s="283">
        <f t="shared" si="0"/>
        <v>-1.5163161245752548</v>
      </c>
      <c r="F15" s="266"/>
      <c r="G15" s="280"/>
    </row>
    <row r="16" spans="2:7" x14ac:dyDescent="0.2">
      <c r="B16" s="281">
        <f t="shared" si="1"/>
        <v>2026</v>
      </c>
      <c r="C16" s="282">
        <f>'Table 1'!G21</f>
        <v>33.957187836249929</v>
      </c>
      <c r="D16" s="282">
        <v>35.537999999999997</v>
      </c>
      <c r="E16" s="283">
        <f t="shared" si="0"/>
        <v>-1.5808121637500676</v>
      </c>
      <c r="F16" s="266"/>
      <c r="G16" s="280"/>
    </row>
    <row r="17" spans="2:7" x14ac:dyDescent="0.2">
      <c r="B17" s="281">
        <f t="shared" si="1"/>
        <v>2027</v>
      </c>
      <c r="C17" s="282">
        <f>'Table 1'!G22</f>
        <v>35.928310543344551</v>
      </c>
      <c r="D17" s="282">
        <v>38.128</v>
      </c>
      <c r="E17" s="283">
        <f t="shared" si="0"/>
        <v>-2.1996894566554488</v>
      </c>
      <c r="F17" s="266"/>
      <c r="G17" s="280"/>
    </row>
    <row r="18" spans="2:7" x14ac:dyDescent="0.2">
      <c r="B18" s="281">
        <f t="shared" si="1"/>
        <v>2028</v>
      </c>
      <c r="C18" s="282">
        <f>'Table 1'!G23</f>
        <v>50.996155925117954</v>
      </c>
      <c r="D18" s="282">
        <v>51.289000000000001</v>
      </c>
      <c r="E18" s="283">
        <f t="shared" si="0"/>
        <v>-0.29284407488204778</v>
      </c>
      <c r="F18" s="266"/>
      <c r="G18" s="280"/>
    </row>
    <row r="19" spans="2:7" x14ac:dyDescent="0.2">
      <c r="B19" s="281">
        <f t="shared" si="1"/>
        <v>2029</v>
      </c>
      <c r="C19" s="282">
        <f>'Table 1'!G24</f>
        <v>52.339072958875597</v>
      </c>
      <c r="D19" s="282">
        <v>53.133000000000003</v>
      </c>
      <c r="E19" s="283">
        <f t="shared" si="0"/>
        <v>-0.79392704112440526</v>
      </c>
      <c r="F19" s="266"/>
      <c r="G19" s="280"/>
    </row>
    <row r="20" spans="2:7" x14ac:dyDescent="0.2">
      <c r="B20" s="281">
        <f t="shared" si="1"/>
        <v>2030</v>
      </c>
      <c r="C20" s="282">
        <f>'Table 1'!G25</f>
        <v>54.84304954817474</v>
      </c>
      <c r="D20" s="282">
        <v>54.963000000000001</v>
      </c>
      <c r="E20" s="283">
        <f t="shared" si="0"/>
        <v>-0.11995045182526098</v>
      </c>
      <c r="F20" s="266"/>
      <c r="G20" s="280"/>
    </row>
    <row r="21" spans="2:7" x14ac:dyDescent="0.2">
      <c r="B21" s="281">
        <f t="shared" si="1"/>
        <v>2031</v>
      </c>
      <c r="C21" s="282">
        <f>'Table 1'!G26</f>
        <v>56.614092517101675</v>
      </c>
      <c r="D21" s="282">
        <v>55.664000000000001</v>
      </c>
      <c r="E21" s="283">
        <f t="shared" si="0"/>
        <v>0.9500925171016732</v>
      </c>
      <c r="F21" s="266"/>
      <c r="G21" s="280"/>
    </row>
    <row r="22" spans="2:7" x14ac:dyDescent="0.2">
      <c r="B22" s="284">
        <f t="shared" si="1"/>
        <v>2032</v>
      </c>
      <c r="C22" s="285">
        <f>'Table 1'!G27</f>
        <v>58.009677070762443</v>
      </c>
      <c r="D22" s="302">
        <v>56.837000000000003</v>
      </c>
      <c r="E22" s="286">
        <f t="shared" si="0"/>
        <v>1.1726770707624397</v>
      </c>
      <c r="F22" s="266"/>
      <c r="G22" s="280"/>
    </row>
    <row r="23" spans="2:7" hidden="1" x14ac:dyDescent="0.2">
      <c r="B23" s="281">
        <f t="shared" si="1"/>
        <v>2033</v>
      </c>
      <c r="C23" s="287">
        <f>'Table 1'!G28</f>
        <v>0</v>
      </c>
      <c r="D23" s="282">
        <v>58.75</v>
      </c>
      <c r="E23" s="288">
        <f t="shared" si="0"/>
        <v>-58.75</v>
      </c>
      <c r="F23" s="266"/>
      <c r="G23" s="280"/>
    </row>
    <row r="24" spans="2:7" hidden="1" x14ac:dyDescent="0.2">
      <c r="B24" s="281">
        <f t="shared" si="1"/>
        <v>2034</v>
      </c>
      <c r="C24" s="287">
        <f>'Table 1'!G29</f>
        <v>0</v>
      </c>
      <c r="D24" s="282">
        <v>60.04</v>
      </c>
      <c r="E24" s="288">
        <f t="shared" si="0"/>
        <v>-60.04</v>
      </c>
      <c r="F24" s="266"/>
      <c r="G24" s="280"/>
    </row>
    <row r="25" spans="2:7" hidden="1" x14ac:dyDescent="0.2">
      <c r="B25" s="281">
        <f t="shared" si="1"/>
        <v>2035</v>
      </c>
      <c r="C25" s="287">
        <f>'Table 1'!G30</f>
        <v>0</v>
      </c>
      <c r="D25" s="282">
        <v>62.69</v>
      </c>
      <c r="E25" s="288">
        <f t="shared" si="0"/>
        <v>-62.69</v>
      </c>
      <c r="F25" s="266"/>
      <c r="G25" s="280"/>
    </row>
    <row r="26" spans="2:7" hidden="1" x14ac:dyDescent="0.2">
      <c r="B26" s="281">
        <f t="shared" si="1"/>
        <v>2036</v>
      </c>
      <c r="C26" s="287">
        <f>'Table 1'!G31</f>
        <v>0</v>
      </c>
      <c r="D26" s="282">
        <v>63.97</v>
      </c>
      <c r="E26" s="288">
        <f t="shared" si="0"/>
        <v>-63.97</v>
      </c>
      <c r="F26" s="289"/>
      <c r="G26" s="280"/>
    </row>
    <row r="27" spans="2:7" hidden="1" x14ac:dyDescent="0.2">
      <c r="B27" s="284">
        <f t="shared" si="1"/>
        <v>2037</v>
      </c>
      <c r="C27" s="290">
        <f>'Table 1'!G32</f>
        <v>0</v>
      </c>
      <c r="D27" s="285">
        <v>66.2</v>
      </c>
      <c r="E27" s="291">
        <f t="shared" si="0"/>
        <v>-66.2</v>
      </c>
      <c r="F27" s="289"/>
      <c r="G27" s="280"/>
    </row>
    <row r="28" spans="2:7" x14ac:dyDescent="0.2">
      <c r="D28" s="269"/>
      <c r="F28" s="266"/>
    </row>
    <row r="29" spans="2:7" x14ac:dyDescent="0.2">
      <c r="B29" s="117" t="str">
        <f>"15-Year Levelized Prices (Nominal) @ "&amp;TEXT(Discount_Rate,"0.000%")&amp;" Discount Rate (1) (3)"</f>
        <v>15-Year Levelized Prices (Nominal) @ 6.660% Discount Rate (1) (3)</v>
      </c>
      <c r="D29" s="269"/>
      <c r="G29" s="292" t="str">
        <f>'Table 1'!I34</f>
        <v>Discount Rate - 2015 IRP Page 141</v>
      </c>
    </row>
    <row r="30" spans="2:7" x14ac:dyDescent="0.2">
      <c r="B30" s="293" t="s">
        <v>57</v>
      </c>
      <c r="C30" s="294">
        <f>ROUND('Table 1'!G37,2)</f>
        <v>32.83</v>
      </c>
      <c r="D30" s="294">
        <f>ROUND(PMT(Discount_Rate,COUNT(D8:D22),-NPV(Discount_Rate,D8:D22)),2)</f>
        <v>34.42</v>
      </c>
      <c r="E30" s="282">
        <f>C30-D30</f>
        <v>-1.5900000000000034</v>
      </c>
      <c r="F30" s="266"/>
      <c r="G30" s="295">
        <f>'Table 1'!I35</f>
        <v>6.6600000000000006E-2</v>
      </c>
    </row>
    <row r="31" spans="2:7" ht="5.25" customHeight="1" x14ac:dyDescent="0.2">
      <c r="B31" s="293"/>
      <c r="C31" s="282"/>
      <c r="D31" s="282"/>
      <c r="E31" s="282"/>
      <c r="F31" s="266"/>
    </row>
    <row r="32" spans="2:7" x14ac:dyDescent="0.2">
      <c r="B32" s="293"/>
      <c r="C32" s="282"/>
      <c r="D32" s="282"/>
      <c r="E32" s="282"/>
      <c r="F32" s="266"/>
    </row>
    <row r="33" spans="2:6" ht="5.25" customHeight="1" x14ac:dyDescent="0.2">
      <c r="D33" s="296"/>
      <c r="F33" s="266"/>
    </row>
    <row r="34" spans="2:6" x14ac:dyDescent="0.2">
      <c r="B34" s="116" t="s">
        <v>33</v>
      </c>
      <c r="C34" s="297"/>
      <c r="D34" s="298"/>
      <c r="E34" s="298"/>
      <c r="F34" s="266"/>
    </row>
    <row r="35" spans="2:6" x14ac:dyDescent="0.2">
      <c r="B35" s="299" t="str">
        <f>'Table 1'!B40</f>
        <v>(1)   Discount Rate - 2015 IRP Page 141</v>
      </c>
      <c r="D35" s="266"/>
      <c r="E35" s="266"/>
      <c r="F35" s="266"/>
    </row>
    <row r="36" spans="2:6" x14ac:dyDescent="0.2">
      <c r="B36" s="299" t="str">
        <f ca="1">"(2)   Total Avoided Costs with Capacity included at an "&amp;TEXT(Study_CF,"0.0%")&amp;" capacity factor"</f>
        <v>(2)   Total Avoided Costs with Capacity included at an 85.0% capacity factor</v>
      </c>
      <c r="F36" s="266"/>
    </row>
    <row r="37" spans="2:6" x14ac:dyDescent="0.2">
      <c r="B37" s="116" t="str">
        <f>"(3)   15-Year NPC is "&amp;B8&amp;" - "&amp;B22</f>
        <v>(3)   15-Year NPC is 2018 - 2032</v>
      </c>
    </row>
    <row r="38" spans="2:6" x14ac:dyDescent="0.2">
      <c r="B38" s="18" t="str">
        <f>"(4)   Levelized Annually.  Avoided costs levelized monthly are  "&amp;TEXT('Table 5'!G9,"$0.00")&amp;"/MWH"</f>
        <v>(4)   Levelized Annually.  Avoided costs levelized monthly are  $32.83/MWH</v>
      </c>
    </row>
    <row r="39" spans="2:6" x14ac:dyDescent="0.2">
      <c r="B39" s="18" t="s">
        <v>112</v>
      </c>
    </row>
    <row r="40" spans="2:6" x14ac:dyDescent="0.2">
      <c r="B40" s="18" t="s">
        <v>113</v>
      </c>
    </row>
    <row r="41" spans="2:6" hidden="1" x14ac:dyDescent="0.2">
      <c r="B41" s="116" t="s">
        <v>137</v>
      </c>
    </row>
    <row r="42" spans="2:6" x14ac:dyDescent="0.2">
      <c r="B42" s="116" t="s">
        <v>138</v>
      </c>
      <c r="C42" s="282"/>
      <c r="D42" s="282"/>
    </row>
    <row r="44" spans="2:6" x14ac:dyDescent="0.2">
      <c r="C44" s="300"/>
      <c r="D44" s="300"/>
      <c r="E44" s="300"/>
    </row>
  </sheetData>
  <conditionalFormatting sqref="D8:D22">
    <cfRule type="expression" dxfId="1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2"/>
  <sheetViews>
    <sheetView zoomScale="80" zoomScaleNormal="80" zoomScaleSheetLayoutView="100" workbookViewId="0">
      <pane xSplit="2" ySplit="12" topLeftCell="C13" activePane="bottomRight" state="frozen"/>
      <selection activeCell="C38" sqref="C38"/>
      <selection pane="topRight" activeCell="C38" sqref="C38"/>
      <selection pane="bottomLeft" activeCell="C38" sqref="C38"/>
      <selection pane="bottomRight" activeCell="N45" sqref="N45"/>
    </sheetView>
  </sheetViews>
  <sheetFormatPr defaultRowHeight="12.75" x14ac:dyDescent="0.2"/>
  <cols>
    <col min="1" max="1" width="2.83203125" style="6" customWidth="1"/>
    <col min="2" max="2" width="10.83203125" style="6" customWidth="1"/>
    <col min="3" max="3" width="18.83203125" style="6" customWidth="1"/>
    <col min="4" max="4" width="6.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7.5" style="6" customWidth="1"/>
    <col min="9" max="9" width="14.1640625" style="6" hidden="1" customWidth="1"/>
    <col min="10" max="10" width="14.5" hidden="1" customWidth="1"/>
    <col min="11" max="11" width="16.6640625" hidden="1" customWidth="1"/>
    <col min="12" max="12" width="0" hidden="1" customWidth="1"/>
  </cols>
  <sheetData>
    <row r="1" spans="2:12" ht="15.75" x14ac:dyDescent="0.25">
      <c r="B1" s="1" t="s">
        <v>71</v>
      </c>
      <c r="C1" s="5"/>
      <c r="D1" s="5"/>
      <c r="E1" s="5"/>
      <c r="F1" s="5"/>
      <c r="G1" s="43"/>
      <c r="H1" s="93"/>
      <c r="I1" s="8"/>
    </row>
    <row r="2" spans="2:12" ht="5.25" customHeight="1" x14ac:dyDescent="0.25">
      <c r="B2" s="1"/>
      <c r="C2" s="5"/>
      <c r="D2" s="5"/>
      <c r="E2" s="5"/>
      <c r="G2" s="43"/>
      <c r="H2" s="93"/>
      <c r="I2" s="8"/>
    </row>
    <row r="3" spans="2:12" ht="15.75" x14ac:dyDescent="0.25">
      <c r="B3" s="1" t="s">
        <v>38</v>
      </c>
      <c r="C3" s="5"/>
      <c r="D3" s="5"/>
      <c r="E3" s="5"/>
      <c r="F3" s="5"/>
      <c r="G3" s="43"/>
      <c r="H3" s="93"/>
      <c r="I3" s="8"/>
    </row>
    <row r="4" spans="2:12" ht="15.75" x14ac:dyDescent="0.25">
      <c r="B4" s="7" t="s">
        <v>35</v>
      </c>
      <c r="C4" s="7"/>
      <c r="D4" s="7"/>
      <c r="E4" s="7"/>
      <c r="F4" s="7"/>
      <c r="G4" s="1"/>
      <c r="H4" s="93"/>
      <c r="I4" s="8"/>
    </row>
    <row r="5" spans="2:12" ht="15.75" x14ac:dyDescent="0.25">
      <c r="B5" s="7" t="str">
        <f ca="1">'Table 5'!M4&amp; " - "&amp;TEXT(Study_MW,"#.0")&amp;" MW and "&amp;TEXT(Study_CF,"#.0%")&amp;" CF"</f>
        <v>Utah 2016.Q2 - 100.0 MW and 85.0% CF</v>
      </c>
      <c r="C5" s="7"/>
      <c r="D5" s="7"/>
      <c r="E5" s="7"/>
      <c r="F5" s="7"/>
      <c r="G5" s="1"/>
      <c r="H5" s="93"/>
      <c r="I5" s="8"/>
    </row>
    <row r="6" spans="2:12" ht="14.25" hidden="1" x14ac:dyDescent="0.2">
      <c r="B6" s="66"/>
      <c r="C6" s="7"/>
      <c r="D6" s="7"/>
      <c r="E6" s="7"/>
      <c r="F6" s="7"/>
      <c r="G6" s="43"/>
      <c r="H6" s="93"/>
      <c r="I6" s="8"/>
    </row>
    <row r="7" spans="2:12" x14ac:dyDescent="0.2">
      <c r="C7" s="10"/>
      <c r="D7" s="10"/>
      <c r="H7" s="93"/>
      <c r="I7" t="s">
        <v>91</v>
      </c>
    </row>
    <row r="8" spans="2:12" x14ac:dyDescent="0.2">
      <c r="E8" s="44"/>
      <c r="F8" s="96"/>
      <c r="G8" s="9" t="s">
        <v>31</v>
      </c>
      <c r="H8" s="93"/>
      <c r="I8" s="224">
        <f>L14</f>
        <v>1</v>
      </c>
      <c r="K8" s="233" t="s">
        <v>119</v>
      </c>
      <c r="L8" s="233"/>
    </row>
    <row r="9" spans="2:12" x14ac:dyDescent="0.2">
      <c r="C9" s="9" t="s">
        <v>6</v>
      </c>
      <c r="D9" s="9"/>
      <c r="E9" s="44" t="s">
        <v>36</v>
      </c>
      <c r="F9" s="96"/>
      <c r="G9" s="114">
        <f ca="1">Study_CF</f>
        <v>0.85</v>
      </c>
      <c r="H9" s="93"/>
      <c r="I9"/>
      <c r="K9" s="234" t="s">
        <v>120</v>
      </c>
      <c r="L9" s="234" t="s">
        <v>90</v>
      </c>
    </row>
    <row r="10" spans="2:12" x14ac:dyDescent="0.2">
      <c r="B10" s="9" t="s">
        <v>0</v>
      </c>
      <c r="C10" s="9" t="str">
        <f>"Price"&amp;IF(I8&lt;&gt;1," (6)","")</f>
        <v>Price</v>
      </c>
      <c r="D10" s="9"/>
      <c r="E10" s="44" t="s">
        <v>37</v>
      </c>
      <c r="F10" s="96"/>
      <c r="G10" s="44" t="s">
        <v>32</v>
      </c>
      <c r="H10" s="93"/>
      <c r="I10" s="186"/>
      <c r="K10" s="235"/>
      <c r="L10" s="235"/>
    </row>
    <row r="11" spans="2:12" ht="13.5" x14ac:dyDescent="0.2">
      <c r="B11" s="9"/>
      <c r="C11" s="9" t="s">
        <v>34</v>
      </c>
      <c r="D11" s="9"/>
      <c r="E11" s="157" t="s">
        <v>94</v>
      </c>
      <c r="F11" s="96"/>
      <c r="G11" s="44" t="s">
        <v>57</v>
      </c>
      <c r="H11" s="93"/>
      <c r="I11" s="186"/>
      <c r="K11" s="236" t="s">
        <v>121</v>
      </c>
      <c r="L11" s="237">
        <v>0.14499999999999999</v>
      </c>
    </row>
    <row r="12" spans="2:12" x14ac:dyDescent="0.2">
      <c r="B12" s="9"/>
      <c r="C12" s="15"/>
      <c r="D12" s="44"/>
      <c r="E12" s="44"/>
      <c r="F12" s="44"/>
      <c r="H12" s="93"/>
      <c r="I12" s="186"/>
      <c r="K12" s="236" t="s">
        <v>63</v>
      </c>
      <c r="L12" s="237">
        <v>0.34100000000000003</v>
      </c>
    </row>
    <row r="13" spans="2:12" x14ac:dyDescent="0.2">
      <c r="B13" s="301">
        <f>'Table 2'!B12</f>
        <v>2018</v>
      </c>
      <c r="C13" s="11">
        <f>IF(E13&lt;&gt;0,IF(B13&gt;=2028,VLOOKUP($B13,'Table 3 477 (WM)'!$B$11:$I$41,7,FALSE)*_477_CCCT_WestMain+VLOOKUP($B13,'Table 3 635 (Wyo)'!$B$11:$I$41,7,FALSE)*_635_CCCT_WyoNE,IF(B13&gt;=2030,VLOOKUP($B13,'Table 3 635 (Ut S)'!$B$11:$I$41,7,FALSE)*_635_CCCT_UtahS,0))*Study_Cap_Adj,0)</f>
        <v>0</v>
      </c>
      <c r="D13" s="11"/>
      <c r="E13" s="11">
        <f>SUMIF('Table 5'!J13:J264,B13,'Table 5'!C13:C264)/SUMIF('Table 5'!J13:J264,B13,'Table 5'!F13:F264)</f>
        <v>22.006170000604385</v>
      </c>
      <c r="F13" s="104"/>
      <c r="G13" s="45">
        <f>IFERROR(SUMIF('Table 5'!J13:J264,B13,'Table 5'!E13:E264)/SUMIF('Table 5'!J13:J264,B13,'Table 5'!F13:F264),0)</f>
        <v>22.006170000604385</v>
      </c>
      <c r="H13" s="93"/>
      <c r="I13"/>
      <c r="K13" s="236" t="s">
        <v>122</v>
      </c>
      <c r="L13" s="237">
        <v>0.39100000000000001</v>
      </c>
    </row>
    <row r="14" spans="2:12" x14ac:dyDescent="0.2">
      <c r="B14" s="56">
        <f t="shared" ref="B14:B33" si="0">B13+1</f>
        <v>2019</v>
      </c>
      <c r="C14" s="12">
        <f>IF(E14&lt;&gt;0,IF(B14&gt;=2028,VLOOKUP($B14,'Table 3 477 (WM)'!$B$11:$I$41,7,FALSE)*_477_CCCT_WestMain+VLOOKUP($B14,'Table 3 635 (Wyo)'!$B$11:$I$41,7,FALSE)*_635_CCCT_WyoNE,IF(B14&gt;=2030,VLOOKUP($B14,'Table 3 635 (Ut S)'!$B$11:$I$41,7,FALSE)*_635_CCCT_UtahS,0))*Study_Cap_Adj,0)</f>
        <v>0</v>
      </c>
      <c r="D14" s="106" t="str">
        <f t="shared" ref="D14:D33" si="1">IF(OR(AND(B14=2028,_635_CCCT_WyoNE&gt;0),AND(B14=2028,_477_CCCT_WestMain&gt;0),AND(B14=2030,_635_CCCT_UtahS&gt;0)),"(4)","")</f>
        <v/>
      </c>
      <c r="E14" s="12">
        <f>IFERROR(SUMIF('Table 5'!J14:J265,B14,'Table 5'!C14:C265)/SUMIF('Table 5'!J14:J265,B14,'Table 5'!F14:F265),0)</f>
        <v>21.890118673105768</v>
      </c>
      <c r="F14" s="94"/>
      <c r="G14" s="46">
        <f>IFERROR(SUMIF('Table 5'!J14:J265,B14,'Table 5'!E14:E265)/SUMIF('Table 5'!J14:J265,B14,'Table 5'!F14:F265),0)</f>
        <v>21.890118673105768</v>
      </c>
      <c r="H14" s="93"/>
      <c r="I14"/>
      <c r="K14" s="236" t="s">
        <v>123</v>
      </c>
      <c r="L14" s="237">
        <v>1</v>
      </c>
    </row>
    <row r="15" spans="2:12" x14ac:dyDescent="0.2">
      <c r="B15" s="56">
        <f t="shared" si="0"/>
        <v>2020</v>
      </c>
      <c r="C15" s="12">
        <f>IF(E15&lt;&gt;0,IF(B15&gt;=2028,VLOOKUP($B15,'Table 3 477 (WM)'!$B$11:$I$41,7,FALSE)*_477_CCCT_WestMain+VLOOKUP($B15,'Table 3 635 (Wyo)'!$B$11:$I$41,7,FALSE)*_635_CCCT_WyoNE,IF(B15&gt;=2030,VLOOKUP($B15,'Table 3 635 (Ut S)'!$B$11:$I$41,7,FALSE)*_635_CCCT_UtahS,0))*Study_Cap_Adj,0)</f>
        <v>0</v>
      </c>
      <c r="D15" s="106" t="str">
        <f t="shared" si="1"/>
        <v/>
      </c>
      <c r="E15" s="12">
        <f>IFERROR(SUMIF('Table 5'!J15:J266,B15,'Table 5'!C15:C266)/SUMIF('Table 5'!J15:J266,B15,'Table 5'!F15:F266),0)</f>
        <v>22.518825246659077</v>
      </c>
      <c r="F15" s="94"/>
      <c r="G15" s="46">
        <f>IFERROR(SUMIF('Table 5'!J15:J266,B15,'Table 5'!E15:E266)/SUMIF('Table 5'!J15:J266,B15,'Table 5'!F15:F266),0)</f>
        <v>22.518825246659077</v>
      </c>
      <c r="H15" s="93"/>
      <c r="I15"/>
      <c r="K15" s="236" t="s">
        <v>124</v>
      </c>
      <c r="L15" s="237">
        <v>1</v>
      </c>
    </row>
    <row r="16" spans="2:12" x14ac:dyDescent="0.2">
      <c r="B16" s="56">
        <f t="shared" si="0"/>
        <v>2021</v>
      </c>
      <c r="C16" s="12">
        <f>IF(E16&lt;&gt;0,IF(B16&gt;=2028,VLOOKUP($B16,'Table 3 477 (WM)'!$B$11:$I$41,7,FALSE)*_477_CCCT_WestMain+VLOOKUP($B16,'Table 3 635 (Wyo)'!$B$11:$I$41,7,FALSE)*_635_CCCT_WyoNE,IF(B16&gt;=2030,VLOOKUP($B16,'Table 3 635 (Ut S)'!$B$11:$I$41,7,FALSE)*_635_CCCT_UtahS,0))*Study_Cap_Adj,0)</f>
        <v>0</v>
      </c>
      <c r="D16" s="106" t="str">
        <f t="shared" si="1"/>
        <v/>
      </c>
      <c r="E16" s="12">
        <f>IFERROR(SUMIF('Table 5'!J16:J267,B16,'Table 5'!C16:C267)/SUMIF('Table 5'!J16:J267,B16,'Table 5'!F16:F267),0)</f>
        <v>22.26951464122693</v>
      </c>
      <c r="F16" s="94"/>
      <c r="G16" s="46">
        <f>IFERROR(SUMIF('Table 5'!J16:J267,B16,'Table 5'!E16:E267)/SUMIF('Table 5'!J16:J267,B16,'Table 5'!F16:F267),0)</f>
        <v>22.26951464122693</v>
      </c>
      <c r="H16" s="93"/>
      <c r="I16" t="s">
        <v>104</v>
      </c>
    </row>
    <row r="17" spans="2:17" x14ac:dyDescent="0.2">
      <c r="B17" s="56">
        <f t="shared" si="0"/>
        <v>2022</v>
      </c>
      <c r="C17" s="12">
        <f>IF(E17&lt;&gt;0,IF(B17&gt;=2028,VLOOKUP($B17,'Table 3 477 (WM)'!$B$11:$I$41,7,FALSE)*_477_CCCT_WestMain+VLOOKUP($B17,'Table 3 635 (Wyo)'!$B$11:$I$41,7,FALSE)*_635_CCCT_WyoNE,IF(B17&gt;=2030,VLOOKUP($B17,'Table 3 635 (Ut S)'!$B$11:$I$41,7,FALSE)*_635_CCCT_UtahS,0))*Study_Cap_Adj,0)</f>
        <v>0</v>
      </c>
      <c r="D17" s="106" t="str">
        <f t="shared" si="1"/>
        <v/>
      </c>
      <c r="E17" s="12">
        <f>IFERROR(SUMIF('Table 5'!J17:J268,B17,'Table 5'!C17:C268)/SUMIF('Table 5'!J17:J268,B17,'Table 5'!F17:F268),0)</f>
        <v>24.140440371523948</v>
      </c>
      <c r="F17" s="94"/>
      <c r="G17" s="46">
        <f>IFERROR(SUMIF('Table 5'!J17:J268,B17,'Table 5'!E17:E268)/SUMIF('Table 5'!J17:J268,B17,'Table 5'!F17:F268),0)</f>
        <v>24.140440371523948</v>
      </c>
      <c r="H17" s="93"/>
      <c r="I17" s="224">
        <v>0</v>
      </c>
      <c r="J17" t="s">
        <v>130</v>
      </c>
      <c r="Q17" s="257"/>
    </row>
    <row r="18" spans="2:17" x14ac:dyDescent="0.2">
      <c r="B18" s="56">
        <f t="shared" si="0"/>
        <v>2023</v>
      </c>
      <c r="C18" s="12">
        <f>IF(E18&lt;&gt;0,IF(B18&gt;=2028,VLOOKUP($B18,'Table 3 477 (WM)'!$B$11:$I$41,7,FALSE)*_477_CCCT_WestMain+VLOOKUP($B18,'Table 3 635 (Wyo)'!$B$11:$I$41,7,FALSE)*_635_CCCT_WyoNE,IF(B18&gt;=2030,VLOOKUP($B18,'Table 3 635 (Ut S)'!$B$11:$I$41,7,FALSE)*_635_CCCT_UtahS,0))*Study_Cap_Adj,0)</f>
        <v>0</v>
      </c>
      <c r="D18" s="106" t="str">
        <f t="shared" si="1"/>
        <v/>
      </c>
      <c r="E18" s="12">
        <f>IFERROR(SUMIF('Table 5'!J18:J269,B18,'Table 5'!C18:C269)/SUMIF('Table 5'!J18:J269,B18,'Table 5'!F18:F269),0)</f>
        <v>27.07757305687397</v>
      </c>
      <c r="F18" s="94"/>
      <c r="G18" s="46">
        <f>IFERROR(SUMIF('Table 5'!J18:J269,B18,'Table 5'!E18:E269)/SUMIF('Table 5'!J18:J269,B18,'Table 5'!F18:F269),0)</f>
        <v>27.07757305687397</v>
      </c>
      <c r="H18" s="93"/>
      <c r="I18" s="224">
        <v>1</v>
      </c>
      <c r="J18" t="s">
        <v>129</v>
      </c>
    </row>
    <row r="19" spans="2:17" x14ac:dyDescent="0.2">
      <c r="B19" s="56">
        <f t="shared" si="0"/>
        <v>2024</v>
      </c>
      <c r="C19" s="12">
        <f>IF(E19&lt;&gt;0,IF(B19&gt;=2028,VLOOKUP($B19,'Table 3 477 (WM)'!$B$11:$I$41,7,FALSE)*_477_CCCT_WestMain+VLOOKUP($B19,'Table 3 635 (Wyo)'!$B$11:$I$41,7,FALSE)*_635_CCCT_WyoNE,IF(B19&gt;=2030,VLOOKUP($B19,'Table 3 635 (Ut S)'!$B$11:$I$41,7,FALSE)*_635_CCCT_UtahS,0))*Study_Cap_Adj,0)</f>
        <v>0</v>
      </c>
      <c r="D19" s="106" t="str">
        <f t="shared" si="1"/>
        <v/>
      </c>
      <c r="E19" s="12">
        <f>IFERROR(SUMIF('Table 5'!J19:J270,B19,'Table 5'!C19:C270)/SUMIF('Table 5'!J19:J270,B19,'Table 5'!F19:F270),0)</f>
        <v>29.160526128124765</v>
      </c>
      <c r="F19" s="94"/>
      <c r="G19" s="46">
        <f>IFERROR(SUMIF('Table 5'!J19:J270,B19,'Table 5'!E19:E270)/SUMIF('Table 5'!J19:J270,B19,'Table 5'!F19:F270),0)</f>
        <v>29.160526128124765</v>
      </c>
      <c r="H19" s="93"/>
      <c r="I19" s="224">
        <v>0</v>
      </c>
      <c r="J19" t="s">
        <v>131</v>
      </c>
      <c r="Q19" s="257"/>
    </row>
    <row r="20" spans="2:17" x14ac:dyDescent="0.2">
      <c r="B20" s="56">
        <f t="shared" si="0"/>
        <v>2025</v>
      </c>
      <c r="C20" s="12">
        <f>IF(E20&lt;&gt;0,IF(B20&gt;=2028,VLOOKUP($B20,'Table 3 477 (WM)'!$B$11:$I$41,7,FALSE)*_477_CCCT_WestMain+VLOOKUP($B20,'Table 3 635 (Wyo)'!$B$11:$I$41,7,FALSE)*_635_CCCT_WyoNE,IF(B20&gt;=2030,VLOOKUP($B20,'Table 3 635 (Ut S)'!$B$11:$I$41,7,FALSE)*_635_CCCT_UtahS,0))*Study_Cap_Adj,0)</f>
        <v>0</v>
      </c>
      <c r="D20" s="106" t="str">
        <f t="shared" si="1"/>
        <v/>
      </c>
      <c r="E20" s="12">
        <f>IFERROR(SUMIF('Table 5'!J20:J271,B20,'Table 5'!C20:C271)/SUMIF('Table 5'!J20:J271,B20,'Table 5'!F20:F271),0)</f>
        <v>32.944683875424744</v>
      </c>
      <c r="F20" s="94"/>
      <c r="G20" s="46">
        <f>IFERROR(SUMIF('Table 5'!J20:J271,B20,'Table 5'!E20:E271)/SUMIF('Table 5'!J20:J271,B20,'Table 5'!F20:F271),0)</f>
        <v>32.944683875424744</v>
      </c>
      <c r="H20" s="93"/>
      <c r="I20"/>
      <c r="Q20" s="257"/>
    </row>
    <row r="21" spans="2:17" x14ac:dyDescent="0.2">
      <c r="B21" s="56">
        <f t="shared" si="0"/>
        <v>2026</v>
      </c>
      <c r="C21" s="12">
        <f>IF(E21&lt;&gt;0,IF(B21&gt;=2028,VLOOKUP($B21,'Table 3 477 (WM)'!$B$11:$I$41,7,FALSE)*_477_CCCT_WestMain+VLOOKUP($B21,'Table 3 635 (Wyo)'!$B$11:$I$41,7,FALSE)*_635_CCCT_WyoNE,IF(B21&gt;=2030,VLOOKUP($B21,'Table 3 635 (Ut S)'!$B$11:$I$41,7,FALSE)*_635_CCCT_UtahS,0))*Study_Cap_Adj,0)</f>
        <v>0</v>
      </c>
      <c r="D21" s="106" t="str">
        <f t="shared" si="1"/>
        <v/>
      </c>
      <c r="E21" s="12">
        <f>IFERROR(SUMIF('Table 5'!J21:J272,B21,'Table 5'!C21:C272)/SUMIF('Table 5'!J21:J272,B21,'Table 5'!F21:F272),0)</f>
        <v>33.957187836249929</v>
      </c>
      <c r="F21" s="94"/>
      <c r="G21" s="46">
        <f>IFERROR(SUMIF('Table 5'!J21:J272,B21,'Table 5'!E21:E272)/SUMIF('Table 5'!J21:J272,B21,'Table 5'!F21:F272),0)</f>
        <v>33.957187836249929</v>
      </c>
      <c r="H21" s="93"/>
      <c r="I21"/>
    </row>
    <row r="22" spans="2:17" x14ac:dyDescent="0.2">
      <c r="B22" s="56">
        <f t="shared" si="0"/>
        <v>2027</v>
      </c>
      <c r="C22" s="12">
        <f>IF(E22&lt;&gt;0,IF(B22&gt;=2028,VLOOKUP($B22,'Table 3 477 (WM)'!$B$11:$I$41,7,FALSE)*_477_CCCT_WestMain+VLOOKUP($B22,'Table 3 635 (Wyo)'!$B$11:$I$41,7,FALSE)*_635_CCCT_WyoNE,IF(B22&gt;=2030,VLOOKUP($B22,'Table 3 635 (Ut S)'!$B$11:$I$41,7,FALSE)*_635_CCCT_UtahS,0))*Study_Cap_Adj,0)</f>
        <v>0</v>
      </c>
      <c r="D22" s="106" t="str">
        <f t="shared" si="1"/>
        <v/>
      </c>
      <c r="E22" s="12">
        <f>IFERROR(SUMIF('Table 5'!J22:J273,B22,'Table 5'!C22:C273)/SUMIF('Table 5'!J22:J273,B22,'Table 5'!F22:F273),0)</f>
        <v>35.928310543344551</v>
      </c>
      <c r="F22" s="94"/>
      <c r="G22" s="46">
        <f>IFERROR(SUMIF('Table 5'!J22:J273,B22,'Table 5'!E22:E273)/SUMIF('Table 5'!J22:J273,B22,'Table 5'!F22:F273),0)</f>
        <v>35.928310543344551</v>
      </c>
      <c r="H22" s="93"/>
      <c r="I22"/>
    </row>
    <row r="23" spans="2:17" x14ac:dyDescent="0.2">
      <c r="B23" s="56">
        <f t="shared" si="0"/>
        <v>2028</v>
      </c>
      <c r="C23" s="12">
        <f>IF(E23&lt;&gt;0,IF(B23&gt;=2028,VLOOKUP($B23,'Table 3 477 (WM)'!$B$11:$I$41,7,FALSE)*_477_CCCT_WestMain+VLOOKUP($B23,'Table 3 635 (Wyo)'!$B$11:$I$41,7,FALSE)*_635_CCCT_WyoNE,IF(B23&gt;=2030,VLOOKUP($B23,'Table 3 635 (Ut S)'!$B$11:$I$41,7,FALSE)*_635_CCCT_UtahS,0))*Study_Cap_Adj,0)</f>
        <v>149.05000000000001</v>
      </c>
      <c r="D23" s="106" t="str">
        <f t="shared" si="1"/>
        <v>(4)</v>
      </c>
      <c r="E23" s="12">
        <f>IFERROR(SUMIF('Table 5'!J23:J274,B23,'Table 5'!C23:C274)/SUMIF('Table 5'!J23:J274,B23,'Table 5'!F23:F274),0)</f>
        <v>31.033389397741974</v>
      </c>
      <c r="F23" s="94"/>
      <c r="G23" s="46">
        <f>IFERROR(SUMIF('Table 5'!J23:J274,B23,'Table 5'!E23:E274)/SUMIF('Table 5'!J23:J274,B23,'Table 5'!F23:F274),0)</f>
        <v>50.996155925117954</v>
      </c>
      <c r="H23" s="93"/>
      <c r="I23"/>
    </row>
    <row r="24" spans="2:17" x14ac:dyDescent="0.2">
      <c r="B24" s="56">
        <f t="shared" si="0"/>
        <v>2029</v>
      </c>
      <c r="C24" s="106">
        <f>IF(E24&lt;&gt;0,IF(B24&gt;=2028,VLOOKUP($B24,'Table 3 477 (WM)'!$B$11:$I$41,7,FALSE)*_477_CCCT_WestMain+VLOOKUP($B24,'Table 3 635 (Wyo)'!$B$11:$I$41,7,FALSE)*_635_CCCT_WyoNE,IF(B24&gt;=2030,VLOOKUP($B24,'Table 3 635 (Ut S)'!$B$11:$I$41,7,FALSE)*_635_CCCT_UtahS,0))*Study_Cap_Adj,0)</f>
        <v>152.16999999999999</v>
      </c>
      <c r="D24" s="106" t="str">
        <f t="shared" si="1"/>
        <v/>
      </c>
      <c r="E24" s="12">
        <f>IFERROR(SUMIF('Table 5'!J24:J275,B24,'Table 5'!C24:C275)/SUMIF('Table 5'!J24:J275,B24,'Table 5'!F24:F275),0)</f>
        <v>31.902596998628496</v>
      </c>
      <c r="F24" s="94"/>
      <c r="G24" s="46">
        <f>IFERROR(SUMIF('Table 5'!J24:J275,B24,'Table 5'!E24:E275)/SUMIF('Table 5'!J24:J275,B24,'Table 5'!F24:F275),0)</f>
        <v>52.339072958875597</v>
      </c>
      <c r="H24" s="93"/>
      <c r="I24"/>
    </row>
    <row r="25" spans="2:17" x14ac:dyDescent="0.2">
      <c r="B25" s="56">
        <f t="shared" si="0"/>
        <v>2030</v>
      </c>
      <c r="C25" s="12">
        <f>IF(E25&lt;&gt;0,IF(B25&gt;=2028,VLOOKUP($B25,'Table 3 477 (WM)'!$B$11:$I$41,7,FALSE)*_477_CCCT_WestMain+VLOOKUP($B25,'Table 3 635 (Wyo)'!$B$11:$I$41,7,FALSE)*_635_CCCT_WyoNE,IF(B25&gt;=2030,VLOOKUP($B25,'Table 3 635 (Ut S)'!$B$11:$I$41,7,FALSE)*_635_CCCT_UtahS,0))*Study_Cap_Adj,0)</f>
        <v>155.55000000000001</v>
      </c>
      <c r="D25" s="106" t="str">
        <f t="shared" si="1"/>
        <v/>
      </c>
      <c r="E25" s="12">
        <f>IFERROR(SUMIF('Table 5'!J25:J276,B25,'Table 5'!C25:C276)/SUMIF('Table 5'!J25:J276,B25,'Table 5'!F25:F276),0)</f>
        <v>33.952638589270634</v>
      </c>
      <c r="F25" s="94"/>
      <c r="G25" s="46">
        <f>IFERROR(SUMIF('Table 5'!J25:J276,B25,'Table 5'!E25:E276)/SUMIF('Table 5'!J25:J276,B25,'Table 5'!F25:F276),0)</f>
        <v>54.84304954817474</v>
      </c>
      <c r="H25" s="93"/>
      <c r="I25"/>
    </row>
    <row r="26" spans="2:17" x14ac:dyDescent="0.2">
      <c r="B26" s="56">
        <f t="shared" si="0"/>
        <v>2031</v>
      </c>
      <c r="C26" s="12">
        <f>IF(E26&lt;&gt;0,IF(B26&gt;=2028,VLOOKUP($B26,'Table 3 477 (WM)'!$B$11:$I$41,7,FALSE)*_477_CCCT_WestMain+VLOOKUP($B26,'Table 3 635 (Wyo)'!$B$11:$I$41,7,FALSE)*_635_CCCT_WyoNE,IF(B26&gt;=2030,VLOOKUP($B26,'Table 3 635 (Ut S)'!$B$11:$I$41,7,FALSE)*_635_CCCT_UtahS,0))*Study_Cap_Adj,0)</f>
        <v>158.97999999999999</v>
      </c>
      <c r="D26" s="106" t="str">
        <f t="shared" si="1"/>
        <v/>
      </c>
      <c r="E26" s="12">
        <f>IFERROR(SUMIF('Table 5'!J26:J277,B26,'Table 5'!C26:C277)/SUMIF('Table 5'!J26:J277,B26,'Table 5'!F26:F277),0)</f>
        <v>35.263031544767536</v>
      </c>
      <c r="F26" s="94"/>
      <c r="G26" s="46">
        <f>IFERROR(SUMIF('Table 5'!J26:J277,B26,'Table 5'!E26:E277)/SUMIF('Table 5'!J26:J277,B26,'Table 5'!F26:F277),0)</f>
        <v>56.614092517101675</v>
      </c>
      <c r="H26" s="93"/>
      <c r="I26"/>
    </row>
    <row r="27" spans="2:17" x14ac:dyDescent="0.2">
      <c r="B27" s="57">
        <f t="shared" si="0"/>
        <v>2032</v>
      </c>
      <c r="C27" s="20">
        <f>IF(E27&lt;&gt;0,IF(B27&gt;=2028,VLOOKUP($B27,'Table 3 477 (WM)'!$B$11:$I$41,7,FALSE)*_477_CCCT_WestMain+VLOOKUP($B27,'Table 3 635 (Wyo)'!$B$11:$I$41,7,FALSE)*_635_CCCT_WyoNE,IF(B27&gt;=2030,VLOOKUP($B27,'Table 3 635 (Ut S)'!$B$11:$I$41,7,FALSE)*_635_CCCT_UtahS,0))*Study_Cap_Adj,0)</f>
        <v>162.47999999999999</v>
      </c>
      <c r="D27" s="262" t="str">
        <f t="shared" si="1"/>
        <v/>
      </c>
      <c r="E27" s="20">
        <f>IFERROR(SUMIF('Table 5'!J27:J278,B27,'Table 5'!C27:C278)/SUMIF('Table 5'!J27:J278,B27,'Table 5'!F27:F278),0)</f>
        <v>36.248185588923803</v>
      </c>
      <c r="F27" s="105"/>
      <c r="G27" s="47">
        <f>IFERROR(SUMIF('Table 5'!J27:J278,B27,'Table 5'!E27:E278)/SUMIF('Table 5'!J27:J278,B27,'Table 5'!F27:F278),0)</f>
        <v>58.009677070762443</v>
      </c>
      <c r="H27" s="93"/>
      <c r="I27"/>
    </row>
    <row r="28" spans="2:17" hidden="1" x14ac:dyDescent="0.2">
      <c r="B28" s="227">
        <f t="shared" si="0"/>
        <v>2033</v>
      </c>
      <c r="C28" s="20">
        <f>IF(E28&lt;&gt;0,IF(B28&gt;=2028,VLOOKUP($B28,'Table 3 477 (WM)'!$B$11:$I$41,7,FALSE)*_477_CCCT_WestMain+VLOOKUP($B28,'Table 3 635 (Wyo)'!$B$11:$I$41,7,FALSE)*_635_CCCT_WyoNE,IF(B28&gt;=2030,VLOOKUP($B28,'Table 3 635 (Ut S)'!$B$11:$I$41,7,FALSE)*_635_CCCT_UtahS,0))*Study_Cap_Adj,0)</f>
        <v>0</v>
      </c>
      <c r="D28" s="20" t="str">
        <f t="shared" si="1"/>
        <v/>
      </c>
      <c r="E28" s="20">
        <f>IFERROR(SUMIF('Table 5'!J28:J279,B28,'Table 5'!C28:C279)/SUMIF('Table 5'!J28:J279,B28,'Table 5'!F28:F279),0)</f>
        <v>0</v>
      </c>
      <c r="F28" s="105"/>
      <c r="G28" s="47">
        <f>IFERROR(SUMIF('Table 5'!J28:J279,B28,'Table 5'!E28:E279)/SUMIF('Table 5'!J28:J279,B28,'Table 5'!F28:F279),0)</f>
        <v>0</v>
      </c>
      <c r="H28" s="93"/>
      <c r="I28"/>
    </row>
    <row r="29" spans="2:17" hidden="1" x14ac:dyDescent="0.2">
      <c r="B29" s="56">
        <f t="shared" si="0"/>
        <v>2034</v>
      </c>
      <c r="C29" s="12">
        <f>IF(E29&lt;&gt;0,IF(B29&gt;=2028,VLOOKUP($B29,'Table 3 477 (WM)'!$B$11:$I$41,7,FALSE)*_477_CCCT_WestMain+VLOOKUP($B29,'Table 3 635 (Wyo)'!$B$11:$I$41,7,FALSE)*_635_CCCT_WyoNE,IF(B29&gt;=2030,VLOOKUP($B29,'Table 3 635 (Ut S)'!$B$11:$I$41,7,FALSE)*_635_CCCT_UtahS,0))*Study_Cap_Adj,0)</f>
        <v>0</v>
      </c>
      <c r="D29" s="106" t="str">
        <f t="shared" si="1"/>
        <v/>
      </c>
      <c r="E29" s="12">
        <f>IFERROR(SUMIF('Table 5'!J29:J280,B29,'Table 5'!C29:C280)/SUMIF('Table 5'!J29:J280,B29,'Table 5'!F29:F280),0)</f>
        <v>0</v>
      </c>
      <c r="F29" s="94"/>
      <c r="G29" s="46">
        <f>IFERROR(SUMIF('Table 5'!J29:J280,B29,'Table 5'!E29:E280)/SUMIF('Table 5'!J29:J280,B29,'Table 5'!F29:F280),0)</f>
        <v>0</v>
      </c>
      <c r="H29" s="93"/>
      <c r="I29"/>
    </row>
    <row r="30" spans="2:17" hidden="1" x14ac:dyDescent="0.2">
      <c r="B30" s="56">
        <f t="shared" si="0"/>
        <v>2035</v>
      </c>
      <c r="C30" s="12">
        <f>IF(E30&lt;&gt;0,IF(B30&gt;=2028,VLOOKUP($B30,'Table 3 477 (WM)'!$B$11:$I$41,7,FALSE)*_477_CCCT_WestMain+VLOOKUP($B30,'Table 3 635 (Wyo)'!$B$11:$I$41,7,FALSE)*_635_CCCT_WyoNE,IF(B30&gt;=2030,VLOOKUP($B30,'Table 3 635 (Ut S)'!$B$11:$I$41,7,FALSE)*_635_CCCT_UtahS,0))*Study_Cap_Adj,0)</f>
        <v>0</v>
      </c>
      <c r="D30" s="106" t="str">
        <f t="shared" si="1"/>
        <v/>
      </c>
      <c r="E30" s="12">
        <f>IFERROR(SUMIF('Table 5'!J30:J281,B30,'Table 5'!C30:C281)/SUMIF('Table 5'!J30:J281,B30,'Table 5'!F30:F281),0)</f>
        <v>0</v>
      </c>
      <c r="F30" s="94"/>
      <c r="G30" s="46">
        <f>IFERROR(SUMIF('Table 5'!J30:J281,B30,'Table 5'!E30:E281)/SUMIF('Table 5'!J30:J281,B30,'Table 5'!F30:F281),0)</f>
        <v>0</v>
      </c>
      <c r="H30" s="93"/>
      <c r="I30"/>
    </row>
    <row r="31" spans="2:17" hidden="1" x14ac:dyDescent="0.2">
      <c r="B31" s="56">
        <f t="shared" si="0"/>
        <v>2036</v>
      </c>
      <c r="C31" s="12">
        <f>IF(E31&lt;&gt;0,IF(B31&gt;=2028,VLOOKUP($B31,'Table 3 477 (WM)'!$B$11:$I$41,7,FALSE)*_477_CCCT_WestMain+VLOOKUP($B31,'Table 3 635 (Wyo)'!$B$11:$I$41,7,FALSE)*_635_CCCT_WyoNE,IF(B31&gt;=2030,VLOOKUP($B31,'Table 3 635 (Ut S)'!$B$11:$I$41,7,FALSE)*_635_CCCT_UtahS,0))*Study_Cap_Adj,0)</f>
        <v>0</v>
      </c>
      <c r="D31" s="106" t="str">
        <f t="shared" si="1"/>
        <v/>
      </c>
      <c r="E31" s="12">
        <f>IFERROR(SUMIF('Table 5'!J31:J282,B31,'Table 5'!C31:C282)/SUMIF('Table 5'!J31:J282,B31,'Table 5'!F31:F282),0)</f>
        <v>0</v>
      </c>
      <c r="F31" s="94"/>
      <c r="G31" s="46">
        <f>IFERROR(SUMIF('Table 5'!J31:J282,B31,'Table 5'!E31:E282)/SUMIF('Table 5'!J31:J282,B31,'Table 5'!F31:F282),0)</f>
        <v>0</v>
      </c>
      <c r="H31" s="93"/>
      <c r="I31"/>
    </row>
    <row r="32" spans="2:17" hidden="1" x14ac:dyDescent="0.2">
      <c r="B32" s="56">
        <f t="shared" si="0"/>
        <v>2037</v>
      </c>
      <c r="C32" s="12">
        <f>IF(E32&lt;&gt;0,IF(B32&gt;=2028,VLOOKUP($B32,'Table 3 477 (WM)'!$B$11:$I$41,7,FALSE)*_477_CCCT_WestMain+VLOOKUP($B32,'Table 3 635 (Wyo)'!$B$11:$I$41,7,FALSE)*_635_CCCT_WyoNE,IF(B32&gt;=2030,VLOOKUP($B32,'Table 3 635 (Ut S)'!$B$11:$I$41,7,FALSE)*_635_CCCT_UtahS,0))*Study_Cap_Adj,0)</f>
        <v>0</v>
      </c>
      <c r="D32" s="106" t="str">
        <f t="shared" si="1"/>
        <v/>
      </c>
      <c r="E32" s="12">
        <f>IFERROR(SUMIF('Table 5'!J32:J283,B32,'Table 5'!C32:C283)/SUMIF('Table 5'!J32:J283,B32,'Table 5'!F32:F283),0)</f>
        <v>0</v>
      </c>
      <c r="F32" s="94"/>
      <c r="G32" s="46">
        <f>IFERROR(SUMIF('Table 5'!J32:J283,B32,'Table 5'!E32:E283)/SUMIF('Table 5'!J32:J283,B32,'Table 5'!F32:F283),0)</f>
        <v>0</v>
      </c>
      <c r="H32" s="93"/>
      <c r="I32"/>
    </row>
    <row r="33" spans="2:9" hidden="1" x14ac:dyDescent="0.2">
      <c r="B33" s="227">
        <f t="shared" si="0"/>
        <v>2038</v>
      </c>
      <c r="C33" s="20">
        <f>IF(E33&lt;&gt;0,IF(B33&gt;=2028,VLOOKUP($B33,'Table 3 477 (WM)'!$B$11:$I$41,7,FALSE)*_477_CCCT_WestMain+VLOOKUP($B33,'Table 3 635 (Wyo)'!$B$11:$I$41,7,FALSE)*_635_CCCT_WyoNE,IF(B33&gt;=2030,VLOOKUP($B33,'Table 3 635 (Ut S)'!$B$11:$I$41,7,FALSE)*_635_CCCT_UtahS,0))*Study_Cap_Adj,0)</f>
        <v>0</v>
      </c>
      <c r="D33" s="20" t="str">
        <f t="shared" si="1"/>
        <v/>
      </c>
      <c r="E33" s="20">
        <f>IFERROR(SUMIF('Table 5'!J33:J284,B33,'Table 5'!C33:C284)/SUMIF('Table 5'!J33:J284,B33,'Table 5'!F33:F284),0)</f>
        <v>0</v>
      </c>
      <c r="F33" s="105"/>
      <c r="G33" s="47">
        <f>IFERROR(SUMIF('Table 5'!J33:J284,B33,'Table 5'!E33:E284)/SUMIF('Table 5'!J33:J284,B33,'Table 5'!F33:F284),0)</f>
        <v>0</v>
      </c>
      <c r="H33" s="93"/>
      <c r="I33"/>
    </row>
    <row r="34" spans="2:9" x14ac:dyDescent="0.2">
      <c r="D34" s="12"/>
      <c r="F34" s="94"/>
      <c r="H34" s="93"/>
      <c r="I34" s="110" t="s">
        <v>115</v>
      </c>
    </row>
    <row r="35" spans="2:9" x14ac:dyDescent="0.2">
      <c r="B35" s="117" t="str">
        <f>"Levelized Prices (Nominal) @ "&amp;TEXT(I35,"0.00%")&amp;" Discount Rate (1) (3) "</f>
        <v xml:space="preserve">Levelized Prices (Nominal) @ 6.66% Discount Rate (1) (3) </v>
      </c>
      <c r="E35" s="8"/>
      <c r="I35" s="228">
        <v>6.6600000000000006E-2</v>
      </c>
    </row>
    <row r="36" spans="2:9" x14ac:dyDescent="0.2">
      <c r="B36" s="108" t="s">
        <v>8</v>
      </c>
      <c r="C36" s="12">
        <f>PMT(Discount_Rate,COUNT($B$13:$B$27),-NPV(Discount_Rate,$C$13:$C$27))</f>
        <v>36.214449841425342</v>
      </c>
      <c r="D36" s="12"/>
      <c r="H36" s="93"/>
    </row>
    <row r="37" spans="2:9" x14ac:dyDescent="0.2">
      <c r="B37" s="109" t="s">
        <v>57</v>
      </c>
      <c r="E37" s="12">
        <f>PMT(Discount_Rate,COUNT($B$13:$B$27),-NPV(Discount_Rate,$E$13:$E$27))</f>
        <v>27.975990033270822</v>
      </c>
      <c r="G37" s="226">
        <f>PMT(Discount_Rate,COUNT($B$13:$B$27),-NPV(Discount_Rate,$G$13:$G$27))</f>
        <v>32.834274512872469</v>
      </c>
      <c r="H37" s="93"/>
      <c r="I37" t="s">
        <v>114</v>
      </c>
    </row>
    <row r="38" spans="2:9" x14ac:dyDescent="0.2">
      <c r="F38" s="95"/>
      <c r="H38" s="93"/>
      <c r="I38" s="226">
        <f>'Table 5'!$G$9</f>
        <v>32.829271056661618</v>
      </c>
    </row>
    <row r="39" spans="2:9" x14ac:dyDescent="0.2">
      <c r="B39" s="6" t="s">
        <v>33</v>
      </c>
      <c r="E39" s="95"/>
      <c r="G39" s="95"/>
      <c r="H39" s="93"/>
      <c r="I39" s="226">
        <f>PMT(Discount_Rate,COUNT($B$13:$B$27),-NPV(Discount_Rate,$G$13:$G$27))</f>
        <v>32.834274512872469</v>
      </c>
    </row>
    <row r="40" spans="2:9" x14ac:dyDescent="0.2">
      <c r="B40" s="111" t="str">
        <f>"(1)   "&amp;I34</f>
        <v>(1)   Discount Rate - 2015 IRP Page 141</v>
      </c>
      <c r="E40" s="93"/>
      <c r="F40" s="95"/>
      <c r="G40" s="93"/>
      <c r="H40" s="93"/>
    </row>
    <row r="41" spans="2:9" x14ac:dyDescent="0.2">
      <c r="B41" s="6" t="s">
        <v>40</v>
      </c>
      <c r="F41" s="95"/>
      <c r="H41" s="93"/>
    </row>
    <row r="42" spans="2:9" x14ac:dyDescent="0.2">
      <c r="B42" s="6" t="str">
        <f>"(3)   "&amp;B33-B13&amp;" Year NPC is "&amp;TEXT(B13,"???0")&amp;" - "&amp;TEXT(B33,"???0")</f>
        <v>(3)   20 Year NPC is 2018 - 2038</v>
      </c>
    </row>
    <row r="43" spans="2:9" x14ac:dyDescent="0.2">
      <c r="B43" s="6" t="str">
        <f>IF(Study_Cap_Adj&gt;0,"(4)  The capacity payment is derived from:","")</f>
        <v>(4)  The capacity payment is derived from:</v>
      </c>
    </row>
    <row r="44" spans="2:9" hidden="1" x14ac:dyDescent="0.2">
      <c r="B44" s="208" t="str">
        <f>IF(AND(Study_Cap_Adj&gt;0,_635_CCCT_WyoNE&lt;&gt;0),"       2028 - "&amp;'Table 3 635 (Wyo)'!$B$12&amp;"   ("&amp;TEXT(_635_CCCT_WyoNE," 0.0%")&amp;")","")</f>
        <v/>
      </c>
    </row>
    <row r="45" spans="2:9" ht="12.75" customHeight="1" x14ac:dyDescent="0.2">
      <c r="B45" s="208" t="str">
        <f>IF(AND(Study_Cap_Adj&gt;0,_477_CCCT_WestMain&lt;&gt;0),"       2028 - "&amp;'Table 3 477 (WM)'!B12&amp;"   ("&amp;TEXT(_477_CCCT_WestMain," 0.0%")&amp;")","")</f>
        <v xml:space="preserve">       2028 - West M - 477 MW - CCCT Dry "J", Adv 1x1 - West Side Resource (1,500')   ( 100.0%)</v>
      </c>
    </row>
    <row r="46" spans="2:9" ht="12.75" hidden="1" customHeight="1" x14ac:dyDescent="0.2">
      <c r="B46" s="6" t="str">
        <f>IF(AND(Study_Cap_Adj&gt;0,_635_CCCT_UtahS&lt;&gt;0),"       2030 - "&amp;'Table 3 635 (Wyo)'!$B$12&amp;"   ("&amp;TEXT(_635_CCCT_UtahS," 0.0%")&amp;")","")</f>
        <v/>
      </c>
    </row>
    <row r="47" spans="2:9" x14ac:dyDescent="0.2">
      <c r="B47" s="18" t="str">
        <f>"(5)   Avoided Costs calculated monthly starting "&amp;TEXT('Table 5'!$K$5,"MMMM YYYY")</f>
        <v>(5)   Avoided Costs calculated monthly starting January 2018</v>
      </c>
      <c r="C47" s="10"/>
      <c r="D47" s="10"/>
      <c r="E47" s="10"/>
      <c r="G47" s="10"/>
      <c r="I47" t="s">
        <v>114</v>
      </c>
    </row>
    <row r="48" spans="2:9" x14ac:dyDescent="0.2">
      <c r="B48" s="18" t="str">
        <f>"       Avoided Costs calculated monthly are  "&amp;TEXT($I$38,"$0.00")&amp;"/MWH"</f>
        <v xml:space="preserve">       Avoided Costs calculated monthly are  $32.83/MWH</v>
      </c>
      <c r="I48" t="str">
        <f>"       Avoided Costs calculated annually are  "&amp;TEXT(PMT(Discount_Rate,COUNT($G$13:$G$33),-NPV(Discount_Rate,$G$13:$G$33)),"$0.00")&amp;"/MWH"</f>
        <v xml:space="preserve">       Avoided Costs calculated annually are  $27.44/MWH</v>
      </c>
    </row>
    <row r="49" spans="1:9" s="115" customFormat="1" x14ac:dyDescent="0.2">
      <c r="A49" s="116"/>
      <c r="B49" s="18" t="s">
        <v>112</v>
      </c>
      <c r="C49" s="116"/>
      <c r="D49" s="116"/>
      <c r="E49" s="116"/>
      <c r="F49" s="116"/>
      <c r="G49" s="116"/>
      <c r="I49" s="18" t="str">
        <f>"       Avoided Costs calculated monthly are  "&amp;TEXT($I$38,"$0.00")&amp;"/MWH"</f>
        <v xml:space="preserve">       Avoided Costs calculated monthly are  $32.83/MWH</v>
      </c>
    </row>
    <row r="50" spans="1:9" s="115" customFormat="1" x14ac:dyDescent="0.2">
      <c r="A50" s="116"/>
      <c r="B50" s="18" t="s">
        <v>113</v>
      </c>
      <c r="C50" s="116"/>
      <c r="D50" s="116"/>
      <c r="E50" s="116"/>
      <c r="F50" s="116"/>
      <c r="G50" s="116"/>
    </row>
    <row r="51" spans="1:9" x14ac:dyDescent="0.2">
      <c r="B51" s="113" t="str">
        <f>IF(I8&lt;&gt;1,"(6)   Capacity Payment is adjusted by "&amp;TEXT(I8,"0.0%")&amp;" Capacity Contribution.","")</f>
        <v/>
      </c>
    </row>
    <row r="52" spans="1:9" x14ac:dyDescent="0.2">
      <c r="F52" s="1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B1:S40"/>
  <sheetViews>
    <sheetView zoomScaleNormal="100" zoomScaleSheetLayoutView="85" workbookViewId="0">
      <pane xSplit="2" ySplit="6" topLeftCell="C7" activePane="bottomRight" state="frozen"/>
      <selection activeCell="C38" sqref="C38"/>
      <selection pane="topRight" activeCell="C38" sqref="C38"/>
      <selection pane="bottomLeft" activeCell="C38" sqref="C38"/>
      <selection pane="bottomRight" activeCell="G16" sqref="G16"/>
    </sheetView>
  </sheetViews>
  <sheetFormatPr defaultRowHeight="12.75" x14ac:dyDescent="0.2"/>
  <cols>
    <col min="1" max="1" width="2.83203125" style="6" customWidth="1"/>
    <col min="2" max="2" width="7" style="6" customWidth="1"/>
    <col min="3" max="12" width="10.1640625" style="6" customWidth="1"/>
    <col min="13" max="13" width="10.1640625" style="8" customWidth="1"/>
    <col min="14" max="15" width="10.1640625" style="6" customWidth="1"/>
    <col min="16" max="16" width="1.6640625" style="6" customWidth="1"/>
    <col min="17" max="17" width="15.5" style="6" hidden="1" customWidth="1"/>
    <col min="18" max="18" width="0" style="6" hidden="1" customWidth="1"/>
    <col min="19" max="16384" width="9.33203125" style="6"/>
  </cols>
  <sheetData>
    <row r="1" spans="2:18" s="14" customFormat="1" ht="15.75" x14ac:dyDescent="0.25">
      <c r="B1" s="1" t="s">
        <v>71</v>
      </c>
      <c r="C1" s="1"/>
      <c r="D1" s="1"/>
      <c r="E1" s="1"/>
      <c r="F1" s="1"/>
      <c r="G1" s="16"/>
      <c r="H1" s="1"/>
      <c r="I1" s="1"/>
      <c r="J1" s="1"/>
      <c r="K1" s="1"/>
      <c r="L1" s="21"/>
      <c r="M1" s="22"/>
      <c r="N1" s="22"/>
      <c r="O1" s="22"/>
      <c r="P1" s="22"/>
      <c r="Q1" s="22"/>
    </row>
    <row r="2" spans="2:18" s="14" customFormat="1" ht="5.25" customHeight="1" x14ac:dyDescent="0.25">
      <c r="B2" s="1"/>
      <c r="C2" s="1"/>
      <c r="D2" s="1"/>
      <c r="E2" s="1"/>
      <c r="F2" s="1"/>
      <c r="G2" s="16"/>
      <c r="H2" s="1"/>
      <c r="I2" s="1"/>
      <c r="J2" s="1"/>
      <c r="K2" s="1"/>
      <c r="L2" s="21"/>
      <c r="M2" s="22"/>
      <c r="N2" s="22"/>
      <c r="O2" s="22"/>
      <c r="P2" s="22"/>
      <c r="Q2" s="22"/>
    </row>
    <row r="3" spans="2:18" s="14" customFormat="1" ht="15.75" x14ac:dyDescent="0.25">
      <c r="B3" s="1" t="str">
        <f>"Table "&amp;RIGHT('Table 1'!B3,1)+1</f>
        <v>Table 2</v>
      </c>
      <c r="C3" s="1"/>
      <c r="D3" s="1"/>
      <c r="E3" s="1"/>
      <c r="F3" s="1"/>
      <c r="G3" s="16"/>
      <c r="H3" s="1"/>
      <c r="I3" s="1"/>
      <c r="J3" s="1"/>
      <c r="K3" s="1"/>
      <c r="L3" s="21"/>
      <c r="M3" s="22"/>
      <c r="N3" s="22"/>
      <c r="O3" s="22"/>
      <c r="P3" s="22"/>
      <c r="Q3" s="22"/>
    </row>
    <row r="4" spans="2:18" s="17" customFormat="1" ht="15" x14ac:dyDescent="0.25">
      <c r="B4" s="7" t="s">
        <v>58</v>
      </c>
      <c r="C4" s="7"/>
      <c r="D4" s="7"/>
      <c r="E4" s="7"/>
      <c r="F4" s="7"/>
      <c r="G4" s="7"/>
      <c r="H4" s="7"/>
      <c r="I4" s="7"/>
      <c r="J4" s="7"/>
      <c r="K4" s="7"/>
      <c r="L4" s="7"/>
      <c r="M4" s="23"/>
      <c r="N4" s="23"/>
      <c r="O4" s="23"/>
      <c r="P4" s="23"/>
      <c r="R4" s="260" t="s">
        <v>47</v>
      </c>
    </row>
    <row r="5" spans="2:18" s="17" customFormat="1" ht="15" x14ac:dyDescent="0.25">
      <c r="B5" s="7" t="str">
        <f ca="1">'Table 1'!$B$5</f>
        <v>Utah 2016.Q2 - 100.0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53" t="s">
        <v>132</v>
      </c>
    </row>
    <row r="6" spans="2:18" s="17" customFormat="1" ht="15" hidden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23"/>
      <c r="O6" s="23"/>
      <c r="P6" s="23"/>
      <c r="Q6" s="23"/>
    </row>
    <row r="7" spans="2:18" s="3" customFormat="1" x14ac:dyDescent="0.2">
      <c r="D7" s="31"/>
      <c r="E7" s="31"/>
      <c r="F7" s="31"/>
      <c r="G7" s="13"/>
      <c r="H7" s="13"/>
      <c r="I7" s="13"/>
      <c r="J7" s="13"/>
      <c r="K7" s="13"/>
      <c r="L7" s="13"/>
      <c r="M7" s="24"/>
    </row>
    <row r="8" spans="2:18" s="3" customFormat="1" x14ac:dyDescent="0.2">
      <c r="B8" s="36" t="s">
        <v>0</v>
      </c>
      <c r="C8" s="36"/>
      <c r="D8" s="33" t="s">
        <v>28</v>
      </c>
      <c r="E8" s="38"/>
      <c r="F8" s="38"/>
      <c r="G8" s="33"/>
      <c r="H8" s="33"/>
      <c r="I8" s="28" t="s">
        <v>29</v>
      </c>
      <c r="J8" s="32"/>
      <c r="K8" s="32"/>
      <c r="L8" s="27"/>
      <c r="M8" s="34" t="s">
        <v>28</v>
      </c>
      <c r="N8" s="42"/>
      <c r="O8" s="35"/>
      <c r="Q8" s="29" t="s">
        <v>46</v>
      </c>
    </row>
    <row r="9" spans="2:18" s="3" customFormat="1" x14ac:dyDescent="0.2">
      <c r="B9" s="37"/>
      <c r="C9" s="37" t="s">
        <v>39</v>
      </c>
      <c r="D9" s="39" t="s">
        <v>16</v>
      </c>
      <c r="E9" s="40" t="s">
        <v>17</v>
      </c>
      <c r="F9" s="40" t="s">
        <v>18</v>
      </c>
      <c r="G9" s="40" t="s">
        <v>19</v>
      </c>
      <c r="H9" s="41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39" t="s">
        <v>25</v>
      </c>
      <c r="N9" s="40" t="s">
        <v>26</v>
      </c>
      <c r="O9" s="41" t="s">
        <v>27</v>
      </c>
      <c r="Q9" s="30" t="s">
        <v>105</v>
      </c>
    </row>
    <row r="10" spans="2:18" ht="12.75" customHeight="1" x14ac:dyDescent="0.2">
      <c r="B10" s="9"/>
      <c r="C10" s="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</row>
    <row r="11" spans="2:18" ht="12.75" customHeight="1" x14ac:dyDescent="0.2">
      <c r="B11" s="19" t="s">
        <v>45</v>
      </c>
      <c r="C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Q11" s="9"/>
    </row>
    <row r="12" spans="2:18" ht="12.75" customHeight="1" x14ac:dyDescent="0.2">
      <c r="B12" s="55">
        <v>2018</v>
      </c>
      <c r="C12" s="54">
        <v>22.006170000604747</v>
      </c>
      <c r="D12" s="11">
        <v>24.641106146439242</v>
      </c>
      <c r="E12" s="11">
        <v>25.154331188887639</v>
      </c>
      <c r="F12" s="11">
        <v>23.209621741104304</v>
      </c>
      <c r="G12" s="11">
        <v>20.529742534433801</v>
      </c>
      <c r="H12" s="45">
        <v>18.143433039533392</v>
      </c>
      <c r="I12" s="51">
        <v>18.050905054979562</v>
      </c>
      <c r="J12" s="11">
        <v>28.22807615018349</v>
      </c>
      <c r="K12" s="11">
        <v>23.861289288823663</v>
      </c>
      <c r="L12" s="45">
        <v>20.912458978828067</v>
      </c>
      <c r="M12" s="51">
        <v>19.47163208231806</v>
      </c>
      <c r="N12" s="11">
        <v>20.804079476867869</v>
      </c>
      <c r="O12" s="45">
        <v>21.122751086387151</v>
      </c>
      <c r="Q12" s="52">
        <f>IF(_635_CCCT_WyoNE,VLOOKUP($B12,'Table 3 635 (Wyo)'!$B$11:$K$41,9,FALSE),IF(_477_CCCT_WestMain,VLOOKUP($B12,'Table 3 477 (WM)'!$B$11:$K$41,9,FALSE),IF(_635_CCCT_UtahS,VLOOKUP($B12,'Table 3 635 (Ut S)'!$B$11:$K$41,9,FALSE),"ERROR")))</f>
        <v>0</v>
      </c>
    </row>
    <row r="13" spans="2:18" ht="12.75" customHeight="1" x14ac:dyDescent="0.2">
      <c r="B13" s="56">
        <f>B12+1</f>
        <v>2019</v>
      </c>
      <c r="C13" s="58">
        <v>21.890118673105505</v>
      </c>
      <c r="D13" s="12">
        <v>23.59598287084858</v>
      </c>
      <c r="E13" s="12">
        <v>22.387590931917877</v>
      </c>
      <c r="F13" s="12">
        <v>21.917288190206534</v>
      </c>
      <c r="G13" s="12">
        <v>19.753476505585599</v>
      </c>
      <c r="H13" s="46">
        <v>17.617396754206197</v>
      </c>
      <c r="I13" s="50">
        <v>17.698974401246439</v>
      </c>
      <c r="J13" s="12">
        <v>27.013400607750732</v>
      </c>
      <c r="K13" s="12">
        <v>22.944810750748278</v>
      </c>
      <c r="L13" s="46">
        <v>20.880838200292654</v>
      </c>
      <c r="M13" s="50">
        <v>19.725699606978445</v>
      </c>
      <c r="N13" s="12">
        <v>23.051437539762386</v>
      </c>
      <c r="O13" s="46">
        <v>25.943452515496457</v>
      </c>
      <c r="Q13" s="49">
        <f>IF(_635_CCCT_WyoNE,VLOOKUP($B13,'Table 3 635 (Wyo)'!$B$11:$K$41,9,FALSE),IF(_477_CCCT_WestMain,VLOOKUP($B13,'Table 3 477 (WM)'!$B$11:$K$41,9,FALSE),IF(_635_CCCT_UtahS,VLOOKUP($B13,'Table 3 635 (Ut S)'!$B$11:$K$41,9,FALSE),"ERROR")))</f>
        <v>0</v>
      </c>
    </row>
    <row r="14" spans="2:18" ht="12.75" customHeight="1" x14ac:dyDescent="0.2">
      <c r="B14" s="56">
        <f t="shared" ref="B14:B31" si="0">B13+1</f>
        <v>2020</v>
      </c>
      <c r="C14" s="58">
        <v>22.518825246659517</v>
      </c>
      <c r="D14" s="12">
        <v>24.481002933330537</v>
      </c>
      <c r="E14" s="12">
        <v>24.890170019594517</v>
      </c>
      <c r="F14" s="12">
        <v>21.496143410155746</v>
      </c>
      <c r="G14" s="12">
        <v>19.148254834058285</v>
      </c>
      <c r="H14" s="46">
        <v>19.625590823209979</v>
      </c>
      <c r="I14" s="50">
        <v>18.201117492676559</v>
      </c>
      <c r="J14" s="12">
        <v>26.417994282755632</v>
      </c>
      <c r="K14" s="12">
        <v>23.205381821506407</v>
      </c>
      <c r="L14" s="46">
        <v>21.998306712017097</v>
      </c>
      <c r="M14" s="50">
        <v>20.334694405127454</v>
      </c>
      <c r="N14" s="12">
        <v>25.661508572645289</v>
      </c>
      <c r="O14" s="46">
        <v>24.755304626077603</v>
      </c>
      <c r="Q14" s="49">
        <f>IF(_635_CCCT_WyoNE,VLOOKUP($B14,'Table 3 635 (Wyo)'!$B$11:$K$41,9,FALSE),IF(_477_CCCT_WestMain,VLOOKUP($B14,'Table 3 477 (WM)'!$B$11:$K$41,9,FALSE),IF(_635_CCCT_UtahS,VLOOKUP($B14,'Table 3 635 (Ut S)'!$B$11:$K$41,9,FALSE),"ERROR")))</f>
        <v>0</v>
      </c>
    </row>
    <row r="15" spans="2:18" ht="12.75" customHeight="1" x14ac:dyDescent="0.2">
      <c r="B15" s="56">
        <f t="shared" si="0"/>
        <v>2021</v>
      </c>
      <c r="C15" s="58">
        <v>22.269514641226412</v>
      </c>
      <c r="D15" s="12">
        <v>23.97564488788672</v>
      </c>
      <c r="E15" s="12">
        <v>23.479257128815522</v>
      </c>
      <c r="F15" s="12">
        <v>21.791636703460277</v>
      </c>
      <c r="G15" s="12">
        <v>22.120635782917049</v>
      </c>
      <c r="H15" s="46">
        <v>19.952831375590659</v>
      </c>
      <c r="I15" s="50">
        <v>19.274475342556347</v>
      </c>
      <c r="J15" s="12">
        <v>24.299049843104108</v>
      </c>
      <c r="K15" s="12">
        <v>20.142287038445737</v>
      </c>
      <c r="L15" s="46">
        <v>21.503732792820806</v>
      </c>
      <c r="M15" s="50">
        <v>22.498026298657813</v>
      </c>
      <c r="N15" s="12">
        <v>23.129898580360937</v>
      </c>
      <c r="O15" s="46">
        <v>25.085406739349551</v>
      </c>
      <c r="Q15" s="49">
        <f>IF(_635_CCCT_WyoNE,VLOOKUP($B15,'Table 3 635 (Wyo)'!$B$11:$K$41,9,FALSE),IF(_477_CCCT_WestMain,VLOOKUP($B15,'Table 3 477 (WM)'!$B$11:$K$41,9,FALSE),IF(_635_CCCT_UtahS,VLOOKUP($B15,'Table 3 635 (Ut S)'!$B$11:$K$41,9,FALSE),"ERROR")))</f>
        <v>0</v>
      </c>
    </row>
    <row r="16" spans="2:18" ht="12.75" customHeight="1" x14ac:dyDescent="0.2">
      <c r="B16" s="56">
        <f t="shared" si="0"/>
        <v>2022</v>
      </c>
      <c r="C16" s="58">
        <v>24.140440371524189</v>
      </c>
      <c r="D16" s="12">
        <v>26.040980013849179</v>
      </c>
      <c r="E16" s="12">
        <v>24.222083891294794</v>
      </c>
      <c r="F16" s="12">
        <v>24.061359098466003</v>
      </c>
      <c r="G16" s="12">
        <v>21.872953464188704</v>
      </c>
      <c r="H16" s="46">
        <v>20.54693487165973</v>
      </c>
      <c r="I16" s="50">
        <v>20.034309776157286</v>
      </c>
      <c r="J16" s="12">
        <v>27.187048860841504</v>
      </c>
      <c r="K16" s="12">
        <v>22.941898883776449</v>
      </c>
      <c r="L16" s="46">
        <v>24.46028738301856</v>
      </c>
      <c r="M16" s="50">
        <v>23.907830419330129</v>
      </c>
      <c r="N16" s="12">
        <v>26.290415408493207</v>
      </c>
      <c r="O16" s="46">
        <v>28.001154487375537</v>
      </c>
      <c r="Q16" s="49">
        <f>IF(_635_CCCT_WyoNE,VLOOKUP($B16,'Table 3 635 (Wyo)'!$B$11:$K$41,9,FALSE),IF(_477_CCCT_WestMain,VLOOKUP($B16,'Table 3 477 (WM)'!$B$11:$K$41,9,FALSE),IF(_635_CCCT_UtahS,VLOOKUP($B16,'Table 3 635 (Ut S)'!$B$11:$K$41,9,FALSE),"ERROR")))</f>
        <v>0</v>
      </c>
    </row>
    <row r="17" spans="2:19" ht="12.75" customHeight="1" x14ac:dyDescent="0.2">
      <c r="B17" s="56">
        <f t="shared" si="0"/>
        <v>2023</v>
      </c>
      <c r="C17" s="58">
        <v>27.077573056873888</v>
      </c>
      <c r="D17" s="12">
        <v>30.6450377061784</v>
      </c>
      <c r="E17" s="12">
        <v>28.991962109921442</v>
      </c>
      <c r="F17" s="12">
        <v>27.149283259694691</v>
      </c>
      <c r="G17" s="12">
        <v>23.191782864083603</v>
      </c>
      <c r="H17" s="46">
        <v>24.55727738469891</v>
      </c>
      <c r="I17" s="50">
        <v>21.250474013733417</v>
      </c>
      <c r="J17" s="12">
        <v>27.878863756247878</v>
      </c>
      <c r="K17" s="12">
        <v>27.933275104770267</v>
      </c>
      <c r="L17" s="46">
        <v>25.995284086290528</v>
      </c>
      <c r="M17" s="50">
        <v>25.895832502382472</v>
      </c>
      <c r="N17" s="12">
        <v>29.412040985564584</v>
      </c>
      <c r="O17" s="46">
        <v>31.942100227673659</v>
      </c>
      <c r="Q17" s="49">
        <f>IF(_635_CCCT_WyoNE,VLOOKUP($B17,'Table 3 635 (Wyo)'!$B$11:$K$41,9,FALSE),IF(_477_CCCT_WestMain,VLOOKUP($B17,'Table 3 477 (WM)'!$B$11:$K$41,9,FALSE),IF(_635_CCCT_UtahS,VLOOKUP($B17,'Table 3 635 (Ut S)'!$B$11:$K$41,9,FALSE),"ERROR")))</f>
        <v>0</v>
      </c>
      <c r="S17" s="48"/>
    </row>
    <row r="18" spans="2:19" ht="12.75" customHeight="1" x14ac:dyDescent="0.2">
      <c r="B18" s="56">
        <f t="shared" si="0"/>
        <v>2024</v>
      </c>
      <c r="C18" s="58">
        <v>29.160526128124925</v>
      </c>
      <c r="D18" s="12">
        <v>31.939886773640147</v>
      </c>
      <c r="E18" s="12">
        <v>32.534088699676808</v>
      </c>
      <c r="F18" s="12">
        <v>28.881226057885833</v>
      </c>
      <c r="G18" s="12">
        <v>26.710895375460872</v>
      </c>
      <c r="H18" s="46">
        <v>25.360235595147042</v>
      </c>
      <c r="I18" s="50">
        <v>25.047175112217666</v>
      </c>
      <c r="J18" s="12">
        <v>30.711496104372596</v>
      </c>
      <c r="K18" s="12">
        <v>26.916890285936979</v>
      </c>
      <c r="L18" s="46">
        <v>26.612439415300983</v>
      </c>
      <c r="M18" s="50">
        <v>30.093971233864437</v>
      </c>
      <c r="N18" s="12">
        <v>32.722804784006833</v>
      </c>
      <c r="O18" s="46">
        <v>32.433860077973804</v>
      </c>
      <c r="Q18" s="49">
        <f>IF(_635_CCCT_WyoNE,VLOOKUP($B18,'Table 3 635 (Wyo)'!$B$11:$K$41,9,FALSE),IF(_477_CCCT_WestMain,VLOOKUP($B18,'Table 3 477 (WM)'!$B$11:$K$41,9,FALSE),IF(_635_CCCT_UtahS,VLOOKUP($B18,'Table 3 635 (Ut S)'!$B$11:$K$41,9,FALSE),"ERROR")))</f>
        <v>0</v>
      </c>
    </row>
    <row r="19" spans="2:19" ht="12.75" customHeight="1" x14ac:dyDescent="0.2">
      <c r="B19" s="56">
        <f t="shared" si="0"/>
        <v>2025</v>
      </c>
      <c r="C19" s="58">
        <v>32.944683875424744</v>
      </c>
      <c r="D19" s="12">
        <v>35.332957070122916</v>
      </c>
      <c r="E19" s="12">
        <v>29.874769662342526</v>
      </c>
      <c r="F19" s="12">
        <v>30.7321321257783</v>
      </c>
      <c r="G19" s="12">
        <v>29.961120411964998</v>
      </c>
      <c r="H19" s="46">
        <v>26.590675530099155</v>
      </c>
      <c r="I19" s="50">
        <v>26.765376922420039</v>
      </c>
      <c r="J19" s="12">
        <v>41.26655392372659</v>
      </c>
      <c r="K19" s="12">
        <v>39.149641710005177</v>
      </c>
      <c r="L19" s="46">
        <v>38.986720125886059</v>
      </c>
      <c r="M19" s="50">
        <v>29.573566900619706</v>
      </c>
      <c r="N19" s="12">
        <v>31.778300600164854</v>
      </c>
      <c r="O19" s="46">
        <v>34.889005712917864</v>
      </c>
      <c r="Q19" s="49">
        <f>IF(_635_CCCT_WyoNE,VLOOKUP($B19,'Table 3 635 (Wyo)'!$B$11:$K$41,9,FALSE),IF(_477_CCCT_WestMain,VLOOKUP($B19,'Table 3 477 (WM)'!$B$11:$K$41,9,FALSE),IF(_635_CCCT_UtahS,VLOOKUP($B19,'Table 3 635 (Ut S)'!$B$11:$K$41,9,FALSE),"ERROR")))</f>
        <v>0</v>
      </c>
    </row>
    <row r="20" spans="2:19" ht="12.75" customHeight="1" x14ac:dyDescent="0.2">
      <c r="B20" s="56">
        <f t="shared" si="0"/>
        <v>2026</v>
      </c>
      <c r="C20" s="58">
        <v>33.957187836250249</v>
      </c>
      <c r="D20" s="12">
        <v>34.187335150489545</v>
      </c>
      <c r="E20" s="12">
        <v>34.294709299661285</v>
      </c>
      <c r="F20" s="12">
        <v>31.296039290890654</v>
      </c>
      <c r="G20" s="12">
        <v>30.826674151405012</v>
      </c>
      <c r="H20" s="46">
        <v>27.271010658721298</v>
      </c>
      <c r="I20" s="50">
        <v>27.425496697300204</v>
      </c>
      <c r="J20" s="12">
        <v>43.008215875725703</v>
      </c>
      <c r="K20" s="12">
        <v>40.730824567842696</v>
      </c>
      <c r="L20" s="46">
        <v>40.902607334169979</v>
      </c>
      <c r="M20" s="50">
        <v>29.861869895954456</v>
      </c>
      <c r="N20" s="12">
        <v>32.805878009674402</v>
      </c>
      <c r="O20" s="46">
        <v>34.783479207608515</v>
      </c>
      <c r="Q20" s="49">
        <f>IF(_635_CCCT_WyoNE,VLOOKUP($B20,'Table 3 635 (Wyo)'!$B$11:$K$41,9,FALSE),IF(_477_CCCT_WestMain,VLOOKUP($B20,'Table 3 477 (WM)'!$B$11:$K$41,9,FALSE),IF(_635_CCCT_UtahS,VLOOKUP($B20,'Table 3 635 (Ut S)'!$B$11:$K$41,9,FALSE),"ERROR")))</f>
        <v>0</v>
      </c>
    </row>
    <row r="21" spans="2:19" ht="12.75" customHeight="1" x14ac:dyDescent="0.2">
      <c r="B21" s="56">
        <f t="shared" si="0"/>
        <v>2027</v>
      </c>
      <c r="C21" s="58">
        <v>35.928310543344828</v>
      </c>
      <c r="D21" s="12">
        <v>35.158607400069222</v>
      </c>
      <c r="E21" s="12">
        <v>35.304129640492988</v>
      </c>
      <c r="F21" s="12">
        <v>33.036837153869065</v>
      </c>
      <c r="G21" s="12">
        <v>31.563660003831185</v>
      </c>
      <c r="H21" s="46">
        <v>28.270566317644075</v>
      </c>
      <c r="I21" s="50">
        <v>29.138106712275764</v>
      </c>
      <c r="J21" s="12">
        <v>44.739750872596694</v>
      </c>
      <c r="K21" s="12">
        <v>42.638320556541714</v>
      </c>
      <c r="L21" s="46">
        <v>43.23884467065578</v>
      </c>
      <c r="M21" s="50">
        <v>32.079172897188535</v>
      </c>
      <c r="N21" s="12">
        <v>35.410694970905389</v>
      </c>
      <c r="O21" s="46">
        <v>40.359923113604026</v>
      </c>
      <c r="Q21" s="49">
        <f>IF(_635_CCCT_WyoNE,VLOOKUP($B21,'Table 3 635 (Wyo)'!$B$11:$K$41,9,FALSE),IF(_477_CCCT_WestMain,VLOOKUP($B21,'Table 3 477 (WM)'!$B$11:$K$41,9,FALSE),IF(_635_CCCT_UtahS,VLOOKUP($B21,'Table 3 635 (Ut S)'!$B$11:$K$41,9,FALSE),"ERROR")))</f>
        <v>0</v>
      </c>
    </row>
    <row r="22" spans="2:19" ht="12.75" customHeight="1" x14ac:dyDescent="0.2">
      <c r="B22" s="56">
        <f t="shared" si="0"/>
        <v>2028</v>
      </c>
      <c r="C22" s="58">
        <v>30.798284249673891</v>
      </c>
      <c r="D22" s="12">
        <v>30.403172339487217</v>
      </c>
      <c r="E22" s="12">
        <v>31.47</v>
      </c>
      <c r="F22" s="12">
        <v>30.792419116345105</v>
      </c>
      <c r="G22" s="12">
        <v>29.923173487333496</v>
      </c>
      <c r="H22" s="46">
        <v>29.764955691966847</v>
      </c>
      <c r="I22" s="50">
        <v>30.467873916787163</v>
      </c>
      <c r="J22" s="12">
        <v>30.605957029876283</v>
      </c>
      <c r="K22" s="12">
        <v>31.339516094083805</v>
      </c>
      <c r="L22" s="46">
        <v>31.050110354463943</v>
      </c>
      <c r="M22" s="50">
        <v>30.878141611254645</v>
      </c>
      <c r="N22" s="12">
        <v>31.47</v>
      </c>
      <c r="O22" s="46">
        <v>31.47</v>
      </c>
      <c r="Q22" s="49">
        <f>IF(_635_CCCT_WyoNE,VLOOKUP($B22,'Table 3 635 (Wyo)'!$B$11:$K$41,9,FALSE),IF(_477_CCCT_WestMain,VLOOKUP($B22,'Table 3 477 (WM)'!$B$11:$K$41,9,FALSE),IF(_635_CCCT_UtahS,VLOOKUP($B22,'Table 3 635 (Ut S)'!$B$11:$K$41,9,FALSE),"ERROR")))</f>
        <v>31.47</v>
      </c>
    </row>
    <row r="23" spans="2:19" ht="12.75" customHeight="1" x14ac:dyDescent="0.2">
      <c r="B23" s="56">
        <f t="shared" si="0"/>
        <v>2029</v>
      </c>
      <c r="C23" s="58">
        <v>31.701317532658745</v>
      </c>
      <c r="D23" s="12">
        <v>32.39</v>
      </c>
      <c r="E23" s="12">
        <v>32.39</v>
      </c>
      <c r="F23" s="12">
        <v>32.39</v>
      </c>
      <c r="G23" s="12">
        <v>31.068185104678562</v>
      </c>
      <c r="H23" s="46">
        <v>31.433908104275901</v>
      </c>
      <c r="I23" s="50">
        <v>31.442806182778835</v>
      </c>
      <c r="J23" s="12">
        <v>31.027450212661428</v>
      </c>
      <c r="K23" s="12">
        <v>31.89941303570679</v>
      </c>
      <c r="L23" s="46">
        <v>30.875599032692563</v>
      </c>
      <c r="M23" s="50">
        <v>31.161089742588967</v>
      </c>
      <c r="N23" s="12">
        <v>31.967183195457253</v>
      </c>
      <c r="O23" s="46">
        <v>32.39</v>
      </c>
      <c r="Q23" s="49">
        <f>IF(_635_CCCT_WyoNE,VLOOKUP($B23,'Table 3 635 (Wyo)'!$B$11:$K$41,9,FALSE),IF(_477_CCCT_WestMain,VLOOKUP($B23,'Table 3 477 (WM)'!$B$11:$K$41,9,FALSE),IF(_635_CCCT_UtahS,VLOOKUP($B23,'Table 3 635 (Ut S)'!$B$11:$K$41,9,FALSE),"ERROR")))</f>
        <v>32.39</v>
      </c>
    </row>
    <row r="24" spans="2:19" ht="12.75" customHeight="1" x14ac:dyDescent="0.2">
      <c r="B24" s="56">
        <f t="shared" si="0"/>
        <v>2030</v>
      </c>
      <c r="C24" s="58">
        <v>33.835975352628921</v>
      </c>
      <c r="D24" s="12">
        <v>33.650607515339949</v>
      </c>
      <c r="E24" s="12">
        <v>34.285749334538309</v>
      </c>
      <c r="F24" s="12">
        <v>33.114648881308604</v>
      </c>
      <c r="G24" s="12">
        <v>33.730260412645791</v>
      </c>
      <c r="H24" s="46">
        <v>33.970204925571984</v>
      </c>
      <c r="I24" s="50">
        <v>33.05745491996943</v>
      </c>
      <c r="J24" s="12">
        <v>33.336567001122035</v>
      </c>
      <c r="K24" s="12">
        <v>34.095943498012481</v>
      </c>
      <c r="L24" s="46">
        <v>33.969957796512475</v>
      </c>
      <c r="M24" s="50">
        <v>34.038151677633806</v>
      </c>
      <c r="N24" s="12">
        <v>34.409999999999997</v>
      </c>
      <c r="O24" s="46">
        <v>34.409999999999997</v>
      </c>
      <c r="Q24" s="49">
        <f>IF(_635_CCCT_WyoNE,VLOOKUP($B24,'Table 3 635 (Wyo)'!$B$11:$K$41,9,FALSE),IF(_477_CCCT_WestMain,VLOOKUP($B24,'Table 3 477 (WM)'!$B$11:$K$41,9,FALSE),IF(_635_CCCT_UtahS,VLOOKUP($B24,'Table 3 635 (Ut S)'!$B$11:$K$41,9,FALSE),"ERROR")))</f>
        <v>34.409999999999997</v>
      </c>
    </row>
    <row r="25" spans="2:19" ht="12.75" customHeight="1" x14ac:dyDescent="0.2">
      <c r="B25" s="56">
        <f t="shared" si="0"/>
        <v>2031</v>
      </c>
      <c r="C25" s="58">
        <v>35.067566155112793</v>
      </c>
      <c r="D25" s="12">
        <v>35.33</v>
      </c>
      <c r="E25" s="12">
        <v>35.33</v>
      </c>
      <c r="F25" s="12">
        <v>35.33</v>
      </c>
      <c r="G25" s="12">
        <v>34.994279990828311</v>
      </c>
      <c r="H25" s="46">
        <v>33.78063478377765</v>
      </c>
      <c r="I25" s="50">
        <v>34.393385751409077</v>
      </c>
      <c r="J25" s="12">
        <v>35.33</v>
      </c>
      <c r="K25" s="12">
        <v>35.33</v>
      </c>
      <c r="L25" s="46">
        <v>35.29959079551346</v>
      </c>
      <c r="M25" s="50">
        <v>35.050137812468932</v>
      </c>
      <c r="N25" s="12">
        <v>35.33</v>
      </c>
      <c r="O25" s="46">
        <v>35.33</v>
      </c>
      <c r="Q25" s="49">
        <f>IF(_635_CCCT_WyoNE,VLOOKUP($B25,'Table 3 635 (Wyo)'!$B$11:$K$41,9,FALSE),IF(_477_CCCT_WestMain,VLOOKUP($B25,'Table 3 477 (WM)'!$B$11:$K$41,9,FALSE),IF(_635_CCCT_UtahS,VLOOKUP($B25,'Table 3 635 (Ut S)'!$B$11:$K$41,9,FALSE),"ERROR")))</f>
        <v>35.33</v>
      </c>
    </row>
    <row r="26" spans="2:19" ht="12.75" customHeight="1" x14ac:dyDescent="0.2">
      <c r="B26" s="57">
        <f t="shared" si="0"/>
        <v>2032</v>
      </c>
      <c r="C26" s="255">
        <v>36.010912068986315</v>
      </c>
      <c r="D26" s="20">
        <v>36.31</v>
      </c>
      <c r="E26" s="20">
        <v>36.31</v>
      </c>
      <c r="F26" s="20">
        <v>36.31</v>
      </c>
      <c r="G26" s="20">
        <v>36.095759521523625</v>
      </c>
      <c r="H26" s="47">
        <v>35.562356086272764</v>
      </c>
      <c r="I26" s="256">
        <v>36.31</v>
      </c>
      <c r="J26" s="20">
        <v>35.663703455436199</v>
      </c>
      <c r="K26" s="20">
        <v>36.31</v>
      </c>
      <c r="L26" s="47">
        <v>35.569778694425729</v>
      </c>
      <c r="M26" s="256">
        <v>35.106093964791711</v>
      </c>
      <c r="N26" s="20">
        <v>36.31</v>
      </c>
      <c r="O26" s="47">
        <v>36.31</v>
      </c>
      <c r="Q26" s="83">
        <f>IF(_635_CCCT_WyoNE,VLOOKUP($B26,'Table 3 635 (Wyo)'!$B$11:$K$41,9,FALSE),IF(_477_CCCT_WestMain,VLOOKUP($B26,'Table 3 477 (WM)'!$B$11:$K$41,9,FALSE),IF(_635_CCCT_UtahS,VLOOKUP($B26,'Table 3 635 (Ut S)'!$B$11:$K$41,9,FALSE),"ERROR")))</f>
        <v>36.31</v>
      </c>
    </row>
    <row r="27" spans="2:19" ht="12.75" hidden="1" customHeight="1" x14ac:dyDescent="0.2">
      <c r="B27" s="56">
        <f t="shared" si="0"/>
        <v>2033</v>
      </c>
      <c r="C27" s="242">
        <v>0</v>
      </c>
      <c r="D27" s="238">
        <v>0</v>
      </c>
      <c r="E27" s="238">
        <v>0</v>
      </c>
      <c r="F27" s="238">
        <v>0</v>
      </c>
      <c r="G27" s="238">
        <v>0</v>
      </c>
      <c r="H27" s="239">
        <v>0</v>
      </c>
      <c r="I27" s="243">
        <v>0</v>
      </c>
      <c r="J27" s="238">
        <v>0</v>
      </c>
      <c r="K27" s="238">
        <v>0</v>
      </c>
      <c r="L27" s="239">
        <v>0</v>
      </c>
      <c r="M27" s="243">
        <v>0</v>
      </c>
      <c r="N27" s="238">
        <v>0</v>
      </c>
      <c r="O27" s="239">
        <v>0</v>
      </c>
      <c r="Q27" s="52">
        <f>IF(_635_CCCT_WyoNE,VLOOKUP($B27,'Table 3 635 (Wyo)'!$B$11:$K$41,9,FALSE),IF(_477_CCCT_WestMain,VLOOKUP($B27,'Table 3 477 (WM)'!$B$11:$K$41,9,FALSE),IF(_635_CCCT_UtahS,VLOOKUP($B27,'Table 3 635 (Ut S)'!$B$11:$K$41,9,FALSE),"ERROR")))</f>
        <v>37.549999999999997</v>
      </c>
    </row>
    <row r="28" spans="2:19" ht="12.75" hidden="1" customHeight="1" x14ac:dyDescent="0.2">
      <c r="B28" s="56">
        <f t="shared" si="0"/>
        <v>2034</v>
      </c>
      <c r="C28" s="242">
        <v>0</v>
      </c>
      <c r="D28" s="238">
        <v>0</v>
      </c>
      <c r="E28" s="238">
        <v>0</v>
      </c>
      <c r="F28" s="238">
        <v>0</v>
      </c>
      <c r="G28" s="238">
        <v>0</v>
      </c>
      <c r="H28" s="239">
        <v>0</v>
      </c>
      <c r="I28" s="243">
        <v>0</v>
      </c>
      <c r="J28" s="238">
        <v>0</v>
      </c>
      <c r="K28" s="238">
        <v>0</v>
      </c>
      <c r="L28" s="239">
        <v>0</v>
      </c>
      <c r="M28" s="243">
        <v>0</v>
      </c>
      <c r="N28" s="238">
        <v>0</v>
      </c>
      <c r="O28" s="239">
        <v>0</v>
      </c>
      <c r="Q28" s="49">
        <f>IF(_635_CCCT_WyoNE,VLOOKUP($B28,'Table 3 635 (Wyo)'!$B$11:$K$41,9,FALSE),IF(_477_CCCT_WestMain,VLOOKUP($B28,'Table 3 477 (WM)'!$B$11:$K$41,9,FALSE),IF(_635_CCCT_UtahS,VLOOKUP($B28,'Table 3 635 (Ut S)'!$B$11:$K$41,9,FALSE),"ERROR")))</f>
        <v>38.72</v>
      </c>
    </row>
    <row r="29" spans="2:19" ht="12.75" hidden="1" customHeight="1" x14ac:dyDescent="0.2">
      <c r="B29" s="56">
        <f t="shared" si="0"/>
        <v>2035</v>
      </c>
      <c r="C29" s="242">
        <v>0</v>
      </c>
      <c r="D29" s="238">
        <v>0</v>
      </c>
      <c r="E29" s="238">
        <v>0</v>
      </c>
      <c r="F29" s="238">
        <v>0</v>
      </c>
      <c r="G29" s="238">
        <v>0</v>
      </c>
      <c r="H29" s="239">
        <v>0</v>
      </c>
      <c r="I29" s="243">
        <v>0</v>
      </c>
      <c r="J29" s="238">
        <v>0</v>
      </c>
      <c r="K29" s="238">
        <v>0</v>
      </c>
      <c r="L29" s="239">
        <v>0</v>
      </c>
      <c r="M29" s="243">
        <v>0</v>
      </c>
      <c r="N29" s="238">
        <v>0</v>
      </c>
      <c r="O29" s="239">
        <v>0</v>
      </c>
      <c r="Q29" s="49">
        <f>IF(_635_CCCT_WyoNE,VLOOKUP($B29,'Table 3 635 (Wyo)'!$B$11:$K$41,9,FALSE),IF(_477_CCCT_WestMain,VLOOKUP($B29,'Table 3 477 (WM)'!$B$11:$K$41,9,FALSE),IF(_635_CCCT_UtahS,VLOOKUP($B29,'Table 3 635 (Ut S)'!$B$11:$K$41,9,FALSE),"ERROR")))</f>
        <v>39.770000000000003</v>
      </c>
    </row>
    <row r="30" spans="2:19" ht="12.75" hidden="1" customHeight="1" x14ac:dyDescent="0.2">
      <c r="B30" s="56">
        <f t="shared" si="0"/>
        <v>2036</v>
      </c>
      <c r="C30" s="242">
        <v>0</v>
      </c>
      <c r="D30" s="238">
        <v>0</v>
      </c>
      <c r="E30" s="238">
        <v>0</v>
      </c>
      <c r="F30" s="238">
        <v>0</v>
      </c>
      <c r="G30" s="238">
        <v>0</v>
      </c>
      <c r="H30" s="239">
        <v>0</v>
      </c>
      <c r="I30" s="243">
        <v>0</v>
      </c>
      <c r="J30" s="238">
        <v>0</v>
      </c>
      <c r="K30" s="238">
        <v>0</v>
      </c>
      <c r="L30" s="239">
        <v>0</v>
      </c>
      <c r="M30" s="243">
        <v>0</v>
      </c>
      <c r="N30" s="238">
        <v>0</v>
      </c>
      <c r="O30" s="239">
        <v>0</v>
      </c>
      <c r="Q30" s="49">
        <f>IF(_635_CCCT_WyoNE,VLOOKUP($B30,'Table 3 635 (Wyo)'!$B$11:$K$41,9,FALSE),IF(_477_CCCT_WestMain,VLOOKUP($B30,'Table 3 477 (WM)'!$B$11:$K$41,9,FALSE),IF(_635_CCCT_UtahS,VLOOKUP($B30,'Table 3 635 (Ut S)'!$B$11:$K$41,9,FALSE),"ERROR")))</f>
        <v>41.33</v>
      </c>
    </row>
    <row r="31" spans="2:19" ht="12.75" hidden="1" customHeight="1" x14ac:dyDescent="0.2">
      <c r="B31" s="57">
        <f t="shared" si="0"/>
        <v>2037</v>
      </c>
      <c r="C31" s="244">
        <v>0</v>
      </c>
      <c r="D31" s="240">
        <v>0</v>
      </c>
      <c r="E31" s="240">
        <v>0</v>
      </c>
      <c r="F31" s="240">
        <v>0</v>
      </c>
      <c r="G31" s="240">
        <v>0</v>
      </c>
      <c r="H31" s="241">
        <v>0</v>
      </c>
      <c r="I31" s="245">
        <v>0</v>
      </c>
      <c r="J31" s="240">
        <v>0</v>
      </c>
      <c r="K31" s="240">
        <v>0</v>
      </c>
      <c r="L31" s="241">
        <v>0</v>
      </c>
      <c r="M31" s="245">
        <v>0</v>
      </c>
      <c r="N31" s="240">
        <v>0</v>
      </c>
      <c r="O31" s="241">
        <v>0</v>
      </c>
      <c r="Q31" s="83">
        <f>IF(_635_CCCT_WyoNE,VLOOKUP($B31,'Table 3 635 (Wyo)'!$B$11:$K$41,9,FALSE),IF(_477_CCCT_WestMain,VLOOKUP($B31,'Table 3 477 (WM)'!$B$11:$K$41,9,FALSE),IF(_635_CCCT_UtahS,VLOOKUP($B31,'Table 3 635 (Ut S)'!$B$11:$K$41,9,FALSE),"ERROR")))</f>
        <v>42.45</v>
      </c>
    </row>
    <row r="32" spans="2:19" ht="12.75" customHeight="1" x14ac:dyDescent="0.2">
      <c r="D32" s="18"/>
      <c r="E32" s="18"/>
      <c r="F32" s="18"/>
      <c r="M32" s="26"/>
    </row>
    <row r="33" spans="2:17" x14ac:dyDescent="0.2">
      <c r="B33" s="221" t="s">
        <v>106</v>
      </c>
      <c r="C33" s="6" t="s">
        <v>109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2:17" x14ac:dyDescent="0.2">
      <c r="C34" s="6" t="s">
        <v>107</v>
      </c>
    </row>
    <row r="35" spans="2:17" x14ac:dyDescent="0.2">
      <c r="C35" s="6" t="s">
        <v>108</v>
      </c>
    </row>
    <row r="37" spans="2:17" hidden="1" x14ac:dyDescent="0.2">
      <c r="C37" s="112"/>
      <c r="D37" s="6">
        <v>31</v>
      </c>
      <c r="E37" s="6">
        <v>28</v>
      </c>
      <c r="F37" s="6">
        <v>31</v>
      </c>
      <c r="G37" s="6">
        <v>30</v>
      </c>
      <c r="H37" s="6">
        <v>31</v>
      </c>
      <c r="I37" s="6">
        <v>30</v>
      </c>
      <c r="J37" s="6">
        <v>31</v>
      </c>
      <c r="K37" s="6">
        <v>31</v>
      </c>
      <c r="L37" s="6">
        <v>30</v>
      </c>
      <c r="M37" s="6">
        <v>31</v>
      </c>
      <c r="N37" s="6">
        <v>30</v>
      </c>
      <c r="O37" s="6">
        <v>31</v>
      </c>
    </row>
    <row r="38" spans="2:17" x14ac:dyDescent="0.2">
      <c r="C38" s="112"/>
    </row>
    <row r="39" spans="2:17" x14ac:dyDescent="0.2">
      <c r="C39" s="112"/>
    </row>
    <row r="40" spans="2:17" x14ac:dyDescent="0.2">
      <c r="C40" s="112"/>
    </row>
  </sheetData>
  <phoneticPr fontId="6" type="noConversion"/>
  <conditionalFormatting sqref="C27:O31">
    <cfRule type="cellIs" dxfId="0" priority="1" stopIfTrue="1" operator="equal">
      <formula>$Q27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topLeftCell="A2" zoomScale="90" zoomScaleNormal="90" zoomScaleSheetLayoutView="85" workbookViewId="0">
      <pane xSplit="2" ySplit="9" topLeftCell="C11" activePane="bottomRight" state="frozen"/>
      <selection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33203125" defaultRowHeight="12.75" x14ac:dyDescent="0.2"/>
  <cols>
    <col min="1" max="1" width="2.83203125" style="159" customWidth="1"/>
    <col min="2" max="2" width="10.83203125" style="159" customWidth="1"/>
    <col min="3" max="3" width="14.1640625" style="159" customWidth="1"/>
    <col min="4" max="4" width="12.33203125" style="159" customWidth="1"/>
    <col min="5" max="5" width="9.1640625" style="159" customWidth="1"/>
    <col min="6" max="6" width="10.5" style="159" customWidth="1"/>
    <col min="7" max="7" width="10.5" style="159" bestFit="1" customWidth="1"/>
    <col min="8" max="8" width="11.6640625" style="159" bestFit="1" customWidth="1"/>
    <col min="9" max="9" width="11.1640625" style="159" customWidth="1"/>
    <col min="10" max="10" width="12" style="159" bestFit="1" customWidth="1"/>
    <col min="11" max="11" width="12" style="159" customWidth="1"/>
    <col min="12" max="13" width="9.33203125" style="159"/>
    <col min="14" max="15" width="9.33203125" style="159" customWidth="1"/>
    <col min="16" max="16384" width="9.33203125" style="159"/>
  </cols>
  <sheetData>
    <row r="1" spans="2:14" ht="15.75" x14ac:dyDescent="0.25">
      <c r="B1" s="1" t="s">
        <v>71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4" ht="5.25" customHeight="1" x14ac:dyDescent="0.25">
      <c r="B2" s="1"/>
      <c r="C2" s="158"/>
      <c r="D2" s="158"/>
      <c r="E2" s="158"/>
      <c r="F2" s="158"/>
      <c r="G2" s="158"/>
      <c r="H2" s="158"/>
      <c r="I2" s="158"/>
      <c r="J2" s="158"/>
      <c r="K2" s="158"/>
    </row>
    <row r="3" spans="2:14" ht="15.75" x14ac:dyDescent="0.25">
      <c r="B3" s="1" t="s">
        <v>111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4" ht="15.75" x14ac:dyDescent="0.25">
      <c r="B4" s="1" t="s">
        <v>128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4" ht="15.75" x14ac:dyDescent="0.25">
      <c r="B5" s="1" t="str">
        <f>C54</f>
        <v>WYNE  DJohns - 665 MW - CCCT Dry "JF, 2x1 - East Side Resource (5,050')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4" ht="15.75" x14ac:dyDescent="0.25">
      <c r="B6" s="1"/>
      <c r="C6" s="158"/>
      <c r="D6" s="158"/>
      <c r="E6" s="158"/>
      <c r="F6" s="158"/>
      <c r="G6" s="158"/>
      <c r="H6" s="158"/>
      <c r="I6" s="158"/>
      <c r="K6" s="59"/>
    </row>
    <row r="7" spans="2:14" x14ac:dyDescent="0.2">
      <c r="B7" s="160"/>
      <c r="C7" s="160"/>
      <c r="D7" s="160"/>
      <c r="E7" s="160"/>
      <c r="F7" s="160"/>
      <c r="G7" s="160"/>
      <c r="H7" s="160"/>
      <c r="I7" s="158"/>
      <c r="J7" s="161"/>
      <c r="K7" s="161"/>
      <c r="L7" s="161"/>
      <c r="M7" s="161"/>
      <c r="N7" s="161"/>
    </row>
    <row r="8" spans="2:14" ht="51.75" customHeight="1" x14ac:dyDescent="0.2">
      <c r="B8" s="60" t="s">
        <v>0</v>
      </c>
      <c r="C8" s="61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62" t="s">
        <v>41</v>
      </c>
      <c r="J8" s="62" t="s">
        <v>92</v>
      </c>
      <c r="K8" s="61" t="s">
        <v>93</v>
      </c>
      <c r="L8" s="161"/>
    </row>
    <row r="9" spans="2:14" ht="18.75" customHeight="1" x14ac:dyDescent="0.2">
      <c r="B9" s="63"/>
      <c r="C9" s="64" t="s">
        <v>8</v>
      </c>
      <c r="D9" s="65" t="s">
        <v>9</v>
      </c>
      <c r="E9" s="65" t="s">
        <v>9</v>
      </c>
      <c r="F9" s="64" t="s">
        <v>57</v>
      </c>
      <c r="G9" s="65" t="s">
        <v>9</v>
      </c>
      <c r="H9" s="65" t="s">
        <v>9</v>
      </c>
      <c r="I9" s="65" t="s">
        <v>42</v>
      </c>
      <c r="J9" s="64" t="s">
        <v>57</v>
      </c>
      <c r="K9" s="64" t="s">
        <v>57</v>
      </c>
      <c r="L9" s="16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48</v>
      </c>
    </row>
    <row r="11" spans="2:14" ht="6" customHeight="1" x14ac:dyDescent="0.2"/>
    <row r="12" spans="2:14" ht="15.75" x14ac:dyDescent="0.25">
      <c r="B12" s="103" t="str">
        <f>C54</f>
        <v>WYNE  DJohns - 665 MW - CCCT Dry "JF, 2x1 - East Side Resource (5,050')</v>
      </c>
      <c r="C12" s="161"/>
      <c r="E12" s="161"/>
      <c r="F12" s="161"/>
      <c r="G12" s="161"/>
      <c r="H12" s="161"/>
      <c r="I12" s="160"/>
      <c r="J12" s="160"/>
      <c r="K12" s="160"/>
      <c r="L12" s="161"/>
    </row>
    <row r="13" spans="2:14" ht="4.5" customHeight="1" x14ac:dyDescent="0.2">
      <c r="B13" s="162"/>
      <c r="C13" s="163"/>
      <c r="D13" s="164"/>
      <c r="E13" s="165"/>
      <c r="F13" s="165"/>
      <c r="G13" s="166"/>
      <c r="H13" s="166"/>
      <c r="I13" s="166"/>
      <c r="J13" s="166"/>
      <c r="K13" s="166"/>
    </row>
    <row r="14" spans="2:14" x14ac:dyDescent="0.2">
      <c r="B14" s="162">
        <v>2014</v>
      </c>
      <c r="C14" s="163">
        <f>$H$60</f>
        <v>981</v>
      </c>
      <c r="D14" s="164">
        <f>ROUND(C14*$C$76,2)</f>
        <v>75.36</v>
      </c>
      <c r="E14" s="165">
        <f>$I$60</f>
        <v>18.690000000000001</v>
      </c>
      <c r="F14" s="165">
        <f>$J$65</f>
        <v>1.52</v>
      </c>
      <c r="G14" s="166">
        <f t="shared" ref="G14:G42" si="0">ROUND(F14*(8.76*$G$65)+E14,2)</f>
        <v>27.68</v>
      </c>
      <c r="H14" s="166">
        <f t="shared" ref="H14:H42" si="1">ROUND(D14+G14,2)</f>
        <v>103.04</v>
      </c>
      <c r="I14" s="166"/>
      <c r="J14" s="166"/>
      <c r="K14" s="166"/>
    </row>
    <row r="15" spans="2:14" x14ac:dyDescent="0.2">
      <c r="B15" s="162">
        <f t="shared" ref="B15:B42" si="2">B14+1</f>
        <v>2015</v>
      </c>
      <c r="C15" s="167"/>
      <c r="D15" s="164">
        <f t="shared" ref="D15:F17" si="3">ROUND(D14*(1+$D83),2)</f>
        <v>75.81</v>
      </c>
      <c r="E15" s="164">
        <f t="shared" si="3"/>
        <v>18.8</v>
      </c>
      <c r="F15" s="164">
        <f t="shared" si="3"/>
        <v>1.53</v>
      </c>
      <c r="G15" s="168">
        <f t="shared" si="0"/>
        <v>27.85</v>
      </c>
      <c r="H15" s="168">
        <f t="shared" si="1"/>
        <v>103.66</v>
      </c>
      <c r="I15" s="166"/>
      <c r="J15" s="166"/>
      <c r="K15" s="166"/>
      <c r="M15" s="100"/>
    </row>
    <row r="16" spans="2:14" x14ac:dyDescent="0.2">
      <c r="B16" s="162">
        <f t="shared" si="2"/>
        <v>2016</v>
      </c>
      <c r="C16" s="167"/>
      <c r="D16" s="164">
        <f t="shared" si="3"/>
        <v>76.72</v>
      </c>
      <c r="E16" s="164">
        <f t="shared" si="3"/>
        <v>19.03</v>
      </c>
      <c r="F16" s="164">
        <f t="shared" si="3"/>
        <v>1.55</v>
      </c>
      <c r="G16" s="166">
        <f t="shared" si="0"/>
        <v>28.2</v>
      </c>
      <c r="H16" s="166">
        <f t="shared" si="1"/>
        <v>104.92</v>
      </c>
      <c r="I16" s="166"/>
      <c r="J16" s="166"/>
      <c r="K16" s="166"/>
      <c r="M16" s="100"/>
    </row>
    <row r="17" spans="2:13" x14ac:dyDescent="0.2">
      <c r="B17" s="162">
        <f t="shared" si="2"/>
        <v>2017</v>
      </c>
      <c r="C17" s="167"/>
      <c r="D17" s="164">
        <f t="shared" si="3"/>
        <v>78.41</v>
      </c>
      <c r="E17" s="164">
        <f t="shared" si="3"/>
        <v>19.45</v>
      </c>
      <c r="F17" s="164">
        <f t="shared" si="3"/>
        <v>1.58</v>
      </c>
      <c r="G17" s="166">
        <f t="shared" si="0"/>
        <v>28.79</v>
      </c>
      <c r="H17" s="166">
        <f t="shared" si="1"/>
        <v>107.2</v>
      </c>
      <c r="I17" s="166"/>
      <c r="J17" s="166"/>
      <c r="K17" s="166"/>
      <c r="M17" s="100"/>
    </row>
    <row r="18" spans="2:13" x14ac:dyDescent="0.2">
      <c r="B18" s="162">
        <f t="shared" si="2"/>
        <v>2018</v>
      </c>
      <c r="C18" s="167"/>
      <c r="D18" s="164">
        <f t="shared" ref="D18:F18" si="4">ROUND(D17*(1+$D86),2)</f>
        <v>80.290000000000006</v>
      </c>
      <c r="E18" s="164">
        <f t="shared" si="4"/>
        <v>19.920000000000002</v>
      </c>
      <c r="F18" s="164">
        <f t="shared" si="4"/>
        <v>1.62</v>
      </c>
      <c r="G18" s="166">
        <f t="shared" ref="G18:G23" si="5">ROUND(F18*(8.76*$G$65)+E18,2)</f>
        <v>29.5</v>
      </c>
      <c r="H18" s="166">
        <f t="shared" ref="H18:H23" si="6">ROUND(D18+G18,2)</f>
        <v>109.79</v>
      </c>
      <c r="I18" s="166"/>
      <c r="J18" s="166"/>
      <c r="K18" s="166"/>
      <c r="M18" s="100"/>
    </row>
    <row r="19" spans="2:13" x14ac:dyDescent="0.2">
      <c r="B19" s="162">
        <f t="shared" si="2"/>
        <v>2019</v>
      </c>
      <c r="C19" s="167"/>
      <c r="D19" s="164">
        <f t="shared" ref="D19:F19" si="7">ROUND(D18*(1+$D87),2)</f>
        <v>82.22</v>
      </c>
      <c r="E19" s="164">
        <f t="shared" si="7"/>
        <v>20.399999999999999</v>
      </c>
      <c r="F19" s="164">
        <f t="shared" si="7"/>
        <v>1.66</v>
      </c>
      <c r="G19" s="166">
        <f t="shared" si="5"/>
        <v>30.22</v>
      </c>
      <c r="H19" s="166">
        <f t="shared" si="6"/>
        <v>112.44</v>
      </c>
      <c r="I19" s="166"/>
      <c r="J19" s="166"/>
      <c r="K19" s="166"/>
      <c r="M19" s="100"/>
    </row>
    <row r="20" spans="2:13" x14ac:dyDescent="0.2">
      <c r="B20" s="162">
        <f t="shared" si="2"/>
        <v>2020</v>
      </c>
      <c r="C20" s="167"/>
      <c r="D20" s="164">
        <f t="shared" ref="D20:F20" si="8">ROUND(D19*(1+$D88),2)</f>
        <v>84.19</v>
      </c>
      <c r="E20" s="164">
        <f t="shared" si="8"/>
        <v>20.89</v>
      </c>
      <c r="F20" s="164">
        <f t="shared" si="8"/>
        <v>1.7</v>
      </c>
      <c r="G20" s="166">
        <f t="shared" si="5"/>
        <v>30.94</v>
      </c>
      <c r="H20" s="166">
        <f t="shared" si="6"/>
        <v>115.13</v>
      </c>
      <c r="I20" s="166"/>
      <c r="J20" s="166"/>
      <c r="K20" s="166"/>
      <c r="M20" s="100"/>
    </row>
    <row r="21" spans="2:13" x14ac:dyDescent="0.2">
      <c r="B21" s="162">
        <f t="shared" si="2"/>
        <v>2021</v>
      </c>
      <c r="C21" s="167"/>
      <c r="D21" s="164">
        <f t="shared" ref="D21:F21" si="9">ROUND(D20*(1+$D89),2)</f>
        <v>86.21</v>
      </c>
      <c r="E21" s="164">
        <f t="shared" si="9"/>
        <v>21.39</v>
      </c>
      <c r="F21" s="164">
        <f t="shared" si="9"/>
        <v>1.74</v>
      </c>
      <c r="G21" s="166">
        <f t="shared" si="5"/>
        <v>31.68</v>
      </c>
      <c r="H21" s="166">
        <f t="shared" si="6"/>
        <v>117.89</v>
      </c>
      <c r="I21" s="166"/>
      <c r="J21" s="166"/>
      <c r="K21" s="166"/>
      <c r="M21" s="100"/>
    </row>
    <row r="22" spans="2:13" x14ac:dyDescent="0.2">
      <c r="B22" s="162">
        <f t="shared" si="2"/>
        <v>2022</v>
      </c>
      <c r="C22" s="167"/>
      <c r="D22" s="164">
        <f t="shared" ref="D22:F22" si="10">ROUND(D21*(1+$D90),2)</f>
        <v>88.19</v>
      </c>
      <c r="E22" s="164">
        <f t="shared" si="10"/>
        <v>21.88</v>
      </c>
      <c r="F22" s="164">
        <f t="shared" si="10"/>
        <v>1.78</v>
      </c>
      <c r="G22" s="166">
        <f t="shared" si="5"/>
        <v>32.409999999999997</v>
      </c>
      <c r="H22" s="166">
        <f t="shared" si="6"/>
        <v>120.6</v>
      </c>
      <c r="I22" s="166"/>
      <c r="J22" s="166"/>
      <c r="K22" s="166"/>
      <c r="M22" s="100"/>
    </row>
    <row r="23" spans="2:13" x14ac:dyDescent="0.2">
      <c r="B23" s="162">
        <f t="shared" si="2"/>
        <v>2023</v>
      </c>
      <c r="C23" s="167"/>
      <c r="D23" s="164">
        <f t="shared" ref="D23:F23" si="11">ROUND(D22*(1+$D91),2)</f>
        <v>90.22</v>
      </c>
      <c r="E23" s="164">
        <f t="shared" si="11"/>
        <v>22.38</v>
      </c>
      <c r="F23" s="164">
        <f t="shared" si="11"/>
        <v>1.82</v>
      </c>
      <c r="G23" s="166">
        <f t="shared" si="5"/>
        <v>33.14</v>
      </c>
      <c r="H23" s="166">
        <f t="shared" si="6"/>
        <v>123.36</v>
      </c>
      <c r="I23" s="166"/>
      <c r="J23" s="166"/>
      <c r="K23" s="166"/>
      <c r="M23" s="100"/>
    </row>
    <row r="24" spans="2:13" x14ac:dyDescent="0.2">
      <c r="B24" s="162">
        <f t="shared" si="2"/>
        <v>2024</v>
      </c>
      <c r="C24" s="167"/>
      <c r="D24" s="168">
        <f>ROUND(D23*(1+$G83),2)</f>
        <v>92.3</v>
      </c>
      <c r="E24" s="168">
        <f>ROUND(E23*(1+$G83),2)</f>
        <v>22.89</v>
      </c>
      <c r="F24" s="168">
        <f>ROUND(F23*(1+$G83),2)</f>
        <v>1.86</v>
      </c>
      <c r="G24" s="166">
        <f t="shared" si="0"/>
        <v>33.89</v>
      </c>
      <c r="H24" s="166">
        <f t="shared" si="1"/>
        <v>126.19</v>
      </c>
      <c r="I24" s="166"/>
      <c r="J24" s="166"/>
      <c r="K24" s="166"/>
      <c r="M24" s="100"/>
    </row>
    <row r="25" spans="2:13" x14ac:dyDescent="0.2">
      <c r="B25" s="162">
        <f t="shared" si="2"/>
        <v>2025</v>
      </c>
      <c r="C25" s="167"/>
      <c r="D25" s="168">
        <f t="shared" ref="D25:F25" si="12">ROUND(D24*(1+$G84),2)</f>
        <v>94.33</v>
      </c>
      <c r="E25" s="168">
        <f t="shared" si="12"/>
        <v>23.39</v>
      </c>
      <c r="F25" s="168">
        <f t="shared" si="12"/>
        <v>1.9</v>
      </c>
      <c r="G25" s="166">
        <f t="shared" ref="G25:G30" si="13">ROUND(F25*(8.76*$G$65)+E25,2)</f>
        <v>34.619999999999997</v>
      </c>
      <c r="H25" s="166">
        <f t="shared" ref="H25:H30" si="14">ROUND(D25+G25,2)</f>
        <v>128.94999999999999</v>
      </c>
      <c r="I25" s="166"/>
      <c r="J25" s="166"/>
      <c r="K25" s="166"/>
      <c r="M25" s="100"/>
    </row>
    <row r="26" spans="2:13" x14ac:dyDescent="0.2">
      <c r="B26" s="162">
        <f t="shared" si="2"/>
        <v>2026</v>
      </c>
      <c r="C26" s="167"/>
      <c r="D26" s="168">
        <f t="shared" ref="D26:F26" si="15">ROUND(D25*(1+$G85),2)</f>
        <v>96.41</v>
      </c>
      <c r="E26" s="168">
        <f t="shared" si="15"/>
        <v>23.9</v>
      </c>
      <c r="F26" s="168">
        <f t="shared" si="15"/>
        <v>1.94</v>
      </c>
      <c r="G26" s="166">
        <f t="shared" si="13"/>
        <v>35.369999999999997</v>
      </c>
      <c r="H26" s="166">
        <f t="shared" si="14"/>
        <v>131.78</v>
      </c>
      <c r="I26" s="166"/>
      <c r="J26" s="166"/>
      <c r="K26" s="166"/>
      <c r="M26" s="100"/>
    </row>
    <row r="27" spans="2:13" ht="13.5" thickBot="1" x14ac:dyDescent="0.25">
      <c r="B27" s="258">
        <f t="shared" si="2"/>
        <v>2027</v>
      </c>
      <c r="C27" s="259"/>
      <c r="D27" s="225">
        <f t="shared" ref="D27:F27" si="16">ROUND(D26*(1+$G86),2)</f>
        <v>98.53</v>
      </c>
      <c r="E27" s="225">
        <f t="shared" si="16"/>
        <v>24.43</v>
      </c>
      <c r="F27" s="225">
        <f t="shared" si="16"/>
        <v>1.98</v>
      </c>
      <c r="G27" s="193">
        <f t="shared" si="13"/>
        <v>36.14</v>
      </c>
      <c r="H27" s="193">
        <f t="shared" si="14"/>
        <v>134.66999999999999</v>
      </c>
      <c r="I27" s="193"/>
      <c r="J27" s="193"/>
      <c r="K27" s="193"/>
      <c r="M27" s="100"/>
    </row>
    <row r="28" spans="2:13" x14ac:dyDescent="0.2">
      <c r="B28" s="162">
        <f t="shared" si="2"/>
        <v>2028</v>
      </c>
      <c r="C28" s="167"/>
      <c r="D28" s="168">
        <f t="shared" ref="D28:D29" si="17">ROUND(D27*(1+$G87),2)</f>
        <v>100.7</v>
      </c>
      <c r="E28" s="168">
        <f t="shared" ref="E28:E29" si="18">ROUND(E27*(1+$G87),2)</f>
        <v>24.97</v>
      </c>
      <c r="F28" s="168">
        <f t="shared" ref="F28:F29" si="19">ROUND(F27*(1+$G87),2)</f>
        <v>2.02</v>
      </c>
      <c r="G28" s="166">
        <f t="shared" ref="G28:G29" si="20">ROUND(F28*(8.76*$G$65)+E28,2)</f>
        <v>36.909999999999997</v>
      </c>
      <c r="H28" s="166">
        <f t="shared" ref="H28:H29" si="21">ROUND(D28+G28,2)</f>
        <v>137.61000000000001</v>
      </c>
      <c r="I28" s="166">
        <f>VLOOKUP(B28,'Table 4'!$B$13:$C$40,2,FALSE)</f>
        <v>4.82</v>
      </c>
      <c r="J28" s="166">
        <f t="shared" ref="J28" si="22">ROUND($K$65*I28/1000,2)</f>
        <v>32.39</v>
      </c>
      <c r="K28" s="166">
        <f t="shared" ref="K28" si="23">ROUND(H28*1000/8760/$G$65+J28,2)</f>
        <v>55.66</v>
      </c>
      <c r="M28" s="100"/>
    </row>
    <row r="29" spans="2:13" x14ac:dyDescent="0.2">
      <c r="B29" s="206">
        <f t="shared" si="2"/>
        <v>2029</v>
      </c>
      <c r="C29" s="207"/>
      <c r="D29" s="201">
        <f t="shared" si="17"/>
        <v>102.81</v>
      </c>
      <c r="E29" s="201">
        <f t="shared" si="18"/>
        <v>25.49</v>
      </c>
      <c r="F29" s="201">
        <f t="shared" si="19"/>
        <v>2.06</v>
      </c>
      <c r="G29" s="201">
        <f t="shared" si="20"/>
        <v>37.67</v>
      </c>
      <c r="H29" s="201">
        <f t="shared" si="21"/>
        <v>140.47999999999999</v>
      </c>
      <c r="I29" s="166">
        <f>VLOOKUP(B29,'Table 4'!$B$13:$C$40,2,FALSE)</f>
        <v>4.96</v>
      </c>
      <c r="J29" s="166">
        <f t="shared" ref="J29:J30" si="24">ROUND($K$65*I29/1000,2)</f>
        <v>33.33</v>
      </c>
      <c r="K29" s="166">
        <f t="shared" ref="K29:K30" si="25">ROUND(H29*1000/8760/$G$65+J29,2)</f>
        <v>57.09</v>
      </c>
      <c r="M29" s="100"/>
    </row>
    <row r="30" spans="2:13" s="203" customFormat="1" x14ac:dyDescent="0.2">
      <c r="B30" s="206">
        <f t="shared" si="2"/>
        <v>2030</v>
      </c>
      <c r="C30" s="207"/>
      <c r="D30" s="201">
        <f t="shared" ref="D30:F30" si="26">ROUND(D29*(1+$G89),2)</f>
        <v>105.07</v>
      </c>
      <c r="E30" s="201">
        <f t="shared" si="26"/>
        <v>26.05</v>
      </c>
      <c r="F30" s="201">
        <f t="shared" si="26"/>
        <v>2.11</v>
      </c>
      <c r="G30" s="201">
        <f t="shared" si="13"/>
        <v>38.53</v>
      </c>
      <c r="H30" s="201">
        <f t="shared" si="14"/>
        <v>143.6</v>
      </c>
      <c r="I30" s="166">
        <f>VLOOKUP(B30,'Table 4'!$B$13:$C$40,2,FALSE)</f>
        <v>5.27</v>
      </c>
      <c r="J30" s="166">
        <f t="shared" si="24"/>
        <v>35.409999999999997</v>
      </c>
      <c r="K30" s="166">
        <f t="shared" si="25"/>
        <v>59.7</v>
      </c>
      <c r="M30" s="100"/>
    </row>
    <row r="31" spans="2:13" s="203" customFormat="1" x14ac:dyDescent="0.2">
      <c r="B31" s="206">
        <f t="shared" si="2"/>
        <v>2031</v>
      </c>
      <c r="C31" s="207"/>
      <c r="D31" s="201">
        <f t="shared" ref="D31:D32" si="27">ROUND(D30*(1+$G90),2)</f>
        <v>107.38</v>
      </c>
      <c r="E31" s="201">
        <f t="shared" ref="E31:E32" si="28">ROUND(E30*(1+$G90),2)</f>
        <v>26.62</v>
      </c>
      <c r="F31" s="201">
        <f t="shared" ref="F31:F32" si="29">ROUND(F30*(1+$G90),2)</f>
        <v>2.16</v>
      </c>
      <c r="G31" s="201">
        <f t="shared" ref="G31:G33" si="30">ROUND(F31*(8.76*$G$65)+E31,2)</f>
        <v>39.39</v>
      </c>
      <c r="H31" s="201">
        <f t="shared" ref="H31:H33" si="31">ROUND(D31+G31,2)</f>
        <v>146.77000000000001</v>
      </c>
      <c r="I31" s="166">
        <f>VLOOKUP(B31,'Table 4'!$B$13:$C$40,2,FALSE)</f>
        <v>5.41</v>
      </c>
      <c r="J31" s="166">
        <f t="shared" ref="J31:J42" si="32">ROUND($K$65*I31/1000,2)</f>
        <v>36.36</v>
      </c>
      <c r="K31" s="166">
        <f t="shared" ref="K31:K42" si="33">ROUND(H31*1000/8760/$G$65+J31,2)</f>
        <v>61.18</v>
      </c>
      <c r="M31" s="100"/>
    </row>
    <row r="32" spans="2:13" s="203" customFormat="1" hidden="1" x14ac:dyDescent="0.2">
      <c r="B32" s="206">
        <f t="shared" si="2"/>
        <v>2032</v>
      </c>
      <c r="C32" s="207"/>
      <c r="D32" s="201">
        <f t="shared" si="27"/>
        <v>109.74</v>
      </c>
      <c r="E32" s="201">
        <f t="shared" si="28"/>
        <v>27.21</v>
      </c>
      <c r="F32" s="201">
        <f t="shared" si="29"/>
        <v>2.21</v>
      </c>
      <c r="G32" s="201">
        <f t="shared" si="30"/>
        <v>40.28</v>
      </c>
      <c r="H32" s="201">
        <f t="shared" si="31"/>
        <v>150.02000000000001</v>
      </c>
      <c r="I32" s="166">
        <f>VLOOKUP(B32,'Table 4'!$B$13:$C$40,2,FALSE)</f>
        <v>5.56</v>
      </c>
      <c r="J32" s="166">
        <f t="shared" si="32"/>
        <v>37.36</v>
      </c>
      <c r="K32" s="166">
        <f t="shared" si="33"/>
        <v>62.73</v>
      </c>
      <c r="M32" s="100"/>
    </row>
    <row r="33" spans="2:15" hidden="1" x14ac:dyDescent="0.2">
      <c r="B33" s="162">
        <f t="shared" si="2"/>
        <v>2033</v>
      </c>
      <c r="C33" s="167"/>
      <c r="D33" s="166">
        <f>ROUND(D32*(1+$J83),2)</f>
        <v>112.15</v>
      </c>
      <c r="E33" s="164">
        <f>ROUND(E32*(1+$J83),2)</f>
        <v>27.81</v>
      </c>
      <c r="F33" s="164">
        <f>ROUND(F32*(1+$J83),2)</f>
        <v>2.2599999999999998</v>
      </c>
      <c r="G33" s="166">
        <f t="shared" si="30"/>
        <v>41.17</v>
      </c>
      <c r="H33" s="166">
        <f t="shared" si="31"/>
        <v>153.32</v>
      </c>
      <c r="I33" s="166">
        <f>VLOOKUP(B33,'Table 4'!$B$13:$C$40,2,FALSE)</f>
        <v>5.75</v>
      </c>
      <c r="J33" s="166">
        <f t="shared" si="32"/>
        <v>38.64</v>
      </c>
      <c r="K33" s="166">
        <f t="shared" si="33"/>
        <v>64.569999999999993</v>
      </c>
      <c r="M33" s="100"/>
    </row>
    <row r="34" spans="2:15" hidden="1" x14ac:dyDescent="0.2">
      <c r="B34" s="162">
        <f t="shared" si="2"/>
        <v>2034</v>
      </c>
      <c r="C34" s="167"/>
      <c r="D34" s="166">
        <f t="shared" ref="D34:F34" si="34">ROUND(D33*(1+$J84),2)</f>
        <v>114.62</v>
      </c>
      <c r="E34" s="164">
        <f t="shared" si="34"/>
        <v>28.42</v>
      </c>
      <c r="F34" s="164">
        <f t="shared" si="34"/>
        <v>2.31</v>
      </c>
      <c r="G34" s="166">
        <f t="shared" ref="G34:G40" si="35">ROUND(F34*(8.76*$G$65)+E34,2)</f>
        <v>42.08</v>
      </c>
      <c r="H34" s="166">
        <f t="shared" ref="H34:H40" si="36">ROUND(D34+G34,2)</f>
        <v>156.69999999999999</v>
      </c>
      <c r="I34" s="166">
        <f>VLOOKUP(B34,'Table 4'!$B$13:$C$40,2,FALSE)</f>
        <v>5.93</v>
      </c>
      <c r="J34" s="166">
        <f t="shared" si="32"/>
        <v>39.85</v>
      </c>
      <c r="K34" s="166">
        <f t="shared" si="33"/>
        <v>66.349999999999994</v>
      </c>
      <c r="M34" s="100"/>
    </row>
    <row r="35" spans="2:15" hidden="1" x14ac:dyDescent="0.2">
      <c r="B35" s="162">
        <f t="shared" si="2"/>
        <v>2035</v>
      </c>
      <c r="C35" s="167"/>
      <c r="D35" s="166">
        <f t="shared" ref="D35:F35" si="37">ROUND(D34*(1+$J85),2)</f>
        <v>117.14</v>
      </c>
      <c r="E35" s="164">
        <f t="shared" si="37"/>
        <v>29.05</v>
      </c>
      <c r="F35" s="164">
        <f t="shared" si="37"/>
        <v>2.36</v>
      </c>
      <c r="G35" s="166">
        <f t="shared" si="35"/>
        <v>43</v>
      </c>
      <c r="H35" s="166">
        <f t="shared" si="36"/>
        <v>160.13999999999999</v>
      </c>
      <c r="I35" s="166">
        <f>VLOOKUP(B35,'Table 4'!$B$13:$C$40,2,FALSE)</f>
        <v>6.09</v>
      </c>
      <c r="J35" s="166">
        <f t="shared" si="32"/>
        <v>40.92</v>
      </c>
      <c r="K35" s="166">
        <f t="shared" si="33"/>
        <v>68</v>
      </c>
      <c r="M35" s="100"/>
    </row>
    <row r="36" spans="2:15" hidden="1" x14ac:dyDescent="0.2">
      <c r="B36" s="162">
        <f t="shared" si="2"/>
        <v>2036</v>
      </c>
      <c r="C36" s="167"/>
      <c r="D36" s="166">
        <f t="shared" ref="D36:F36" si="38">ROUND(D35*(1+$J86),2)</f>
        <v>119.72</v>
      </c>
      <c r="E36" s="164">
        <f t="shared" si="38"/>
        <v>29.69</v>
      </c>
      <c r="F36" s="164">
        <f t="shared" si="38"/>
        <v>2.41</v>
      </c>
      <c r="G36" s="166">
        <f t="shared" si="35"/>
        <v>43.94</v>
      </c>
      <c r="H36" s="166">
        <f t="shared" si="36"/>
        <v>163.66</v>
      </c>
      <c r="I36" s="166">
        <f>VLOOKUP(B36,'Table 4'!$B$13:$C$40,2,FALSE)</f>
        <v>6.33</v>
      </c>
      <c r="J36" s="166">
        <f t="shared" si="32"/>
        <v>42.54</v>
      </c>
      <c r="K36" s="166">
        <f t="shared" si="33"/>
        <v>70.22</v>
      </c>
      <c r="M36" s="100"/>
    </row>
    <row r="37" spans="2:15" hidden="1" x14ac:dyDescent="0.2">
      <c r="B37" s="162">
        <f t="shared" si="2"/>
        <v>2037</v>
      </c>
      <c r="C37" s="167"/>
      <c r="D37" s="166">
        <f t="shared" ref="D37:F37" si="39">ROUND(D36*(1+$J87),2)</f>
        <v>122.35</v>
      </c>
      <c r="E37" s="164">
        <f t="shared" si="39"/>
        <v>30.34</v>
      </c>
      <c r="F37" s="164">
        <f t="shared" si="39"/>
        <v>2.46</v>
      </c>
      <c r="G37" s="166">
        <f t="shared" si="35"/>
        <v>44.89</v>
      </c>
      <c r="H37" s="166">
        <f t="shared" si="36"/>
        <v>167.24</v>
      </c>
      <c r="I37" s="166">
        <f>VLOOKUP(B37,'Table 4'!$B$13:$C$40,2,FALSE)</f>
        <v>6.5</v>
      </c>
      <c r="J37" s="166">
        <f t="shared" si="32"/>
        <v>43.68</v>
      </c>
      <c r="K37" s="166">
        <f t="shared" si="33"/>
        <v>71.959999999999994</v>
      </c>
      <c r="M37" s="100"/>
    </row>
    <row r="38" spans="2:15" hidden="1" x14ac:dyDescent="0.2">
      <c r="B38" s="162">
        <f t="shared" si="2"/>
        <v>2038</v>
      </c>
      <c r="C38" s="167"/>
      <c r="D38" s="166">
        <f t="shared" ref="D38:F38" si="40">ROUND(D37*(1+$J88),2)</f>
        <v>125.16</v>
      </c>
      <c r="E38" s="164">
        <f t="shared" si="40"/>
        <v>31.04</v>
      </c>
      <c r="F38" s="164">
        <f t="shared" si="40"/>
        <v>2.52</v>
      </c>
      <c r="G38" s="166">
        <f t="shared" si="35"/>
        <v>45.94</v>
      </c>
      <c r="H38" s="166">
        <f t="shared" si="36"/>
        <v>171.1</v>
      </c>
      <c r="I38" s="166">
        <f>VLOOKUP(B38,'Table 4'!$B$13:$C$40,2,FALSE)</f>
        <v>6.84</v>
      </c>
      <c r="J38" s="166">
        <f t="shared" si="32"/>
        <v>45.96</v>
      </c>
      <c r="K38" s="166">
        <f t="shared" si="33"/>
        <v>74.900000000000006</v>
      </c>
      <c r="M38" s="100"/>
    </row>
    <row r="39" spans="2:15" hidden="1" x14ac:dyDescent="0.2">
      <c r="B39" s="162">
        <f t="shared" si="2"/>
        <v>2039</v>
      </c>
      <c r="C39" s="167"/>
      <c r="D39" s="166">
        <f t="shared" ref="D39:F39" si="41">ROUND(D38*(1+$J89),2)</f>
        <v>128.04</v>
      </c>
      <c r="E39" s="164">
        <f t="shared" si="41"/>
        <v>31.75</v>
      </c>
      <c r="F39" s="164">
        <f t="shared" si="41"/>
        <v>2.58</v>
      </c>
      <c r="G39" s="166">
        <f t="shared" si="35"/>
        <v>47.01</v>
      </c>
      <c r="H39" s="166">
        <f t="shared" si="36"/>
        <v>175.05</v>
      </c>
      <c r="I39" s="166">
        <f>VLOOKUP(B39,'Table 4'!$B$13:$C$40,2,FALSE)</f>
        <v>7.06</v>
      </c>
      <c r="J39" s="166">
        <f t="shared" si="32"/>
        <v>47.44</v>
      </c>
      <c r="K39" s="166">
        <f t="shared" si="33"/>
        <v>77.040000000000006</v>
      </c>
      <c r="M39" s="100"/>
    </row>
    <row r="40" spans="2:15" hidden="1" x14ac:dyDescent="0.2">
      <c r="B40" s="162">
        <f t="shared" si="2"/>
        <v>2040</v>
      </c>
      <c r="C40" s="167"/>
      <c r="D40" s="166">
        <f t="shared" ref="D40:F40" si="42">ROUND(D39*(1+$J90),2)</f>
        <v>130.97999999999999</v>
      </c>
      <c r="E40" s="164">
        <f t="shared" si="42"/>
        <v>32.479999999999997</v>
      </c>
      <c r="F40" s="164">
        <f t="shared" si="42"/>
        <v>2.64</v>
      </c>
      <c r="G40" s="166">
        <f t="shared" si="35"/>
        <v>48.09</v>
      </c>
      <c r="H40" s="166">
        <f t="shared" si="36"/>
        <v>179.07</v>
      </c>
      <c r="I40" s="166">
        <f>VLOOKUP(B40,'Table 4'!$B$13:$C$40,2,FALSE)</f>
        <v>7.38</v>
      </c>
      <c r="J40" s="166">
        <f t="shared" si="32"/>
        <v>49.59</v>
      </c>
      <c r="K40" s="166">
        <f t="shared" si="33"/>
        <v>79.87</v>
      </c>
      <c r="M40" s="100"/>
    </row>
    <row r="41" spans="2:15" hidden="1" x14ac:dyDescent="0.2">
      <c r="B41" s="162">
        <f t="shared" si="2"/>
        <v>2041</v>
      </c>
      <c r="C41" s="167"/>
      <c r="D41" s="166">
        <f t="shared" ref="D41:F42" si="43">ROUND(D40*(1+$J92),2)</f>
        <v>130.97999999999999</v>
      </c>
      <c r="E41" s="164">
        <f t="shared" si="43"/>
        <v>32.479999999999997</v>
      </c>
      <c r="F41" s="164">
        <f t="shared" si="43"/>
        <v>2.64</v>
      </c>
      <c r="G41" s="166">
        <f t="shared" si="0"/>
        <v>48.09</v>
      </c>
      <c r="H41" s="166">
        <f t="shared" si="1"/>
        <v>179.07</v>
      </c>
      <c r="I41" s="166">
        <f>VLOOKUP(B41,'Table 4'!$B$13:$C$40,2,FALSE)</f>
        <v>7.55</v>
      </c>
      <c r="J41" s="166">
        <f t="shared" si="32"/>
        <v>50.74</v>
      </c>
      <c r="K41" s="166">
        <f t="shared" si="33"/>
        <v>81.02</v>
      </c>
    </row>
    <row r="42" spans="2:15" hidden="1" x14ac:dyDescent="0.2">
      <c r="B42" s="162">
        <f t="shared" si="2"/>
        <v>2042</v>
      </c>
      <c r="C42" s="167"/>
      <c r="D42" s="166">
        <f t="shared" si="43"/>
        <v>130.97999999999999</v>
      </c>
      <c r="E42" s="164">
        <f t="shared" si="43"/>
        <v>32.479999999999997</v>
      </c>
      <c r="F42" s="164">
        <f t="shared" si="43"/>
        <v>2.64</v>
      </c>
      <c r="G42" s="166">
        <f t="shared" si="0"/>
        <v>48.09</v>
      </c>
      <c r="H42" s="166">
        <f t="shared" si="1"/>
        <v>179.07</v>
      </c>
      <c r="I42" s="166" t="e">
        <f>VLOOKUP(B42,'Table 4'!$B$13:$C$40,2,FALSE)</f>
        <v>#N/A</v>
      </c>
      <c r="J42" s="166" t="e">
        <f t="shared" si="32"/>
        <v>#N/A</v>
      </c>
      <c r="K42" s="166" t="e">
        <f t="shared" si="33"/>
        <v>#N/A</v>
      </c>
    </row>
    <row r="43" spans="2:15" x14ac:dyDescent="0.2">
      <c r="M43" s="162"/>
      <c r="O43" s="169"/>
    </row>
    <row r="44" spans="2:15" ht="14.25" x14ac:dyDescent="0.2">
      <c r="B44" s="7" t="s">
        <v>49</v>
      </c>
      <c r="C44" s="66"/>
      <c r="D44" s="66"/>
      <c r="E44" s="66"/>
      <c r="F44" s="66"/>
      <c r="G44" s="66"/>
      <c r="H44" s="66"/>
      <c r="I44" s="66"/>
      <c r="J44" s="66"/>
      <c r="K44" s="66"/>
      <c r="M44" s="162"/>
      <c r="N44" s="169"/>
      <c r="O44" s="169"/>
    </row>
    <row r="46" spans="2:15" x14ac:dyDescent="0.2">
      <c r="B46" s="159" t="s">
        <v>30</v>
      </c>
      <c r="D46" s="170" t="s">
        <v>116</v>
      </c>
    </row>
    <row r="47" spans="2:15" x14ac:dyDescent="0.2">
      <c r="C47" s="171" t="str">
        <f>D10</f>
        <v>(b)</v>
      </c>
      <c r="D47" s="166" t="str">
        <f>"= "&amp;C10&amp;" x "&amp;C76</f>
        <v>= (a) x 0.0768230723930572</v>
      </c>
    </row>
    <row r="48" spans="2:15" x14ac:dyDescent="0.2">
      <c r="C48" s="171" t="str">
        <f>G10</f>
        <v>(e)</v>
      </c>
      <c r="D48" s="166" t="str">
        <f>"= "&amp;$F$10&amp;" x  (8.76 x "&amp;TEXT(G65,"0.0%")&amp;") + "&amp;$E$10</f>
        <v>= (d) x  (8.76 x 67.5%) + (c)</v>
      </c>
    </row>
    <row r="49" spans="3:11" x14ac:dyDescent="0.2">
      <c r="C49" s="171" t="str">
        <f>H10</f>
        <v>(f)</v>
      </c>
      <c r="D49" s="166" t="str">
        <f>"= "&amp;D10&amp;" + "&amp;G10</f>
        <v>= (b) + (e)</v>
      </c>
    </row>
    <row r="50" spans="3:11" x14ac:dyDescent="0.2">
      <c r="C50" s="171" t="str">
        <f>I10</f>
        <v>(g)</v>
      </c>
      <c r="D50" s="202" t="str">
        <f>'Table 4'!B3&amp;" - "&amp;'Table 4'!B4</f>
        <v>Table 4 - Burnertip Natural Gas Price Forecast</v>
      </c>
    </row>
    <row r="51" spans="3:11" x14ac:dyDescent="0.2">
      <c r="C51" s="171" t="str">
        <f>J10</f>
        <v>(h)</v>
      </c>
      <c r="D51" s="166" t="str">
        <f>"= "&amp;TEXT(K65,"?,0")&amp;" MMBtu/MWH x "&amp;I9</f>
        <v>= 6,720 MMBtu/MWH x $/MMBtu</v>
      </c>
    </row>
    <row r="52" spans="3:11" x14ac:dyDescent="0.2">
      <c r="C52" s="171" t="str">
        <f>K10</f>
        <v>(i)</v>
      </c>
      <c r="D52" s="16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1" t="s">
        <v>127</v>
      </c>
      <c r="D54" s="98"/>
      <c r="E54" s="98"/>
      <c r="F54" s="98"/>
      <c r="G54" s="98"/>
      <c r="H54" s="98"/>
      <c r="I54" s="98"/>
      <c r="J54" s="99"/>
      <c r="K54" s="172"/>
    </row>
    <row r="55" spans="3:11" ht="5.25" customHeight="1" x14ac:dyDescent="0.2"/>
    <row r="56" spans="3:11" ht="5.25" customHeight="1" x14ac:dyDescent="0.2"/>
    <row r="57" spans="3:11" x14ac:dyDescent="0.2">
      <c r="C57" s="85" t="s">
        <v>59</v>
      </c>
      <c r="D57" s="74"/>
      <c r="E57" s="85"/>
      <c r="F57" s="84" t="s">
        <v>60</v>
      </c>
      <c r="G57" s="84" t="s">
        <v>61</v>
      </c>
      <c r="H57" s="84" t="s">
        <v>62</v>
      </c>
      <c r="I57" s="84" t="s">
        <v>63</v>
      </c>
    </row>
    <row r="58" spans="3:11" x14ac:dyDescent="0.2">
      <c r="C58" s="203" t="s">
        <v>102</v>
      </c>
      <c r="F58" s="173">
        <f>C69</f>
        <v>534</v>
      </c>
      <c r="G58" s="100">
        <f>F58/F60</f>
        <v>0.8409448818897638</v>
      </c>
      <c r="H58" s="187">
        <f>C70</f>
        <v>1029.8527361187882</v>
      </c>
      <c r="I58" s="189">
        <f>C73</f>
        <v>18.746103351822747</v>
      </c>
    </row>
    <row r="59" spans="3:11" x14ac:dyDescent="0.2">
      <c r="C59" s="203" t="s">
        <v>103</v>
      </c>
      <c r="F59" s="91">
        <f>D69</f>
        <v>101</v>
      </c>
      <c r="G59" s="87">
        <f>1-G58</f>
        <v>0.1590551181102362</v>
      </c>
      <c r="H59" s="188">
        <f>D70</f>
        <v>722.04817413140142</v>
      </c>
      <c r="I59" s="190">
        <f>D73</f>
        <v>18.411457075199998</v>
      </c>
    </row>
    <row r="60" spans="3:11" x14ac:dyDescent="0.2">
      <c r="C60" s="203" t="s">
        <v>64</v>
      </c>
      <c r="F60" s="173">
        <f>F58+F59</f>
        <v>635</v>
      </c>
      <c r="G60" s="100">
        <f>G58+G59</f>
        <v>1</v>
      </c>
      <c r="H60" s="187">
        <f>ROUND(((F58*H58)+(F59*H59))/F60,0)</f>
        <v>981</v>
      </c>
      <c r="I60" s="189">
        <f>ROUND(((F58*I58)+(F59*I59))/F60,2)</f>
        <v>18.690000000000001</v>
      </c>
    </row>
    <row r="61" spans="3:11" x14ac:dyDescent="0.2">
      <c r="C61" s="203"/>
      <c r="F61" s="173"/>
      <c r="G61" s="100"/>
      <c r="H61" s="174"/>
      <c r="I61" s="175"/>
    </row>
    <row r="62" spans="3:11" x14ac:dyDescent="0.2">
      <c r="C62" s="204" t="s">
        <v>59</v>
      </c>
      <c r="D62" s="74"/>
      <c r="E62" s="85"/>
      <c r="F62" s="84" t="s">
        <v>60</v>
      </c>
      <c r="G62" s="84" t="s">
        <v>65</v>
      </c>
      <c r="H62" s="84" t="s">
        <v>66</v>
      </c>
      <c r="I62" s="84" t="s">
        <v>61</v>
      </c>
      <c r="J62" s="84" t="s">
        <v>67</v>
      </c>
      <c r="K62" s="84" t="s">
        <v>68</v>
      </c>
    </row>
    <row r="63" spans="3:11" x14ac:dyDescent="0.2">
      <c r="C63" s="205" t="str">
        <f>C58</f>
        <v>CCCT Dry "J" - Turbine</v>
      </c>
      <c r="D63" s="176"/>
      <c r="E63" s="176"/>
      <c r="F63" s="159">
        <f>C69</f>
        <v>534</v>
      </c>
      <c r="G63" s="100">
        <f>C77</f>
        <v>0.78</v>
      </c>
      <c r="H63" s="230">
        <f>G63*F63</f>
        <v>416.52000000000004</v>
      </c>
      <c r="I63" s="100">
        <f>H63/H65</f>
        <v>0.97172452407614784</v>
      </c>
      <c r="J63" s="175">
        <f>C74</f>
        <v>1.5581423998597785</v>
      </c>
      <c r="K63" s="177">
        <f>C75</f>
        <v>6636.6900000000005</v>
      </c>
    </row>
    <row r="64" spans="3:11" x14ac:dyDescent="0.2">
      <c r="C64" s="205" t="str">
        <f>C59</f>
        <v>CCCT Dry "J" - Duct Firing</v>
      </c>
      <c r="D64" s="176"/>
      <c r="E64" s="176"/>
      <c r="F64" s="86">
        <f>D69</f>
        <v>101</v>
      </c>
      <c r="G64" s="87">
        <f>D77</f>
        <v>0.12</v>
      </c>
      <c r="H64" s="231">
        <f>G64*F64</f>
        <v>12.12</v>
      </c>
      <c r="I64" s="87">
        <f>1-I63</f>
        <v>2.8275475923852156E-2</v>
      </c>
      <c r="J64" s="88">
        <f>D74</f>
        <v>0.1083633492976414</v>
      </c>
      <c r="K64" s="89">
        <f>D75</f>
        <v>9560.7706930693093</v>
      </c>
    </row>
    <row r="65" spans="3:11" x14ac:dyDescent="0.2">
      <c r="C65" s="203" t="s">
        <v>69</v>
      </c>
      <c r="F65" s="159">
        <f>F63+F64</f>
        <v>635</v>
      </c>
      <c r="G65" s="178">
        <f>ROUND(H65/F65,3)</f>
        <v>0.67500000000000004</v>
      </c>
      <c r="H65" s="230">
        <f>SUM(H63:H64)</f>
        <v>428.64000000000004</v>
      </c>
      <c r="I65" s="100">
        <f>I63+I64</f>
        <v>1</v>
      </c>
      <c r="J65" s="175">
        <f>ROUND(($I63*J63)+($I64*J64),2)</f>
        <v>1.52</v>
      </c>
      <c r="K65" s="179">
        <f>ROUND(($I63*K63)+($I64*K64),-1)</f>
        <v>6720</v>
      </c>
    </row>
    <row r="66" spans="3:11" x14ac:dyDescent="0.2">
      <c r="G66" s="178"/>
      <c r="I66" s="100"/>
      <c r="J66" s="175"/>
      <c r="K66" s="90" t="s">
        <v>70</v>
      </c>
    </row>
    <row r="68" spans="3:11" x14ac:dyDescent="0.2">
      <c r="C68" s="84" t="s">
        <v>52</v>
      </c>
      <c r="D68" s="84" t="s">
        <v>53</v>
      </c>
      <c r="E68" s="102" t="str">
        <f>D46</f>
        <v>Plant Costs  - 2015 IRP - Table 6.1 &amp; 6.2 - Page 92</v>
      </c>
      <c r="F68" s="180"/>
      <c r="G68" s="180"/>
      <c r="H68" s="180"/>
      <c r="I68" s="180"/>
      <c r="J68" s="180"/>
      <c r="K68" s="181"/>
    </row>
    <row r="69" spans="3:11" x14ac:dyDescent="0.2">
      <c r="C69" s="159">
        <v>534</v>
      </c>
      <c r="D69" s="159">
        <v>101</v>
      </c>
      <c r="E69" s="159" t="s">
        <v>97</v>
      </c>
      <c r="H69" s="182"/>
    </row>
    <row r="70" spans="3:11" x14ac:dyDescent="0.2">
      <c r="C70" s="174">
        <v>1029.8527361187882</v>
      </c>
      <c r="D70" s="174">
        <v>722.04817413140142</v>
      </c>
      <c r="E70" s="159" t="s">
        <v>98</v>
      </c>
    </row>
    <row r="71" spans="3:11" x14ac:dyDescent="0.2">
      <c r="C71" s="175">
        <v>5.9653439534227495</v>
      </c>
      <c r="D71" s="175">
        <v>0</v>
      </c>
      <c r="E71" s="159" t="s">
        <v>99</v>
      </c>
    </row>
    <row r="72" spans="3:11" x14ac:dyDescent="0.2">
      <c r="C72" s="92">
        <v>12.780759398399997</v>
      </c>
      <c r="D72" s="92">
        <v>18.411457075199998</v>
      </c>
      <c r="E72" s="159" t="s">
        <v>95</v>
      </c>
    </row>
    <row r="73" spans="3:11" x14ac:dyDescent="0.2">
      <c r="C73" s="175">
        <f>C71+C72</f>
        <v>18.746103351822747</v>
      </c>
      <c r="D73" s="175">
        <f>D71+D72</f>
        <v>18.411457075199998</v>
      </c>
      <c r="E73" s="159" t="s">
        <v>100</v>
      </c>
    </row>
    <row r="74" spans="3:11" x14ac:dyDescent="0.2">
      <c r="C74" s="175">
        <v>1.5581423998597785</v>
      </c>
      <c r="D74" s="175">
        <v>0.1083633492976414</v>
      </c>
      <c r="E74" s="159" t="s">
        <v>101</v>
      </c>
    </row>
    <row r="75" spans="3:11" x14ac:dyDescent="0.2">
      <c r="C75" s="179">
        <v>6636.6900000000005</v>
      </c>
      <c r="D75" s="179">
        <v>9560.7706930693093</v>
      </c>
      <c r="E75" s="159" t="s">
        <v>72</v>
      </c>
    </row>
    <row r="76" spans="3:11" x14ac:dyDescent="0.2">
      <c r="C76" s="200">
        <v>7.682307239305719E-2</v>
      </c>
      <c r="D76" s="200">
        <v>7.682307239305719E-2</v>
      </c>
      <c r="E76" s="159" t="s">
        <v>73</v>
      </c>
    </row>
    <row r="77" spans="3:11" x14ac:dyDescent="0.2">
      <c r="C77" s="183">
        <v>0.78</v>
      </c>
      <c r="D77" s="183">
        <v>0.12</v>
      </c>
      <c r="E77" s="159" t="s">
        <v>74</v>
      </c>
    </row>
    <row r="78" spans="3:11" x14ac:dyDescent="0.2">
      <c r="D78" s="100">
        <f>ROUND(H65/F65,3)</f>
        <v>0.67500000000000004</v>
      </c>
      <c r="E78" s="159" t="s">
        <v>75</v>
      </c>
    </row>
    <row r="79" spans="3:11" x14ac:dyDescent="0.2">
      <c r="D79" s="178"/>
      <c r="E79" s="111"/>
    </row>
    <row r="80" spans="3:11" x14ac:dyDescent="0.2">
      <c r="C80" s="183"/>
      <c r="D80" s="183"/>
    </row>
    <row r="82" spans="3:15" ht="13.5" thickBot="1" x14ac:dyDescent="0.25">
      <c r="C82" s="97" t="str">
        <f>"Company Official Inflation Forecast Dated "&amp;TEXT('Table 4'!G5,"mmmm dd, yyyy")</f>
        <v>Company Official Inflation Forecast Dated June 30, 2016</v>
      </c>
      <c r="D82" s="98"/>
      <c r="E82" s="98"/>
      <c r="F82" s="98"/>
      <c r="G82" s="98"/>
      <c r="H82" s="98"/>
      <c r="I82" s="98"/>
      <c r="J82" s="99"/>
      <c r="K82" s="172"/>
    </row>
    <row r="83" spans="3:15" x14ac:dyDescent="0.2">
      <c r="C83" s="184">
        <v>2015</v>
      </c>
      <c r="D83" s="100">
        <v>6.0000000000000001E-3</v>
      </c>
      <c r="F83" s="184">
        <f>C91+1</f>
        <v>2024</v>
      </c>
      <c r="G83" s="100">
        <v>2.3E-2</v>
      </c>
      <c r="I83" s="184">
        <f>F91+1</f>
        <v>2033</v>
      </c>
      <c r="J83" s="100">
        <v>2.1999999999999999E-2</v>
      </c>
    </row>
    <row r="84" spans="3:15" x14ac:dyDescent="0.2">
      <c r="C84" s="184">
        <f t="shared" ref="C84:C91" si="44">C83+1</f>
        <v>2016</v>
      </c>
      <c r="D84" s="100">
        <v>1.2E-2</v>
      </c>
      <c r="F84" s="184">
        <f t="shared" ref="F84:F91" si="45">F83+1</f>
        <v>2025</v>
      </c>
      <c r="G84" s="100">
        <v>2.1999999999999999E-2</v>
      </c>
      <c r="I84" s="184">
        <f t="shared" ref="I84:I91" si="46">I83+1</f>
        <v>2034</v>
      </c>
      <c r="J84" s="100">
        <v>2.1999999999999999E-2</v>
      </c>
    </row>
    <row r="85" spans="3:15" x14ac:dyDescent="0.2">
      <c r="C85" s="184">
        <f t="shared" si="44"/>
        <v>2017</v>
      </c>
      <c r="D85" s="100">
        <v>2.1999999999999999E-2</v>
      </c>
      <c r="F85" s="184">
        <f t="shared" si="45"/>
        <v>2026</v>
      </c>
      <c r="G85" s="100">
        <v>2.1999999999999999E-2</v>
      </c>
      <c r="I85" s="184">
        <f t="shared" si="46"/>
        <v>2035</v>
      </c>
      <c r="J85" s="100">
        <v>2.1999999999999999E-2</v>
      </c>
    </row>
    <row r="86" spans="3:15" x14ac:dyDescent="0.2">
      <c r="C86" s="184">
        <f t="shared" si="44"/>
        <v>2018</v>
      </c>
      <c r="D86" s="100">
        <v>2.4E-2</v>
      </c>
      <c r="F86" s="184">
        <f t="shared" si="45"/>
        <v>2027</v>
      </c>
      <c r="G86" s="100">
        <v>2.1999999999999999E-2</v>
      </c>
      <c r="I86" s="184">
        <f t="shared" si="46"/>
        <v>2036</v>
      </c>
      <c r="J86" s="100">
        <v>2.1999999999999999E-2</v>
      </c>
    </row>
    <row r="87" spans="3:15" x14ac:dyDescent="0.2">
      <c r="C87" s="184">
        <f t="shared" si="44"/>
        <v>2019</v>
      </c>
      <c r="D87" s="100">
        <v>2.4E-2</v>
      </c>
      <c r="F87" s="184">
        <f t="shared" si="45"/>
        <v>2028</v>
      </c>
      <c r="G87" s="100">
        <v>2.1999999999999999E-2</v>
      </c>
      <c r="I87" s="184">
        <f t="shared" si="46"/>
        <v>2037</v>
      </c>
      <c r="J87" s="100">
        <v>2.1999999999999999E-2</v>
      </c>
    </row>
    <row r="88" spans="3:15" x14ac:dyDescent="0.2">
      <c r="C88" s="184">
        <f t="shared" si="44"/>
        <v>2020</v>
      </c>
      <c r="D88" s="100">
        <v>2.4E-2</v>
      </c>
      <c r="F88" s="184">
        <f t="shared" si="45"/>
        <v>2029</v>
      </c>
      <c r="G88" s="100">
        <v>2.1000000000000001E-2</v>
      </c>
      <c r="I88" s="184">
        <f t="shared" si="46"/>
        <v>2038</v>
      </c>
      <c r="J88" s="100">
        <v>2.3E-2</v>
      </c>
    </row>
    <row r="89" spans="3:15" s="161" customFormat="1" x14ac:dyDescent="0.2">
      <c r="C89" s="184">
        <f t="shared" si="44"/>
        <v>2021</v>
      </c>
      <c r="D89" s="100">
        <v>2.4E-2</v>
      </c>
      <c r="F89" s="184">
        <f t="shared" si="45"/>
        <v>2030</v>
      </c>
      <c r="G89" s="100">
        <v>2.1999999999999999E-2</v>
      </c>
      <c r="I89" s="184">
        <f t="shared" si="46"/>
        <v>2039</v>
      </c>
      <c r="J89" s="100">
        <v>2.3E-2</v>
      </c>
      <c r="N89" s="159"/>
      <c r="O89" s="159"/>
    </row>
    <row r="90" spans="3:15" s="161" customFormat="1" x14ac:dyDescent="0.2">
      <c r="C90" s="184">
        <f t="shared" si="44"/>
        <v>2022</v>
      </c>
      <c r="D90" s="100">
        <v>2.3E-2</v>
      </c>
      <c r="F90" s="184">
        <f t="shared" si="45"/>
        <v>2031</v>
      </c>
      <c r="G90" s="100">
        <v>2.1999999999999999E-2</v>
      </c>
      <c r="I90" s="184">
        <f t="shared" si="46"/>
        <v>2040</v>
      </c>
      <c r="J90" s="100">
        <v>2.3E-2</v>
      </c>
      <c r="N90" s="159"/>
      <c r="O90" s="159"/>
    </row>
    <row r="91" spans="3:15" s="161" customFormat="1" x14ac:dyDescent="0.2">
      <c r="C91" s="184">
        <f t="shared" si="44"/>
        <v>2023</v>
      </c>
      <c r="D91" s="100">
        <v>2.3E-2</v>
      </c>
      <c r="F91" s="184">
        <f t="shared" si="45"/>
        <v>2032</v>
      </c>
      <c r="G91" s="100">
        <v>2.1999999999999999E-2</v>
      </c>
      <c r="I91" s="184">
        <f t="shared" si="46"/>
        <v>2041</v>
      </c>
      <c r="J91" s="100">
        <v>2.3E-2</v>
      </c>
      <c r="N91" s="159"/>
      <c r="O91" s="159"/>
    </row>
    <row r="92" spans="3:15" s="161" customFormat="1" x14ac:dyDescent="0.2">
      <c r="N92" s="159"/>
      <c r="O92" s="159"/>
    </row>
    <row r="93" spans="3:15" s="161" customFormat="1" x14ac:dyDescent="0.2">
      <c r="N93" s="159"/>
      <c r="O93" s="159"/>
    </row>
    <row r="94" spans="3:15" x14ac:dyDescent="0.2">
      <c r="D94" s="191"/>
    </row>
    <row r="95" spans="3:15" x14ac:dyDescent="0.2">
      <c r="D95" s="191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zoomScale="90" zoomScaleNormal="90" zoomScaleSheetLayoutView="85" workbookViewId="0">
      <pane xSplit="3" ySplit="10" topLeftCell="D11" activePane="bottomRight" state="frozen"/>
      <selection activeCell="O65" sqref="O65"/>
      <selection pane="topRight" activeCell="O65" sqref="O65"/>
      <selection pane="bottomLeft" activeCell="O65" sqref="O65"/>
      <selection pane="bottomRight" activeCell="D45" sqref="D45"/>
    </sheetView>
  </sheetViews>
  <sheetFormatPr defaultColWidth="9.33203125" defaultRowHeight="12.75" x14ac:dyDescent="0.2"/>
  <cols>
    <col min="1" max="1" width="2.83203125" style="159" customWidth="1"/>
    <col min="2" max="2" width="10.83203125" style="159" customWidth="1"/>
    <col min="3" max="3" width="14.1640625" style="159" customWidth="1"/>
    <col min="4" max="4" width="12.33203125" style="159" customWidth="1"/>
    <col min="5" max="5" width="9.1640625" style="159" customWidth="1"/>
    <col min="6" max="6" width="10.5" style="159" customWidth="1"/>
    <col min="7" max="7" width="10.5" style="159" bestFit="1" customWidth="1"/>
    <col min="8" max="8" width="11.6640625" style="159" bestFit="1" customWidth="1"/>
    <col min="9" max="9" width="11.1640625" style="159" customWidth="1"/>
    <col min="10" max="10" width="12" style="159" bestFit="1" customWidth="1"/>
    <col min="11" max="11" width="12" style="159" customWidth="1"/>
    <col min="12" max="13" width="9.33203125" style="159"/>
    <col min="14" max="15" width="9.33203125" style="159" customWidth="1"/>
    <col min="16" max="16384" width="9.33203125" style="159"/>
  </cols>
  <sheetData>
    <row r="1" spans="2:14" ht="15.75" hidden="1" x14ac:dyDescent="0.25">
      <c r="B1" s="1" t="s">
        <v>71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4" ht="15.75" x14ac:dyDescent="0.25">
      <c r="B2" s="1"/>
      <c r="C2" s="158"/>
      <c r="D2" s="158"/>
      <c r="E2" s="158"/>
      <c r="F2" s="158"/>
      <c r="G2" s="158"/>
      <c r="H2" s="158"/>
      <c r="I2" s="158"/>
      <c r="J2" s="158"/>
      <c r="K2" s="158"/>
    </row>
    <row r="3" spans="2:14" ht="15.75" x14ac:dyDescent="0.25">
      <c r="B3" s="1" t="s">
        <v>111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4" ht="15.75" x14ac:dyDescent="0.25">
      <c r="B4" s="1" t="s">
        <v>128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4" ht="15.75" x14ac:dyDescent="0.25">
      <c r="B5" s="1" t="str">
        <f>C54</f>
        <v>West M - 477 MW - CCCT Dry "J", Adv 1x1 - West Side Resource (1,500')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4" ht="15.75" x14ac:dyDescent="0.25">
      <c r="B6" s="1"/>
      <c r="C6" s="158"/>
      <c r="D6" s="158"/>
      <c r="E6" s="158"/>
      <c r="F6" s="158"/>
      <c r="G6" s="158"/>
      <c r="H6" s="158"/>
      <c r="I6" s="158"/>
      <c r="K6" s="59"/>
    </row>
    <row r="7" spans="2:14" x14ac:dyDescent="0.2">
      <c r="B7" s="160"/>
      <c r="C7" s="160"/>
      <c r="D7" s="160"/>
      <c r="E7" s="160"/>
      <c r="F7" s="160"/>
      <c r="G7" s="160"/>
      <c r="H7" s="160"/>
      <c r="I7" s="158"/>
      <c r="J7" s="161"/>
      <c r="K7" s="161"/>
      <c r="L7" s="161"/>
      <c r="M7" s="161"/>
      <c r="N7" s="161"/>
    </row>
    <row r="8" spans="2:14" ht="51.75" customHeight="1" x14ac:dyDescent="0.2">
      <c r="B8" s="60" t="s">
        <v>0</v>
      </c>
      <c r="C8" s="61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62" t="s">
        <v>41</v>
      </c>
      <c r="J8" s="62" t="s">
        <v>92</v>
      </c>
      <c r="K8" s="61" t="s">
        <v>93</v>
      </c>
      <c r="L8" s="161"/>
    </row>
    <row r="9" spans="2:14" ht="18.75" customHeight="1" x14ac:dyDescent="0.2">
      <c r="B9" s="63"/>
      <c r="C9" s="64" t="s">
        <v>8</v>
      </c>
      <c r="D9" s="65" t="s">
        <v>9</v>
      </c>
      <c r="E9" s="65" t="s">
        <v>9</v>
      </c>
      <c r="F9" s="64" t="s">
        <v>57</v>
      </c>
      <c r="G9" s="65" t="s">
        <v>9</v>
      </c>
      <c r="H9" s="65" t="s">
        <v>9</v>
      </c>
      <c r="I9" s="65" t="s">
        <v>42</v>
      </c>
      <c r="J9" s="64" t="s">
        <v>57</v>
      </c>
      <c r="K9" s="64" t="s">
        <v>57</v>
      </c>
      <c r="L9" s="16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48</v>
      </c>
    </row>
    <row r="11" spans="2:14" ht="6" customHeight="1" x14ac:dyDescent="0.2"/>
    <row r="12" spans="2:14" ht="15.75" x14ac:dyDescent="0.25">
      <c r="B12" s="103" t="str">
        <f>C54</f>
        <v>West M - 477 MW - CCCT Dry "J", Adv 1x1 - West Side Resource (1,500')</v>
      </c>
      <c r="C12" s="161"/>
      <c r="E12" s="161"/>
      <c r="F12" s="161"/>
      <c r="G12" s="161"/>
      <c r="H12" s="161"/>
      <c r="I12" s="160"/>
      <c r="J12" s="160"/>
      <c r="K12" s="160"/>
      <c r="L12" s="161"/>
    </row>
    <row r="13" spans="2:14" ht="4.5" customHeight="1" x14ac:dyDescent="0.2">
      <c r="B13" s="162"/>
      <c r="C13" s="163"/>
      <c r="D13" s="164"/>
      <c r="E13" s="165"/>
      <c r="F13" s="165"/>
      <c r="G13" s="166"/>
      <c r="H13" s="166"/>
      <c r="I13" s="166"/>
      <c r="J13" s="166"/>
      <c r="K13" s="166"/>
    </row>
    <row r="14" spans="2:14" x14ac:dyDescent="0.2">
      <c r="B14" s="162">
        <v>2014</v>
      </c>
      <c r="C14" s="163">
        <f>$H$60</f>
        <v>867</v>
      </c>
      <c r="D14" s="164">
        <f>ROUND(C14*$C$76,2)</f>
        <v>66.61</v>
      </c>
      <c r="E14" s="165">
        <f>$I$60</f>
        <v>30.83</v>
      </c>
      <c r="F14" s="165">
        <f>$J$65</f>
        <v>2.2400000000000002</v>
      </c>
      <c r="G14" s="166">
        <f t="shared" ref="G14:G42" si="0">ROUND(F14*(8.76*$G$65)+E14,2)</f>
        <v>44.98</v>
      </c>
      <c r="H14" s="166">
        <f t="shared" ref="H14:H42" si="1">ROUND(D14+G14,2)</f>
        <v>111.59</v>
      </c>
      <c r="I14" s="166"/>
      <c r="J14" s="166"/>
      <c r="K14" s="166"/>
    </row>
    <row r="15" spans="2:14" x14ac:dyDescent="0.2">
      <c r="B15" s="162">
        <f t="shared" ref="B15:B42" si="2">B14+1</f>
        <v>2015</v>
      </c>
      <c r="C15" s="167"/>
      <c r="D15" s="164">
        <f t="shared" ref="D15:F17" si="3">ROUND(D14*(1+$D83),2)</f>
        <v>67.010000000000005</v>
      </c>
      <c r="E15" s="164">
        <f t="shared" si="3"/>
        <v>31.01</v>
      </c>
      <c r="F15" s="164">
        <f t="shared" si="3"/>
        <v>2.25</v>
      </c>
      <c r="G15" s="168">
        <f t="shared" si="0"/>
        <v>45.22</v>
      </c>
      <c r="H15" s="168">
        <f t="shared" si="1"/>
        <v>112.23</v>
      </c>
      <c r="I15" s="166"/>
      <c r="J15" s="166"/>
      <c r="K15" s="166"/>
      <c r="M15" s="100"/>
    </row>
    <row r="16" spans="2:14" x14ac:dyDescent="0.2">
      <c r="B16" s="162">
        <f t="shared" si="2"/>
        <v>2016</v>
      </c>
      <c r="C16" s="167"/>
      <c r="D16" s="164">
        <f t="shared" si="3"/>
        <v>67.81</v>
      </c>
      <c r="E16" s="164">
        <f t="shared" si="3"/>
        <v>31.38</v>
      </c>
      <c r="F16" s="164">
        <f t="shared" si="3"/>
        <v>2.2799999999999998</v>
      </c>
      <c r="G16" s="166">
        <f t="shared" si="0"/>
        <v>45.78</v>
      </c>
      <c r="H16" s="166">
        <f t="shared" si="1"/>
        <v>113.59</v>
      </c>
      <c r="I16" s="166"/>
      <c r="J16" s="166"/>
      <c r="K16" s="166"/>
      <c r="M16" s="100"/>
    </row>
    <row r="17" spans="2:13" x14ac:dyDescent="0.2">
      <c r="B17" s="162">
        <f t="shared" si="2"/>
        <v>2017</v>
      </c>
      <c r="C17" s="167"/>
      <c r="D17" s="164">
        <f t="shared" si="3"/>
        <v>69.3</v>
      </c>
      <c r="E17" s="164">
        <f t="shared" si="3"/>
        <v>32.07</v>
      </c>
      <c r="F17" s="164">
        <f t="shared" si="3"/>
        <v>2.33</v>
      </c>
      <c r="G17" s="166">
        <f t="shared" si="0"/>
        <v>46.79</v>
      </c>
      <c r="H17" s="166">
        <f t="shared" si="1"/>
        <v>116.09</v>
      </c>
      <c r="I17" s="166"/>
      <c r="J17" s="166"/>
      <c r="K17" s="166"/>
      <c r="M17" s="100"/>
    </row>
    <row r="18" spans="2:13" x14ac:dyDescent="0.2">
      <c r="B18" s="162">
        <f t="shared" si="2"/>
        <v>2018</v>
      </c>
      <c r="C18" s="167"/>
      <c r="D18" s="164">
        <f t="shared" ref="D18:F18" si="4">ROUND(D17*(1+$D86),2)</f>
        <v>70.959999999999994</v>
      </c>
      <c r="E18" s="164">
        <f t="shared" si="4"/>
        <v>32.840000000000003</v>
      </c>
      <c r="F18" s="164">
        <f t="shared" si="4"/>
        <v>2.39</v>
      </c>
      <c r="G18" s="166">
        <f t="shared" ref="G18:G23" si="5">ROUND(F18*(8.76*$G$65)+E18,2)</f>
        <v>47.94</v>
      </c>
      <c r="H18" s="166">
        <f t="shared" ref="H18:H23" si="6">ROUND(D18+G18,2)</f>
        <v>118.9</v>
      </c>
      <c r="I18" s="166"/>
      <c r="J18" s="166"/>
      <c r="K18" s="166"/>
      <c r="M18" s="100"/>
    </row>
    <row r="19" spans="2:13" x14ac:dyDescent="0.2">
      <c r="B19" s="162">
        <f t="shared" si="2"/>
        <v>2019</v>
      </c>
      <c r="C19" s="167"/>
      <c r="D19" s="164">
        <f t="shared" ref="D19:F19" si="7">ROUND(D18*(1+$D87),2)</f>
        <v>72.66</v>
      </c>
      <c r="E19" s="164">
        <f t="shared" si="7"/>
        <v>33.630000000000003</v>
      </c>
      <c r="F19" s="164">
        <f t="shared" si="7"/>
        <v>2.4500000000000002</v>
      </c>
      <c r="G19" s="166">
        <f t="shared" si="5"/>
        <v>49.1</v>
      </c>
      <c r="H19" s="166">
        <f t="shared" si="6"/>
        <v>121.76</v>
      </c>
      <c r="I19" s="166"/>
      <c r="J19" s="166"/>
      <c r="K19" s="166"/>
      <c r="M19" s="100"/>
    </row>
    <row r="20" spans="2:13" x14ac:dyDescent="0.2">
      <c r="B20" s="162">
        <f t="shared" si="2"/>
        <v>2020</v>
      </c>
      <c r="C20" s="167"/>
      <c r="D20" s="164">
        <f t="shared" ref="D20:F20" si="8">ROUND(D19*(1+$D88),2)</f>
        <v>74.400000000000006</v>
      </c>
      <c r="E20" s="164">
        <f t="shared" si="8"/>
        <v>34.44</v>
      </c>
      <c r="F20" s="164">
        <f t="shared" si="8"/>
        <v>2.5099999999999998</v>
      </c>
      <c r="G20" s="166">
        <f t="shared" si="5"/>
        <v>50.29</v>
      </c>
      <c r="H20" s="166">
        <f t="shared" si="6"/>
        <v>124.69</v>
      </c>
      <c r="I20" s="166"/>
      <c r="J20" s="166"/>
      <c r="K20" s="166"/>
      <c r="M20" s="100"/>
    </row>
    <row r="21" spans="2:13" x14ac:dyDescent="0.2">
      <c r="B21" s="162">
        <f t="shared" si="2"/>
        <v>2021</v>
      </c>
      <c r="C21" s="167"/>
      <c r="D21" s="164">
        <f t="shared" ref="D21:F21" si="9">ROUND(D20*(1+$D89),2)</f>
        <v>76.19</v>
      </c>
      <c r="E21" s="164">
        <f t="shared" si="9"/>
        <v>35.270000000000003</v>
      </c>
      <c r="F21" s="164">
        <f t="shared" si="9"/>
        <v>2.57</v>
      </c>
      <c r="G21" s="166">
        <f t="shared" si="5"/>
        <v>51.5</v>
      </c>
      <c r="H21" s="166">
        <f t="shared" si="6"/>
        <v>127.69</v>
      </c>
      <c r="I21" s="166"/>
      <c r="J21" s="166"/>
      <c r="K21" s="166"/>
      <c r="M21" s="100"/>
    </row>
    <row r="22" spans="2:13" x14ac:dyDescent="0.2">
      <c r="B22" s="162">
        <f t="shared" si="2"/>
        <v>2022</v>
      </c>
      <c r="C22" s="167"/>
      <c r="D22" s="164">
        <f t="shared" ref="D22:F22" si="10">ROUND(D21*(1+$D90),2)</f>
        <v>77.94</v>
      </c>
      <c r="E22" s="164">
        <f t="shared" si="10"/>
        <v>36.08</v>
      </c>
      <c r="F22" s="164">
        <f t="shared" si="10"/>
        <v>2.63</v>
      </c>
      <c r="G22" s="166">
        <f t="shared" si="5"/>
        <v>52.69</v>
      </c>
      <c r="H22" s="166">
        <f t="shared" si="6"/>
        <v>130.63</v>
      </c>
      <c r="I22" s="166"/>
      <c r="J22" s="166"/>
      <c r="K22" s="166"/>
      <c r="M22" s="100"/>
    </row>
    <row r="23" spans="2:13" x14ac:dyDescent="0.2">
      <c r="B23" s="162">
        <f t="shared" si="2"/>
        <v>2023</v>
      </c>
      <c r="C23" s="167"/>
      <c r="D23" s="164">
        <f t="shared" ref="D23:F23" si="11">ROUND(D22*(1+$D91),2)</f>
        <v>79.73</v>
      </c>
      <c r="E23" s="164">
        <f t="shared" si="11"/>
        <v>36.909999999999997</v>
      </c>
      <c r="F23" s="164">
        <f t="shared" si="11"/>
        <v>2.69</v>
      </c>
      <c r="G23" s="166">
        <f t="shared" si="5"/>
        <v>53.9</v>
      </c>
      <c r="H23" s="166">
        <f t="shared" si="6"/>
        <v>133.63</v>
      </c>
      <c r="I23" s="166"/>
      <c r="J23" s="166"/>
      <c r="K23" s="166"/>
      <c r="M23" s="100"/>
    </row>
    <row r="24" spans="2:13" x14ac:dyDescent="0.2">
      <c r="B24" s="162">
        <f t="shared" si="2"/>
        <v>2024</v>
      </c>
      <c r="C24" s="167"/>
      <c r="D24" s="168">
        <f>ROUND(D23*(1+$G83),2)</f>
        <v>81.56</v>
      </c>
      <c r="E24" s="168">
        <f>ROUND(E23*(1+$G83),2)</f>
        <v>37.76</v>
      </c>
      <c r="F24" s="168">
        <f>ROUND(F23*(1+$G83),2)</f>
        <v>2.75</v>
      </c>
      <c r="G24" s="166">
        <f t="shared" si="0"/>
        <v>55.13</v>
      </c>
      <c r="H24" s="166">
        <f t="shared" si="1"/>
        <v>136.69</v>
      </c>
      <c r="I24" s="166"/>
      <c r="J24" s="166"/>
      <c r="K24" s="166"/>
      <c r="M24" s="100"/>
    </row>
    <row r="25" spans="2:13" x14ac:dyDescent="0.2">
      <c r="B25" s="162">
        <f t="shared" si="2"/>
        <v>2025</v>
      </c>
      <c r="C25" s="167"/>
      <c r="D25" s="168">
        <f t="shared" ref="D25:F25" si="12">ROUND(D24*(1+$G84),2)</f>
        <v>83.35</v>
      </c>
      <c r="E25" s="168">
        <f t="shared" si="12"/>
        <v>38.590000000000003</v>
      </c>
      <c r="F25" s="168">
        <f t="shared" si="12"/>
        <v>2.81</v>
      </c>
      <c r="G25" s="166">
        <f t="shared" ref="G25:G30" si="13">ROUND(F25*(8.76*$G$65)+E25,2)</f>
        <v>56.34</v>
      </c>
      <c r="H25" s="166">
        <f t="shared" ref="H25:H30" si="14">ROUND(D25+G25,2)</f>
        <v>139.69</v>
      </c>
      <c r="I25" s="166"/>
      <c r="J25" s="166"/>
      <c r="K25" s="166"/>
      <c r="M25" s="100"/>
    </row>
    <row r="26" spans="2:13" x14ac:dyDescent="0.2">
      <c r="B26" s="162">
        <f t="shared" si="2"/>
        <v>2026</v>
      </c>
      <c r="C26" s="167"/>
      <c r="D26" s="168">
        <f t="shared" ref="D26:F26" si="15">ROUND(D25*(1+$G85),2)</f>
        <v>85.18</v>
      </c>
      <c r="E26" s="168">
        <f t="shared" si="15"/>
        <v>39.44</v>
      </c>
      <c r="F26" s="168">
        <f t="shared" si="15"/>
        <v>2.87</v>
      </c>
      <c r="G26" s="166">
        <f t="shared" si="13"/>
        <v>57.57</v>
      </c>
      <c r="H26" s="166">
        <f t="shared" si="14"/>
        <v>142.75</v>
      </c>
      <c r="I26" s="166"/>
      <c r="J26" s="166"/>
      <c r="K26" s="166"/>
      <c r="M26" s="100"/>
    </row>
    <row r="27" spans="2:13" ht="13.5" thickBot="1" x14ac:dyDescent="0.25">
      <c r="B27" s="162">
        <f t="shared" si="2"/>
        <v>2027</v>
      </c>
      <c r="C27" s="167"/>
      <c r="D27" s="225">
        <f t="shared" ref="D27:F28" si="16">ROUND(D26*(1+$G86),2)</f>
        <v>87.05</v>
      </c>
      <c r="E27" s="225">
        <f t="shared" si="16"/>
        <v>40.31</v>
      </c>
      <c r="F27" s="225">
        <f t="shared" si="16"/>
        <v>2.93</v>
      </c>
      <c r="G27" s="193">
        <f t="shared" si="13"/>
        <v>58.82</v>
      </c>
      <c r="H27" s="193">
        <f t="shared" si="14"/>
        <v>145.87</v>
      </c>
      <c r="I27" s="193"/>
      <c r="J27" s="193"/>
      <c r="K27" s="193"/>
      <c r="M27" s="100"/>
    </row>
    <row r="28" spans="2:13" s="203" customFormat="1" x14ac:dyDescent="0.2">
      <c r="B28" s="206">
        <f t="shared" si="2"/>
        <v>2028</v>
      </c>
      <c r="C28" s="207"/>
      <c r="D28" s="201">
        <f t="shared" si="16"/>
        <v>88.97</v>
      </c>
      <c r="E28" s="201">
        <f t="shared" si="16"/>
        <v>41.2</v>
      </c>
      <c r="F28" s="201">
        <f t="shared" si="16"/>
        <v>2.99</v>
      </c>
      <c r="G28" s="201">
        <f t="shared" ref="G28" si="17">ROUND(F28*(8.76*$G$65)+E28,2)</f>
        <v>60.08</v>
      </c>
      <c r="H28" s="201">
        <f t="shared" ref="H28" si="18">ROUND(D28+G28,2)</f>
        <v>149.05000000000001</v>
      </c>
      <c r="I28" s="166">
        <f>VLOOKUP(B28,'Table 4'!$B$13:$C$40,2,FALSE)</f>
        <v>4.82</v>
      </c>
      <c r="J28" s="166">
        <f t="shared" ref="J28" si="19">ROUND($K$65*I28/1000,2)</f>
        <v>31.47</v>
      </c>
      <c r="K28" s="166">
        <f t="shared" ref="K28" si="20">ROUND(H28*1000/8760/$G$65+J28,2)</f>
        <v>55.07</v>
      </c>
      <c r="M28" s="111"/>
    </row>
    <row r="29" spans="2:13" s="203" customFormat="1" x14ac:dyDescent="0.2">
      <c r="B29" s="206">
        <f t="shared" si="2"/>
        <v>2029</v>
      </c>
      <c r="C29" s="207"/>
      <c r="D29" s="201">
        <f t="shared" ref="D29" si="21">ROUND(D28*(1+$G88),2)</f>
        <v>90.84</v>
      </c>
      <c r="E29" s="201">
        <f t="shared" ref="E29" si="22">ROUND(E28*(1+$G88),2)</f>
        <v>42.07</v>
      </c>
      <c r="F29" s="201">
        <f t="shared" ref="F29" si="23">ROUND(F28*(1+$G88),2)</f>
        <v>3.05</v>
      </c>
      <c r="G29" s="201">
        <f t="shared" ref="G29" si="24">ROUND(F29*(8.76*$G$65)+E29,2)</f>
        <v>61.33</v>
      </c>
      <c r="H29" s="201">
        <f t="shared" ref="H29" si="25">ROUND(D29+G29,2)</f>
        <v>152.16999999999999</v>
      </c>
      <c r="I29" s="166">
        <f>VLOOKUP(B29,'Table 4'!$B$13:$C$40,2,FALSE)</f>
        <v>4.96</v>
      </c>
      <c r="J29" s="166">
        <f t="shared" ref="J29" si="26">ROUND($K$65*I29/1000,2)</f>
        <v>32.39</v>
      </c>
      <c r="K29" s="166">
        <f t="shared" ref="K29" si="27">ROUND(H29*1000/8760/$G$65+J29,2)</f>
        <v>56.48</v>
      </c>
      <c r="M29" s="111"/>
    </row>
    <row r="30" spans="2:13" s="203" customFormat="1" x14ac:dyDescent="0.2">
      <c r="B30" s="206">
        <f t="shared" si="2"/>
        <v>2030</v>
      </c>
      <c r="C30" s="207"/>
      <c r="D30" s="201">
        <f t="shared" ref="D30:F30" si="28">ROUND(D29*(1+$G89),2)</f>
        <v>92.84</v>
      </c>
      <c r="E30" s="201">
        <f t="shared" si="28"/>
        <v>43</v>
      </c>
      <c r="F30" s="201">
        <f t="shared" si="28"/>
        <v>3.12</v>
      </c>
      <c r="G30" s="201">
        <f t="shared" si="13"/>
        <v>62.71</v>
      </c>
      <c r="H30" s="201">
        <f t="shared" si="14"/>
        <v>155.55000000000001</v>
      </c>
      <c r="I30" s="166">
        <f>VLOOKUP(B30,'Table 4'!$B$13:$C$40,2,FALSE)</f>
        <v>5.27</v>
      </c>
      <c r="J30" s="166">
        <f t="shared" ref="J30:J42" si="29">ROUND($K$65*I30/1000,2)</f>
        <v>34.409999999999997</v>
      </c>
      <c r="K30" s="166">
        <f t="shared" ref="K30:K42" si="30">ROUND(H30*1000/8760/$G$65+J30,2)</f>
        <v>59.04</v>
      </c>
      <c r="M30" s="111"/>
    </row>
    <row r="31" spans="2:13" s="203" customFormat="1" x14ac:dyDescent="0.2">
      <c r="B31" s="206">
        <f t="shared" si="2"/>
        <v>2031</v>
      </c>
      <c r="C31" s="207"/>
      <c r="D31" s="201">
        <f t="shared" ref="D31:D32" si="31">ROUND(D30*(1+$G90),2)</f>
        <v>94.88</v>
      </c>
      <c r="E31" s="201">
        <f t="shared" ref="E31:E32" si="32">ROUND(E30*(1+$G90),2)</f>
        <v>43.95</v>
      </c>
      <c r="F31" s="201">
        <f t="shared" ref="F31:F32" si="33">ROUND(F30*(1+$G90),2)</f>
        <v>3.19</v>
      </c>
      <c r="G31" s="201">
        <f t="shared" ref="G31:G33" si="34">ROUND(F31*(8.76*$G$65)+E31,2)</f>
        <v>64.099999999999994</v>
      </c>
      <c r="H31" s="201">
        <f t="shared" ref="H31:H33" si="35">ROUND(D31+G31,2)</f>
        <v>158.97999999999999</v>
      </c>
      <c r="I31" s="166">
        <f>VLOOKUP(B31,'Table 4'!$B$13:$C$40,2,FALSE)</f>
        <v>5.41</v>
      </c>
      <c r="J31" s="166">
        <f t="shared" si="29"/>
        <v>35.33</v>
      </c>
      <c r="K31" s="166">
        <f t="shared" si="30"/>
        <v>60.5</v>
      </c>
      <c r="M31" s="111"/>
    </row>
    <row r="32" spans="2:13" s="203" customFormat="1" hidden="1" x14ac:dyDescent="0.2">
      <c r="B32" s="206">
        <f t="shared" si="2"/>
        <v>2032</v>
      </c>
      <c r="C32" s="207"/>
      <c r="D32" s="201">
        <f t="shared" si="31"/>
        <v>96.97</v>
      </c>
      <c r="E32" s="201">
        <f t="shared" si="32"/>
        <v>44.92</v>
      </c>
      <c r="F32" s="201">
        <f t="shared" si="33"/>
        <v>3.26</v>
      </c>
      <c r="G32" s="201">
        <f t="shared" si="34"/>
        <v>65.510000000000005</v>
      </c>
      <c r="H32" s="201">
        <f t="shared" si="35"/>
        <v>162.47999999999999</v>
      </c>
      <c r="I32" s="166">
        <f>VLOOKUP(B32,'Table 4'!$B$13:$C$40,2,FALSE)</f>
        <v>5.56</v>
      </c>
      <c r="J32" s="166">
        <f t="shared" si="29"/>
        <v>36.31</v>
      </c>
      <c r="K32" s="166">
        <f t="shared" si="30"/>
        <v>62.04</v>
      </c>
      <c r="M32" s="111"/>
    </row>
    <row r="33" spans="2:15" hidden="1" x14ac:dyDescent="0.2">
      <c r="B33" s="162">
        <f t="shared" si="2"/>
        <v>2033</v>
      </c>
      <c r="C33" s="167"/>
      <c r="D33" s="166">
        <f>ROUND(D32*(1+$J83),2)</f>
        <v>99.1</v>
      </c>
      <c r="E33" s="164">
        <f>ROUND(E32*(1+$J83),2)</f>
        <v>45.91</v>
      </c>
      <c r="F33" s="164">
        <f>ROUND(F32*(1+$J83),2)</f>
        <v>3.33</v>
      </c>
      <c r="G33" s="166">
        <f t="shared" si="34"/>
        <v>66.94</v>
      </c>
      <c r="H33" s="166">
        <f t="shared" si="35"/>
        <v>166.04</v>
      </c>
      <c r="I33" s="166">
        <f>VLOOKUP(B33,'Table 4'!$B$13:$C$40,2,FALSE)</f>
        <v>5.75</v>
      </c>
      <c r="J33" s="166">
        <f t="shared" si="29"/>
        <v>37.549999999999997</v>
      </c>
      <c r="K33" s="166">
        <f t="shared" si="30"/>
        <v>63.84</v>
      </c>
      <c r="M33" s="111"/>
    </row>
    <row r="34" spans="2:15" hidden="1" x14ac:dyDescent="0.2">
      <c r="B34" s="162">
        <f t="shared" si="2"/>
        <v>2034</v>
      </c>
      <c r="C34" s="167"/>
      <c r="D34" s="166">
        <f t="shared" ref="D34:F34" si="36">ROUND(D33*(1+$J84),2)</f>
        <v>101.28</v>
      </c>
      <c r="E34" s="164">
        <f t="shared" si="36"/>
        <v>46.92</v>
      </c>
      <c r="F34" s="164">
        <f t="shared" si="36"/>
        <v>3.4</v>
      </c>
      <c r="G34" s="166">
        <f t="shared" ref="G34:G40" si="37">ROUND(F34*(8.76*$G$65)+E34,2)</f>
        <v>68.39</v>
      </c>
      <c r="H34" s="166">
        <f t="shared" ref="H34:H40" si="38">ROUND(D34+G34,2)</f>
        <v>169.67</v>
      </c>
      <c r="I34" s="166">
        <f>VLOOKUP(B34,'Table 4'!$B$13:$C$40,2,FALSE)</f>
        <v>5.93</v>
      </c>
      <c r="J34" s="166">
        <f t="shared" si="29"/>
        <v>38.72</v>
      </c>
      <c r="K34" s="166">
        <f t="shared" si="30"/>
        <v>65.58</v>
      </c>
      <c r="M34" s="111"/>
    </row>
    <row r="35" spans="2:15" hidden="1" x14ac:dyDescent="0.2">
      <c r="B35" s="162">
        <f t="shared" si="2"/>
        <v>2035</v>
      </c>
      <c r="C35" s="167"/>
      <c r="D35" s="166">
        <f t="shared" ref="D35:F35" si="39">ROUND(D34*(1+$J85),2)</f>
        <v>103.51</v>
      </c>
      <c r="E35" s="164">
        <f t="shared" si="39"/>
        <v>47.95</v>
      </c>
      <c r="F35" s="164">
        <f t="shared" si="39"/>
        <v>3.47</v>
      </c>
      <c r="G35" s="166">
        <f t="shared" si="37"/>
        <v>69.87</v>
      </c>
      <c r="H35" s="166">
        <f t="shared" si="38"/>
        <v>173.38</v>
      </c>
      <c r="I35" s="166">
        <f>VLOOKUP(B35,'Table 4'!$B$13:$C$40,2,FALSE)</f>
        <v>6.09</v>
      </c>
      <c r="J35" s="166">
        <f t="shared" si="29"/>
        <v>39.770000000000003</v>
      </c>
      <c r="K35" s="166">
        <f t="shared" si="30"/>
        <v>67.22</v>
      </c>
      <c r="M35" s="111"/>
    </row>
    <row r="36" spans="2:15" hidden="1" x14ac:dyDescent="0.2">
      <c r="B36" s="162">
        <f t="shared" si="2"/>
        <v>2036</v>
      </c>
      <c r="C36" s="167"/>
      <c r="D36" s="166">
        <f t="shared" ref="D36:F36" si="40">ROUND(D35*(1+$J86),2)</f>
        <v>105.79</v>
      </c>
      <c r="E36" s="164">
        <f t="shared" si="40"/>
        <v>49</v>
      </c>
      <c r="F36" s="164">
        <f t="shared" si="40"/>
        <v>3.55</v>
      </c>
      <c r="G36" s="166">
        <f t="shared" si="37"/>
        <v>71.42</v>
      </c>
      <c r="H36" s="166">
        <f t="shared" si="38"/>
        <v>177.21</v>
      </c>
      <c r="I36" s="166">
        <f>VLOOKUP(B36,'Table 4'!$B$13:$C$40,2,FALSE)</f>
        <v>6.33</v>
      </c>
      <c r="J36" s="166">
        <f t="shared" si="29"/>
        <v>41.33</v>
      </c>
      <c r="K36" s="166">
        <f t="shared" si="30"/>
        <v>69.39</v>
      </c>
      <c r="M36" s="111"/>
    </row>
    <row r="37" spans="2:15" hidden="1" x14ac:dyDescent="0.2">
      <c r="B37" s="162">
        <f t="shared" si="2"/>
        <v>2037</v>
      </c>
      <c r="C37" s="167"/>
      <c r="D37" s="166">
        <f t="shared" ref="D37:F37" si="41">ROUND(D36*(1+$J87),2)</f>
        <v>108.12</v>
      </c>
      <c r="E37" s="164">
        <f t="shared" si="41"/>
        <v>50.08</v>
      </c>
      <c r="F37" s="164">
        <f t="shared" si="41"/>
        <v>3.63</v>
      </c>
      <c r="G37" s="166">
        <f t="shared" si="37"/>
        <v>73.010000000000005</v>
      </c>
      <c r="H37" s="166">
        <f t="shared" si="38"/>
        <v>181.13</v>
      </c>
      <c r="I37" s="166">
        <f>VLOOKUP(B37,'Table 4'!$B$13:$C$40,2,FALSE)</f>
        <v>6.5</v>
      </c>
      <c r="J37" s="166">
        <f t="shared" si="29"/>
        <v>42.45</v>
      </c>
      <c r="K37" s="166">
        <f t="shared" si="30"/>
        <v>71.13</v>
      </c>
      <c r="M37" s="111"/>
    </row>
    <row r="38" spans="2:15" hidden="1" x14ac:dyDescent="0.2">
      <c r="B38" s="162">
        <f t="shared" si="2"/>
        <v>2038</v>
      </c>
      <c r="C38" s="167"/>
      <c r="D38" s="166">
        <f t="shared" ref="D38:F38" si="42">ROUND(D37*(1+$J88),2)</f>
        <v>110.61</v>
      </c>
      <c r="E38" s="164">
        <f t="shared" si="42"/>
        <v>51.23</v>
      </c>
      <c r="F38" s="164">
        <f t="shared" si="42"/>
        <v>3.71</v>
      </c>
      <c r="G38" s="166">
        <f t="shared" si="37"/>
        <v>74.66</v>
      </c>
      <c r="H38" s="166">
        <f t="shared" si="38"/>
        <v>185.27</v>
      </c>
      <c r="I38" s="166">
        <f>VLOOKUP(B38,'Table 4'!$B$13:$C$40,2,FALSE)</f>
        <v>6.84</v>
      </c>
      <c r="J38" s="166">
        <f t="shared" si="29"/>
        <v>44.67</v>
      </c>
      <c r="K38" s="166">
        <f t="shared" si="30"/>
        <v>74</v>
      </c>
      <c r="M38" s="111"/>
    </row>
    <row r="39" spans="2:15" hidden="1" x14ac:dyDescent="0.2">
      <c r="B39" s="162">
        <f t="shared" si="2"/>
        <v>2039</v>
      </c>
      <c r="C39" s="167"/>
      <c r="D39" s="166">
        <f t="shared" ref="D39:F39" si="43">ROUND(D38*(1+$J89),2)</f>
        <v>113.15</v>
      </c>
      <c r="E39" s="164">
        <f t="shared" si="43"/>
        <v>52.41</v>
      </c>
      <c r="F39" s="164">
        <f t="shared" si="43"/>
        <v>3.8</v>
      </c>
      <c r="G39" s="166">
        <f t="shared" si="37"/>
        <v>76.41</v>
      </c>
      <c r="H39" s="166">
        <f t="shared" si="38"/>
        <v>189.56</v>
      </c>
      <c r="I39" s="166">
        <f>VLOOKUP(B39,'Table 4'!$B$13:$C$40,2,FALSE)</f>
        <v>7.06</v>
      </c>
      <c r="J39" s="166">
        <f t="shared" si="29"/>
        <v>46.1</v>
      </c>
      <c r="K39" s="166">
        <f t="shared" si="30"/>
        <v>76.11</v>
      </c>
      <c r="M39" s="111"/>
    </row>
    <row r="40" spans="2:15" hidden="1" x14ac:dyDescent="0.2">
      <c r="B40" s="162">
        <f t="shared" si="2"/>
        <v>2040</v>
      </c>
      <c r="C40" s="167"/>
      <c r="D40" s="166">
        <f t="shared" ref="D40:F40" si="44">ROUND(D39*(1+$J90),2)</f>
        <v>115.75</v>
      </c>
      <c r="E40" s="164">
        <f t="shared" si="44"/>
        <v>53.62</v>
      </c>
      <c r="F40" s="164">
        <f t="shared" si="44"/>
        <v>3.89</v>
      </c>
      <c r="G40" s="166">
        <f t="shared" si="37"/>
        <v>78.19</v>
      </c>
      <c r="H40" s="166">
        <f t="shared" si="38"/>
        <v>193.94</v>
      </c>
      <c r="I40" s="166">
        <f>VLOOKUP(B40,'Table 4'!$B$13:$C$40,2,FALSE)</f>
        <v>7.38</v>
      </c>
      <c r="J40" s="166">
        <f t="shared" si="29"/>
        <v>48.19</v>
      </c>
      <c r="K40" s="166">
        <f t="shared" si="30"/>
        <v>78.900000000000006</v>
      </c>
      <c r="M40" s="111"/>
    </row>
    <row r="41" spans="2:15" hidden="1" x14ac:dyDescent="0.2">
      <c r="B41" s="162">
        <f t="shared" si="2"/>
        <v>2041</v>
      </c>
      <c r="C41" s="167"/>
      <c r="D41" s="166">
        <f t="shared" ref="D41:F42" si="45">ROUND(D40*(1+$J92),2)</f>
        <v>115.75</v>
      </c>
      <c r="E41" s="164">
        <f t="shared" si="45"/>
        <v>53.62</v>
      </c>
      <c r="F41" s="164">
        <f t="shared" si="45"/>
        <v>3.89</v>
      </c>
      <c r="G41" s="166">
        <f t="shared" si="0"/>
        <v>78.19</v>
      </c>
      <c r="H41" s="166">
        <f t="shared" si="1"/>
        <v>193.94</v>
      </c>
      <c r="I41" s="166">
        <f>VLOOKUP(B41,'Table 4'!$B$13:$C$40,2,FALSE)</f>
        <v>7.55</v>
      </c>
      <c r="J41" s="166">
        <f t="shared" si="29"/>
        <v>49.3</v>
      </c>
      <c r="K41" s="166">
        <f t="shared" si="30"/>
        <v>80.010000000000005</v>
      </c>
    </row>
    <row r="42" spans="2:15" hidden="1" x14ac:dyDescent="0.2">
      <c r="B42" s="162">
        <f t="shared" si="2"/>
        <v>2042</v>
      </c>
      <c r="C42" s="167"/>
      <c r="D42" s="166">
        <f t="shared" si="45"/>
        <v>115.75</v>
      </c>
      <c r="E42" s="164">
        <f t="shared" si="45"/>
        <v>53.62</v>
      </c>
      <c r="F42" s="164">
        <f t="shared" si="45"/>
        <v>3.89</v>
      </c>
      <c r="G42" s="166">
        <f t="shared" si="0"/>
        <v>78.19</v>
      </c>
      <c r="H42" s="166">
        <f t="shared" si="1"/>
        <v>193.94</v>
      </c>
      <c r="I42" s="166" t="e">
        <f>VLOOKUP(B42,'Table 4'!$B$13:$C$40,2,FALSE)</f>
        <v>#N/A</v>
      </c>
      <c r="J42" s="166" t="e">
        <f t="shared" si="29"/>
        <v>#N/A</v>
      </c>
      <c r="K42" s="166" t="e">
        <f t="shared" si="30"/>
        <v>#N/A</v>
      </c>
    </row>
    <row r="43" spans="2:15" x14ac:dyDescent="0.2">
      <c r="M43" s="162"/>
      <c r="O43" s="169"/>
    </row>
    <row r="44" spans="2:15" ht="14.25" x14ac:dyDescent="0.2">
      <c r="B44" s="7" t="s">
        <v>49</v>
      </c>
      <c r="C44" s="66"/>
      <c r="D44" s="66"/>
      <c r="E44" s="66"/>
      <c r="F44" s="66"/>
      <c r="G44" s="66"/>
      <c r="H44" s="66"/>
      <c r="I44" s="66"/>
      <c r="J44" s="66"/>
      <c r="K44" s="66"/>
      <c r="M44" s="162"/>
      <c r="N44" s="169"/>
      <c r="O44" s="169"/>
    </row>
    <row r="46" spans="2:15" x14ac:dyDescent="0.2">
      <c r="B46" s="159" t="s">
        <v>30</v>
      </c>
      <c r="D46" s="170" t="s">
        <v>116</v>
      </c>
    </row>
    <row r="47" spans="2:15" x14ac:dyDescent="0.2">
      <c r="C47" s="171" t="str">
        <f>D10</f>
        <v>(b)</v>
      </c>
      <c r="D47" s="166" t="str">
        <f>"= "&amp;C10&amp;" x "&amp;C76</f>
        <v>= (a) x 0.0768230723930572</v>
      </c>
    </row>
    <row r="48" spans="2:15" x14ac:dyDescent="0.2">
      <c r="C48" s="171" t="str">
        <f>G10</f>
        <v>(e)</v>
      </c>
      <c r="D48" s="166" t="str">
        <f>"= "&amp;$F$10&amp;" x  (8.76 x "&amp;TEXT(G65,"0.0%")&amp;") + "&amp;$E$10</f>
        <v>= (d) x  (8.76 x 72.1%) + (c)</v>
      </c>
    </row>
    <row r="49" spans="3:11" x14ac:dyDescent="0.2">
      <c r="C49" s="171" t="str">
        <f>H10</f>
        <v>(f)</v>
      </c>
      <c r="D49" s="166" t="str">
        <f>"= "&amp;D10&amp;" + "&amp;G10</f>
        <v>= (b) + (e)</v>
      </c>
    </row>
    <row r="50" spans="3:11" x14ac:dyDescent="0.2">
      <c r="C50" s="171" t="str">
        <f>I10</f>
        <v>(g)</v>
      </c>
      <c r="D50" s="202" t="str">
        <f>'Table 4'!B3&amp;" - "&amp;'Table 4'!B4</f>
        <v>Table 4 - Burnertip Natural Gas Price Forecast</v>
      </c>
    </row>
    <row r="51" spans="3:11" x14ac:dyDescent="0.2">
      <c r="C51" s="171" t="str">
        <f>J10</f>
        <v>(h)</v>
      </c>
      <c r="D51" s="166" t="str">
        <f>"= "&amp;TEXT(K65,"?,0")&amp;" MMBtu/MWH x "&amp;I9</f>
        <v>= 6,530 MMBtu/MWH x $/MMBtu</v>
      </c>
    </row>
    <row r="52" spans="3:11" x14ac:dyDescent="0.2">
      <c r="C52" s="171" t="str">
        <f>K10</f>
        <v>(i)</v>
      </c>
      <c r="D52" s="16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1" t="s">
        <v>125</v>
      </c>
      <c r="D54" s="98"/>
      <c r="E54" s="98"/>
      <c r="F54" s="98"/>
      <c r="G54" s="98"/>
      <c r="H54" s="98"/>
      <c r="I54" s="98"/>
      <c r="J54" s="99"/>
      <c r="K54" s="172"/>
    </row>
    <row r="55" spans="3:11" ht="5.25" customHeight="1" x14ac:dyDescent="0.2"/>
    <row r="56" spans="3:11" ht="5.25" customHeight="1" x14ac:dyDescent="0.2"/>
    <row r="57" spans="3:11" x14ac:dyDescent="0.2">
      <c r="C57" s="85" t="s">
        <v>59</v>
      </c>
      <c r="D57" s="74"/>
      <c r="E57" s="85"/>
      <c r="F57" s="84" t="s">
        <v>60</v>
      </c>
      <c r="G57" s="84" t="s">
        <v>61</v>
      </c>
      <c r="H57" s="84" t="s">
        <v>62</v>
      </c>
      <c r="I57" s="84" t="s">
        <v>63</v>
      </c>
    </row>
    <row r="58" spans="3:11" x14ac:dyDescent="0.2">
      <c r="C58" s="203" t="s">
        <v>102</v>
      </c>
      <c r="F58" s="173">
        <f>C69</f>
        <v>434.39352450877141</v>
      </c>
      <c r="G58" s="100">
        <f>F58/F60</f>
        <v>0.90992755914683565</v>
      </c>
      <c r="H58" s="187">
        <f>C70</f>
        <v>905.55768081134613</v>
      </c>
      <c r="I58" s="189">
        <f>C73</f>
        <v>30.824642192691709</v>
      </c>
    </row>
    <row r="59" spans="3:11" x14ac:dyDescent="0.2">
      <c r="C59" s="203" t="s">
        <v>103</v>
      </c>
      <c r="F59" s="91">
        <f>D69</f>
        <v>43</v>
      </c>
      <c r="G59" s="87">
        <f>1-G58</f>
        <v>9.0072440853164348E-2</v>
      </c>
      <c r="H59" s="188">
        <f>D70</f>
        <v>480.65748619510435</v>
      </c>
      <c r="I59" s="190">
        <f>D73</f>
        <v>30.927267599999997</v>
      </c>
    </row>
    <row r="60" spans="3:11" x14ac:dyDescent="0.2">
      <c r="C60" s="203" t="s">
        <v>64</v>
      </c>
      <c r="F60" s="173">
        <f>F58+F59</f>
        <v>477.39352450877141</v>
      </c>
      <c r="G60" s="100">
        <f>G58+G59</f>
        <v>1</v>
      </c>
      <c r="H60" s="187">
        <f>ROUND(((F58*H58)+(F59*H59))/F60,0)</f>
        <v>867</v>
      </c>
      <c r="I60" s="189">
        <f>ROUND(((F58*I58)+(F59*I59))/F60,2)</f>
        <v>30.83</v>
      </c>
    </row>
    <row r="61" spans="3:11" x14ac:dyDescent="0.2">
      <c r="C61" s="203"/>
      <c r="F61" s="173"/>
      <c r="G61" s="100"/>
      <c r="H61" s="174"/>
      <c r="I61" s="175"/>
    </row>
    <row r="62" spans="3:11" x14ac:dyDescent="0.2">
      <c r="C62" s="204" t="s">
        <v>59</v>
      </c>
      <c r="D62" s="74"/>
      <c r="E62" s="85"/>
      <c r="F62" s="84" t="s">
        <v>60</v>
      </c>
      <c r="G62" s="84" t="s">
        <v>65</v>
      </c>
      <c r="H62" s="84" t="s">
        <v>66</v>
      </c>
      <c r="I62" s="84" t="s">
        <v>61</v>
      </c>
      <c r="J62" s="84" t="s">
        <v>67</v>
      </c>
      <c r="K62" s="84" t="s">
        <v>68</v>
      </c>
    </row>
    <row r="63" spans="3:11" x14ac:dyDescent="0.2">
      <c r="C63" s="205" t="str">
        <f>C58</f>
        <v>CCCT Dry "J" - Turbine</v>
      </c>
      <c r="D63" s="176"/>
      <c r="E63" s="176"/>
      <c r="F63" s="159">
        <f>C69</f>
        <v>434.39352450877141</v>
      </c>
      <c r="G63" s="100">
        <f>C77</f>
        <v>0.78</v>
      </c>
      <c r="H63" s="230">
        <f>G63*F63</f>
        <v>338.82694911684172</v>
      </c>
      <c r="I63" s="100">
        <f>H63/H65</f>
        <v>0.9849994308992015</v>
      </c>
      <c r="J63" s="175">
        <f>C74</f>
        <v>2.2718625226523916</v>
      </c>
      <c r="K63" s="177">
        <f>C75</f>
        <v>6494.6100000000006</v>
      </c>
    </row>
    <row r="64" spans="3:11" x14ac:dyDescent="0.2">
      <c r="C64" s="205" t="str">
        <f>C59</f>
        <v>CCCT Dry "J" - Duct Firing</v>
      </c>
      <c r="D64" s="176"/>
      <c r="E64" s="176"/>
      <c r="F64" s="86">
        <f>D69</f>
        <v>43</v>
      </c>
      <c r="G64" s="87">
        <f>D77</f>
        <v>0.12</v>
      </c>
      <c r="H64" s="231">
        <f>G64*F64</f>
        <v>5.16</v>
      </c>
      <c r="I64" s="87">
        <f>1-I63</f>
        <v>1.50005691007985E-2</v>
      </c>
      <c r="J64" s="88">
        <f>D74</f>
        <v>0</v>
      </c>
      <c r="K64" s="89">
        <f>D75</f>
        <v>8611.0186046511626</v>
      </c>
    </row>
    <row r="65" spans="2:11" x14ac:dyDescent="0.2">
      <c r="C65" s="203" t="s">
        <v>69</v>
      </c>
      <c r="F65" s="159">
        <f>F63+F64</f>
        <v>477.39352450877141</v>
      </c>
      <c r="G65" s="178">
        <f>ROUND(H65/F65,3)</f>
        <v>0.72099999999999997</v>
      </c>
      <c r="H65" s="230">
        <f>SUM(H63:H64)</f>
        <v>343.98694911684174</v>
      </c>
      <c r="I65" s="100">
        <f>I63+I64</f>
        <v>1</v>
      </c>
      <c r="J65" s="175">
        <f>ROUND(($I63*J63)+($I64*J64),2)</f>
        <v>2.2400000000000002</v>
      </c>
      <c r="K65" s="179">
        <f>ROUND(($I63*K63)+($I64*K64),-1)</f>
        <v>6530</v>
      </c>
    </row>
    <row r="66" spans="2:11" x14ac:dyDescent="0.2">
      <c r="G66" s="178"/>
      <c r="I66" s="100"/>
      <c r="J66" s="175"/>
      <c r="K66" s="90" t="s">
        <v>70</v>
      </c>
    </row>
    <row r="68" spans="2:11" x14ac:dyDescent="0.2">
      <c r="C68" s="84" t="s">
        <v>52</v>
      </c>
      <c r="D68" s="84" t="s">
        <v>53</v>
      </c>
      <c r="E68" s="102" t="str">
        <f>D46</f>
        <v>Plant Costs  - 2015 IRP - Table 6.1 &amp; 6.2 - Page 92</v>
      </c>
      <c r="F68" s="180"/>
      <c r="G68" s="180"/>
      <c r="H68" s="180"/>
      <c r="I68" s="180"/>
      <c r="J68" s="180"/>
      <c r="K68" s="181"/>
    </row>
    <row r="69" spans="2:11" x14ac:dyDescent="0.2">
      <c r="C69" s="159">
        <v>434.39352450877141</v>
      </c>
      <c r="D69" s="159">
        <v>43</v>
      </c>
      <c r="E69" s="159" t="s">
        <v>97</v>
      </c>
      <c r="H69" s="182"/>
    </row>
    <row r="70" spans="2:11" x14ac:dyDescent="0.2">
      <c r="B70" s="159" t="s">
        <v>126</v>
      </c>
      <c r="C70" s="174">
        <v>905.55768081134613</v>
      </c>
      <c r="D70" s="174">
        <v>480.65748619510435</v>
      </c>
      <c r="E70" s="159" t="s">
        <v>98</v>
      </c>
    </row>
    <row r="71" spans="2:11" x14ac:dyDescent="0.2">
      <c r="B71" s="159" t="s">
        <v>126</v>
      </c>
      <c r="C71" s="175">
        <v>7.4972001926917073</v>
      </c>
      <c r="D71" s="175">
        <v>0</v>
      </c>
      <c r="E71" s="159" t="s">
        <v>99</v>
      </c>
    </row>
    <row r="72" spans="2:11" x14ac:dyDescent="0.2">
      <c r="B72" s="159" t="s">
        <v>126</v>
      </c>
      <c r="C72" s="92">
        <v>23.327442000000001</v>
      </c>
      <c r="D72" s="92">
        <v>30.927267599999997</v>
      </c>
      <c r="E72" s="159" t="s">
        <v>95</v>
      </c>
    </row>
    <row r="73" spans="2:11" x14ac:dyDescent="0.2">
      <c r="B73" s="159" t="s">
        <v>126</v>
      </c>
      <c r="C73" s="175">
        <f>C71+C72</f>
        <v>30.824642192691709</v>
      </c>
      <c r="D73" s="175">
        <f>D71+D72</f>
        <v>30.927267599999997</v>
      </c>
      <c r="E73" s="159" t="s">
        <v>100</v>
      </c>
    </row>
    <row r="74" spans="2:11" x14ac:dyDescent="0.2">
      <c r="B74" s="159" t="s">
        <v>126</v>
      </c>
      <c r="C74" s="175">
        <v>2.2718625226523916</v>
      </c>
      <c r="D74" s="175">
        <v>0</v>
      </c>
      <c r="E74" s="159" t="s">
        <v>101</v>
      </c>
    </row>
    <row r="75" spans="2:11" x14ac:dyDescent="0.2">
      <c r="C75" s="179">
        <v>6494.6100000000006</v>
      </c>
      <c r="D75" s="179">
        <v>8611.0186046511626</v>
      </c>
      <c r="E75" s="159" t="s">
        <v>72</v>
      </c>
    </row>
    <row r="76" spans="2:11" x14ac:dyDescent="0.2">
      <c r="C76" s="200">
        <v>7.682307239305719E-2</v>
      </c>
      <c r="D76" s="200">
        <v>7.682307239305719E-2</v>
      </c>
      <c r="E76" s="159" t="s">
        <v>73</v>
      </c>
    </row>
    <row r="77" spans="2:11" x14ac:dyDescent="0.2">
      <c r="C77" s="183">
        <v>0.78</v>
      </c>
      <c r="D77" s="183">
        <v>0.12</v>
      </c>
      <c r="E77" s="159" t="s">
        <v>74</v>
      </c>
    </row>
    <row r="78" spans="2:11" x14ac:dyDescent="0.2">
      <c r="D78" s="100">
        <f>ROUND(H65/F65,3)</f>
        <v>0.72099999999999997</v>
      </c>
      <c r="E78" s="159" t="s">
        <v>75</v>
      </c>
    </row>
    <row r="79" spans="2:11" x14ac:dyDescent="0.2">
      <c r="D79" s="178"/>
      <c r="E79" s="111"/>
    </row>
    <row r="80" spans="2:11" x14ac:dyDescent="0.2">
      <c r="C80" s="183"/>
      <c r="D80" s="183"/>
    </row>
    <row r="82" spans="3:15" ht="13.5" thickBot="1" x14ac:dyDescent="0.25">
      <c r="C82" s="97" t="str">
        <f>"Company Official Inflation Forecast Dated "&amp;TEXT('Table 4'!G5,"mmmm dd, yyyy")</f>
        <v>Company Official Inflation Forecast Dated June 30, 2016</v>
      </c>
      <c r="D82" s="98"/>
      <c r="E82" s="98"/>
      <c r="F82" s="98"/>
      <c r="G82" s="98"/>
      <c r="H82" s="98"/>
      <c r="I82" s="98"/>
      <c r="J82" s="99"/>
      <c r="K82" s="172"/>
    </row>
    <row r="83" spans="3:15" x14ac:dyDescent="0.2">
      <c r="C83" s="184">
        <v>2015</v>
      </c>
      <c r="D83" s="100">
        <v>6.0000000000000001E-3</v>
      </c>
      <c r="F83" s="184">
        <f>C91+1</f>
        <v>2024</v>
      </c>
      <c r="G83" s="100">
        <v>2.3E-2</v>
      </c>
      <c r="I83" s="184">
        <f>F91+1</f>
        <v>2033</v>
      </c>
      <c r="J83" s="100">
        <v>2.1999999999999999E-2</v>
      </c>
    </row>
    <row r="84" spans="3:15" x14ac:dyDescent="0.2">
      <c r="C84" s="184">
        <f t="shared" ref="C84:C91" si="46">C83+1</f>
        <v>2016</v>
      </c>
      <c r="D84" s="100">
        <v>1.2E-2</v>
      </c>
      <c r="F84" s="184">
        <f t="shared" ref="F84:F91" si="47">F83+1</f>
        <v>2025</v>
      </c>
      <c r="G84" s="100">
        <v>2.1999999999999999E-2</v>
      </c>
      <c r="I84" s="184">
        <f t="shared" ref="I84:I91" si="48">I83+1</f>
        <v>2034</v>
      </c>
      <c r="J84" s="100">
        <v>2.1999999999999999E-2</v>
      </c>
    </row>
    <row r="85" spans="3:15" x14ac:dyDescent="0.2">
      <c r="C85" s="184">
        <f t="shared" si="46"/>
        <v>2017</v>
      </c>
      <c r="D85" s="100">
        <v>2.1999999999999999E-2</v>
      </c>
      <c r="F85" s="184">
        <f t="shared" si="47"/>
        <v>2026</v>
      </c>
      <c r="G85" s="100">
        <v>2.1999999999999999E-2</v>
      </c>
      <c r="I85" s="184">
        <f t="shared" si="48"/>
        <v>2035</v>
      </c>
      <c r="J85" s="100">
        <v>2.1999999999999999E-2</v>
      </c>
    </row>
    <row r="86" spans="3:15" x14ac:dyDescent="0.2">
      <c r="C86" s="184">
        <f t="shared" si="46"/>
        <v>2018</v>
      </c>
      <c r="D86" s="100">
        <v>2.4E-2</v>
      </c>
      <c r="F86" s="184">
        <f t="shared" si="47"/>
        <v>2027</v>
      </c>
      <c r="G86" s="100">
        <v>2.1999999999999999E-2</v>
      </c>
      <c r="I86" s="184">
        <f t="shared" si="48"/>
        <v>2036</v>
      </c>
      <c r="J86" s="100">
        <v>2.1999999999999999E-2</v>
      </c>
    </row>
    <row r="87" spans="3:15" x14ac:dyDescent="0.2">
      <c r="C87" s="184">
        <f t="shared" si="46"/>
        <v>2019</v>
      </c>
      <c r="D87" s="100">
        <v>2.4E-2</v>
      </c>
      <c r="F87" s="184">
        <f t="shared" si="47"/>
        <v>2028</v>
      </c>
      <c r="G87" s="100">
        <v>2.1999999999999999E-2</v>
      </c>
      <c r="I87" s="184">
        <f t="shared" si="48"/>
        <v>2037</v>
      </c>
      <c r="J87" s="100">
        <v>2.1999999999999999E-2</v>
      </c>
    </row>
    <row r="88" spans="3:15" x14ac:dyDescent="0.2">
      <c r="C88" s="184">
        <f t="shared" si="46"/>
        <v>2020</v>
      </c>
      <c r="D88" s="100">
        <v>2.4E-2</v>
      </c>
      <c r="F88" s="184">
        <f t="shared" si="47"/>
        <v>2029</v>
      </c>
      <c r="G88" s="100">
        <v>2.1000000000000001E-2</v>
      </c>
      <c r="I88" s="184">
        <f t="shared" si="48"/>
        <v>2038</v>
      </c>
      <c r="J88" s="100">
        <v>2.3E-2</v>
      </c>
    </row>
    <row r="89" spans="3:15" s="161" customFormat="1" x14ac:dyDescent="0.2">
      <c r="C89" s="184">
        <f t="shared" si="46"/>
        <v>2021</v>
      </c>
      <c r="D89" s="100">
        <v>2.4E-2</v>
      </c>
      <c r="F89" s="184">
        <f t="shared" si="47"/>
        <v>2030</v>
      </c>
      <c r="G89" s="100">
        <v>2.1999999999999999E-2</v>
      </c>
      <c r="I89" s="184">
        <f t="shared" si="48"/>
        <v>2039</v>
      </c>
      <c r="J89" s="100">
        <v>2.3E-2</v>
      </c>
      <c r="N89" s="159"/>
      <c r="O89" s="159"/>
    </row>
    <row r="90" spans="3:15" s="161" customFormat="1" x14ac:dyDescent="0.2">
      <c r="C90" s="184">
        <f t="shared" si="46"/>
        <v>2022</v>
      </c>
      <c r="D90" s="100">
        <v>2.3E-2</v>
      </c>
      <c r="F90" s="184">
        <f t="shared" si="47"/>
        <v>2031</v>
      </c>
      <c r="G90" s="100">
        <v>2.1999999999999999E-2</v>
      </c>
      <c r="I90" s="184">
        <f t="shared" si="48"/>
        <v>2040</v>
      </c>
      <c r="J90" s="100">
        <v>2.3E-2</v>
      </c>
      <c r="N90" s="159"/>
      <c r="O90" s="159"/>
    </row>
    <row r="91" spans="3:15" s="161" customFormat="1" x14ac:dyDescent="0.2">
      <c r="C91" s="184">
        <f t="shared" si="46"/>
        <v>2023</v>
      </c>
      <c r="D91" s="100">
        <v>2.3E-2</v>
      </c>
      <c r="F91" s="184">
        <f t="shared" si="47"/>
        <v>2032</v>
      </c>
      <c r="G91" s="100">
        <v>2.1999999999999999E-2</v>
      </c>
      <c r="I91" s="184">
        <f t="shared" si="48"/>
        <v>2041</v>
      </c>
      <c r="J91" s="100">
        <v>2.3E-2</v>
      </c>
      <c r="N91" s="159"/>
      <c r="O91" s="159"/>
    </row>
    <row r="92" spans="3:15" s="161" customFormat="1" x14ac:dyDescent="0.2">
      <c r="N92" s="159"/>
      <c r="O92" s="159"/>
    </row>
    <row r="93" spans="3:15" s="161" customFormat="1" x14ac:dyDescent="0.2">
      <c r="N93" s="159"/>
      <c r="O93" s="159"/>
    </row>
    <row r="94" spans="3:15" x14ac:dyDescent="0.2">
      <c r="D94" s="191"/>
    </row>
    <row r="95" spans="3:15" x14ac:dyDescent="0.2">
      <c r="D95" s="191"/>
    </row>
  </sheetData>
  <phoneticPr fontId="6" type="noConversion"/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95"/>
  <sheetViews>
    <sheetView topLeftCell="A3" zoomScale="85" zoomScaleNormal="85" zoomScaleSheetLayoutView="85" workbookViewId="0">
      <pane xSplit="3" ySplit="8" topLeftCell="D49" activePane="bottomRight" state="frozen"/>
      <selection activeCell="O65" sqref="O65"/>
      <selection pane="topRight" activeCell="O65" sqref="O65"/>
      <selection pane="bottomLeft" activeCell="O65" sqref="O65"/>
      <selection pane="bottomRight"/>
    </sheetView>
  </sheetViews>
  <sheetFormatPr defaultColWidth="9.33203125" defaultRowHeight="12.75" x14ac:dyDescent="0.2"/>
  <cols>
    <col min="1" max="1" width="2.83203125" style="159" customWidth="1"/>
    <col min="2" max="2" width="10.83203125" style="159" customWidth="1"/>
    <col min="3" max="3" width="14.1640625" style="159" customWidth="1"/>
    <col min="4" max="4" width="12.33203125" style="159" customWidth="1"/>
    <col min="5" max="5" width="9.1640625" style="159" customWidth="1"/>
    <col min="6" max="6" width="10.5" style="159" customWidth="1"/>
    <col min="7" max="7" width="10.5" style="159" bestFit="1" customWidth="1"/>
    <col min="8" max="8" width="11.6640625" style="159" bestFit="1" customWidth="1"/>
    <col min="9" max="9" width="11.1640625" style="159" customWidth="1"/>
    <col min="10" max="10" width="12" style="159" bestFit="1" customWidth="1"/>
    <col min="11" max="11" width="12" style="159" customWidth="1"/>
    <col min="12" max="13" width="9.33203125" style="159"/>
    <col min="14" max="15" width="9.33203125" style="159" customWidth="1"/>
    <col min="16" max="16384" width="9.33203125" style="159"/>
  </cols>
  <sheetData>
    <row r="1" spans="2:14" ht="15.75" hidden="1" x14ac:dyDescent="0.25">
      <c r="B1" s="1" t="s">
        <v>71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4" ht="15.75" x14ac:dyDescent="0.25">
      <c r="B2" s="1"/>
      <c r="C2" s="158"/>
      <c r="D2" s="158"/>
      <c r="E2" s="158"/>
      <c r="F2" s="158"/>
      <c r="G2" s="158"/>
      <c r="H2" s="158"/>
      <c r="I2" s="158"/>
      <c r="J2" s="158"/>
      <c r="K2" s="158"/>
    </row>
    <row r="3" spans="2:14" ht="15.75" x14ac:dyDescent="0.25">
      <c r="B3" s="1" t="s">
        <v>111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4" ht="15.75" x14ac:dyDescent="0.25">
      <c r="B4" s="1" t="s">
        <v>117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4" ht="15.75" x14ac:dyDescent="0.25">
      <c r="B5" s="1" t="str">
        <f>C54</f>
        <v>Utah - 635 MW - CCCT Dry "F" 2x1 - East Side Resource (5,050')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4" ht="15.75" x14ac:dyDescent="0.25">
      <c r="B6" s="1"/>
      <c r="C6" s="158"/>
      <c r="D6" s="158"/>
      <c r="E6" s="158"/>
      <c r="F6" s="158"/>
      <c r="G6" s="158"/>
      <c r="H6" s="158"/>
      <c r="I6" s="158"/>
      <c r="K6" s="59"/>
    </row>
    <row r="7" spans="2:14" x14ac:dyDescent="0.2">
      <c r="B7" s="160"/>
      <c r="C7" s="160"/>
      <c r="D7" s="160"/>
      <c r="E7" s="160"/>
      <c r="F7" s="160"/>
      <c r="G7" s="160"/>
      <c r="H7" s="160"/>
      <c r="I7" s="158"/>
      <c r="J7" s="161"/>
      <c r="K7" s="161"/>
      <c r="L7" s="161"/>
      <c r="M7" s="161"/>
      <c r="N7" s="161"/>
    </row>
    <row r="8" spans="2:14" ht="51.75" customHeight="1" x14ac:dyDescent="0.2">
      <c r="B8" s="60" t="s">
        <v>0</v>
      </c>
      <c r="C8" s="61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62" t="s">
        <v>41</v>
      </c>
      <c r="J8" s="62" t="s">
        <v>92</v>
      </c>
      <c r="K8" s="61" t="s">
        <v>93</v>
      </c>
      <c r="L8" s="161"/>
    </row>
    <row r="9" spans="2:14" ht="18.75" customHeight="1" x14ac:dyDescent="0.2">
      <c r="B9" s="63"/>
      <c r="C9" s="64" t="s">
        <v>8</v>
      </c>
      <c r="D9" s="65" t="s">
        <v>9</v>
      </c>
      <c r="E9" s="65" t="s">
        <v>9</v>
      </c>
      <c r="F9" s="64" t="s">
        <v>57</v>
      </c>
      <c r="G9" s="65" t="s">
        <v>9</v>
      </c>
      <c r="H9" s="65" t="s">
        <v>9</v>
      </c>
      <c r="I9" s="65" t="s">
        <v>42</v>
      </c>
      <c r="J9" s="64" t="s">
        <v>57</v>
      </c>
      <c r="K9" s="64" t="s">
        <v>57</v>
      </c>
      <c r="L9" s="16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48</v>
      </c>
    </row>
    <row r="11" spans="2:14" ht="6" customHeight="1" x14ac:dyDescent="0.2"/>
    <row r="12" spans="2:14" ht="15.75" x14ac:dyDescent="0.25">
      <c r="B12" s="103" t="str">
        <f>C54</f>
        <v>Utah - 635 MW - CCCT Dry "F" 2x1 - East Side Resource (5,050')</v>
      </c>
      <c r="C12" s="161"/>
      <c r="E12" s="161"/>
      <c r="F12" s="161"/>
      <c r="G12" s="161"/>
      <c r="H12" s="161"/>
      <c r="I12" s="160"/>
      <c r="J12" s="160"/>
      <c r="K12" s="160"/>
      <c r="L12" s="161"/>
    </row>
    <row r="13" spans="2:14" ht="4.5" customHeight="1" x14ac:dyDescent="0.2">
      <c r="B13" s="162"/>
      <c r="C13" s="163"/>
      <c r="D13" s="164"/>
      <c r="E13" s="165"/>
      <c r="F13" s="165"/>
      <c r="G13" s="166"/>
      <c r="H13" s="166"/>
      <c r="I13" s="166"/>
      <c r="J13" s="166"/>
      <c r="K13" s="166"/>
    </row>
    <row r="14" spans="2:14" x14ac:dyDescent="0.2">
      <c r="B14" s="162">
        <v>2014</v>
      </c>
      <c r="C14" s="163">
        <f>$H$60</f>
        <v>1026</v>
      </c>
      <c r="D14" s="164">
        <f>ROUND(C14*$C$76,2)</f>
        <v>78.819999999999993</v>
      </c>
      <c r="E14" s="165">
        <f>$I$60</f>
        <v>15.83</v>
      </c>
      <c r="F14" s="165">
        <f>$J$65</f>
        <v>1.52</v>
      </c>
      <c r="G14" s="166">
        <f t="shared" ref="G14:G42" si="0">ROUND(F14*(8.76*$G$65)+E14,2)</f>
        <v>24.82</v>
      </c>
      <c r="H14" s="166">
        <f t="shared" ref="H14:H42" si="1">ROUND(D14+G14,2)</f>
        <v>103.64</v>
      </c>
      <c r="I14" s="166"/>
      <c r="J14" s="166"/>
      <c r="K14" s="166"/>
    </row>
    <row r="15" spans="2:14" x14ac:dyDescent="0.2">
      <c r="B15" s="162">
        <f t="shared" ref="B15:B42" si="2">B14+1</f>
        <v>2015</v>
      </c>
      <c r="C15" s="167"/>
      <c r="D15" s="164">
        <f t="shared" ref="D15:F17" si="3">ROUND(D14*(1+$D83),2)</f>
        <v>79.290000000000006</v>
      </c>
      <c r="E15" s="164">
        <f t="shared" si="3"/>
        <v>15.92</v>
      </c>
      <c r="F15" s="164">
        <f t="shared" si="3"/>
        <v>1.53</v>
      </c>
      <c r="G15" s="168">
        <f t="shared" si="0"/>
        <v>24.97</v>
      </c>
      <c r="H15" s="168">
        <f t="shared" si="1"/>
        <v>104.26</v>
      </c>
      <c r="I15" s="166"/>
      <c r="J15" s="166"/>
      <c r="K15" s="166"/>
      <c r="M15" s="100"/>
    </row>
    <row r="16" spans="2:14" x14ac:dyDescent="0.2">
      <c r="B16" s="162">
        <f t="shared" si="2"/>
        <v>2016</v>
      </c>
      <c r="C16" s="167"/>
      <c r="D16" s="164">
        <f t="shared" si="3"/>
        <v>80.239999999999995</v>
      </c>
      <c r="E16" s="164">
        <f t="shared" si="3"/>
        <v>16.11</v>
      </c>
      <c r="F16" s="164">
        <f t="shared" si="3"/>
        <v>1.55</v>
      </c>
      <c r="G16" s="166">
        <f t="shared" si="0"/>
        <v>25.28</v>
      </c>
      <c r="H16" s="166">
        <f t="shared" si="1"/>
        <v>105.52</v>
      </c>
      <c r="I16" s="166"/>
      <c r="J16" s="166"/>
      <c r="K16" s="166"/>
      <c r="M16" s="100"/>
    </row>
    <row r="17" spans="2:13" x14ac:dyDescent="0.2">
      <c r="B17" s="162">
        <f t="shared" si="2"/>
        <v>2017</v>
      </c>
      <c r="C17" s="167"/>
      <c r="D17" s="164">
        <f t="shared" si="3"/>
        <v>82.01</v>
      </c>
      <c r="E17" s="164">
        <f t="shared" si="3"/>
        <v>16.46</v>
      </c>
      <c r="F17" s="164">
        <f t="shared" si="3"/>
        <v>1.58</v>
      </c>
      <c r="G17" s="166">
        <f t="shared" si="0"/>
        <v>25.8</v>
      </c>
      <c r="H17" s="166">
        <f t="shared" si="1"/>
        <v>107.81</v>
      </c>
      <c r="I17" s="166"/>
      <c r="J17" s="166"/>
      <c r="K17" s="166"/>
      <c r="M17" s="100"/>
    </row>
    <row r="18" spans="2:13" x14ac:dyDescent="0.2">
      <c r="B18" s="162">
        <f t="shared" si="2"/>
        <v>2018</v>
      </c>
      <c r="C18" s="167"/>
      <c r="D18" s="164">
        <f t="shared" ref="D18:F18" si="4">ROUND(D17*(1+$D86),2)</f>
        <v>83.98</v>
      </c>
      <c r="E18" s="164">
        <f t="shared" si="4"/>
        <v>16.86</v>
      </c>
      <c r="F18" s="164">
        <f t="shared" si="4"/>
        <v>1.62</v>
      </c>
      <c r="G18" s="166">
        <f t="shared" ref="G18:G23" si="5">ROUND(F18*(8.76*$G$65)+E18,2)</f>
        <v>26.44</v>
      </c>
      <c r="H18" s="166">
        <f t="shared" ref="H18:H23" si="6">ROUND(D18+G18,2)</f>
        <v>110.42</v>
      </c>
      <c r="I18" s="166"/>
      <c r="J18" s="166"/>
      <c r="K18" s="166"/>
      <c r="M18" s="100"/>
    </row>
    <row r="19" spans="2:13" x14ac:dyDescent="0.2">
      <c r="B19" s="162">
        <f t="shared" si="2"/>
        <v>2019</v>
      </c>
      <c r="C19" s="167"/>
      <c r="D19" s="164">
        <f t="shared" ref="D19:F19" si="7">ROUND(D18*(1+$D87),2)</f>
        <v>86</v>
      </c>
      <c r="E19" s="164">
        <f t="shared" si="7"/>
        <v>17.260000000000002</v>
      </c>
      <c r="F19" s="164">
        <f t="shared" si="7"/>
        <v>1.66</v>
      </c>
      <c r="G19" s="166">
        <f t="shared" si="5"/>
        <v>27.08</v>
      </c>
      <c r="H19" s="166">
        <f t="shared" si="6"/>
        <v>113.08</v>
      </c>
      <c r="I19" s="166"/>
      <c r="J19" s="166"/>
      <c r="K19" s="166"/>
      <c r="M19" s="100"/>
    </row>
    <row r="20" spans="2:13" x14ac:dyDescent="0.2">
      <c r="B20" s="162">
        <f t="shared" si="2"/>
        <v>2020</v>
      </c>
      <c r="C20" s="167"/>
      <c r="D20" s="164">
        <f t="shared" ref="D20:F20" si="8">ROUND(D19*(1+$D88),2)</f>
        <v>88.06</v>
      </c>
      <c r="E20" s="164">
        <f t="shared" si="8"/>
        <v>17.670000000000002</v>
      </c>
      <c r="F20" s="164">
        <f t="shared" si="8"/>
        <v>1.7</v>
      </c>
      <c r="G20" s="166">
        <f t="shared" si="5"/>
        <v>27.72</v>
      </c>
      <c r="H20" s="166">
        <f t="shared" si="6"/>
        <v>115.78</v>
      </c>
      <c r="I20" s="166"/>
      <c r="J20" s="166"/>
      <c r="K20" s="166"/>
      <c r="M20" s="100"/>
    </row>
    <row r="21" spans="2:13" x14ac:dyDescent="0.2">
      <c r="B21" s="162">
        <f t="shared" si="2"/>
        <v>2021</v>
      </c>
      <c r="C21" s="167"/>
      <c r="D21" s="164">
        <f t="shared" ref="D21:F21" si="9">ROUND(D20*(1+$D89),2)</f>
        <v>90.17</v>
      </c>
      <c r="E21" s="164">
        <f t="shared" si="9"/>
        <v>18.09</v>
      </c>
      <c r="F21" s="164">
        <f t="shared" si="9"/>
        <v>1.74</v>
      </c>
      <c r="G21" s="166">
        <f t="shared" si="5"/>
        <v>28.38</v>
      </c>
      <c r="H21" s="166">
        <f t="shared" si="6"/>
        <v>118.55</v>
      </c>
      <c r="I21" s="166"/>
      <c r="J21" s="166"/>
      <c r="K21" s="166"/>
      <c r="M21" s="100"/>
    </row>
    <row r="22" spans="2:13" x14ac:dyDescent="0.2">
      <c r="B22" s="162">
        <f t="shared" si="2"/>
        <v>2022</v>
      </c>
      <c r="C22" s="167"/>
      <c r="D22" s="164">
        <f t="shared" ref="D22:F22" si="10">ROUND(D21*(1+$D90),2)</f>
        <v>92.24</v>
      </c>
      <c r="E22" s="164">
        <f t="shared" si="10"/>
        <v>18.510000000000002</v>
      </c>
      <c r="F22" s="164">
        <f t="shared" si="10"/>
        <v>1.78</v>
      </c>
      <c r="G22" s="166">
        <f t="shared" si="5"/>
        <v>29.04</v>
      </c>
      <c r="H22" s="166">
        <f t="shared" si="6"/>
        <v>121.28</v>
      </c>
      <c r="I22" s="166"/>
      <c r="J22" s="166"/>
      <c r="K22" s="166"/>
      <c r="M22" s="100"/>
    </row>
    <row r="23" spans="2:13" x14ac:dyDescent="0.2">
      <c r="B23" s="162">
        <f t="shared" si="2"/>
        <v>2023</v>
      </c>
      <c r="C23" s="167"/>
      <c r="D23" s="164">
        <f t="shared" ref="D23:F23" si="11">ROUND(D22*(1+$D91),2)</f>
        <v>94.36</v>
      </c>
      <c r="E23" s="164">
        <f t="shared" si="11"/>
        <v>18.940000000000001</v>
      </c>
      <c r="F23" s="164">
        <f t="shared" si="11"/>
        <v>1.82</v>
      </c>
      <c r="G23" s="166">
        <f t="shared" si="5"/>
        <v>29.7</v>
      </c>
      <c r="H23" s="166">
        <f t="shared" si="6"/>
        <v>124.06</v>
      </c>
      <c r="I23" s="166"/>
      <c r="J23" s="166"/>
      <c r="K23" s="166"/>
      <c r="M23" s="100"/>
    </row>
    <row r="24" spans="2:13" x14ac:dyDescent="0.2">
      <c r="B24" s="162">
        <f t="shared" si="2"/>
        <v>2024</v>
      </c>
      <c r="C24" s="167"/>
      <c r="D24" s="168">
        <f>ROUND(D23*(1+$G83),2)</f>
        <v>96.53</v>
      </c>
      <c r="E24" s="168">
        <f>ROUND(E23*(1+$G83),2)</f>
        <v>19.38</v>
      </c>
      <c r="F24" s="168">
        <f>ROUND(F23*(1+$G83),2)</f>
        <v>1.86</v>
      </c>
      <c r="G24" s="166">
        <f t="shared" si="0"/>
        <v>30.38</v>
      </c>
      <c r="H24" s="166">
        <f t="shared" si="1"/>
        <v>126.91</v>
      </c>
      <c r="I24" s="166"/>
      <c r="J24" s="166"/>
      <c r="K24" s="166"/>
      <c r="M24" s="100"/>
    </row>
    <row r="25" spans="2:13" x14ac:dyDescent="0.2">
      <c r="B25" s="162">
        <f t="shared" si="2"/>
        <v>2025</v>
      </c>
      <c r="C25" s="167"/>
      <c r="D25" s="168">
        <f t="shared" ref="D25:F25" si="12">ROUND(D24*(1+$G84),2)</f>
        <v>98.65</v>
      </c>
      <c r="E25" s="168">
        <f t="shared" si="12"/>
        <v>19.809999999999999</v>
      </c>
      <c r="F25" s="168">
        <f t="shared" si="12"/>
        <v>1.9</v>
      </c>
      <c r="G25" s="166">
        <f t="shared" ref="G25:G30" si="13">ROUND(F25*(8.76*$G$65)+E25,2)</f>
        <v>31.04</v>
      </c>
      <c r="H25" s="166">
        <f t="shared" ref="H25:H30" si="14">ROUND(D25+G25,2)</f>
        <v>129.69</v>
      </c>
      <c r="I25" s="166"/>
      <c r="J25" s="166"/>
      <c r="K25" s="166"/>
      <c r="M25" s="100"/>
    </row>
    <row r="26" spans="2:13" x14ac:dyDescent="0.2">
      <c r="B26" s="162">
        <f t="shared" si="2"/>
        <v>2026</v>
      </c>
      <c r="C26" s="167"/>
      <c r="D26" s="168">
        <f t="shared" ref="D26:F26" si="15">ROUND(D25*(1+$G85),2)</f>
        <v>100.82</v>
      </c>
      <c r="E26" s="168">
        <f t="shared" si="15"/>
        <v>20.25</v>
      </c>
      <c r="F26" s="168">
        <f t="shared" si="15"/>
        <v>1.94</v>
      </c>
      <c r="G26" s="166">
        <f t="shared" si="13"/>
        <v>31.72</v>
      </c>
      <c r="H26" s="166">
        <f t="shared" si="14"/>
        <v>132.54</v>
      </c>
      <c r="I26" s="166"/>
      <c r="J26" s="166"/>
      <c r="K26" s="166"/>
      <c r="M26" s="100"/>
    </row>
    <row r="27" spans="2:13" x14ac:dyDescent="0.2">
      <c r="B27" s="162">
        <f t="shared" si="2"/>
        <v>2027</v>
      </c>
      <c r="C27" s="167"/>
      <c r="D27" s="168">
        <f t="shared" ref="D27:F27" si="16">ROUND(D26*(1+$G86),2)</f>
        <v>103.04</v>
      </c>
      <c r="E27" s="168">
        <f t="shared" si="16"/>
        <v>20.7</v>
      </c>
      <c r="F27" s="168">
        <f t="shared" si="16"/>
        <v>1.98</v>
      </c>
      <c r="G27" s="166">
        <f t="shared" si="13"/>
        <v>32.409999999999997</v>
      </c>
      <c r="H27" s="166">
        <f t="shared" si="14"/>
        <v>135.44999999999999</v>
      </c>
      <c r="I27" s="166"/>
      <c r="J27" s="166"/>
      <c r="K27" s="166"/>
      <c r="M27" s="100"/>
    </row>
    <row r="28" spans="2:13" x14ac:dyDescent="0.2">
      <c r="B28" s="162">
        <f t="shared" si="2"/>
        <v>2028</v>
      </c>
      <c r="C28" s="167"/>
      <c r="D28" s="168">
        <f t="shared" ref="D28:D29" si="17">ROUND(D27*(1+$G87),2)</f>
        <v>105.31</v>
      </c>
      <c r="E28" s="168">
        <f t="shared" ref="E28:E29" si="18">ROUND(E27*(1+$G87),2)</f>
        <v>21.16</v>
      </c>
      <c r="F28" s="168">
        <f t="shared" ref="F28:F29" si="19">ROUND(F27*(1+$G87),2)</f>
        <v>2.02</v>
      </c>
      <c r="G28" s="166">
        <f t="shared" ref="G28:G29" si="20">ROUND(F28*(8.76*$G$65)+E28,2)</f>
        <v>33.1</v>
      </c>
      <c r="H28" s="166">
        <f t="shared" ref="H28:H29" si="21">ROUND(D28+G28,2)</f>
        <v>138.41</v>
      </c>
      <c r="I28" s="166"/>
      <c r="J28" s="166"/>
      <c r="K28" s="166"/>
      <c r="M28" s="100"/>
    </row>
    <row r="29" spans="2:13" ht="13.5" thickBot="1" x14ac:dyDescent="0.25">
      <c r="B29" s="258">
        <f t="shared" si="2"/>
        <v>2029</v>
      </c>
      <c r="C29" s="259"/>
      <c r="D29" s="225">
        <f t="shared" si="17"/>
        <v>107.52</v>
      </c>
      <c r="E29" s="225">
        <f t="shared" si="18"/>
        <v>21.6</v>
      </c>
      <c r="F29" s="225">
        <f t="shared" si="19"/>
        <v>2.06</v>
      </c>
      <c r="G29" s="193">
        <f t="shared" si="20"/>
        <v>33.78</v>
      </c>
      <c r="H29" s="193">
        <f t="shared" si="21"/>
        <v>141.30000000000001</v>
      </c>
      <c r="I29" s="193"/>
      <c r="J29" s="193"/>
      <c r="K29" s="193"/>
      <c r="M29" s="100"/>
    </row>
    <row r="30" spans="2:13" s="203" customFormat="1" x14ac:dyDescent="0.2">
      <c r="B30" s="206">
        <f t="shared" si="2"/>
        <v>2030</v>
      </c>
      <c r="C30" s="207"/>
      <c r="D30" s="168">
        <f t="shared" ref="D30:F30" si="22">ROUND(D29*(1+$G89),2)</f>
        <v>109.89</v>
      </c>
      <c r="E30" s="168">
        <f t="shared" si="22"/>
        <v>22.08</v>
      </c>
      <c r="F30" s="168">
        <f t="shared" si="22"/>
        <v>2.11</v>
      </c>
      <c r="G30" s="166">
        <f t="shared" si="13"/>
        <v>34.56</v>
      </c>
      <c r="H30" s="166">
        <f t="shared" si="14"/>
        <v>144.44999999999999</v>
      </c>
      <c r="I30" s="166">
        <f>VLOOKUP(B30,'Table 4'!$B$13:$C$40,2,FALSE)</f>
        <v>5.27</v>
      </c>
      <c r="J30" s="166">
        <f t="shared" ref="J30:J32" si="23">ROUND($K$65*I30/1000,2)</f>
        <v>35.409999999999997</v>
      </c>
      <c r="K30" s="166">
        <f t="shared" ref="K30:K32" si="24">ROUND(H30*1000/8760/$G$65+J30,2)</f>
        <v>59.84</v>
      </c>
      <c r="M30" s="100"/>
    </row>
    <row r="31" spans="2:13" s="203" customFormat="1" x14ac:dyDescent="0.2">
      <c r="B31" s="206">
        <f t="shared" si="2"/>
        <v>2031</v>
      </c>
      <c r="C31" s="207"/>
      <c r="D31" s="168">
        <f t="shared" ref="D31:D32" si="25">ROUND(D30*(1+$G90),2)</f>
        <v>112.31</v>
      </c>
      <c r="E31" s="168">
        <f t="shared" ref="E31:E32" si="26">ROUND(E30*(1+$G90),2)</f>
        <v>22.57</v>
      </c>
      <c r="F31" s="168">
        <f t="shared" ref="F31:F32" si="27">ROUND(F30*(1+$G90),2)</f>
        <v>2.16</v>
      </c>
      <c r="G31" s="166">
        <f t="shared" ref="G31:G32" si="28">ROUND(F31*(8.76*$G$65)+E31,2)</f>
        <v>35.340000000000003</v>
      </c>
      <c r="H31" s="166">
        <f t="shared" ref="H31:H32" si="29">ROUND(D31+G31,2)</f>
        <v>147.65</v>
      </c>
      <c r="I31" s="166">
        <f>VLOOKUP(B31,'Table 4'!$B$13:$C$40,2,FALSE)</f>
        <v>5.41</v>
      </c>
      <c r="J31" s="166">
        <f t="shared" si="23"/>
        <v>36.36</v>
      </c>
      <c r="K31" s="166">
        <f t="shared" si="24"/>
        <v>61.33</v>
      </c>
      <c r="M31" s="100"/>
    </row>
    <row r="32" spans="2:13" s="203" customFormat="1" hidden="1" x14ac:dyDescent="0.2">
      <c r="B32" s="162">
        <f t="shared" si="2"/>
        <v>2032</v>
      </c>
      <c r="C32" s="167"/>
      <c r="D32" s="166">
        <f t="shared" si="25"/>
        <v>114.78</v>
      </c>
      <c r="E32" s="164">
        <f t="shared" si="26"/>
        <v>23.07</v>
      </c>
      <c r="F32" s="164">
        <f t="shared" si="27"/>
        <v>2.21</v>
      </c>
      <c r="G32" s="166">
        <f t="shared" si="28"/>
        <v>36.14</v>
      </c>
      <c r="H32" s="166">
        <f t="shared" si="29"/>
        <v>150.91999999999999</v>
      </c>
      <c r="I32" s="166">
        <f>VLOOKUP(B32,'Table 4'!$B$13:$C$40,2,FALSE)</f>
        <v>5.56</v>
      </c>
      <c r="J32" s="166">
        <f t="shared" si="23"/>
        <v>37.36</v>
      </c>
      <c r="K32" s="166">
        <f t="shared" si="24"/>
        <v>62.88</v>
      </c>
      <c r="M32" s="100"/>
    </row>
    <row r="33" spans="2:15" hidden="1" x14ac:dyDescent="0.2">
      <c r="B33" s="162">
        <f t="shared" si="2"/>
        <v>2033</v>
      </c>
      <c r="C33" s="167"/>
      <c r="D33" s="166">
        <f>ROUND(D32*(1+$J83),2)</f>
        <v>117.31</v>
      </c>
      <c r="E33" s="164">
        <f>ROUND(E32*(1+$J83),2)</f>
        <v>23.58</v>
      </c>
      <c r="F33" s="164">
        <f>ROUND(F32*(1+$J83),2)</f>
        <v>2.2599999999999998</v>
      </c>
      <c r="G33" s="166">
        <f t="shared" ref="G33" si="30">ROUND(F33*(8.76*$G$65)+E33,2)</f>
        <v>36.94</v>
      </c>
      <c r="H33" s="166">
        <f t="shared" ref="H33" si="31">ROUND(D33+G33,2)</f>
        <v>154.25</v>
      </c>
      <c r="I33" s="166">
        <f>VLOOKUP(B33,'Table 4'!$B$13:$C$40,2,FALSE)</f>
        <v>5.75</v>
      </c>
      <c r="J33" s="166">
        <f t="shared" ref="J33:J35" si="32">ROUND($K$65*I33/1000,2)</f>
        <v>38.64</v>
      </c>
      <c r="K33" s="166">
        <f t="shared" ref="K33:K35" si="33">ROUND(H33*1000/8760/$G$65+J33,2)</f>
        <v>64.73</v>
      </c>
      <c r="M33" s="100"/>
    </row>
    <row r="34" spans="2:15" hidden="1" x14ac:dyDescent="0.2">
      <c r="B34" s="162">
        <f t="shared" si="2"/>
        <v>2034</v>
      </c>
      <c r="C34" s="167"/>
      <c r="D34" s="166">
        <f t="shared" ref="D34:F34" si="34">ROUND(D33*(1+$J84),2)</f>
        <v>119.89</v>
      </c>
      <c r="E34" s="164">
        <f t="shared" si="34"/>
        <v>24.1</v>
      </c>
      <c r="F34" s="164">
        <f t="shared" si="34"/>
        <v>2.31</v>
      </c>
      <c r="G34" s="166">
        <f t="shared" ref="G34:G40" si="35">ROUND(F34*(8.76*$G$65)+E34,2)</f>
        <v>37.76</v>
      </c>
      <c r="H34" s="166">
        <f t="shared" ref="H34:H40" si="36">ROUND(D34+G34,2)</f>
        <v>157.65</v>
      </c>
      <c r="I34" s="166">
        <f>VLOOKUP(B34,'Table 4'!$B$13:$C$40,2,FALSE)</f>
        <v>5.93</v>
      </c>
      <c r="J34" s="166">
        <f t="shared" si="32"/>
        <v>39.85</v>
      </c>
      <c r="K34" s="166">
        <f t="shared" si="33"/>
        <v>66.510000000000005</v>
      </c>
      <c r="M34" s="100"/>
    </row>
    <row r="35" spans="2:15" hidden="1" x14ac:dyDescent="0.2">
      <c r="B35" s="162">
        <f t="shared" si="2"/>
        <v>2035</v>
      </c>
      <c r="C35" s="167"/>
      <c r="D35" s="166">
        <f t="shared" ref="D35:F35" si="37">ROUND(D34*(1+$J85),2)</f>
        <v>122.53</v>
      </c>
      <c r="E35" s="164">
        <f t="shared" si="37"/>
        <v>24.63</v>
      </c>
      <c r="F35" s="164">
        <f t="shared" si="37"/>
        <v>2.36</v>
      </c>
      <c r="G35" s="166">
        <f t="shared" si="35"/>
        <v>38.58</v>
      </c>
      <c r="H35" s="166">
        <f t="shared" si="36"/>
        <v>161.11000000000001</v>
      </c>
      <c r="I35" s="166">
        <f>VLOOKUP(B35,'Table 4'!$B$13:$C$40,2,FALSE)</f>
        <v>6.09</v>
      </c>
      <c r="J35" s="166">
        <f t="shared" si="32"/>
        <v>40.92</v>
      </c>
      <c r="K35" s="166">
        <f t="shared" si="33"/>
        <v>68.17</v>
      </c>
      <c r="M35" s="100"/>
    </row>
    <row r="36" spans="2:15" hidden="1" x14ac:dyDescent="0.2">
      <c r="B36" s="162">
        <f t="shared" si="2"/>
        <v>2036</v>
      </c>
      <c r="C36" s="167"/>
      <c r="D36" s="166">
        <f t="shared" ref="D36:F36" si="38">ROUND(D35*(1+$J86),2)</f>
        <v>125.23</v>
      </c>
      <c r="E36" s="164">
        <f t="shared" si="38"/>
        <v>25.17</v>
      </c>
      <c r="F36" s="164">
        <f t="shared" si="38"/>
        <v>2.41</v>
      </c>
      <c r="G36" s="166">
        <f t="shared" si="35"/>
        <v>39.42</v>
      </c>
      <c r="H36" s="166">
        <f t="shared" si="36"/>
        <v>164.65</v>
      </c>
      <c r="I36" s="166">
        <f>VLOOKUP(B36,'Table 4'!$B$13:$C$40,2,FALSE)</f>
        <v>6.33</v>
      </c>
      <c r="J36" s="166">
        <f t="shared" ref="J36:J42" si="39">ROUND($K$65*I36/1000,2)</f>
        <v>42.54</v>
      </c>
      <c r="K36" s="166">
        <f t="shared" ref="K36:K42" si="40">ROUND(H36*1000/8760/$G$65+J36,2)</f>
        <v>70.39</v>
      </c>
      <c r="M36" s="100"/>
    </row>
    <row r="37" spans="2:15" hidden="1" x14ac:dyDescent="0.2">
      <c r="B37" s="162">
        <f t="shared" si="2"/>
        <v>2037</v>
      </c>
      <c r="C37" s="167"/>
      <c r="D37" s="166">
        <f t="shared" ref="D37:F37" si="41">ROUND(D36*(1+$J87),2)</f>
        <v>127.99</v>
      </c>
      <c r="E37" s="164">
        <f t="shared" si="41"/>
        <v>25.72</v>
      </c>
      <c r="F37" s="164">
        <f t="shared" si="41"/>
        <v>2.46</v>
      </c>
      <c r="G37" s="166">
        <f t="shared" si="35"/>
        <v>40.270000000000003</v>
      </c>
      <c r="H37" s="166">
        <f t="shared" si="36"/>
        <v>168.26</v>
      </c>
      <c r="I37" s="166">
        <f>VLOOKUP(B37,'Table 4'!$B$13:$C$40,2,FALSE)</f>
        <v>6.5</v>
      </c>
      <c r="J37" s="166">
        <f t="shared" si="39"/>
        <v>43.68</v>
      </c>
      <c r="K37" s="166">
        <f t="shared" si="40"/>
        <v>72.14</v>
      </c>
      <c r="M37" s="100"/>
    </row>
    <row r="38" spans="2:15" hidden="1" x14ac:dyDescent="0.2">
      <c r="B38" s="162">
        <f t="shared" si="2"/>
        <v>2038</v>
      </c>
      <c r="C38" s="167"/>
      <c r="D38" s="166">
        <f t="shared" ref="D38:F38" si="42">ROUND(D37*(1+$J88),2)</f>
        <v>130.93</v>
      </c>
      <c r="E38" s="164">
        <f t="shared" si="42"/>
        <v>26.31</v>
      </c>
      <c r="F38" s="164">
        <f t="shared" si="42"/>
        <v>2.52</v>
      </c>
      <c r="G38" s="166">
        <f t="shared" si="35"/>
        <v>41.21</v>
      </c>
      <c r="H38" s="166">
        <f t="shared" si="36"/>
        <v>172.14</v>
      </c>
      <c r="I38" s="166">
        <f>VLOOKUP(B38,'Table 4'!$B$13:$C$40,2,FALSE)</f>
        <v>6.84</v>
      </c>
      <c r="J38" s="166">
        <f t="shared" si="39"/>
        <v>45.96</v>
      </c>
      <c r="K38" s="166">
        <f t="shared" si="40"/>
        <v>75.069999999999993</v>
      </c>
      <c r="M38" s="100"/>
    </row>
    <row r="39" spans="2:15" hidden="1" x14ac:dyDescent="0.2">
      <c r="B39" s="162">
        <f t="shared" si="2"/>
        <v>2039</v>
      </c>
      <c r="C39" s="167"/>
      <c r="D39" s="166">
        <f t="shared" ref="D39:F39" si="43">ROUND(D38*(1+$J89),2)</f>
        <v>133.94</v>
      </c>
      <c r="E39" s="164">
        <f t="shared" si="43"/>
        <v>26.92</v>
      </c>
      <c r="F39" s="164">
        <f t="shared" si="43"/>
        <v>2.58</v>
      </c>
      <c r="G39" s="166">
        <f t="shared" si="35"/>
        <v>42.18</v>
      </c>
      <c r="H39" s="166">
        <f t="shared" si="36"/>
        <v>176.12</v>
      </c>
      <c r="I39" s="166">
        <f>VLOOKUP(B39,'Table 4'!$B$13:$C$40,2,FALSE)</f>
        <v>7.06</v>
      </c>
      <c r="J39" s="166">
        <f t="shared" si="39"/>
        <v>47.44</v>
      </c>
      <c r="K39" s="166">
        <f t="shared" si="40"/>
        <v>77.23</v>
      </c>
      <c r="M39" s="100"/>
    </row>
    <row r="40" spans="2:15" hidden="1" x14ac:dyDescent="0.2">
      <c r="B40" s="162">
        <f t="shared" si="2"/>
        <v>2040</v>
      </c>
      <c r="C40" s="167"/>
      <c r="D40" s="166">
        <f t="shared" ref="D40:F40" si="44">ROUND(D39*(1+$J90),2)</f>
        <v>137.02000000000001</v>
      </c>
      <c r="E40" s="164">
        <f t="shared" si="44"/>
        <v>27.54</v>
      </c>
      <c r="F40" s="164">
        <f t="shared" si="44"/>
        <v>2.64</v>
      </c>
      <c r="G40" s="166">
        <f t="shared" si="35"/>
        <v>43.15</v>
      </c>
      <c r="H40" s="166">
        <f t="shared" si="36"/>
        <v>180.17</v>
      </c>
      <c r="I40" s="166">
        <f>VLOOKUP(B40,'Table 4'!$B$13:$C$40,2,FALSE)</f>
        <v>7.38</v>
      </c>
      <c r="J40" s="166">
        <f t="shared" si="39"/>
        <v>49.59</v>
      </c>
      <c r="K40" s="166">
        <f t="shared" si="40"/>
        <v>80.06</v>
      </c>
      <c r="M40" s="100"/>
    </row>
    <row r="41" spans="2:15" hidden="1" x14ac:dyDescent="0.2">
      <c r="B41" s="162">
        <f t="shared" si="2"/>
        <v>2041</v>
      </c>
      <c r="C41" s="167"/>
      <c r="D41" s="166">
        <f t="shared" ref="D41:F42" si="45">ROUND(D40*(1+$J92),2)</f>
        <v>137.02000000000001</v>
      </c>
      <c r="E41" s="164">
        <f t="shared" si="45"/>
        <v>27.54</v>
      </c>
      <c r="F41" s="164">
        <f t="shared" si="45"/>
        <v>2.64</v>
      </c>
      <c r="G41" s="166">
        <f t="shared" si="0"/>
        <v>43.15</v>
      </c>
      <c r="H41" s="166">
        <f t="shared" si="1"/>
        <v>180.17</v>
      </c>
      <c r="I41" s="166">
        <f>VLOOKUP(B41,'Table 4'!$B$13:$C$40,2,FALSE)</f>
        <v>7.55</v>
      </c>
      <c r="J41" s="166">
        <f t="shared" si="39"/>
        <v>50.74</v>
      </c>
      <c r="K41" s="166">
        <f t="shared" si="40"/>
        <v>81.209999999999994</v>
      </c>
    </row>
    <row r="42" spans="2:15" hidden="1" x14ac:dyDescent="0.2">
      <c r="B42" s="162">
        <f t="shared" si="2"/>
        <v>2042</v>
      </c>
      <c r="C42" s="167"/>
      <c r="D42" s="166">
        <f t="shared" si="45"/>
        <v>137.02000000000001</v>
      </c>
      <c r="E42" s="164">
        <f t="shared" si="45"/>
        <v>27.54</v>
      </c>
      <c r="F42" s="164">
        <f t="shared" si="45"/>
        <v>2.64</v>
      </c>
      <c r="G42" s="166">
        <f t="shared" si="0"/>
        <v>43.15</v>
      </c>
      <c r="H42" s="166">
        <f t="shared" si="1"/>
        <v>180.17</v>
      </c>
      <c r="I42" s="166" t="e">
        <f>VLOOKUP(B42,'Table 4'!$B$13:$C$40,2,FALSE)</f>
        <v>#N/A</v>
      </c>
      <c r="J42" s="166" t="e">
        <f t="shared" si="39"/>
        <v>#N/A</v>
      </c>
      <c r="K42" s="166" t="e">
        <f t="shared" si="40"/>
        <v>#N/A</v>
      </c>
    </row>
    <row r="43" spans="2:15" x14ac:dyDescent="0.2">
      <c r="M43" s="162"/>
      <c r="O43" s="169"/>
    </row>
    <row r="44" spans="2:15" ht="14.25" x14ac:dyDescent="0.2">
      <c r="B44" s="7" t="s">
        <v>49</v>
      </c>
      <c r="C44" s="66"/>
      <c r="D44" s="66"/>
      <c r="E44" s="66"/>
      <c r="F44" s="66"/>
      <c r="G44" s="66"/>
      <c r="H44" s="66"/>
      <c r="I44" s="66"/>
      <c r="J44" s="66"/>
      <c r="K44" s="66"/>
      <c r="M44" s="162"/>
      <c r="N44" s="169"/>
      <c r="O44" s="169"/>
    </row>
    <row r="46" spans="2:15" x14ac:dyDescent="0.2">
      <c r="B46" s="159" t="s">
        <v>30</v>
      </c>
      <c r="D46" s="170" t="s">
        <v>116</v>
      </c>
    </row>
    <row r="47" spans="2:15" x14ac:dyDescent="0.2">
      <c r="C47" s="171" t="str">
        <f>D10</f>
        <v>(b)</v>
      </c>
      <c r="D47" s="166" t="str">
        <f>"= "&amp;C10&amp;" x "&amp;C76</f>
        <v>= (a) x 0.07682</v>
      </c>
    </row>
    <row r="48" spans="2:15" x14ac:dyDescent="0.2">
      <c r="C48" s="171" t="str">
        <f>G10</f>
        <v>(e)</v>
      </c>
      <c r="D48" s="166" t="str">
        <f>"= "&amp;$F$10&amp;" x  (8.76 x "&amp;TEXT(G65,"0.0%")&amp;") + "&amp;$E$10</f>
        <v>= (d) x  (8.76 x 67.5%) + (c)</v>
      </c>
    </row>
    <row r="49" spans="3:11" x14ac:dyDescent="0.2">
      <c r="C49" s="171" t="str">
        <f>H10</f>
        <v>(f)</v>
      </c>
      <c r="D49" s="166" t="str">
        <f>"= "&amp;D10&amp;" + "&amp;G10</f>
        <v>= (b) + (e)</v>
      </c>
    </row>
    <row r="50" spans="3:11" x14ac:dyDescent="0.2">
      <c r="C50" s="171" t="str">
        <f>I10</f>
        <v>(g)</v>
      </c>
      <c r="D50" s="202" t="str">
        <f>'Table 4'!B3&amp;" - "&amp;'Table 4'!B4</f>
        <v>Table 4 - Burnertip Natural Gas Price Forecast</v>
      </c>
    </row>
    <row r="51" spans="3:11" x14ac:dyDescent="0.2">
      <c r="C51" s="171" t="str">
        <f>J10</f>
        <v>(h)</v>
      </c>
      <c r="D51" s="166" t="str">
        <f>"= "&amp;TEXT(K65,"?,0")&amp;" MMBtu/MWH x "&amp;I9</f>
        <v>= 6,720 MMBtu/MWH x $/MMBtu</v>
      </c>
    </row>
    <row r="52" spans="3:11" x14ac:dyDescent="0.2">
      <c r="C52" s="171" t="str">
        <f>K10</f>
        <v>(i)</v>
      </c>
      <c r="D52" s="16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1" t="s">
        <v>118</v>
      </c>
      <c r="D54" s="98"/>
      <c r="E54" s="98"/>
      <c r="F54" s="98"/>
      <c r="G54" s="98"/>
      <c r="H54" s="98"/>
      <c r="I54" s="98"/>
      <c r="J54" s="99"/>
      <c r="K54" s="172"/>
    </row>
    <row r="55" spans="3:11" ht="5.25" customHeight="1" x14ac:dyDescent="0.2"/>
    <row r="56" spans="3:11" ht="5.25" customHeight="1" x14ac:dyDescent="0.2"/>
    <row r="57" spans="3:11" x14ac:dyDescent="0.2">
      <c r="C57" s="85" t="s">
        <v>59</v>
      </c>
      <c r="D57" s="74"/>
      <c r="E57" s="85"/>
      <c r="F57" s="84" t="s">
        <v>60</v>
      </c>
      <c r="G57" s="84" t="s">
        <v>61</v>
      </c>
      <c r="H57" s="84" t="s">
        <v>62</v>
      </c>
      <c r="I57" s="84" t="s">
        <v>63</v>
      </c>
    </row>
    <row r="58" spans="3:11" x14ac:dyDescent="0.2">
      <c r="C58" s="203" t="s">
        <v>102</v>
      </c>
      <c r="F58" s="173">
        <f>C69</f>
        <v>534</v>
      </c>
      <c r="G58" s="100">
        <f>F58/F60</f>
        <v>0.8409448818897638</v>
      </c>
      <c r="H58" s="187">
        <f>C70</f>
        <v>1077</v>
      </c>
      <c r="I58" s="189">
        <f>C73</f>
        <v>16.07</v>
      </c>
    </row>
    <row r="59" spans="3:11" x14ac:dyDescent="0.2">
      <c r="C59" s="203" t="s">
        <v>103</v>
      </c>
      <c r="F59" s="91">
        <f>D69</f>
        <v>101</v>
      </c>
      <c r="G59" s="87">
        <f>1-G58</f>
        <v>0.1590551181102362</v>
      </c>
      <c r="H59" s="188">
        <f>D70</f>
        <v>755</v>
      </c>
      <c r="I59" s="190">
        <f>D73</f>
        <v>14.56</v>
      </c>
    </row>
    <row r="60" spans="3:11" x14ac:dyDescent="0.2">
      <c r="C60" s="203" t="s">
        <v>64</v>
      </c>
      <c r="F60" s="173">
        <f>F58+F59</f>
        <v>635</v>
      </c>
      <c r="G60" s="100">
        <f>G58+G59</f>
        <v>1</v>
      </c>
      <c r="H60" s="187">
        <f>ROUND(((F58*H58)+(F59*H59))/F60,0)</f>
        <v>1026</v>
      </c>
      <c r="I60" s="189">
        <f>ROUND(((F58*I58)+(F59*I59))/F60,2)</f>
        <v>15.83</v>
      </c>
    </row>
    <row r="61" spans="3:11" x14ac:dyDescent="0.2">
      <c r="C61" s="203"/>
      <c r="F61" s="173"/>
      <c r="G61" s="100"/>
      <c r="H61" s="174"/>
      <c r="I61" s="175"/>
    </row>
    <row r="62" spans="3:11" x14ac:dyDescent="0.2">
      <c r="C62" s="204" t="s">
        <v>59</v>
      </c>
      <c r="D62" s="74"/>
      <c r="E62" s="85"/>
      <c r="F62" s="84" t="s">
        <v>60</v>
      </c>
      <c r="G62" s="84" t="s">
        <v>65</v>
      </c>
      <c r="H62" s="84" t="s">
        <v>66</v>
      </c>
      <c r="I62" s="84" t="s">
        <v>61</v>
      </c>
      <c r="J62" s="84" t="s">
        <v>67</v>
      </c>
      <c r="K62" s="84" t="s">
        <v>68</v>
      </c>
    </row>
    <row r="63" spans="3:11" x14ac:dyDescent="0.2">
      <c r="C63" s="205" t="str">
        <f>C58</f>
        <v>CCCT Dry "J" - Turbine</v>
      </c>
      <c r="D63" s="176"/>
      <c r="E63" s="176"/>
      <c r="F63" s="159">
        <f>C69</f>
        <v>534</v>
      </c>
      <c r="G63" s="100">
        <f>C77</f>
        <v>0.78</v>
      </c>
      <c r="H63" s="230">
        <f>G63*F63</f>
        <v>416.52000000000004</v>
      </c>
      <c r="I63" s="100">
        <f>H63/H65</f>
        <v>0.97172452407614784</v>
      </c>
      <c r="J63" s="175">
        <f>C74</f>
        <v>1.56</v>
      </c>
      <c r="K63" s="177">
        <f>C75</f>
        <v>6637</v>
      </c>
    </row>
    <row r="64" spans="3:11" x14ac:dyDescent="0.2">
      <c r="C64" s="205" t="str">
        <f>C59</f>
        <v>CCCT Dry "J" - Duct Firing</v>
      </c>
      <c r="D64" s="176"/>
      <c r="E64" s="176"/>
      <c r="F64" s="86">
        <f>D69</f>
        <v>101</v>
      </c>
      <c r="G64" s="87">
        <f>D77</f>
        <v>0.12</v>
      </c>
      <c r="H64" s="231">
        <f>G64*F64</f>
        <v>12.12</v>
      </c>
      <c r="I64" s="87">
        <f>1-I63</f>
        <v>2.8275475923852156E-2</v>
      </c>
      <c r="J64" s="88">
        <f>D74</f>
        <v>0.11</v>
      </c>
      <c r="K64" s="89">
        <f>D75</f>
        <v>9561</v>
      </c>
    </row>
    <row r="65" spans="3:11" x14ac:dyDescent="0.2">
      <c r="C65" s="203" t="s">
        <v>69</v>
      </c>
      <c r="F65" s="159">
        <f>F63+F64</f>
        <v>635</v>
      </c>
      <c r="G65" s="178">
        <f>ROUND(H65/F65,3)</f>
        <v>0.67500000000000004</v>
      </c>
      <c r="H65" s="230">
        <f>SUM(H63:H64)</f>
        <v>428.64000000000004</v>
      </c>
      <c r="I65" s="100">
        <f>I63+I64</f>
        <v>1</v>
      </c>
      <c r="J65" s="175">
        <f>ROUND(($I63*J63)+($I64*J64),2)</f>
        <v>1.52</v>
      </c>
      <c r="K65" s="179">
        <f>ROUND(($I63*K63)+($I64*K64),-1)</f>
        <v>6720</v>
      </c>
    </row>
    <row r="66" spans="3:11" x14ac:dyDescent="0.2">
      <c r="G66" s="178"/>
      <c r="I66" s="100"/>
      <c r="J66" s="175"/>
      <c r="K66" s="90" t="s">
        <v>70</v>
      </c>
    </row>
    <row r="68" spans="3:11" x14ac:dyDescent="0.2">
      <c r="C68" s="84" t="s">
        <v>52</v>
      </c>
      <c r="D68" s="84" t="s">
        <v>53</v>
      </c>
      <c r="E68" s="102" t="str">
        <f>D46</f>
        <v>Plant Costs  - 2015 IRP - Table 6.1 &amp; 6.2 - Page 92</v>
      </c>
      <c r="F68" s="180"/>
      <c r="G68" s="180"/>
      <c r="H68" s="180"/>
      <c r="I68" s="180"/>
      <c r="J68" s="180"/>
      <c r="K68" s="181"/>
    </row>
    <row r="69" spans="3:11" x14ac:dyDescent="0.2">
      <c r="C69" s="159">
        <v>534</v>
      </c>
      <c r="D69" s="159">
        <v>101</v>
      </c>
      <c r="E69" s="159" t="s">
        <v>97</v>
      </c>
      <c r="H69" s="182"/>
    </row>
    <row r="70" spans="3:11" x14ac:dyDescent="0.2">
      <c r="C70" s="174">
        <v>1077</v>
      </c>
      <c r="D70" s="174">
        <v>755</v>
      </c>
      <c r="E70" s="159" t="s">
        <v>98</v>
      </c>
    </row>
    <row r="71" spans="3:11" x14ac:dyDescent="0.2">
      <c r="C71" s="175">
        <f>5.8+0.16</f>
        <v>5.96</v>
      </c>
      <c r="D71" s="175">
        <v>0</v>
      </c>
      <c r="E71" s="159" t="s">
        <v>99</v>
      </c>
    </row>
    <row r="72" spans="3:11" x14ac:dyDescent="0.2">
      <c r="C72" s="92">
        <v>10.11</v>
      </c>
      <c r="D72" s="92">
        <v>14.56</v>
      </c>
      <c r="E72" s="159" t="s">
        <v>95</v>
      </c>
    </row>
    <row r="73" spans="3:11" x14ac:dyDescent="0.2">
      <c r="C73" s="175">
        <f>C71+C72</f>
        <v>16.07</v>
      </c>
      <c r="D73" s="175">
        <f>D71+D72</f>
        <v>14.56</v>
      </c>
      <c r="E73" s="159" t="s">
        <v>100</v>
      </c>
    </row>
    <row r="74" spans="3:11" x14ac:dyDescent="0.2">
      <c r="C74" s="175">
        <f>1.36+0.2</f>
        <v>1.56</v>
      </c>
      <c r="D74" s="175">
        <v>0.11</v>
      </c>
      <c r="E74" s="159" t="s">
        <v>101</v>
      </c>
    </row>
    <row r="75" spans="3:11" x14ac:dyDescent="0.2">
      <c r="C75" s="179">
        <v>6637</v>
      </c>
      <c r="D75" s="179">
        <v>9561</v>
      </c>
      <c r="E75" s="159" t="s">
        <v>72</v>
      </c>
    </row>
    <row r="76" spans="3:11" x14ac:dyDescent="0.2">
      <c r="C76" s="200">
        <v>7.6819999999999999E-2</v>
      </c>
      <c r="D76" s="200">
        <f>C76</f>
        <v>7.6819999999999999E-2</v>
      </c>
      <c r="E76" s="159" t="s">
        <v>73</v>
      </c>
    </row>
    <row r="77" spans="3:11" x14ac:dyDescent="0.2">
      <c r="C77" s="183">
        <v>0.78</v>
      </c>
      <c r="D77" s="183">
        <v>0.12</v>
      </c>
      <c r="E77" s="159" t="s">
        <v>74</v>
      </c>
    </row>
    <row r="78" spans="3:11" x14ac:dyDescent="0.2">
      <c r="D78" s="100">
        <f>ROUND(H65/F65,3)</f>
        <v>0.67500000000000004</v>
      </c>
      <c r="E78" s="159" t="s">
        <v>75</v>
      </c>
    </row>
    <row r="79" spans="3:11" x14ac:dyDescent="0.2">
      <c r="D79" s="178"/>
      <c r="E79" s="111"/>
    </row>
    <row r="80" spans="3:11" x14ac:dyDescent="0.2">
      <c r="C80" s="183"/>
      <c r="D80" s="183"/>
    </row>
    <row r="82" spans="3:15" ht="13.5" thickBot="1" x14ac:dyDescent="0.25">
      <c r="C82" s="97" t="str">
        <f>"Company Official Inflation Forecast Dated "&amp;TEXT('Table 4'!G5,"mmmm dd, yyyy")</f>
        <v>Company Official Inflation Forecast Dated June 30, 2016</v>
      </c>
      <c r="D82" s="98"/>
      <c r="E82" s="98"/>
      <c r="F82" s="98"/>
      <c r="G82" s="98"/>
      <c r="H82" s="98"/>
      <c r="I82" s="98"/>
      <c r="J82" s="99"/>
      <c r="K82" s="172"/>
    </row>
    <row r="83" spans="3:15" x14ac:dyDescent="0.2">
      <c r="C83" s="184">
        <v>2015</v>
      </c>
      <c r="D83" s="100">
        <v>6.0000000000000001E-3</v>
      </c>
      <c r="F83" s="184">
        <f>C91+1</f>
        <v>2024</v>
      </c>
      <c r="G83" s="100">
        <v>2.3E-2</v>
      </c>
      <c r="I83" s="184">
        <f>F91+1</f>
        <v>2033</v>
      </c>
      <c r="J83" s="100">
        <v>2.1999999999999999E-2</v>
      </c>
    </row>
    <row r="84" spans="3:15" x14ac:dyDescent="0.2">
      <c r="C84" s="184">
        <f t="shared" ref="C84:C91" si="46">C83+1</f>
        <v>2016</v>
      </c>
      <c r="D84" s="100">
        <v>1.2E-2</v>
      </c>
      <c r="F84" s="184">
        <f t="shared" ref="F84:F91" si="47">F83+1</f>
        <v>2025</v>
      </c>
      <c r="G84" s="100">
        <v>2.1999999999999999E-2</v>
      </c>
      <c r="I84" s="184">
        <f t="shared" ref="I84:I91" si="48">I83+1</f>
        <v>2034</v>
      </c>
      <c r="J84" s="100">
        <v>2.1999999999999999E-2</v>
      </c>
    </row>
    <row r="85" spans="3:15" x14ac:dyDescent="0.2">
      <c r="C85" s="184">
        <f t="shared" si="46"/>
        <v>2017</v>
      </c>
      <c r="D85" s="100">
        <v>2.1999999999999999E-2</v>
      </c>
      <c r="F85" s="184">
        <f t="shared" si="47"/>
        <v>2026</v>
      </c>
      <c r="G85" s="100">
        <v>2.1999999999999999E-2</v>
      </c>
      <c r="I85" s="184">
        <f t="shared" si="48"/>
        <v>2035</v>
      </c>
      <c r="J85" s="100">
        <v>2.1999999999999999E-2</v>
      </c>
    </row>
    <row r="86" spans="3:15" x14ac:dyDescent="0.2">
      <c r="C86" s="184">
        <f t="shared" si="46"/>
        <v>2018</v>
      </c>
      <c r="D86" s="100">
        <v>2.4E-2</v>
      </c>
      <c r="F86" s="184">
        <f t="shared" si="47"/>
        <v>2027</v>
      </c>
      <c r="G86" s="100">
        <v>2.1999999999999999E-2</v>
      </c>
      <c r="I86" s="184">
        <f t="shared" si="48"/>
        <v>2036</v>
      </c>
      <c r="J86" s="100">
        <v>2.1999999999999999E-2</v>
      </c>
    </row>
    <row r="87" spans="3:15" x14ac:dyDescent="0.2">
      <c r="C87" s="184">
        <f t="shared" si="46"/>
        <v>2019</v>
      </c>
      <c r="D87" s="100">
        <v>2.4E-2</v>
      </c>
      <c r="F87" s="184">
        <f t="shared" si="47"/>
        <v>2028</v>
      </c>
      <c r="G87" s="100">
        <v>2.1999999999999999E-2</v>
      </c>
      <c r="I87" s="184">
        <f t="shared" si="48"/>
        <v>2037</v>
      </c>
      <c r="J87" s="100">
        <v>2.1999999999999999E-2</v>
      </c>
    </row>
    <row r="88" spans="3:15" x14ac:dyDescent="0.2">
      <c r="C88" s="184">
        <f t="shared" si="46"/>
        <v>2020</v>
      </c>
      <c r="D88" s="100">
        <v>2.4E-2</v>
      </c>
      <c r="F88" s="184">
        <f t="shared" si="47"/>
        <v>2029</v>
      </c>
      <c r="G88" s="100">
        <v>2.1000000000000001E-2</v>
      </c>
      <c r="I88" s="184">
        <f t="shared" si="48"/>
        <v>2038</v>
      </c>
      <c r="J88" s="100">
        <v>2.3E-2</v>
      </c>
    </row>
    <row r="89" spans="3:15" s="161" customFormat="1" x14ac:dyDescent="0.2">
      <c r="C89" s="184">
        <f t="shared" si="46"/>
        <v>2021</v>
      </c>
      <c r="D89" s="100">
        <v>2.4E-2</v>
      </c>
      <c r="F89" s="184">
        <f t="shared" si="47"/>
        <v>2030</v>
      </c>
      <c r="G89" s="100">
        <v>2.1999999999999999E-2</v>
      </c>
      <c r="I89" s="184">
        <f t="shared" si="48"/>
        <v>2039</v>
      </c>
      <c r="J89" s="100">
        <v>2.3E-2</v>
      </c>
      <c r="N89" s="159"/>
      <c r="O89" s="159"/>
    </row>
    <row r="90" spans="3:15" s="161" customFormat="1" x14ac:dyDescent="0.2">
      <c r="C90" s="184">
        <f t="shared" si="46"/>
        <v>2022</v>
      </c>
      <c r="D90" s="100">
        <v>2.3E-2</v>
      </c>
      <c r="F90" s="184">
        <f t="shared" si="47"/>
        <v>2031</v>
      </c>
      <c r="G90" s="100">
        <v>2.1999999999999999E-2</v>
      </c>
      <c r="I90" s="184">
        <f t="shared" si="48"/>
        <v>2040</v>
      </c>
      <c r="J90" s="100">
        <v>2.3E-2</v>
      </c>
      <c r="N90" s="159"/>
      <c r="O90" s="159"/>
    </row>
    <row r="91" spans="3:15" s="161" customFormat="1" x14ac:dyDescent="0.2">
      <c r="C91" s="184">
        <f t="shared" si="46"/>
        <v>2023</v>
      </c>
      <c r="D91" s="100">
        <v>2.3E-2</v>
      </c>
      <c r="F91" s="184">
        <f t="shared" si="47"/>
        <v>2032</v>
      </c>
      <c r="G91" s="100">
        <v>2.1999999999999999E-2</v>
      </c>
      <c r="I91" s="184">
        <f t="shared" si="48"/>
        <v>2041</v>
      </c>
      <c r="J91" s="100">
        <v>2.3E-2</v>
      </c>
      <c r="N91" s="159"/>
      <c r="O91" s="159"/>
    </row>
    <row r="92" spans="3:15" s="161" customFormat="1" x14ac:dyDescent="0.2">
      <c r="N92" s="159"/>
      <c r="O92" s="159"/>
    </row>
    <row r="93" spans="3:15" s="161" customFormat="1" x14ac:dyDescent="0.2">
      <c r="N93" s="159"/>
      <c r="O93" s="159"/>
    </row>
    <row r="94" spans="3:15" x14ac:dyDescent="0.2">
      <c r="D94" s="191"/>
    </row>
    <row r="95" spans="3:15" x14ac:dyDescent="0.2">
      <c r="D95" s="191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K328"/>
  <sheetViews>
    <sheetView zoomScaleNormal="100" workbookViewId="0">
      <pane ySplit="10" topLeftCell="A11" activePane="bottomLeft" state="frozen"/>
      <selection activeCell="C38" sqref="C38"/>
      <selection pane="bottomLeft" activeCell="B21" sqref="B21"/>
    </sheetView>
  </sheetViews>
  <sheetFormatPr defaultRowHeight="12.75" x14ac:dyDescent="0.2"/>
  <cols>
    <col min="1" max="1" width="9.33203125" style="6"/>
    <col min="2" max="3" width="39" style="6" customWidth="1"/>
    <col min="4" max="6" width="9.33203125" style="6"/>
    <col min="7" max="7" width="15" style="107" hidden="1" customWidth="1"/>
    <col min="8" max="8" width="9.33203125" style="79" hidden="1" customWidth="1"/>
    <col min="9" max="10" width="9.33203125" style="208" hidden="1" customWidth="1"/>
    <col min="11" max="11" width="11.5" style="208" hidden="1" customWidth="1"/>
    <col min="12" max="12" width="9.33203125" style="6" customWidth="1"/>
    <col min="13" max="16384" width="9.33203125" style="6"/>
  </cols>
  <sheetData>
    <row r="1" spans="2:11" ht="15.75" x14ac:dyDescent="0.25">
      <c r="B1" s="1" t="s">
        <v>71</v>
      </c>
      <c r="C1" s="1"/>
      <c r="G1" s="76"/>
    </row>
    <row r="2" spans="2:11" ht="5.25" customHeight="1" x14ac:dyDescent="0.25">
      <c r="B2" s="1"/>
      <c r="C2" s="1"/>
      <c r="G2" s="76"/>
    </row>
    <row r="3" spans="2:11" ht="15.75" x14ac:dyDescent="0.25">
      <c r="B3" s="1" t="s">
        <v>110</v>
      </c>
      <c r="C3" s="1"/>
      <c r="G3" s="76"/>
    </row>
    <row r="4" spans="2:11" ht="15.75" x14ac:dyDescent="0.25">
      <c r="B4" s="1" t="s">
        <v>56</v>
      </c>
      <c r="C4" s="1"/>
      <c r="G4" s="209" t="s">
        <v>55</v>
      </c>
    </row>
    <row r="5" spans="2:11" ht="15.75" x14ac:dyDescent="0.25">
      <c r="B5" s="1" t="str">
        <f ca="1">'Table 1'!$B$5</f>
        <v>Utah 2016.Q2 - 100.0 MW and 85.0% CF</v>
      </c>
      <c r="C5" s="1"/>
      <c r="G5" s="210">
        <v>42551</v>
      </c>
    </row>
    <row r="6" spans="2:11" x14ac:dyDescent="0.2">
      <c r="B6" s="43"/>
      <c r="C6" s="43"/>
      <c r="G6" s="76"/>
    </row>
    <row r="7" spans="2:11" ht="14.25" x14ac:dyDescent="0.2">
      <c r="B7" s="67"/>
      <c r="C7" s="75" t="s">
        <v>50</v>
      </c>
      <c r="G7" s="76"/>
    </row>
    <row r="8" spans="2:11" x14ac:dyDescent="0.2">
      <c r="B8" s="68"/>
      <c r="C8" s="60" t="s">
        <v>51</v>
      </c>
      <c r="G8" s="76"/>
    </row>
    <row r="9" spans="2:11" x14ac:dyDescent="0.2">
      <c r="B9" s="68" t="s">
        <v>0</v>
      </c>
      <c r="C9" s="68" t="str">
        <f>K16</f>
        <v>West Side</v>
      </c>
      <c r="G9" s="76"/>
    </row>
    <row r="10" spans="2:11" x14ac:dyDescent="0.2">
      <c r="B10" s="69"/>
      <c r="C10" s="70" t="s">
        <v>41</v>
      </c>
      <c r="G10" s="211"/>
      <c r="H10" s="212"/>
    </row>
    <row r="11" spans="2:11" hidden="1" x14ac:dyDescent="0.2">
      <c r="C11" s="44"/>
      <c r="G11" s="211"/>
      <c r="H11" s="212"/>
    </row>
    <row r="12" spans="2:11" hidden="1" x14ac:dyDescent="0.2">
      <c r="C12" s="71"/>
      <c r="G12" s="211"/>
      <c r="H12" s="212"/>
    </row>
    <row r="13" spans="2:11" ht="6" customHeight="1" x14ac:dyDescent="0.2">
      <c r="G13" s="213"/>
      <c r="H13" s="214"/>
    </row>
    <row r="14" spans="2:11" x14ac:dyDescent="0.2">
      <c r="B14" s="72">
        <v>2016</v>
      </c>
      <c r="C14" s="73">
        <f t="shared" ref="C14:C28" si="0">ROUND(SUMIF($I$17:$I$328,B14,$H$17:$H$328)/COUNTIF($I$17:$I$328,B14),2)</f>
        <v>2.39</v>
      </c>
      <c r="G14" s="215"/>
      <c r="H14" s="80"/>
    </row>
    <row r="15" spans="2:11" ht="13.5" thickBot="1" x14ac:dyDescent="0.25">
      <c r="B15" s="72">
        <f t="shared" ref="B15:B39" si="1">B14+1</f>
        <v>2017</v>
      </c>
      <c r="C15" s="73">
        <f t="shared" si="0"/>
        <v>3.1</v>
      </c>
      <c r="G15" s="77"/>
      <c r="H15" s="81" t="s">
        <v>90</v>
      </c>
    </row>
    <row r="16" spans="2:11" ht="13.5" thickBot="1" x14ac:dyDescent="0.25">
      <c r="B16" s="72">
        <f t="shared" si="1"/>
        <v>2018</v>
      </c>
      <c r="C16" s="73">
        <f t="shared" si="0"/>
        <v>2.93</v>
      </c>
      <c r="G16" s="77" t="s">
        <v>54</v>
      </c>
      <c r="H16" s="81" t="s">
        <v>51</v>
      </c>
      <c r="I16" s="216" t="s">
        <v>0</v>
      </c>
      <c r="K16" s="217" t="str">
        <f>IF(_635_CCCT_WyoNE&gt;0,"IRP - Wyo NE",IF(_477_CCCT_WestMain&gt;0,"West Side","IRP - Utah Greenfield"))</f>
        <v>West Side</v>
      </c>
    </row>
    <row r="17" spans="2:11" ht="13.5" thickBot="1" x14ac:dyDescent="0.25">
      <c r="B17" s="72">
        <f t="shared" si="1"/>
        <v>2019</v>
      </c>
      <c r="C17" s="73">
        <f t="shared" si="0"/>
        <v>2.92</v>
      </c>
      <c r="G17" s="78">
        <v>42370</v>
      </c>
      <c r="H17" s="82">
        <v>2.3763731830894246</v>
      </c>
      <c r="I17" s="218">
        <f t="shared" ref="I17:I64" si="2">YEAR(G17)</f>
        <v>2016</v>
      </c>
      <c r="K17" s="219">
        <v>43</v>
      </c>
    </row>
    <row r="18" spans="2:11" x14ac:dyDescent="0.2">
      <c r="B18" s="72">
        <f t="shared" si="1"/>
        <v>2020</v>
      </c>
      <c r="C18" s="73">
        <f t="shared" si="0"/>
        <v>3.11</v>
      </c>
      <c r="G18" s="78">
        <v>42401</v>
      </c>
      <c r="H18" s="82">
        <v>1.7757686521274554</v>
      </c>
      <c r="I18" s="218">
        <f t="shared" si="2"/>
        <v>2016</v>
      </c>
    </row>
    <row r="19" spans="2:11" x14ac:dyDescent="0.2">
      <c r="B19" s="72">
        <f t="shared" si="1"/>
        <v>2021</v>
      </c>
      <c r="C19" s="73">
        <f t="shared" si="0"/>
        <v>3.26</v>
      </c>
      <c r="G19" s="78">
        <v>42430</v>
      </c>
      <c r="H19" s="82">
        <v>1.486094053934667</v>
      </c>
      <c r="I19" s="218">
        <f t="shared" si="2"/>
        <v>2016</v>
      </c>
    </row>
    <row r="20" spans="2:11" x14ac:dyDescent="0.2">
      <c r="B20" s="72">
        <f t="shared" si="1"/>
        <v>2022</v>
      </c>
      <c r="C20" s="73">
        <f t="shared" si="0"/>
        <v>3.48</v>
      </c>
      <c r="G20" s="78">
        <v>42461</v>
      </c>
      <c r="H20" s="82">
        <v>1.4983605657721517</v>
      </c>
      <c r="I20" s="218">
        <f t="shared" si="2"/>
        <v>2016</v>
      </c>
    </row>
    <row r="21" spans="2:11" x14ac:dyDescent="0.2">
      <c r="B21" s="72">
        <f t="shared" si="1"/>
        <v>2023</v>
      </c>
      <c r="C21" s="73">
        <f t="shared" si="0"/>
        <v>3.79</v>
      </c>
      <c r="G21" s="78">
        <v>42491</v>
      </c>
      <c r="H21" s="82">
        <v>1.5728916919706</v>
      </c>
      <c r="I21" s="218">
        <f t="shared" si="2"/>
        <v>2016</v>
      </c>
    </row>
    <row r="22" spans="2:11" x14ac:dyDescent="0.2">
      <c r="B22" s="72">
        <f t="shared" si="1"/>
        <v>2024</v>
      </c>
      <c r="C22" s="73">
        <f t="shared" si="0"/>
        <v>4.1399999999999997</v>
      </c>
      <c r="G22" s="78">
        <v>42522</v>
      </c>
      <c r="H22" s="82">
        <v>2.1765028278396623</v>
      </c>
      <c r="I22" s="218">
        <f t="shared" si="2"/>
        <v>2016</v>
      </c>
    </row>
    <row r="23" spans="2:11" x14ac:dyDescent="0.2">
      <c r="B23" s="72">
        <f t="shared" si="1"/>
        <v>2025</v>
      </c>
      <c r="C23" s="73">
        <f t="shared" si="0"/>
        <v>4.3</v>
      </c>
      <c r="G23" s="78">
        <v>42552</v>
      </c>
      <c r="H23" s="82">
        <v>2.5498852399493668</v>
      </c>
      <c r="I23" s="218">
        <f t="shared" si="2"/>
        <v>2016</v>
      </c>
    </row>
    <row r="24" spans="2:11" x14ac:dyDescent="0.2">
      <c r="B24" s="72">
        <f t="shared" si="1"/>
        <v>2026</v>
      </c>
      <c r="C24" s="73">
        <f t="shared" si="0"/>
        <v>4.38</v>
      </c>
      <c r="G24" s="78">
        <v>42583</v>
      </c>
      <c r="H24" s="82">
        <v>2.7420284139746833</v>
      </c>
      <c r="I24" s="218">
        <f t="shared" si="2"/>
        <v>2016</v>
      </c>
    </row>
    <row r="25" spans="2:11" x14ac:dyDescent="0.2">
      <c r="B25" s="72">
        <f t="shared" si="1"/>
        <v>2027</v>
      </c>
      <c r="C25" s="73">
        <f t="shared" si="0"/>
        <v>4.66</v>
      </c>
      <c r="G25" s="78">
        <v>42614</v>
      </c>
      <c r="H25" s="82">
        <v>2.7126187444810128</v>
      </c>
      <c r="I25" s="218">
        <f t="shared" si="2"/>
        <v>2016</v>
      </c>
    </row>
    <row r="26" spans="2:11" x14ac:dyDescent="0.2">
      <c r="B26" s="72">
        <f t="shared" si="1"/>
        <v>2028</v>
      </c>
      <c r="C26" s="73">
        <f t="shared" si="0"/>
        <v>4.82</v>
      </c>
      <c r="G26" s="78">
        <v>42644</v>
      </c>
      <c r="H26" s="82">
        <v>2.872411282063291</v>
      </c>
      <c r="I26" s="218">
        <f t="shared" si="2"/>
        <v>2016</v>
      </c>
    </row>
    <row r="27" spans="2:11" x14ac:dyDescent="0.2">
      <c r="B27" s="72">
        <f t="shared" si="1"/>
        <v>2029</v>
      </c>
      <c r="C27" s="73">
        <f t="shared" si="0"/>
        <v>4.96</v>
      </c>
      <c r="G27" s="78">
        <v>42675</v>
      </c>
      <c r="H27" s="82">
        <v>3.2746530072784807</v>
      </c>
      <c r="I27" s="218">
        <f t="shared" si="2"/>
        <v>2016</v>
      </c>
    </row>
    <row r="28" spans="2:11" x14ac:dyDescent="0.2">
      <c r="B28" s="72">
        <f t="shared" si="1"/>
        <v>2030</v>
      </c>
      <c r="C28" s="73">
        <f t="shared" si="0"/>
        <v>5.27</v>
      </c>
      <c r="G28" s="78">
        <v>42705</v>
      </c>
      <c r="H28" s="82">
        <v>3.6800420830886074</v>
      </c>
      <c r="I28" s="218">
        <f t="shared" si="2"/>
        <v>2016</v>
      </c>
    </row>
    <row r="29" spans="2:11" x14ac:dyDescent="0.2">
      <c r="B29" s="72">
        <f t="shared" si="1"/>
        <v>2031</v>
      </c>
      <c r="C29" s="73">
        <f t="shared" ref="C29:C39" si="3">ROUND(SUMIF($I$17:$I$328,B29,$H$17:$H$328)/COUNTIF($I$17:$I$328,B29),2)</f>
        <v>5.41</v>
      </c>
      <c r="G29" s="78">
        <v>42736</v>
      </c>
      <c r="H29" s="82">
        <v>3.6406744026962023</v>
      </c>
      <c r="I29" s="218">
        <f t="shared" si="2"/>
        <v>2017</v>
      </c>
    </row>
    <row r="30" spans="2:11" hidden="1" x14ac:dyDescent="0.2">
      <c r="B30" s="72">
        <f t="shared" si="1"/>
        <v>2032</v>
      </c>
      <c r="C30" s="73">
        <f t="shared" si="3"/>
        <v>5.56</v>
      </c>
      <c r="G30" s="78">
        <v>42767</v>
      </c>
      <c r="H30" s="82">
        <v>3.5780885621772152</v>
      </c>
      <c r="I30" s="218">
        <f t="shared" si="2"/>
        <v>2017</v>
      </c>
    </row>
    <row r="31" spans="2:11" hidden="1" x14ac:dyDescent="0.2">
      <c r="B31" s="72">
        <f t="shared" si="1"/>
        <v>2033</v>
      </c>
      <c r="C31" s="73">
        <f t="shared" si="3"/>
        <v>5.75</v>
      </c>
      <c r="G31" s="78">
        <v>42795</v>
      </c>
      <c r="H31" s="82">
        <v>3.3249074249746831</v>
      </c>
      <c r="I31" s="218">
        <f t="shared" si="2"/>
        <v>2017</v>
      </c>
    </row>
    <row r="32" spans="2:11" hidden="1" x14ac:dyDescent="0.2">
      <c r="B32" s="72">
        <f t="shared" si="1"/>
        <v>2034</v>
      </c>
      <c r="C32" s="73">
        <f t="shared" si="3"/>
        <v>5.93</v>
      </c>
      <c r="G32" s="78">
        <v>42826</v>
      </c>
      <c r="H32" s="82">
        <v>2.7492518415696199</v>
      </c>
      <c r="I32" s="218">
        <f t="shared" si="2"/>
        <v>2017</v>
      </c>
    </row>
    <row r="33" spans="2:9" hidden="1" x14ac:dyDescent="0.2">
      <c r="B33" s="72">
        <f t="shared" si="1"/>
        <v>2035</v>
      </c>
      <c r="C33" s="73">
        <f t="shared" si="3"/>
        <v>6.09</v>
      </c>
      <c r="G33" s="78">
        <v>42856</v>
      </c>
      <c r="H33" s="82">
        <v>2.6916708044556956</v>
      </c>
      <c r="I33" s="218">
        <f t="shared" si="2"/>
        <v>2017</v>
      </c>
    </row>
    <row r="34" spans="2:9" hidden="1" x14ac:dyDescent="0.2">
      <c r="B34" s="72">
        <f t="shared" si="1"/>
        <v>2036</v>
      </c>
      <c r="C34" s="73">
        <f t="shared" si="3"/>
        <v>6.33</v>
      </c>
      <c r="G34" s="78">
        <v>42887</v>
      </c>
      <c r="H34" s="82">
        <v>2.709368202063291</v>
      </c>
      <c r="I34" s="218">
        <f t="shared" si="2"/>
        <v>2017</v>
      </c>
    </row>
    <row r="35" spans="2:9" hidden="1" x14ac:dyDescent="0.2">
      <c r="B35" s="72">
        <f t="shared" si="1"/>
        <v>2037</v>
      </c>
      <c r="C35" s="73">
        <f t="shared" si="3"/>
        <v>6.5</v>
      </c>
      <c r="G35" s="78">
        <v>42917</v>
      </c>
      <c r="H35" s="82">
        <v>2.8395962824177214</v>
      </c>
      <c r="I35" s="218">
        <f t="shared" si="2"/>
        <v>2017</v>
      </c>
    </row>
    <row r="36" spans="2:9" hidden="1" x14ac:dyDescent="0.2">
      <c r="B36" s="72">
        <f t="shared" si="1"/>
        <v>2038</v>
      </c>
      <c r="C36" s="73">
        <f t="shared" si="3"/>
        <v>6.84</v>
      </c>
      <c r="G36" s="78">
        <v>42948</v>
      </c>
      <c r="H36" s="82">
        <v>2.8851554721772148</v>
      </c>
      <c r="I36" s="218">
        <f t="shared" si="2"/>
        <v>2017</v>
      </c>
    </row>
    <row r="37" spans="2:9" hidden="1" x14ac:dyDescent="0.2">
      <c r="B37" s="72">
        <f t="shared" si="1"/>
        <v>2039</v>
      </c>
      <c r="C37" s="73">
        <f t="shared" si="3"/>
        <v>7.06</v>
      </c>
      <c r="G37" s="78">
        <v>42979</v>
      </c>
      <c r="H37" s="82">
        <v>2.8952682708101265</v>
      </c>
      <c r="I37" s="218">
        <f t="shared" si="2"/>
        <v>2017</v>
      </c>
    </row>
    <row r="38" spans="2:9" hidden="1" x14ac:dyDescent="0.2">
      <c r="B38" s="72">
        <f t="shared" si="1"/>
        <v>2040</v>
      </c>
      <c r="C38" s="73">
        <f t="shared" si="3"/>
        <v>7.38</v>
      </c>
      <c r="G38" s="78">
        <v>43009</v>
      </c>
      <c r="H38" s="82">
        <v>2.9700307464177209</v>
      </c>
      <c r="I38" s="218">
        <f t="shared" si="2"/>
        <v>2017</v>
      </c>
    </row>
    <row r="39" spans="2:9" hidden="1" x14ac:dyDescent="0.2">
      <c r="B39" s="72">
        <f t="shared" si="1"/>
        <v>2041</v>
      </c>
      <c r="C39" s="73">
        <f t="shared" si="3"/>
        <v>7.55</v>
      </c>
      <c r="G39" s="78">
        <v>43040</v>
      </c>
      <c r="H39" s="82">
        <v>3.3129371735316453</v>
      </c>
      <c r="I39" s="218">
        <f t="shared" si="2"/>
        <v>2017</v>
      </c>
    </row>
    <row r="40" spans="2:9" x14ac:dyDescent="0.2">
      <c r="G40" s="78">
        <v>43070</v>
      </c>
      <c r="H40" s="82">
        <v>3.550278365936709</v>
      </c>
      <c r="I40" s="218">
        <f t="shared" si="2"/>
        <v>2017</v>
      </c>
    </row>
    <row r="41" spans="2:9" x14ac:dyDescent="0.2">
      <c r="B41" s="220" t="str">
        <f>"Official Forward Price Curve Forecast dated   "&amp;TEXT(G5,"MMM dd, YYYY")</f>
        <v>Official Forward Price Curve Forecast dated   Jun 30, 2016</v>
      </c>
      <c r="G41" s="78">
        <v>43101</v>
      </c>
      <c r="H41" s="82">
        <v>3.5329421397088607</v>
      </c>
      <c r="I41" s="218">
        <f t="shared" si="2"/>
        <v>2018</v>
      </c>
    </row>
    <row r="42" spans="2:9" x14ac:dyDescent="0.2">
      <c r="G42" s="78">
        <v>43132</v>
      </c>
      <c r="H42" s="82">
        <v>3.4515237915316455</v>
      </c>
      <c r="I42" s="218">
        <f t="shared" si="2"/>
        <v>2018</v>
      </c>
    </row>
    <row r="43" spans="2:9" x14ac:dyDescent="0.2">
      <c r="G43" s="78">
        <v>43160</v>
      </c>
      <c r="H43" s="82">
        <v>3.3821272907088602</v>
      </c>
      <c r="I43" s="218">
        <f t="shared" si="2"/>
        <v>2018</v>
      </c>
    </row>
    <row r="44" spans="2:9" x14ac:dyDescent="0.2">
      <c r="G44" s="78">
        <v>43191</v>
      </c>
      <c r="H44" s="82">
        <v>2.540855955455696</v>
      </c>
      <c r="I44" s="218">
        <f t="shared" si="2"/>
        <v>2018</v>
      </c>
    </row>
    <row r="45" spans="2:9" x14ac:dyDescent="0.2">
      <c r="G45" s="78">
        <v>43221</v>
      </c>
      <c r="H45" s="82">
        <v>2.4826557674050633</v>
      </c>
      <c r="I45" s="218">
        <f t="shared" si="2"/>
        <v>2018</v>
      </c>
    </row>
    <row r="46" spans="2:9" x14ac:dyDescent="0.2">
      <c r="G46" s="78">
        <v>43252</v>
      </c>
      <c r="H46" s="82">
        <v>2.4900339827341771</v>
      </c>
      <c r="I46" s="218">
        <f t="shared" si="2"/>
        <v>2018</v>
      </c>
    </row>
    <row r="47" spans="2:9" x14ac:dyDescent="0.2">
      <c r="G47" s="78">
        <v>43282</v>
      </c>
      <c r="H47" s="82">
        <v>2.6571531397341772</v>
      </c>
      <c r="I47" s="218">
        <f t="shared" si="2"/>
        <v>2018</v>
      </c>
    </row>
    <row r="48" spans="2:9" x14ac:dyDescent="0.2">
      <c r="G48" s="78">
        <v>43313</v>
      </c>
      <c r="H48" s="82">
        <v>2.6676271097468351</v>
      </c>
      <c r="I48" s="218">
        <f t="shared" si="2"/>
        <v>2018</v>
      </c>
    </row>
    <row r="49" spans="7:9" x14ac:dyDescent="0.2">
      <c r="G49" s="78">
        <v>43344</v>
      </c>
      <c r="H49" s="82">
        <v>2.6687622197974683</v>
      </c>
      <c r="I49" s="218">
        <f t="shared" si="2"/>
        <v>2018</v>
      </c>
    </row>
    <row r="50" spans="7:9" x14ac:dyDescent="0.2">
      <c r="G50" s="78">
        <v>43374</v>
      </c>
      <c r="H50" s="82">
        <v>2.7455885318607596</v>
      </c>
      <c r="I50" s="218">
        <f t="shared" si="2"/>
        <v>2018</v>
      </c>
    </row>
    <row r="51" spans="7:9" x14ac:dyDescent="0.2">
      <c r="G51" s="78">
        <v>43405</v>
      </c>
      <c r="H51" s="82">
        <v>3.1338477650886074</v>
      </c>
      <c r="I51" s="218">
        <f t="shared" si="2"/>
        <v>2018</v>
      </c>
    </row>
    <row r="52" spans="7:9" x14ac:dyDescent="0.2">
      <c r="G52" s="78">
        <v>43435</v>
      </c>
      <c r="H52" s="82">
        <v>3.4157678249367089</v>
      </c>
      <c r="I52" s="218">
        <f t="shared" si="2"/>
        <v>2018</v>
      </c>
    </row>
    <row r="53" spans="7:9" x14ac:dyDescent="0.2">
      <c r="G53" s="78">
        <v>43466</v>
      </c>
      <c r="H53" s="82">
        <v>3.3516857029873419</v>
      </c>
      <c r="I53" s="218">
        <f t="shared" si="2"/>
        <v>2019</v>
      </c>
    </row>
    <row r="54" spans="7:9" x14ac:dyDescent="0.2">
      <c r="G54" s="78">
        <v>43497</v>
      </c>
      <c r="H54" s="82">
        <v>3.2279587074683542</v>
      </c>
      <c r="I54" s="218">
        <f t="shared" si="2"/>
        <v>2019</v>
      </c>
    </row>
    <row r="55" spans="7:9" x14ac:dyDescent="0.2">
      <c r="G55" s="78">
        <v>43525</v>
      </c>
      <c r="H55" s="82">
        <v>3.1704292662658227</v>
      </c>
      <c r="I55" s="218">
        <f t="shared" si="2"/>
        <v>2019</v>
      </c>
    </row>
    <row r="56" spans="7:9" x14ac:dyDescent="0.2">
      <c r="G56" s="78">
        <v>43556</v>
      </c>
      <c r="H56" s="82">
        <v>2.5967859234050632</v>
      </c>
      <c r="I56" s="218">
        <f t="shared" si="2"/>
        <v>2019</v>
      </c>
    </row>
    <row r="57" spans="7:9" x14ac:dyDescent="0.2">
      <c r="G57" s="78">
        <v>43586</v>
      </c>
      <c r="H57" s="82">
        <v>2.5614943200126579</v>
      </c>
      <c r="I57" s="218">
        <f t="shared" si="2"/>
        <v>2019</v>
      </c>
    </row>
    <row r="58" spans="7:9" x14ac:dyDescent="0.2">
      <c r="G58" s="78">
        <v>43617</v>
      </c>
      <c r="H58" s="82">
        <v>2.5727422286962023</v>
      </c>
      <c r="I58" s="218">
        <f t="shared" si="2"/>
        <v>2019</v>
      </c>
    </row>
    <row r="59" spans="7:9" x14ac:dyDescent="0.2">
      <c r="G59" s="78">
        <v>43647</v>
      </c>
      <c r="H59" s="82">
        <v>2.710142140734177</v>
      </c>
      <c r="I59" s="218">
        <f t="shared" si="2"/>
        <v>2019</v>
      </c>
    </row>
    <row r="60" spans="7:9" x14ac:dyDescent="0.2">
      <c r="G60" s="78">
        <v>43678</v>
      </c>
      <c r="H60" s="82">
        <v>2.7299033747974679</v>
      </c>
      <c r="I60" s="218">
        <f t="shared" si="2"/>
        <v>2019</v>
      </c>
    </row>
    <row r="61" spans="7:9" x14ac:dyDescent="0.2">
      <c r="G61" s="78">
        <v>43709</v>
      </c>
      <c r="H61" s="82">
        <v>2.7446598054556959</v>
      </c>
      <c r="I61" s="218">
        <f t="shared" si="2"/>
        <v>2019</v>
      </c>
    </row>
    <row r="62" spans="7:9" x14ac:dyDescent="0.2">
      <c r="G62" s="78">
        <v>43739</v>
      </c>
      <c r="H62" s="82">
        <v>2.7544114327088605</v>
      </c>
      <c r="I62" s="218">
        <f t="shared" si="2"/>
        <v>2019</v>
      </c>
    </row>
    <row r="63" spans="7:9" x14ac:dyDescent="0.2">
      <c r="G63" s="78">
        <v>43770</v>
      </c>
      <c r="H63" s="82">
        <v>3.1568595415696201</v>
      </c>
      <c r="I63" s="218">
        <f t="shared" si="2"/>
        <v>2019</v>
      </c>
    </row>
    <row r="64" spans="7:9" x14ac:dyDescent="0.2">
      <c r="G64" s="78">
        <v>43800</v>
      </c>
      <c r="H64" s="82">
        <v>3.4374897036329108</v>
      </c>
      <c r="I64" s="218">
        <f t="shared" si="2"/>
        <v>2019</v>
      </c>
    </row>
    <row r="65" spans="7:9" x14ac:dyDescent="0.2">
      <c r="G65" s="78">
        <v>43831</v>
      </c>
      <c r="H65" s="82">
        <v>3.5003335237088606</v>
      </c>
      <c r="I65" s="218">
        <f t="shared" ref="I65:I112" si="4">YEAR(G65)</f>
        <v>2020</v>
      </c>
    </row>
    <row r="66" spans="7:9" x14ac:dyDescent="0.2">
      <c r="G66" s="78">
        <v>43862</v>
      </c>
      <c r="H66" s="82">
        <v>3.3611277547721516</v>
      </c>
      <c r="I66" s="218">
        <f t="shared" si="4"/>
        <v>2020</v>
      </c>
    </row>
    <row r="67" spans="7:9" x14ac:dyDescent="0.2">
      <c r="G67" s="78">
        <v>43891</v>
      </c>
      <c r="H67" s="82">
        <v>3.3045786358860756</v>
      </c>
      <c r="I67" s="218">
        <f t="shared" si="4"/>
        <v>2020</v>
      </c>
    </row>
    <row r="68" spans="7:9" x14ac:dyDescent="0.2">
      <c r="G68" s="78">
        <v>43922</v>
      </c>
      <c r="H68" s="82">
        <v>2.7870200487088606</v>
      </c>
      <c r="I68" s="218">
        <f t="shared" si="4"/>
        <v>2020</v>
      </c>
    </row>
    <row r="69" spans="7:9" x14ac:dyDescent="0.2">
      <c r="G69" s="78">
        <v>43952</v>
      </c>
      <c r="H69" s="82">
        <v>2.7514704657594935</v>
      </c>
      <c r="I69" s="218">
        <f t="shared" si="4"/>
        <v>2020</v>
      </c>
    </row>
    <row r="70" spans="7:9" x14ac:dyDescent="0.2">
      <c r="G70" s="78">
        <v>43983</v>
      </c>
      <c r="H70" s="82">
        <v>2.7750497972658223</v>
      </c>
      <c r="I70" s="218">
        <f t="shared" si="4"/>
        <v>2020</v>
      </c>
    </row>
    <row r="71" spans="7:9" x14ac:dyDescent="0.2">
      <c r="G71" s="78">
        <v>44013</v>
      </c>
      <c r="H71" s="82">
        <v>2.9161130190126574</v>
      </c>
      <c r="I71" s="218">
        <f t="shared" si="4"/>
        <v>2020</v>
      </c>
    </row>
    <row r="72" spans="7:9" x14ac:dyDescent="0.2">
      <c r="G72" s="78">
        <v>44044</v>
      </c>
      <c r="H72" s="82">
        <v>2.9396923505189871</v>
      </c>
      <c r="I72" s="218">
        <f t="shared" si="4"/>
        <v>2020</v>
      </c>
    </row>
    <row r="73" spans="7:9" x14ac:dyDescent="0.2">
      <c r="G73" s="78">
        <v>44075</v>
      </c>
      <c r="H73" s="82">
        <v>2.9819494019493673</v>
      </c>
      <c r="I73" s="218">
        <f t="shared" si="4"/>
        <v>2020</v>
      </c>
    </row>
    <row r="74" spans="7:9" x14ac:dyDescent="0.2">
      <c r="G74" s="78">
        <v>44105</v>
      </c>
      <c r="H74" s="82">
        <v>3.0429873651265824</v>
      </c>
      <c r="I74" s="218">
        <f t="shared" si="4"/>
        <v>2020</v>
      </c>
    </row>
    <row r="75" spans="7:9" x14ac:dyDescent="0.2">
      <c r="G75" s="78">
        <v>44136</v>
      </c>
      <c r="H75" s="82">
        <v>3.3177355932911392</v>
      </c>
      <c r="I75" s="218">
        <f t="shared" si="4"/>
        <v>2020</v>
      </c>
    </row>
    <row r="76" spans="7:9" x14ac:dyDescent="0.2">
      <c r="G76" s="78">
        <v>44166</v>
      </c>
      <c r="H76" s="82">
        <v>3.6138445287721512</v>
      </c>
      <c r="I76" s="218">
        <f t="shared" si="4"/>
        <v>2020</v>
      </c>
    </row>
    <row r="77" spans="7:9" x14ac:dyDescent="0.2">
      <c r="G77" s="78">
        <v>44197</v>
      </c>
      <c r="H77" s="82">
        <v>3.6074982316708857</v>
      </c>
      <c r="I77" s="218">
        <f t="shared" si="4"/>
        <v>2021</v>
      </c>
    </row>
    <row r="78" spans="7:9" x14ac:dyDescent="0.2">
      <c r="G78" s="78">
        <v>44228</v>
      </c>
      <c r="H78" s="82">
        <v>3.4829972974810124</v>
      </c>
      <c r="I78" s="218">
        <f t="shared" si="4"/>
        <v>2021</v>
      </c>
    </row>
    <row r="79" spans="7:9" x14ac:dyDescent="0.2">
      <c r="G79" s="78">
        <v>44256</v>
      </c>
      <c r="H79" s="82">
        <v>3.4329492634303795</v>
      </c>
      <c r="I79" s="218">
        <f t="shared" si="4"/>
        <v>2021</v>
      </c>
    </row>
    <row r="80" spans="7:9" x14ac:dyDescent="0.2">
      <c r="G80" s="78">
        <v>44287</v>
      </c>
      <c r="H80" s="82">
        <v>2.9480508881645568</v>
      </c>
      <c r="I80" s="218">
        <f t="shared" si="4"/>
        <v>2021</v>
      </c>
    </row>
    <row r="81" spans="7:9" x14ac:dyDescent="0.2">
      <c r="G81" s="78">
        <v>44317</v>
      </c>
      <c r="H81" s="82">
        <v>2.9186412186708859</v>
      </c>
      <c r="I81" s="218">
        <f t="shared" si="4"/>
        <v>2021</v>
      </c>
    </row>
    <row r="82" spans="7:9" x14ac:dyDescent="0.2">
      <c r="G82" s="78">
        <v>44348</v>
      </c>
      <c r="H82" s="82">
        <v>2.9357710612531642</v>
      </c>
      <c r="I82" s="218">
        <f t="shared" si="4"/>
        <v>2021</v>
      </c>
    </row>
    <row r="83" spans="7:9" x14ac:dyDescent="0.2">
      <c r="G83" s="78">
        <v>44378</v>
      </c>
      <c r="H83" s="82">
        <v>3.0868954857215192</v>
      </c>
      <c r="I83" s="218">
        <f t="shared" si="4"/>
        <v>2021</v>
      </c>
    </row>
    <row r="84" spans="7:9" x14ac:dyDescent="0.2">
      <c r="G84" s="78">
        <v>44409</v>
      </c>
      <c r="H84" s="82">
        <v>3.1124870577721513</v>
      </c>
      <c r="I84" s="218">
        <f t="shared" si="4"/>
        <v>2021</v>
      </c>
    </row>
    <row r="85" spans="7:9" x14ac:dyDescent="0.2">
      <c r="G85" s="78">
        <v>44440</v>
      </c>
      <c r="H85" s="82">
        <v>3.1406068294810128</v>
      </c>
      <c r="I85" s="218">
        <f t="shared" si="4"/>
        <v>2021</v>
      </c>
    </row>
    <row r="86" spans="7:9" x14ac:dyDescent="0.2">
      <c r="G86" s="78">
        <v>44470</v>
      </c>
      <c r="H86" s="82">
        <v>3.1941633855063287</v>
      </c>
      <c r="I86" s="218">
        <f t="shared" si="4"/>
        <v>2021</v>
      </c>
    </row>
    <row r="87" spans="7:9" x14ac:dyDescent="0.2">
      <c r="G87" s="78">
        <v>44501</v>
      </c>
      <c r="H87" s="82">
        <v>3.4967734058227844</v>
      </c>
      <c r="I87" s="218">
        <f t="shared" si="4"/>
        <v>2021</v>
      </c>
    </row>
    <row r="88" spans="7:9" x14ac:dyDescent="0.2">
      <c r="G88" s="78">
        <v>44531</v>
      </c>
      <c r="H88" s="82">
        <v>3.7778679310886072</v>
      </c>
      <c r="I88" s="218">
        <f t="shared" si="4"/>
        <v>2021</v>
      </c>
    </row>
    <row r="89" spans="7:9" x14ac:dyDescent="0.2">
      <c r="G89" s="78">
        <v>44562</v>
      </c>
      <c r="H89" s="82">
        <v>3.8109925062025312</v>
      </c>
      <c r="I89" s="218">
        <f t="shared" si="4"/>
        <v>2022</v>
      </c>
    </row>
    <row r="90" spans="7:9" x14ac:dyDescent="0.2">
      <c r="G90" s="78">
        <v>44593</v>
      </c>
      <c r="H90" s="82">
        <v>3.7030022636582278</v>
      </c>
      <c r="I90" s="218">
        <f t="shared" si="4"/>
        <v>2022</v>
      </c>
    </row>
    <row r="91" spans="7:9" x14ac:dyDescent="0.2">
      <c r="G91" s="78">
        <v>44621</v>
      </c>
      <c r="H91" s="82">
        <v>3.6490329403417716</v>
      </c>
      <c r="I91" s="218">
        <f t="shared" si="4"/>
        <v>2022</v>
      </c>
    </row>
    <row r="92" spans="7:9" x14ac:dyDescent="0.2">
      <c r="G92" s="78">
        <v>44652</v>
      </c>
      <c r="H92" s="82">
        <v>3.0944800846962019</v>
      </c>
      <c r="I92" s="218">
        <f t="shared" si="4"/>
        <v>2022</v>
      </c>
    </row>
    <row r="93" spans="7:9" x14ac:dyDescent="0.2">
      <c r="G93" s="78">
        <v>44682</v>
      </c>
      <c r="H93" s="82">
        <v>3.0702816022531643</v>
      </c>
      <c r="I93" s="218">
        <f t="shared" si="4"/>
        <v>2022</v>
      </c>
    </row>
    <row r="94" spans="7:9" x14ac:dyDescent="0.2">
      <c r="G94" s="78">
        <v>44713</v>
      </c>
      <c r="H94" s="82">
        <v>3.0863795266075948</v>
      </c>
      <c r="I94" s="218">
        <f t="shared" si="4"/>
        <v>2022</v>
      </c>
    </row>
    <row r="95" spans="7:9" x14ac:dyDescent="0.2">
      <c r="G95" s="78">
        <v>44743</v>
      </c>
      <c r="H95" s="82">
        <v>3.2349241555063291</v>
      </c>
      <c r="I95" s="218">
        <f t="shared" si="4"/>
        <v>2022</v>
      </c>
    </row>
    <row r="96" spans="7:9" x14ac:dyDescent="0.2">
      <c r="G96" s="78">
        <v>44774</v>
      </c>
      <c r="H96" s="82">
        <v>3.4419269520126576</v>
      </c>
      <c r="I96" s="218">
        <f t="shared" si="4"/>
        <v>2022</v>
      </c>
    </row>
    <row r="97" spans="7:9" x14ac:dyDescent="0.2">
      <c r="G97" s="78">
        <v>44805</v>
      </c>
      <c r="H97" s="82">
        <v>3.4304726596835442</v>
      </c>
      <c r="I97" s="218">
        <f t="shared" si="4"/>
        <v>2022</v>
      </c>
    </row>
    <row r="98" spans="7:9" x14ac:dyDescent="0.2">
      <c r="G98" s="78">
        <v>44835</v>
      </c>
      <c r="H98" s="82">
        <v>3.4699951278101264</v>
      </c>
      <c r="I98" s="218">
        <f t="shared" si="4"/>
        <v>2022</v>
      </c>
    </row>
    <row r="99" spans="7:9" x14ac:dyDescent="0.2">
      <c r="G99" s="78">
        <v>44866</v>
      </c>
      <c r="H99" s="82">
        <v>3.7423183481392401</v>
      </c>
      <c r="I99" s="218">
        <f t="shared" si="4"/>
        <v>2022</v>
      </c>
    </row>
    <row r="100" spans="7:9" x14ac:dyDescent="0.2">
      <c r="G100" s="78">
        <v>44896</v>
      </c>
      <c r="H100" s="82">
        <v>4.0039612148101265</v>
      </c>
      <c r="I100" s="218">
        <f t="shared" si="4"/>
        <v>2022</v>
      </c>
    </row>
    <row r="101" spans="7:9" x14ac:dyDescent="0.2">
      <c r="G101" s="78">
        <v>44927</v>
      </c>
      <c r="H101" s="82">
        <v>4.159987250860758</v>
      </c>
      <c r="I101" s="218">
        <f t="shared" si="4"/>
        <v>2023</v>
      </c>
    </row>
    <row r="102" spans="7:9" x14ac:dyDescent="0.2">
      <c r="G102" s="78">
        <v>44958</v>
      </c>
      <c r="H102" s="82">
        <v>4.076711449873418</v>
      </c>
      <c r="I102" s="218">
        <f t="shared" si="4"/>
        <v>2023</v>
      </c>
    </row>
    <row r="103" spans="7:9" x14ac:dyDescent="0.2">
      <c r="G103" s="78">
        <v>44986</v>
      </c>
      <c r="H103" s="82">
        <v>3.9063417504556961</v>
      </c>
      <c r="I103" s="218">
        <f t="shared" si="4"/>
        <v>2023</v>
      </c>
    </row>
    <row r="104" spans="7:9" x14ac:dyDescent="0.2">
      <c r="G104" s="78">
        <v>45017</v>
      </c>
      <c r="H104" s="82">
        <v>3.475928657620253</v>
      </c>
      <c r="I104" s="218">
        <f t="shared" si="4"/>
        <v>2023</v>
      </c>
    </row>
    <row r="105" spans="7:9" x14ac:dyDescent="0.2">
      <c r="G105" s="78">
        <v>45047</v>
      </c>
      <c r="H105" s="82">
        <v>3.4279444600253162</v>
      </c>
      <c r="I105" s="218">
        <f t="shared" si="4"/>
        <v>2023</v>
      </c>
    </row>
    <row r="106" spans="7:9" x14ac:dyDescent="0.2">
      <c r="G106" s="78">
        <v>45078</v>
      </c>
      <c r="H106" s="82">
        <v>3.4360450181139242</v>
      </c>
      <c r="I106" s="218">
        <f t="shared" si="4"/>
        <v>2023</v>
      </c>
    </row>
    <row r="107" spans="7:9" x14ac:dyDescent="0.2">
      <c r="G107" s="78">
        <v>45108</v>
      </c>
      <c r="H107" s="82">
        <v>3.5168442153544301</v>
      </c>
      <c r="I107" s="218">
        <f t="shared" si="4"/>
        <v>2023</v>
      </c>
    </row>
    <row r="108" spans="7:9" x14ac:dyDescent="0.2">
      <c r="G108" s="78">
        <v>45139</v>
      </c>
      <c r="H108" s="82">
        <v>3.7713668462531649</v>
      </c>
      <c r="I108" s="218">
        <f t="shared" si="4"/>
        <v>2023</v>
      </c>
    </row>
    <row r="109" spans="7:9" x14ac:dyDescent="0.2">
      <c r="G109" s="78">
        <v>45170</v>
      </c>
      <c r="H109" s="82">
        <v>3.7203900857974679</v>
      </c>
      <c r="I109" s="218">
        <f t="shared" si="4"/>
        <v>2023</v>
      </c>
    </row>
    <row r="110" spans="7:9" x14ac:dyDescent="0.2">
      <c r="G110" s="78">
        <v>45200</v>
      </c>
      <c r="H110" s="82">
        <v>3.7458784660253164</v>
      </c>
      <c r="I110" s="218">
        <f t="shared" si="4"/>
        <v>2023</v>
      </c>
    </row>
    <row r="111" spans="7:9" x14ac:dyDescent="0.2">
      <c r="G111" s="78">
        <v>45231</v>
      </c>
      <c r="H111" s="82">
        <v>3.9879148863670881</v>
      </c>
      <c r="I111" s="218">
        <f t="shared" si="4"/>
        <v>2023</v>
      </c>
    </row>
    <row r="112" spans="7:9" x14ac:dyDescent="0.2">
      <c r="G112" s="78">
        <v>45261</v>
      </c>
      <c r="H112" s="82">
        <v>4.230002902620253</v>
      </c>
      <c r="I112" s="218">
        <f t="shared" si="4"/>
        <v>2023</v>
      </c>
    </row>
    <row r="113" spans="7:9" x14ac:dyDescent="0.2">
      <c r="G113" s="78">
        <v>45292</v>
      </c>
      <c r="H113" s="82">
        <v>4.509033591430379</v>
      </c>
      <c r="I113" s="218">
        <f t="shared" ref="I113:I159" si="5">YEAR(G113)</f>
        <v>2024</v>
      </c>
    </row>
    <row r="114" spans="7:9" x14ac:dyDescent="0.2">
      <c r="G114" s="78">
        <v>45323</v>
      </c>
      <c r="H114" s="82">
        <v>4.4503690401772147</v>
      </c>
      <c r="I114" s="218">
        <f t="shared" si="5"/>
        <v>2024</v>
      </c>
    </row>
    <row r="115" spans="7:9" x14ac:dyDescent="0.2">
      <c r="G115" s="78">
        <v>45352</v>
      </c>
      <c r="H115" s="82">
        <v>4.1635989646582274</v>
      </c>
      <c r="I115" s="218">
        <f t="shared" si="5"/>
        <v>2024</v>
      </c>
    </row>
    <row r="116" spans="7:9" x14ac:dyDescent="0.2">
      <c r="G116" s="78">
        <v>45383</v>
      </c>
      <c r="H116" s="82">
        <v>3.857325634632911</v>
      </c>
      <c r="I116" s="218">
        <f t="shared" si="5"/>
        <v>2024</v>
      </c>
    </row>
    <row r="117" spans="7:9" x14ac:dyDescent="0.2">
      <c r="G117" s="78">
        <v>45413</v>
      </c>
      <c r="H117" s="82">
        <v>3.7856073177974681</v>
      </c>
      <c r="I117" s="218">
        <f t="shared" si="5"/>
        <v>2024</v>
      </c>
    </row>
    <row r="118" spans="7:9" x14ac:dyDescent="0.2">
      <c r="G118" s="78">
        <v>45444</v>
      </c>
      <c r="H118" s="82">
        <v>3.7856589137088603</v>
      </c>
      <c r="I118" s="218">
        <f t="shared" si="5"/>
        <v>2024</v>
      </c>
    </row>
    <row r="119" spans="7:9" x14ac:dyDescent="0.2">
      <c r="G119" s="78">
        <v>45474</v>
      </c>
      <c r="H119" s="82">
        <v>3.7986610833797463</v>
      </c>
      <c r="I119" s="218">
        <f t="shared" si="5"/>
        <v>2024</v>
      </c>
    </row>
    <row r="120" spans="7:9" x14ac:dyDescent="0.2">
      <c r="G120" s="78">
        <v>45505</v>
      </c>
      <c r="H120" s="82">
        <v>3.9420461211392404</v>
      </c>
      <c r="I120" s="218">
        <f t="shared" si="5"/>
        <v>2024</v>
      </c>
    </row>
    <row r="121" spans="7:9" x14ac:dyDescent="0.2">
      <c r="G121" s="78">
        <v>45536</v>
      </c>
      <c r="H121" s="82">
        <v>4.0267666076455697</v>
      </c>
      <c r="I121" s="218">
        <f t="shared" si="5"/>
        <v>2024</v>
      </c>
    </row>
    <row r="122" spans="7:9" x14ac:dyDescent="0.2">
      <c r="G122" s="78">
        <v>45566</v>
      </c>
      <c r="H122" s="82">
        <v>4.2418699622405063</v>
      </c>
      <c r="I122" s="218">
        <f t="shared" si="5"/>
        <v>2024</v>
      </c>
    </row>
    <row r="123" spans="7:9" x14ac:dyDescent="0.2">
      <c r="G123" s="78">
        <v>45597</v>
      </c>
      <c r="H123" s="82">
        <v>4.567646546772151</v>
      </c>
      <c r="I123" s="218">
        <f t="shared" si="5"/>
        <v>2024</v>
      </c>
    </row>
    <row r="124" spans="7:9" x14ac:dyDescent="0.2">
      <c r="G124" s="78">
        <v>45627</v>
      </c>
      <c r="H124" s="82">
        <v>4.5024809106835431</v>
      </c>
      <c r="I124" s="218">
        <f t="shared" si="5"/>
        <v>2024</v>
      </c>
    </row>
    <row r="125" spans="7:9" x14ac:dyDescent="0.2">
      <c r="G125" s="78">
        <v>45658</v>
      </c>
      <c r="H125" s="82">
        <v>4.6740889119746836</v>
      </c>
      <c r="I125" s="218">
        <f t="shared" si="5"/>
        <v>2025</v>
      </c>
    </row>
    <row r="126" spans="7:9" x14ac:dyDescent="0.2">
      <c r="G126" s="78">
        <v>45689</v>
      </c>
      <c r="H126" s="82">
        <v>4.7140757433037965</v>
      </c>
      <c r="I126" s="218">
        <f t="shared" si="5"/>
        <v>2025</v>
      </c>
    </row>
    <row r="127" spans="7:9" x14ac:dyDescent="0.2">
      <c r="G127" s="78">
        <v>45717</v>
      </c>
      <c r="H127" s="82">
        <v>4.5342639921012653</v>
      </c>
      <c r="I127" s="218">
        <f t="shared" si="5"/>
        <v>2025</v>
      </c>
    </row>
    <row r="128" spans="7:9" x14ac:dyDescent="0.2">
      <c r="G128" s="78">
        <v>45748</v>
      </c>
      <c r="H128" s="82">
        <v>4.3477447724177205</v>
      </c>
      <c r="I128" s="218">
        <f t="shared" si="5"/>
        <v>2025</v>
      </c>
    </row>
    <row r="129" spans="7:9" x14ac:dyDescent="0.2">
      <c r="G129" s="78">
        <v>45778</v>
      </c>
      <c r="H129" s="82">
        <v>4.0547315916202527</v>
      </c>
      <c r="I129" s="218">
        <f t="shared" si="5"/>
        <v>2025</v>
      </c>
    </row>
    <row r="130" spans="7:9" x14ac:dyDescent="0.2">
      <c r="G130" s="78">
        <v>45809</v>
      </c>
      <c r="H130" s="82">
        <v>4.0214522287721515</v>
      </c>
      <c r="I130" s="218">
        <f t="shared" si="5"/>
        <v>2025</v>
      </c>
    </row>
    <row r="131" spans="7:9" x14ac:dyDescent="0.2">
      <c r="G131" s="78">
        <v>45839</v>
      </c>
      <c r="H131" s="82">
        <v>4.0613874641898722</v>
      </c>
      <c r="I131" s="218">
        <f t="shared" si="5"/>
        <v>2025</v>
      </c>
    </row>
    <row r="132" spans="7:9" x14ac:dyDescent="0.2">
      <c r="G132" s="78">
        <v>45870</v>
      </c>
      <c r="H132" s="82">
        <v>4.1879006389240505</v>
      </c>
      <c r="I132" s="218">
        <f t="shared" si="5"/>
        <v>2025</v>
      </c>
    </row>
    <row r="133" spans="7:9" x14ac:dyDescent="0.2">
      <c r="G133" s="78">
        <v>45901</v>
      </c>
      <c r="H133" s="82">
        <v>4.1146860406582269</v>
      </c>
      <c r="I133" s="218">
        <f t="shared" si="5"/>
        <v>2025</v>
      </c>
    </row>
    <row r="134" spans="7:9" x14ac:dyDescent="0.2">
      <c r="G134" s="78">
        <v>45931</v>
      </c>
      <c r="H134" s="82">
        <v>4.147965403506328</v>
      </c>
      <c r="I134" s="218">
        <f t="shared" si="5"/>
        <v>2025</v>
      </c>
    </row>
    <row r="135" spans="7:9" x14ac:dyDescent="0.2">
      <c r="G135" s="78">
        <v>45962</v>
      </c>
      <c r="H135" s="82">
        <v>4.2345433428227839</v>
      </c>
      <c r="I135" s="218">
        <f t="shared" si="5"/>
        <v>2025</v>
      </c>
    </row>
    <row r="136" spans="7:9" x14ac:dyDescent="0.2">
      <c r="G136" s="78">
        <v>45992</v>
      </c>
      <c r="H136" s="82">
        <v>4.4676536704936698</v>
      </c>
      <c r="I136" s="218">
        <f t="shared" si="5"/>
        <v>2025</v>
      </c>
    </row>
    <row r="137" spans="7:9" x14ac:dyDescent="0.2">
      <c r="G137" s="78">
        <v>46023</v>
      </c>
      <c r="H137" s="82">
        <v>4.6945724887974674</v>
      </c>
      <c r="I137" s="218">
        <f t="shared" ref="I137:I148" si="6">YEAR(G137)</f>
        <v>2026</v>
      </c>
    </row>
    <row r="138" spans="7:9" x14ac:dyDescent="0.2">
      <c r="G138" s="78">
        <v>46054</v>
      </c>
      <c r="H138" s="82">
        <v>4.7490061753164543</v>
      </c>
      <c r="I138" s="218">
        <f t="shared" si="6"/>
        <v>2026</v>
      </c>
    </row>
    <row r="139" spans="7:9" x14ac:dyDescent="0.2">
      <c r="G139" s="78">
        <v>46082</v>
      </c>
      <c r="H139" s="82">
        <v>4.5856535198481003</v>
      </c>
      <c r="I139" s="218">
        <f t="shared" si="6"/>
        <v>2026</v>
      </c>
    </row>
    <row r="140" spans="7:9" x14ac:dyDescent="0.2">
      <c r="G140" s="78">
        <v>46113</v>
      </c>
      <c r="H140" s="82">
        <v>4.3814884984683538</v>
      </c>
      <c r="I140" s="218">
        <f t="shared" si="6"/>
        <v>2026</v>
      </c>
    </row>
    <row r="141" spans="7:9" x14ac:dyDescent="0.2">
      <c r="G141" s="78">
        <v>46143</v>
      </c>
      <c r="H141" s="82">
        <v>4.1295972590506329</v>
      </c>
      <c r="I141" s="218">
        <f t="shared" si="6"/>
        <v>2026</v>
      </c>
    </row>
    <row r="142" spans="7:9" x14ac:dyDescent="0.2">
      <c r="G142" s="78">
        <v>46174</v>
      </c>
      <c r="H142" s="82">
        <v>4.1024062137468356</v>
      </c>
      <c r="I142" s="218">
        <f t="shared" si="6"/>
        <v>2026</v>
      </c>
    </row>
    <row r="143" spans="7:9" x14ac:dyDescent="0.2">
      <c r="G143" s="78">
        <v>46204</v>
      </c>
      <c r="H143" s="82">
        <v>4.1636505605696197</v>
      </c>
      <c r="I143" s="218">
        <f t="shared" si="6"/>
        <v>2026</v>
      </c>
    </row>
    <row r="144" spans="7:9" x14ac:dyDescent="0.2">
      <c r="G144" s="78">
        <v>46235</v>
      </c>
      <c r="H144" s="82">
        <v>4.3065712351265812</v>
      </c>
      <c r="I144" s="218">
        <f t="shared" si="6"/>
        <v>2026</v>
      </c>
    </row>
    <row r="145" spans="7:9" x14ac:dyDescent="0.2">
      <c r="G145" s="78">
        <v>46266</v>
      </c>
      <c r="H145" s="82">
        <v>4.2113251826962017</v>
      </c>
      <c r="I145" s="218">
        <f t="shared" si="6"/>
        <v>2026</v>
      </c>
    </row>
    <row r="146" spans="7:9" x14ac:dyDescent="0.2">
      <c r="G146" s="78">
        <v>46296</v>
      </c>
      <c r="H146" s="82">
        <v>4.245275292392404</v>
      </c>
      <c r="I146" s="218">
        <f t="shared" si="6"/>
        <v>2026</v>
      </c>
    </row>
    <row r="147" spans="7:9" x14ac:dyDescent="0.2">
      <c r="G147" s="78">
        <v>46327</v>
      </c>
      <c r="H147" s="82">
        <v>4.3610565175569604</v>
      </c>
      <c r="I147" s="218">
        <f t="shared" si="6"/>
        <v>2026</v>
      </c>
    </row>
    <row r="148" spans="7:9" x14ac:dyDescent="0.2">
      <c r="G148" s="78">
        <v>46357</v>
      </c>
      <c r="H148" s="82">
        <v>4.5992748404556956</v>
      </c>
      <c r="I148" s="218">
        <f t="shared" si="6"/>
        <v>2026</v>
      </c>
    </row>
    <row r="149" spans="7:9" x14ac:dyDescent="0.2">
      <c r="G149" s="78">
        <v>46388</v>
      </c>
      <c r="H149" s="82">
        <v>4.9362993336708856</v>
      </c>
      <c r="I149" s="218">
        <f t="shared" si="5"/>
        <v>2027</v>
      </c>
    </row>
    <row r="150" spans="7:9" x14ac:dyDescent="0.2">
      <c r="G150" s="78">
        <v>46419</v>
      </c>
      <c r="H150" s="82">
        <v>4.9640579339999986</v>
      </c>
      <c r="I150" s="218">
        <f t="shared" si="5"/>
        <v>2027</v>
      </c>
    </row>
    <row r="151" spans="7:9" x14ac:dyDescent="0.2">
      <c r="G151" s="78">
        <v>46447</v>
      </c>
      <c r="H151" s="82">
        <v>4.8041106086835441</v>
      </c>
      <c r="I151" s="218">
        <f t="shared" si="5"/>
        <v>2027</v>
      </c>
    </row>
    <row r="152" spans="7:9" x14ac:dyDescent="0.2">
      <c r="G152" s="78">
        <v>46478</v>
      </c>
      <c r="H152" s="82">
        <v>4.5675949508607587</v>
      </c>
      <c r="I152" s="218">
        <f t="shared" si="5"/>
        <v>2027</v>
      </c>
    </row>
    <row r="153" spans="7:9" x14ac:dyDescent="0.2">
      <c r="G153" s="78">
        <v>46508</v>
      </c>
      <c r="H153" s="82">
        <v>4.3658549373164544</v>
      </c>
      <c r="I153" s="218">
        <f t="shared" si="5"/>
        <v>2027</v>
      </c>
    </row>
    <row r="154" spans="7:9" x14ac:dyDescent="0.2">
      <c r="G154" s="78">
        <v>46539</v>
      </c>
      <c r="H154" s="82">
        <v>4.3380447410759491</v>
      </c>
      <c r="I154" s="218">
        <f t="shared" si="5"/>
        <v>2027</v>
      </c>
    </row>
    <row r="155" spans="7:9" x14ac:dyDescent="0.2">
      <c r="G155" s="78">
        <v>46569</v>
      </c>
      <c r="H155" s="82">
        <v>4.3866996855189875</v>
      </c>
      <c r="I155" s="218">
        <f t="shared" si="5"/>
        <v>2027</v>
      </c>
    </row>
    <row r="156" spans="7:9" x14ac:dyDescent="0.2">
      <c r="G156" s="78">
        <v>46600</v>
      </c>
      <c r="H156" s="82">
        <v>4.4701818701518974</v>
      </c>
      <c r="I156" s="218">
        <f t="shared" si="5"/>
        <v>2027</v>
      </c>
    </row>
    <row r="157" spans="7:9" x14ac:dyDescent="0.2">
      <c r="G157" s="78">
        <v>46631</v>
      </c>
      <c r="H157" s="82">
        <v>4.4910782142658219</v>
      </c>
      <c r="I157" s="218">
        <f t="shared" si="5"/>
        <v>2027</v>
      </c>
    </row>
    <row r="158" spans="7:9" x14ac:dyDescent="0.2">
      <c r="G158" s="78">
        <v>46661</v>
      </c>
      <c r="H158" s="82">
        <v>4.6163014912151903</v>
      </c>
      <c r="I158" s="218">
        <f t="shared" si="5"/>
        <v>2027</v>
      </c>
    </row>
    <row r="159" spans="7:9" x14ac:dyDescent="0.2">
      <c r="G159" s="78">
        <v>46692</v>
      </c>
      <c r="H159" s="82">
        <v>4.8319208049240494</v>
      </c>
      <c r="I159" s="218">
        <f t="shared" si="5"/>
        <v>2027</v>
      </c>
    </row>
    <row r="160" spans="7:9" x14ac:dyDescent="0.2">
      <c r="G160" s="78">
        <v>46722</v>
      </c>
      <c r="H160" s="82">
        <v>5.131022303265822</v>
      </c>
      <c r="I160" s="218">
        <f t="shared" ref="I160:I223" si="7">YEAR(G160)</f>
        <v>2027</v>
      </c>
    </row>
    <row r="161" spans="7:9" x14ac:dyDescent="0.2">
      <c r="G161" s="78">
        <v>46753</v>
      </c>
      <c r="H161" s="82">
        <v>5.0015165656708858</v>
      </c>
      <c r="I161" s="218">
        <f t="shared" si="7"/>
        <v>2028</v>
      </c>
    </row>
    <row r="162" spans="7:9" x14ac:dyDescent="0.2">
      <c r="G162" s="78">
        <v>46784</v>
      </c>
      <c r="H162" s="82">
        <v>5.0370145527088592</v>
      </c>
      <c r="I162" s="218">
        <f t="shared" si="7"/>
        <v>2028</v>
      </c>
    </row>
    <row r="163" spans="7:9" x14ac:dyDescent="0.2">
      <c r="G163" s="78">
        <v>46813</v>
      </c>
      <c r="H163" s="82">
        <v>4.8166484151518976</v>
      </c>
      <c r="I163" s="218">
        <f t="shared" si="7"/>
        <v>2028</v>
      </c>
    </row>
    <row r="164" spans="7:9" x14ac:dyDescent="0.2">
      <c r="G164" s="78">
        <v>46844</v>
      </c>
      <c r="H164" s="82">
        <v>4.6602612077215175</v>
      </c>
      <c r="I164" s="218">
        <f t="shared" si="7"/>
        <v>2028</v>
      </c>
    </row>
    <row r="165" spans="7:9" x14ac:dyDescent="0.2">
      <c r="G165" s="78">
        <v>46874</v>
      </c>
      <c r="H165" s="82">
        <v>4.5464922231012643</v>
      </c>
      <c r="I165" s="218">
        <f t="shared" si="7"/>
        <v>2028</v>
      </c>
    </row>
    <row r="166" spans="7:9" x14ac:dyDescent="0.2">
      <c r="G166" s="78">
        <v>46905</v>
      </c>
      <c r="H166" s="82">
        <v>4.5536124588734168</v>
      </c>
      <c r="I166" s="218">
        <f t="shared" si="7"/>
        <v>2028</v>
      </c>
    </row>
    <row r="167" spans="7:9" x14ac:dyDescent="0.2">
      <c r="G167" s="78">
        <v>46935</v>
      </c>
      <c r="H167" s="82">
        <v>4.6104711532278468</v>
      </c>
      <c r="I167" s="218">
        <f t="shared" si="7"/>
        <v>2028</v>
      </c>
    </row>
    <row r="168" spans="7:9" x14ac:dyDescent="0.2">
      <c r="G168" s="78">
        <v>46966</v>
      </c>
      <c r="H168" s="82">
        <v>4.7384290134810119</v>
      </c>
      <c r="I168" s="218">
        <f t="shared" si="7"/>
        <v>2028</v>
      </c>
    </row>
    <row r="169" spans="7:9" x14ac:dyDescent="0.2">
      <c r="G169" s="78">
        <v>46997</v>
      </c>
      <c r="H169" s="82">
        <v>4.7384290134810128</v>
      </c>
      <c r="I169" s="218">
        <f t="shared" si="7"/>
        <v>2028</v>
      </c>
    </row>
    <row r="170" spans="7:9" x14ac:dyDescent="0.2">
      <c r="G170" s="78">
        <v>47027</v>
      </c>
      <c r="H170" s="82">
        <v>4.8095281793797469</v>
      </c>
      <c r="I170" s="218">
        <f t="shared" si="7"/>
        <v>2028</v>
      </c>
    </row>
    <row r="171" spans="7:9" x14ac:dyDescent="0.2">
      <c r="G171" s="78">
        <v>47058</v>
      </c>
      <c r="H171" s="82">
        <v>5.0512550242531633</v>
      </c>
      <c r="I171" s="218">
        <f t="shared" si="7"/>
        <v>2028</v>
      </c>
    </row>
    <row r="172" spans="7:9" x14ac:dyDescent="0.2">
      <c r="G172" s="78">
        <v>47088</v>
      </c>
      <c r="H172" s="82">
        <v>5.2859132292658222</v>
      </c>
      <c r="I172" s="218">
        <f t="shared" si="7"/>
        <v>2028</v>
      </c>
    </row>
    <row r="173" spans="7:9" x14ac:dyDescent="0.2">
      <c r="G173" s="78">
        <v>47119</v>
      </c>
      <c r="H173" s="82">
        <v>5.3599017662025306</v>
      </c>
      <c r="I173" s="218">
        <f t="shared" si="7"/>
        <v>2029</v>
      </c>
    </row>
    <row r="174" spans="7:9" x14ac:dyDescent="0.2">
      <c r="G174" s="78">
        <v>47150</v>
      </c>
      <c r="H174" s="82">
        <v>5.3961736919113923</v>
      </c>
      <c r="I174" s="218">
        <f t="shared" si="7"/>
        <v>2029</v>
      </c>
    </row>
    <row r="175" spans="7:9" x14ac:dyDescent="0.2">
      <c r="G175" s="78">
        <v>47178</v>
      </c>
      <c r="H175" s="82">
        <v>5.1711639223291126</v>
      </c>
      <c r="I175" s="218">
        <f t="shared" si="7"/>
        <v>2029</v>
      </c>
    </row>
    <row r="176" spans="7:9" x14ac:dyDescent="0.2">
      <c r="G176" s="78">
        <v>47209</v>
      </c>
      <c r="H176" s="82">
        <v>4.9171572505443031</v>
      </c>
      <c r="I176" s="218">
        <f t="shared" si="7"/>
        <v>2029</v>
      </c>
    </row>
    <row r="177" spans="7:9" x14ac:dyDescent="0.2">
      <c r="G177" s="78">
        <v>47239</v>
      </c>
      <c r="H177" s="82">
        <v>4.6485489358354419</v>
      </c>
      <c r="I177" s="218">
        <f t="shared" si="7"/>
        <v>2029</v>
      </c>
    </row>
    <row r="178" spans="7:9" x14ac:dyDescent="0.2">
      <c r="G178" s="78">
        <v>47270</v>
      </c>
      <c r="H178" s="82">
        <v>4.6630473869367082</v>
      </c>
      <c r="I178" s="218">
        <f t="shared" si="7"/>
        <v>2029</v>
      </c>
    </row>
    <row r="179" spans="7:9" x14ac:dyDescent="0.2">
      <c r="G179" s="78">
        <v>47300</v>
      </c>
      <c r="H179" s="82">
        <v>4.6558239593417721</v>
      </c>
      <c r="I179" s="218">
        <f t="shared" si="7"/>
        <v>2029</v>
      </c>
    </row>
    <row r="180" spans="7:9" x14ac:dyDescent="0.2">
      <c r="G180" s="78">
        <v>47331</v>
      </c>
      <c r="H180" s="82">
        <v>4.808238281594936</v>
      </c>
      <c r="I180" s="218">
        <f t="shared" si="7"/>
        <v>2029</v>
      </c>
    </row>
    <row r="181" spans="7:9" x14ac:dyDescent="0.2">
      <c r="G181" s="78">
        <v>47362</v>
      </c>
      <c r="H181" s="82">
        <v>4.7283678107594929</v>
      </c>
      <c r="I181" s="218">
        <f t="shared" si="7"/>
        <v>2029</v>
      </c>
    </row>
    <row r="182" spans="7:9" x14ac:dyDescent="0.2">
      <c r="G182" s="78">
        <v>47392</v>
      </c>
      <c r="H182" s="82">
        <v>4.8227367326962014</v>
      </c>
      <c r="I182" s="218">
        <f t="shared" si="7"/>
        <v>2029</v>
      </c>
    </row>
    <row r="183" spans="7:9" x14ac:dyDescent="0.2">
      <c r="G183" s="78">
        <v>47423</v>
      </c>
      <c r="H183" s="82">
        <v>5.0622965492911387</v>
      </c>
      <c r="I183" s="218">
        <f t="shared" si="7"/>
        <v>2029</v>
      </c>
    </row>
    <row r="184" spans="7:9" x14ac:dyDescent="0.2">
      <c r="G184" s="78">
        <v>47453</v>
      </c>
      <c r="H184" s="82">
        <v>5.3090797934810121</v>
      </c>
      <c r="I184" s="218">
        <f t="shared" si="7"/>
        <v>2029</v>
      </c>
    </row>
    <row r="185" spans="7:9" x14ac:dyDescent="0.2">
      <c r="G185" s="78">
        <v>47484</v>
      </c>
      <c r="H185" s="82">
        <v>5.4548382431645548</v>
      </c>
      <c r="I185" s="218">
        <f t="shared" si="7"/>
        <v>2030</v>
      </c>
    </row>
    <row r="186" spans="7:9" x14ac:dyDescent="0.2">
      <c r="G186" s="78">
        <v>47515</v>
      </c>
      <c r="H186" s="82">
        <v>5.4845574881265815</v>
      </c>
      <c r="I186" s="218">
        <f t="shared" si="7"/>
        <v>2030</v>
      </c>
    </row>
    <row r="187" spans="7:9" x14ac:dyDescent="0.2">
      <c r="G187" s="78">
        <v>47543</v>
      </c>
      <c r="H187" s="82">
        <v>5.3361676469620249</v>
      </c>
      <c r="I187" s="218">
        <f t="shared" si="7"/>
        <v>2030</v>
      </c>
    </row>
    <row r="188" spans="7:9" x14ac:dyDescent="0.2">
      <c r="G188" s="78">
        <v>47574</v>
      </c>
      <c r="H188" s="82">
        <v>5.0839152361645565</v>
      </c>
      <c r="I188" s="218">
        <f t="shared" si="7"/>
        <v>2030</v>
      </c>
    </row>
    <row r="189" spans="7:9" x14ac:dyDescent="0.2">
      <c r="G189" s="78">
        <v>47604</v>
      </c>
      <c r="H189" s="82">
        <v>4.9949122890126576</v>
      </c>
      <c r="I189" s="218">
        <f t="shared" si="7"/>
        <v>2030</v>
      </c>
    </row>
    <row r="190" spans="7:9" x14ac:dyDescent="0.2">
      <c r="G190" s="78">
        <v>47635</v>
      </c>
      <c r="H190" s="82">
        <v>5.0097719114936705</v>
      </c>
      <c r="I190" s="218">
        <f t="shared" si="7"/>
        <v>2030</v>
      </c>
    </row>
    <row r="191" spans="7:9" x14ac:dyDescent="0.2">
      <c r="G191" s="78">
        <v>47665</v>
      </c>
      <c r="H191" s="82">
        <v>5.0172017227341765</v>
      </c>
      <c r="I191" s="218">
        <f t="shared" si="7"/>
        <v>2030</v>
      </c>
    </row>
    <row r="192" spans="7:9" x14ac:dyDescent="0.2">
      <c r="G192" s="78">
        <v>47696</v>
      </c>
      <c r="H192" s="82">
        <v>5.1506803455063288</v>
      </c>
      <c r="I192" s="218">
        <f t="shared" si="7"/>
        <v>2030</v>
      </c>
    </row>
    <row r="193" spans="7:9" x14ac:dyDescent="0.2">
      <c r="G193" s="78">
        <v>47727</v>
      </c>
      <c r="H193" s="82">
        <v>5.2323566732405054</v>
      </c>
      <c r="I193" s="218">
        <f t="shared" si="7"/>
        <v>2030</v>
      </c>
    </row>
    <row r="194" spans="7:9" x14ac:dyDescent="0.2">
      <c r="G194" s="78">
        <v>47757</v>
      </c>
      <c r="H194" s="82">
        <v>5.2768323488607587</v>
      </c>
      <c r="I194" s="218">
        <f t="shared" si="7"/>
        <v>2030</v>
      </c>
    </row>
    <row r="195" spans="7:9" x14ac:dyDescent="0.2">
      <c r="G195" s="78">
        <v>47788</v>
      </c>
      <c r="H195" s="82">
        <v>5.4845574881265815</v>
      </c>
      <c r="I195" s="218">
        <f t="shared" si="7"/>
        <v>2030</v>
      </c>
    </row>
    <row r="196" spans="7:9" x14ac:dyDescent="0.2">
      <c r="G196" s="78">
        <v>47818</v>
      </c>
      <c r="H196" s="82">
        <v>5.7293284917721508</v>
      </c>
      <c r="I196" s="218">
        <f t="shared" si="7"/>
        <v>2030</v>
      </c>
    </row>
    <row r="197" spans="7:9" x14ac:dyDescent="0.2">
      <c r="G197" s="78">
        <v>47849</v>
      </c>
      <c r="H197" s="82">
        <v>5.6348563780126577</v>
      </c>
      <c r="I197" s="218">
        <f t="shared" si="7"/>
        <v>2031</v>
      </c>
    </row>
    <row r="198" spans="7:9" x14ac:dyDescent="0.2">
      <c r="G198" s="78">
        <v>47880</v>
      </c>
      <c r="H198" s="82">
        <v>5.6803123759493666</v>
      </c>
      <c r="I198" s="218">
        <f t="shared" si="7"/>
        <v>2031</v>
      </c>
    </row>
    <row r="199" spans="7:9" x14ac:dyDescent="0.2">
      <c r="G199" s="78">
        <v>47908</v>
      </c>
      <c r="H199" s="82">
        <v>5.5438411903164555</v>
      </c>
      <c r="I199" s="218">
        <f t="shared" si="7"/>
        <v>2031</v>
      </c>
    </row>
    <row r="200" spans="7:9" x14ac:dyDescent="0.2">
      <c r="G200" s="78">
        <v>47939</v>
      </c>
      <c r="H200" s="82">
        <v>5.2708988190506325</v>
      </c>
      <c r="I200" s="218">
        <f t="shared" si="7"/>
        <v>2031</v>
      </c>
    </row>
    <row r="201" spans="7:9" x14ac:dyDescent="0.2">
      <c r="G201" s="78">
        <v>47969</v>
      </c>
      <c r="H201" s="82">
        <v>5.1268430344430378</v>
      </c>
      <c r="I201" s="218">
        <f t="shared" si="7"/>
        <v>2031</v>
      </c>
    </row>
    <row r="202" spans="7:9" x14ac:dyDescent="0.2">
      <c r="G202" s="78">
        <v>48000</v>
      </c>
      <c r="H202" s="82">
        <v>5.1344276334177206</v>
      </c>
      <c r="I202" s="218">
        <f t="shared" si="7"/>
        <v>2031</v>
      </c>
    </row>
    <row r="203" spans="7:9" x14ac:dyDescent="0.2">
      <c r="G203" s="78">
        <v>48030</v>
      </c>
      <c r="H203" s="82">
        <v>5.1799352272658217</v>
      </c>
      <c r="I203" s="218">
        <f t="shared" si="7"/>
        <v>2031</v>
      </c>
    </row>
    <row r="204" spans="7:9" x14ac:dyDescent="0.2">
      <c r="G204" s="78">
        <v>48061</v>
      </c>
      <c r="H204" s="82">
        <v>5.3239910118734173</v>
      </c>
      <c r="I204" s="218">
        <f t="shared" si="7"/>
        <v>2031</v>
      </c>
    </row>
    <row r="205" spans="7:9" x14ac:dyDescent="0.2">
      <c r="G205" s="78">
        <v>48092</v>
      </c>
      <c r="H205" s="82">
        <v>5.3239910118734164</v>
      </c>
      <c r="I205" s="218">
        <f t="shared" si="7"/>
        <v>2031</v>
      </c>
    </row>
    <row r="206" spans="7:9" x14ac:dyDescent="0.2">
      <c r="G206" s="78">
        <v>48122</v>
      </c>
      <c r="H206" s="82">
        <v>5.3922524026455694</v>
      </c>
      <c r="I206" s="218">
        <f t="shared" si="7"/>
        <v>2031</v>
      </c>
    </row>
    <row r="207" spans="7:9" x14ac:dyDescent="0.2">
      <c r="G207" s="78">
        <v>48153</v>
      </c>
      <c r="H207" s="82">
        <v>5.5590103882658219</v>
      </c>
      <c r="I207" s="218">
        <f t="shared" si="7"/>
        <v>2031</v>
      </c>
    </row>
    <row r="208" spans="7:9" x14ac:dyDescent="0.2">
      <c r="G208" s="78">
        <v>48183</v>
      </c>
      <c r="H208" s="82">
        <v>5.7940297646582266</v>
      </c>
      <c r="I208" s="218">
        <f t="shared" si="7"/>
        <v>2031</v>
      </c>
    </row>
    <row r="209" spans="7:9" x14ac:dyDescent="0.2">
      <c r="G209" s="78">
        <v>48214</v>
      </c>
      <c r="H209" s="82">
        <v>5.9363312882784802</v>
      </c>
      <c r="I209" s="218">
        <f t="shared" si="7"/>
        <v>2032</v>
      </c>
    </row>
    <row r="210" spans="7:9" x14ac:dyDescent="0.2">
      <c r="G210" s="78">
        <v>48245</v>
      </c>
      <c r="H210" s="82">
        <v>5.9827676085316437</v>
      </c>
      <c r="I210" s="218">
        <f t="shared" si="7"/>
        <v>2032</v>
      </c>
    </row>
    <row r="211" spans="7:9" x14ac:dyDescent="0.2">
      <c r="G211" s="78">
        <v>48274</v>
      </c>
      <c r="H211" s="82">
        <v>5.7425886409999993</v>
      </c>
      <c r="I211" s="218">
        <f t="shared" si="7"/>
        <v>2032</v>
      </c>
    </row>
    <row r="212" spans="7:9" x14ac:dyDescent="0.2">
      <c r="G212" s="78">
        <v>48305</v>
      </c>
      <c r="H212" s="82">
        <v>5.463661144012657</v>
      </c>
      <c r="I212" s="218">
        <f t="shared" si="7"/>
        <v>2032</v>
      </c>
    </row>
    <row r="213" spans="7:9" x14ac:dyDescent="0.2">
      <c r="G213" s="78">
        <v>48335</v>
      </c>
      <c r="H213" s="82">
        <v>5.192473033734176</v>
      </c>
      <c r="I213" s="218">
        <f t="shared" si="7"/>
        <v>2032</v>
      </c>
    </row>
    <row r="214" spans="7:9" x14ac:dyDescent="0.2">
      <c r="G214" s="78">
        <v>48366</v>
      </c>
      <c r="H214" s="82">
        <v>5.2079518071518978</v>
      </c>
      <c r="I214" s="218">
        <f t="shared" si="7"/>
        <v>2032</v>
      </c>
    </row>
    <row r="215" spans="7:9" x14ac:dyDescent="0.2">
      <c r="G215" s="78">
        <v>48396</v>
      </c>
      <c r="H215" s="82">
        <v>5.2234821764810118</v>
      </c>
      <c r="I215" s="218">
        <f t="shared" si="7"/>
        <v>2032</v>
      </c>
    </row>
    <row r="216" spans="7:9" x14ac:dyDescent="0.2">
      <c r="G216" s="78">
        <v>48427</v>
      </c>
      <c r="H216" s="82">
        <v>5.4249126145569617</v>
      </c>
      <c r="I216" s="218">
        <f t="shared" si="7"/>
        <v>2032</v>
      </c>
    </row>
    <row r="217" spans="7:9" x14ac:dyDescent="0.2">
      <c r="G217" s="78">
        <v>48458</v>
      </c>
      <c r="H217" s="82">
        <v>5.4171732278480995</v>
      </c>
      <c r="I217" s="218">
        <f t="shared" si="7"/>
        <v>2032</v>
      </c>
    </row>
    <row r="218" spans="7:9" x14ac:dyDescent="0.2">
      <c r="G218" s="78">
        <v>48488</v>
      </c>
      <c r="H218" s="82">
        <v>5.5024096734683541</v>
      </c>
      <c r="I218" s="218">
        <f t="shared" si="7"/>
        <v>2032</v>
      </c>
    </row>
    <row r="219" spans="7:9" x14ac:dyDescent="0.2">
      <c r="G219" s="78">
        <v>48519</v>
      </c>
      <c r="H219" s="82">
        <v>5.7193188849620249</v>
      </c>
      <c r="I219" s="218">
        <f t="shared" si="7"/>
        <v>2032</v>
      </c>
    </row>
    <row r="220" spans="7:9" x14ac:dyDescent="0.2">
      <c r="G220" s="78">
        <v>48549</v>
      </c>
      <c r="H220" s="82">
        <v>5.9285919015696189</v>
      </c>
      <c r="I220" s="218">
        <f t="shared" si="7"/>
        <v>2032</v>
      </c>
    </row>
    <row r="221" spans="7:9" x14ac:dyDescent="0.2">
      <c r="G221" s="78">
        <v>48580</v>
      </c>
      <c r="H221" s="82">
        <v>6.0503582524556965</v>
      </c>
      <c r="I221" s="218">
        <f t="shared" si="7"/>
        <v>2033</v>
      </c>
    </row>
    <row r="222" spans="7:9" x14ac:dyDescent="0.2">
      <c r="G222" s="78">
        <v>48611</v>
      </c>
      <c r="H222" s="82">
        <v>6.0978264909367077</v>
      </c>
      <c r="I222" s="218">
        <f t="shared" si="7"/>
        <v>2033</v>
      </c>
    </row>
    <row r="223" spans="7:9" x14ac:dyDescent="0.2">
      <c r="G223" s="78">
        <v>48639</v>
      </c>
      <c r="H223" s="82">
        <v>5.8919588044810123</v>
      </c>
      <c r="I223" s="218">
        <f t="shared" si="7"/>
        <v>2033</v>
      </c>
    </row>
    <row r="224" spans="7:9" x14ac:dyDescent="0.2">
      <c r="G224" s="78">
        <v>48670</v>
      </c>
      <c r="H224" s="82">
        <v>5.5831572747974674</v>
      </c>
      <c r="I224" s="218">
        <f t="shared" ref="I224:I311" si="8">YEAR(G224)</f>
        <v>2033</v>
      </c>
    </row>
    <row r="225" spans="7:9" x14ac:dyDescent="0.2">
      <c r="G225" s="78">
        <v>48700</v>
      </c>
      <c r="H225" s="82">
        <v>5.3613980476329104</v>
      </c>
      <c r="I225" s="218">
        <f t="shared" si="8"/>
        <v>2033</v>
      </c>
    </row>
    <row r="226" spans="7:9" x14ac:dyDescent="0.2">
      <c r="G226" s="78">
        <v>48731</v>
      </c>
      <c r="H226" s="82">
        <v>5.3613980476329104</v>
      </c>
      <c r="I226" s="218">
        <f t="shared" si="8"/>
        <v>2033</v>
      </c>
    </row>
    <row r="227" spans="7:9" x14ac:dyDescent="0.2">
      <c r="G227" s="78">
        <v>48761</v>
      </c>
      <c r="H227" s="82">
        <v>5.4881176060126577</v>
      </c>
      <c r="I227" s="218">
        <f t="shared" si="8"/>
        <v>2033</v>
      </c>
    </row>
    <row r="228" spans="7:9" x14ac:dyDescent="0.2">
      <c r="G228" s="78">
        <v>48792</v>
      </c>
      <c r="H228" s="82">
        <v>5.6544112284303791</v>
      </c>
      <c r="I228" s="218">
        <f t="shared" si="8"/>
        <v>2033</v>
      </c>
    </row>
    <row r="229" spans="7:9" x14ac:dyDescent="0.2">
      <c r="G229" s="78">
        <v>48823</v>
      </c>
      <c r="H229" s="82">
        <v>5.6148371643924042</v>
      </c>
      <c r="I229" s="218">
        <f t="shared" si="8"/>
        <v>2033</v>
      </c>
    </row>
    <row r="230" spans="7:9" x14ac:dyDescent="0.2">
      <c r="G230" s="78">
        <v>48853</v>
      </c>
      <c r="H230" s="82">
        <v>5.7177194117088597</v>
      </c>
      <c r="I230" s="218">
        <f t="shared" si="8"/>
        <v>2033</v>
      </c>
    </row>
    <row r="231" spans="7:9" x14ac:dyDescent="0.2">
      <c r="G231" s="78">
        <v>48884</v>
      </c>
      <c r="H231" s="82">
        <v>5.9315844644303786</v>
      </c>
      <c r="I231" s="218">
        <f t="shared" si="8"/>
        <v>2033</v>
      </c>
    </row>
    <row r="232" spans="7:9" x14ac:dyDescent="0.2">
      <c r="G232" s="78">
        <v>48914</v>
      </c>
      <c r="H232" s="82">
        <v>6.2800116540632906</v>
      </c>
      <c r="I232" s="218">
        <f t="shared" si="8"/>
        <v>2033</v>
      </c>
    </row>
    <row r="233" spans="7:9" x14ac:dyDescent="0.2">
      <c r="G233" s="78">
        <v>48945</v>
      </c>
      <c r="H233" s="82">
        <v>6.4093626039240501</v>
      </c>
      <c r="I233" s="218">
        <f t="shared" si="8"/>
        <v>2034</v>
      </c>
    </row>
    <row r="234" spans="7:9" x14ac:dyDescent="0.2">
      <c r="G234" s="78">
        <v>48976</v>
      </c>
      <c r="H234" s="82">
        <v>6.4336126822784792</v>
      </c>
      <c r="I234" s="218">
        <f t="shared" si="8"/>
        <v>2034</v>
      </c>
    </row>
    <row r="235" spans="7:9" x14ac:dyDescent="0.2">
      <c r="G235" s="78">
        <v>49004</v>
      </c>
      <c r="H235" s="82">
        <v>6.0937504139367089</v>
      </c>
      <c r="I235" s="218">
        <f t="shared" si="8"/>
        <v>2034</v>
      </c>
    </row>
    <row r="236" spans="7:9" x14ac:dyDescent="0.2">
      <c r="G236" s="78">
        <v>49035</v>
      </c>
      <c r="H236" s="82">
        <v>5.7700376658607588</v>
      </c>
      <c r="I236" s="218">
        <f t="shared" si="8"/>
        <v>2034</v>
      </c>
    </row>
    <row r="237" spans="7:9" x14ac:dyDescent="0.2">
      <c r="G237" s="78">
        <v>49065</v>
      </c>
      <c r="H237" s="82">
        <v>5.6324313701772137</v>
      </c>
      <c r="I237" s="218">
        <f t="shared" si="8"/>
        <v>2034</v>
      </c>
    </row>
    <row r="238" spans="7:9" x14ac:dyDescent="0.2">
      <c r="G238" s="78">
        <v>49096</v>
      </c>
      <c r="H238" s="82">
        <v>5.6162302539999986</v>
      </c>
      <c r="I238" s="218">
        <f t="shared" si="8"/>
        <v>2034</v>
      </c>
    </row>
    <row r="239" spans="7:9" x14ac:dyDescent="0.2">
      <c r="G239" s="78">
        <v>49126</v>
      </c>
      <c r="H239" s="82">
        <v>5.6405319282658226</v>
      </c>
      <c r="I239" s="218">
        <f t="shared" si="8"/>
        <v>2034</v>
      </c>
    </row>
    <row r="240" spans="7:9" x14ac:dyDescent="0.2">
      <c r="G240" s="78">
        <v>49157</v>
      </c>
      <c r="H240" s="82">
        <v>5.8104888603924039</v>
      </c>
      <c r="I240" s="218">
        <f t="shared" si="8"/>
        <v>2034</v>
      </c>
    </row>
    <row r="241" spans="7:9" x14ac:dyDescent="0.2">
      <c r="G241" s="78">
        <v>49188</v>
      </c>
      <c r="H241" s="82">
        <v>5.6890836808860747</v>
      </c>
      <c r="I241" s="218">
        <f t="shared" si="8"/>
        <v>2034</v>
      </c>
    </row>
    <row r="242" spans="7:9" x14ac:dyDescent="0.2">
      <c r="G242" s="78">
        <v>49218</v>
      </c>
      <c r="H242" s="82">
        <v>5.7781382239493677</v>
      </c>
      <c r="I242" s="218">
        <f t="shared" si="8"/>
        <v>2034</v>
      </c>
    </row>
    <row r="243" spans="7:9" x14ac:dyDescent="0.2">
      <c r="G243" s="78">
        <v>49249</v>
      </c>
      <c r="H243" s="82">
        <v>5.948095156075949</v>
      </c>
      <c r="I243" s="218">
        <f t="shared" si="8"/>
        <v>2034</v>
      </c>
    </row>
    <row r="244" spans="7:9" x14ac:dyDescent="0.2">
      <c r="G244" s="78">
        <v>49279</v>
      </c>
      <c r="H244" s="82">
        <v>6.3446097351265811</v>
      </c>
      <c r="I244" s="218">
        <f t="shared" si="8"/>
        <v>2034</v>
      </c>
    </row>
    <row r="245" spans="7:9" x14ac:dyDescent="0.2">
      <c r="G245" s="78">
        <v>49310</v>
      </c>
      <c r="H245" s="82">
        <v>6.4586882952151896</v>
      </c>
      <c r="I245" s="218">
        <f t="shared" si="8"/>
        <v>2035</v>
      </c>
    </row>
    <row r="246" spans="7:9" x14ac:dyDescent="0.2">
      <c r="G246" s="78">
        <v>49341</v>
      </c>
      <c r="H246" s="82">
        <v>6.4917612744177209</v>
      </c>
      <c r="I246" s="218">
        <f t="shared" si="8"/>
        <v>2035</v>
      </c>
    </row>
    <row r="247" spans="7:9" x14ac:dyDescent="0.2">
      <c r="G247" s="78">
        <v>49369</v>
      </c>
      <c r="H247" s="82">
        <v>6.1774905781265819</v>
      </c>
      <c r="I247" s="218">
        <f t="shared" si="8"/>
        <v>2035</v>
      </c>
    </row>
    <row r="248" spans="7:9" x14ac:dyDescent="0.2">
      <c r="G248" s="78">
        <v>49400</v>
      </c>
      <c r="H248" s="82">
        <v>5.8962412651265819</v>
      </c>
      <c r="I248" s="218">
        <f t="shared" si="8"/>
        <v>2035</v>
      </c>
    </row>
    <row r="249" spans="7:9" x14ac:dyDescent="0.2">
      <c r="G249" s="78">
        <v>49430</v>
      </c>
      <c r="H249" s="82">
        <v>5.8631682859240488</v>
      </c>
      <c r="I249" s="218">
        <f t="shared" si="8"/>
        <v>2035</v>
      </c>
    </row>
    <row r="250" spans="7:9" x14ac:dyDescent="0.2">
      <c r="G250" s="78">
        <v>49461</v>
      </c>
      <c r="H250" s="82">
        <v>5.7887153857848093</v>
      </c>
      <c r="I250" s="218">
        <f t="shared" si="8"/>
        <v>2035</v>
      </c>
    </row>
    <row r="251" spans="7:9" x14ac:dyDescent="0.2">
      <c r="G251" s="78">
        <v>49491</v>
      </c>
      <c r="H251" s="82">
        <v>5.8796789775696183</v>
      </c>
      <c r="I251" s="218">
        <f t="shared" si="8"/>
        <v>2035</v>
      </c>
    </row>
    <row r="252" spans="7:9" x14ac:dyDescent="0.2">
      <c r="G252" s="78">
        <v>49522</v>
      </c>
      <c r="H252" s="82">
        <v>5.9955117986455688</v>
      </c>
      <c r="I252" s="218">
        <f t="shared" si="8"/>
        <v>2035</v>
      </c>
    </row>
    <row r="253" spans="7:9" x14ac:dyDescent="0.2">
      <c r="G253" s="78">
        <v>49553</v>
      </c>
      <c r="H253" s="82">
        <v>5.8962412651265819</v>
      </c>
      <c r="I253" s="218">
        <f t="shared" si="8"/>
        <v>2035</v>
      </c>
    </row>
    <row r="254" spans="7:9" x14ac:dyDescent="0.2">
      <c r="G254" s="78">
        <v>49583</v>
      </c>
      <c r="H254" s="82">
        <v>5.9706941652658223</v>
      </c>
      <c r="I254" s="218">
        <f t="shared" si="8"/>
        <v>2035</v>
      </c>
    </row>
    <row r="255" spans="7:9" x14ac:dyDescent="0.2">
      <c r="G255" s="78">
        <v>49614</v>
      </c>
      <c r="H255" s="82">
        <v>6.2022566155949361</v>
      </c>
      <c r="I255" s="218">
        <f t="shared" si="8"/>
        <v>2035</v>
      </c>
    </row>
    <row r="256" spans="7:9" x14ac:dyDescent="0.2">
      <c r="G256" s="78">
        <v>49644</v>
      </c>
      <c r="H256" s="82">
        <v>6.5083235619746826</v>
      </c>
      <c r="I256" s="218">
        <f t="shared" si="8"/>
        <v>2035</v>
      </c>
    </row>
    <row r="257" spans="7:9" x14ac:dyDescent="0.2">
      <c r="G257" s="78">
        <v>49675</v>
      </c>
      <c r="H257" s="82">
        <v>6.8113979454936704</v>
      </c>
      <c r="I257" s="218">
        <f t="shared" si="8"/>
        <v>2036</v>
      </c>
    </row>
    <row r="258" spans="7:9" x14ac:dyDescent="0.2">
      <c r="G258" s="78">
        <v>49706</v>
      </c>
      <c r="H258" s="82">
        <v>6.6761650617341761</v>
      </c>
      <c r="I258" s="218">
        <f t="shared" si="8"/>
        <v>2036</v>
      </c>
    </row>
    <row r="259" spans="7:9" x14ac:dyDescent="0.2">
      <c r="G259" s="78">
        <v>49735</v>
      </c>
      <c r="H259" s="82">
        <v>6.4225195613291124</v>
      </c>
      <c r="I259" s="218">
        <f t="shared" si="8"/>
        <v>2036</v>
      </c>
    </row>
    <row r="260" spans="7:9" x14ac:dyDescent="0.2">
      <c r="G260" s="78">
        <v>49766</v>
      </c>
      <c r="H260" s="82">
        <v>6.1097967423797463</v>
      </c>
      <c r="I260" s="218">
        <f t="shared" si="8"/>
        <v>2036</v>
      </c>
    </row>
    <row r="261" spans="7:9" x14ac:dyDescent="0.2">
      <c r="G261" s="78">
        <v>49796</v>
      </c>
      <c r="H261" s="82">
        <v>6.0760014204177208</v>
      </c>
      <c r="I261" s="218">
        <f t="shared" si="8"/>
        <v>2036</v>
      </c>
    </row>
    <row r="262" spans="7:9" x14ac:dyDescent="0.2">
      <c r="G262" s="78">
        <v>49827</v>
      </c>
      <c r="H262" s="82">
        <v>5.9914357216455683</v>
      </c>
      <c r="I262" s="218">
        <f t="shared" si="8"/>
        <v>2036</v>
      </c>
    </row>
    <row r="263" spans="7:9" x14ac:dyDescent="0.2">
      <c r="G263" s="78">
        <v>49857</v>
      </c>
      <c r="H263" s="82">
        <v>6.0506162320126577</v>
      </c>
      <c r="I263" s="218">
        <f t="shared" si="8"/>
        <v>2036</v>
      </c>
    </row>
    <row r="264" spans="7:9" x14ac:dyDescent="0.2">
      <c r="G264" s="78">
        <v>49888</v>
      </c>
      <c r="H264" s="82">
        <v>6.2534913556075935</v>
      </c>
      <c r="I264" s="218">
        <f t="shared" si="8"/>
        <v>2036</v>
      </c>
    </row>
    <row r="265" spans="7:9" x14ac:dyDescent="0.2">
      <c r="G265" s="78">
        <v>49919</v>
      </c>
      <c r="H265" s="82">
        <v>6.1267202013164539</v>
      </c>
      <c r="I265" s="218">
        <f t="shared" si="8"/>
        <v>2036</v>
      </c>
    </row>
    <row r="266" spans="7:9" x14ac:dyDescent="0.2">
      <c r="G266" s="78">
        <v>49949</v>
      </c>
      <c r="H266" s="82">
        <v>6.2281577631139236</v>
      </c>
      <c r="I266" s="218">
        <f t="shared" si="8"/>
        <v>2036</v>
      </c>
    </row>
    <row r="267" spans="7:9" x14ac:dyDescent="0.2">
      <c r="G267" s="78">
        <v>49980</v>
      </c>
      <c r="H267" s="82">
        <v>6.4479047497341755</v>
      </c>
      <c r="I267" s="218">
        <f t="shared" si="8"/>
        <v>2036</v>
      </c>
    </row>
    <row r="268" spans="7:9" x14ac:dyDescent="0.2">
      <c r="G268" s="78">
        <v>50010</v>
      </c>
      <c r="H268" s="82">
        <v>6.7437557056582271</v>
      </c>
      <c r="I268" s="218">
        <f t="shared" si="8"/>
        <v>2036</v>
      </c>
    </row>
    <row r="269" spans="7:9" x14ac:dyDescent="0.2">
      <c r="G269" s="78">
        <v>50041</v>
      </c>
      <c r="H269" s="82">
        <v>6.9692298384430371</v>
      </c>
      <c r="I269" s="218">
        <f t="shared" si="8"/>
        <v>2037</v>
      </c>
    </row>
    <row r="270" spans="7:9" x14ac:dyDescent="0.2">
      <c r="G270" s="78">
        <v>50072</v>
      </c>
      <c r="H270" s="82">
        <v>6.9605617253291125</v>
      </c>
      <c r="I270" s="218">
        <f t="shared" si="8"/>
        <v>2037</v>
      </c>
    </row>
    <row r="271" spans="7:9" x14ac:dyDescent="0.2">
      <c r="G271" s="78">
        <v>50100</v>
      </c>
      <c r="H271" s="82">
        <v>6.5717865329873417</v>
      </c>
      <c r="I271" s="218">
        <f t="shared" si="8"/>
        <v>2037</v>
      </c>
    </row>
    <row r="272" spans="7:9" x14ac:dyDescent="0.2">
      <c r="G272" s="78">
        <v>50131</v>
      </c>
      <c r="H272" s="82">
        <v>6.2435333447088599</v>
      </c>
      <c r="I272" s="218">
        <f t="shared" si="8"/>
        <v>2037</v>
      </c>
    </row>
    <row r="273" spans="7:9" x14ac:dyDescent="0.2">
      <c r="G273" s="78">
        <v>50161</v>
      </c>
      <c r="H273" s="82">
        <v>6.2089640840759479</v>
      </c>
      <c r="I273" s="218">
        <f t="shared" si="8"/>
        <v>2037</v>
      </c>
    </row>
    <row r="274" spans="7:9" x14ac:dyDescent="0.2">
      <c r="G274" s="78">
        <v>50192</v>
      </c>
      <c r="H274" s="82">
        <v>6.1571101931265808</v>
      </c>
      <c r="I274" s="218">
        <f t="shared" si="8"/>
        <v>2037</v>
      </c>
    </row>
    <row r="275" spans="7:9" x14ac:dyDescent="0.2">
      <c r="G275" s="78">
        <v>50222</v>
      </c>
      <c r="H275" s="82">
        <v>6.2089640840759479</v>
      </c>
      <c r="I275" s="218">
        <f t="shared" si="8"/>
        <v>2037</v>
      </c>
    </row>
    <row r="276" spans="7:9" x14ac:dyDescent="0.2">
      <c r="G276" s="78">
        <v>50253</v>
      </c>
      <c r="H276" s="82">
        <v>6.4335610863670878</v>
      </c>
      <c r="I276" s="218">
        <f t="shared" si="8"/>
        <v>2037</v>
      </c>
    </row>
    <row r="277" spans="7:9" x14ac:dyDescent="0.2">
      <c r="G277" s="78">
        <v>50284</v>
      </c>
      <c r="H277" s="82">
        <v>6.2953356397468347</v>
      </c>
      <c r="I277" s="218">
        <f t="shared" si="8"/>
        <v>2037</v>
      </c>
    </row>
    <row r="278" spans="7:9" x14ac:dyDescent="0.2">
      <c r="G278" s="78">
        <v>50314</v>
      </c>
      <c r="H278" s="82">
        <v>6.347189530696201</v>
      </c>
      <c r="I278" s="218">
        <f t="shared" si="8"/>
        <v>2037</v>
      </c>
    </row>
    <row r="279" spans="7:9" x14ac:dyDescent="0.2">
      <c r="G279" s="78">
        <v>50345</v>
      </c>
      <c r="H279" s="82">
        <v>6.6495415714556954</v>
      </c>
      <c r="I279" s="218">
        <f t="shared" si="8"/>
        <v>2037</v>
      </c>
    </row>
    <row r="280" spans="7:9" x14ac:dyDescent="0.2">
      <c r="G280" s="78">
        <v>50375</v>
      </c>
      <c r="H280" s="82">
        <v>6.9864628728481</v>
      </c>
      <c r="I280" s="218">
        <f t="shared" si="8"/>
        <v>2037</v>
      </c>
    </row>
    <row r="281" spans="7:9" x14ac:dyDescent="0.2">
      <c r="G281" s="78">
        <v>50406</v>
      </c>
      <c r="H281" s="82">
        <v>7.33205228735443</v>
      </c>
      <c r="I281" s="218">
        <f t="shared" ref="I281:I304" si="9">YEAR(G281)</f>
        <v>2038</v>
      </c>
    </row>
    <row r="282" spans="7:9" x14ac:dyDescent="0.2">
      <c r="G282" s="78">
        <v>50437</v>
      </c>
      <c r="H282" s="82">
        <v>7.3231777905949356</v>
      </c>
      <c r="I282" s="218">
        <f t="shared" si="9"/>
        <v>2038</v>
      </c>
    </row>
    <row r="283" spans="7:9" x14ac:dyDescent="0.2">
      <c r="G283" s="78">
        <v>50465</v>
      </c>
      <c r="H283" s="82">
        <v>6.8812588095189868</v>
      </c>
      <c r="I283" s="218">
        <f t="shared" si="9"/>
        <v>2038</v>
      </c>
    </row>
    <row r="284" spans="7:9" x14ac:dyDescent="0.2">
      <c r="G284" s="78">
        <v>50496</v>
      </c>
      <c r="H284" s="82">
        <v>6.5807642215696198</v>
      </c>
      <c r="I284" s="218">
        <f t="shared" si="9"/>
        <v>2038</v>
      </c>
    </row>
    <row r="285" spans="7:9" x14ac:dyDescent="0.2">
      <c r="G285" s="78">
        <v>50526</v>
      </c>
      <c r="H285" s="82">
        <v>6.4836091204177198</v>
      </c>
      <c r="I285" s="218">
        <f t="shared" si="9"/>
        <v>2038</v>
      </c>
    </row>
    <row r="286" spans="7:9" x14ac:dyDescent="0.2">
      <c r="G286" s="78">
        <v>50557</v>
      </c>
      <c r="H286" s="82">
        <v>6.4482659211139222</v>
      </c>
      <c r="I286" s="218">
        <f t="shared" si="9"/>
        <v>2038</v>
      </c>
    </row>
    <row r="287" spans="7:9" x14ac:dyDescent="0.2">
      <c r="G287" s="78">
        <v>50587</v>
      </c>
      <c r="H287" s="82">
        <v>6.5454210222658222</v>
      </c>
      <c r="I287" s="218">
        <f t="shared" si="9"/>
        <v>2038</v>
      </c>
    </row>
    <row r="288" spans="7:9" x14ac:dyDescent="0.2">
      <c r="G288" s="78">
        <v>50618</v>
      </c>
      <c r="H288" s="82">
        <v>6.7398860123037965</v>
      </c>
      <c r="I288" s="218">
        <f t="shared" si="9"/>
        <v>2038</v>
      </c>
    </row>
    <row r="289" spans="7:9" x14ac:dyDescent="0.2">
      <c r="G289" s="78">
        <v>50649</v>
      </c>
      <c r="H289" s="82">
        <v>6.5985132150886061</v>
      </c>
      <c r="I289" s="218">
        <f t="shared" si="9"/>
        <v>2038</v>
      </c>
    </row>
    <row r="290" spans="7:9" x14ac:dyDescent="0.2">
      <c r="G290" s="78">
        <v>50679</v>
      </c>
      <c r="H290" s="82">
        <v>6.7398344163924042</v>
      </c>
      <c r="I290" s="218">
        <f t="shared" si="9"/>
        <v>2038</v>
      </c>
    </row>
    <row r="291" spans="7:9" x14ac:dyDescent="0.2">
      <c r="G291" s="78">
        <v>50710</v>
      </c>
      <c r="H291" s="82">
        <v>7.0492035011012648</v>
      </c>
      <c r="I291" s="218">
        <f t="shared" si="9"/>
        <v>2038</v>
      </c>
    </row>
    <row r="292" spans="7:9" x14ac:dyDescent="0.2">
      <c r="G292" s="78">
        <v>50740</v>
      </c>
      <c r="H292" s="82">
        <v>7.3761667915949358</v>
      </c>
      <c r="I292" s="218">
        <f t="shared" si="9"/>
        <v>2038</v>
      </c>
    </row>
    <row r="293" spans="7:9" x14ac:dyDescent="0.2">
      <c r="G293" s="78">
        <v>50771</v>
      </c>
      <c r="H293" s="82">
        <v>7.4908645026202523</v>
      </c>
      <c r="I293" s="218">
        <f t="shared" si="9"/>
        <v>2039</v>
      </c>
    </row>
    <row r="294" spans="7:9" x14ac:dyDescent="0.2">
      <c r="G294" s="78">
        <v>50802</v>
      </c>
      <c r="H294" s="82">
        <v>7.6083999887721507</v>
      </c>
      <c r="I294" s="218">
        <f t="shared" si="9"/>
        <v>2039</v>
      </c>
    </row>
    <row r="295" spans="7:9" x14ac:dyDescent="0.2">
      <c r="G295" s="78">
        <v>50830</v>
      </c>
      <c r="H295" s="82">
        <v>7.0930600257848084</v>
      </c>
      <c r="I295" s="218">
        <f t="shared" si="9"/>
        <v>2039</v>
      </c>
    </row>
    <row r="296" spans="7:9" x14ac:dyDescent="0.2">
      <c r="G296" s="78">
        <v>50861</v>
      </c>
      <c r="H296" s="82">
        <v>6.7675930167215181</v>
      </c>
      <c r="I296" s="218">
        <f t="shared" si="9"/>
        <v>2039</v>
      </c>
    </row>
    <row r="297" spans="7:9" x14ac:dyDescent="0.2">
      <c r="G297" s="78">
        <v>50891</v>
      </c>
      <c r="H297" s="82">
        <v>6.7223434024303783</v>
      </c>
      <c r="I297" s="218">
        <f t="shared" si="9"/>
        <v>2039</v>
      </c>
    </row>
    <row r="298" spans="7:9" x14ac:dyDescent="0.2">
      <c r="G298" s="78">
        <v>50922</v>
      </c>
      <c r="H298" s="82">
        <v>6.6590868150632909</v>
      </c>
      <c r="I298" s="218">
        <f t="shared" si="9"/>
        <v>2039</v>
      </c>
    </row>
    <row r="299" spans="7:9" x14ac:dyDescent="0.2">
      <c r="G299" s="78">
        <v>50952</v>
      </c>
      <c r="H299" s="82">
        <v>6.7494828518227834</v>
      </c>
      <c r="I299" s="218">
        <f t="shared" si="9"/>
        <v>2039</v>
      </c>
    </row>
    <row r="300" spans="7:9" x14ac:dyDescent="0.2">
      <c r="G300" s="78">
        <v>50983</v>
      </c>
      <c r="H300" s="82">
        <v>6.9393558057468345</v>
      </c>
      <c r="I300" s="218">
        <f t="shared" si="9"/>
        <v>2039</v>
      </c>
    </row>
    <row r="301" spans="7:9" x14ac:dyDescent="0.2">
      <c r="G301" s="78">
        <v>51014</v>
      </c>
      <c r="H301" s="82">
        <v>6.7947324661139223</v>
      </c>
      <c r="I301" s="218">
        <f t="shared" si="9"/>
        <v>2039</v>
      </c>
    </row>
    <row r="302" spans="7:9" x14ac:dyDescent="0.2">
      <c r="G302" s="78">
        <v>51044</v>
      </c>
      <c r="H302" s="82">
        <v>7.0026123931139228</v>
      </c>
      <c r="I302" s="218">
        <f t="shared" si="9"/>
        <v>2039</v>
      </c>
    </row>
    <row r="303" spans="7:9" x14ac:dyDescent="0.2">
      <c r="G303" s="78">
        <v>51075</v>
      </c>
      <c r="H303" s="82">
        <v>7.2829329797088604</v>
      </c>
      <c r="I303" s="218">
        <f t="shared" si="9"/>
        <v>2039</v>
      </c>
    </row>
    <row r="304" spans="7:9" x14ac:dyDescent="0.2">
      <c r="G304" s="78">
        <v>51105</v>
      </c>
      <c r="H304" s="82">
        <v>7.6264585577594932</v>
      </c>
      <c r="I304" s="218">
        <f t="shared" si="9"/>
        <v>2039</v>
      </c>
    </row>
    <row r="305" spans="7:9" x14ac:dyDescent="0.2">
      <c r="G305" s="78">
        <v>51136</v>
      </c>
      <c r="H305" s="82">
        <v>7.7641680452658219</v>
      </c>
      <c r="I305" s="218">
        <f t="shared" si="8"/>
        <v>2040</v>
      </c>
    </row>
    <row r="306" spans="7:9" x14ac:dyDescent="0.2">
      <c r="G306" s="78">
        <v>51167</v>
      </c>
      <c r="H306" s="82">
        <v>7.9861336560759479</v>
      </c>
      <c r="I306" s="218">
        <f t="shared" si="8"/>
        <v>2040</v>
      </c>
    </row>
    <row r="307" spans="7:9" x14ac:dyDescent="0.2">
      <c r="G307" s="78">
        <v>51196</v>
      </c>
      <c r="H307" s="82">
        <v>7.4774495656582269</v>
      </c>
      <c r="I307" s="218">
        <f t="shared" si="8"/>
        <v>2040</v>
      </c>
    </row>
    <row r="308" spans="7:9" x14ac:dyDescent="0.2">
      <c r="G308" s="78">
        <v>51227</v>
      </c>
      <c r="H308" s="82">
        <v>7.0612769443670871</v>
      </c>
      <c r="I308" s="218">
        <f t="shared" si="8"/>
        <v>2040</v>
      </c>
    </row>
    <row r="309" spans="7:9" x14ac:dyDescent="0.2">
      <c r="G309" s="78">
        <v>51257</v>
      </c>
      <c r="H309" s="82">
        <v>7.0149954118481004</v>
      </c>
      <c r="I309" s="218">
        <f t="shared" si="8"/>
        <v>2040</v>
      </c>
    </row>
    <row r="310" spans="7:9" x14ac:dyDescent="0.2">
      <c r="G310" s="78">
        <v>51288</v>
      </c>
      <c r="H310" s="82">
        <v>6.9317712067721509</v>
      </c>
      <c r="I310" s="218">
        <f t="shared" si="8"/>
        <v>2040</v>
      </c>
    </row>
    <row r="311" spans="7:9" x14ac:dyDescent="0.2">
      <c r="G311" s="78">
        <v>51318</v>
      </c>
      <c r="H311" s="82">
        <v>7.0149954118481004</v>
      </c>
      <c r="I311" s="218">
        <f t="shared" si="8"/>
        <v>2040</v>
      </c>
    </row>
    <row r="312" spans="7:9" x14ac:dyDescent="0.2">
      <c r="G312" s="78">
        <v>51349</v>
      </c>
      <c r="H312" s="82">
        <v>7.2369610226582273</v>
      </c>
      <c r="I312" s="218">
        <f t="shared" ref="I312:I328" si="10">YEAR(G312)</f>
        <v>2040</v>
      </c>
    </row>
    <row r="313" spans="7:9" x14ac:dyDescent="0.2">
      <c r="G313" s="78">
        <v>51380</v>
      </c>
      <c r="H313" s="82">
        <v>7.0612253484556948</v>
      </c>
      <c r="I313" s="218">
        <f t="shared" si="10"/>
        <v>2040</v>
      </c>
    </row>
    <row r="314" spans="7:9" x14ac:dyDescent="0.2">
      <c r="G314" s="78">
        <v>51410</v>
      </c>
      <c r="H314" s="82">
        <v>7.3387081599240496</v>
      </c>
      <c r="I314" s="218">
        <f t="shared" si="10"/>
        <v>2040</v>
      </c>
    </row>
    <row r="315" spans="7:9" x14ac:dyDescent="0.2">
      <c r="G315" s="78">
        <v>51441</v>
      </c>
      <c r="H315" s="82">
        <v>7.6254266395316446</v>
      </c>
      <c r="I315" s="218">
        <f t="shared" si="10"/>
        <v>2040</v>
      </c>
    </row>
    <row r="316" spans="7:9" x14ac:dyDescent="0.2">
      <c r="G316" s="78">
        <v>51471</v>
      </c>
      <c r="H316" s="82">
        <v>8.0046565882658225</v>
      </c>
      <c r="I316" s="218">
        <f t="shared" si="10"/>
        <v>2040</v>
      </c>
    </row>
    <row r="317" spans="7:9" x14ac:dyDescent="0.2">
      <c r="G317" s="78">
        <v>51502</v>
      </c>
      <c r="H317" s="82">
        <v>7.9420191518354422</v>
      </c>
      <c r="I317" s="218">
        <f t="shared" si="10"/>
        <v>2041</v>
      </c>
    </row>
    <row r="318" spans="7:9" x14ac:dyDescent="0.2">
      <c r="G318" s="78">
        <v>51533</v>
      </c>
      <c r="H318" s="82">
        <v>8.1690927578734165</v>
      </c>
      <c r="I318" s="218">
        <f t="shared" si="10"/>
        <v>2041</v>
      </c>
    </row>
    <row r="319" spans="7:9" x14ac:dyDescent="0.2">
      <c r="G319" s="78">
        <v>51561</v>
      </c>
      <c r="H319" s="82">
        <v>7.648696395569619</v>
      </c>
      <c r="I319" s="218">
        <f t="shared" si="10"/>
        <v>2041</v>
      </c>
    </row>
    <row r="320" spans="7:9" x14ac:dyDescent="0.2">
      <c r="G320" s="78">
        <v>51592</v>
      </c>
      <c r="H320" s="82">
        <v>7.2229269347594922</v>
      </c>
      <c r="I320" s="218">
        <f t="shared" si="10"/>
        <v>2041</v>
      </c>
    </row>
    <row r="321" spans="7:9" x14ac:dyDescent="0.2">
      <c r="G321" s="78">
        <v>51622</v>
      </c>
      <c r="H321" s="82">
        <v>7.1756134840126578</v>
      </c>
      <c r="I321" s="218">
        <f t="shared" si="10"/>
        <v>2041</v>
      </c>
    </row>
    <row r="322" spans="7:9" x14ac:dyDescent="0.2">
      <c r="G322" s="78">
        <v>51653</v>
      </c>
      <c r="H322" s="82">
        <v>7.0904286343037963</v>
      </c>
      <c r="I322" s="218">
        <f t="shared" si="10"/>
        <v>2041</v>
      </c>
    </row>
    <row r="323" spans="7:9" x14ac:dyDescent="0.2">
      <c r="G323" s="78">
        <v>51683</v>
      </c>
      <c r="H323" s="82">
        <v>7.1756134840126578</v>
      </c>
      <c r="I323" s="218">
        <f t="shared" si="10"/>
        <v>2041</v>
      </c>
    </row>
    <row r="324" spans="7:9" x14ac:dyDescent="0.2">
      <c r="G324" s="78">
        <v>51714</v>
      </c>
      <c r="H324" s="82">
        <v>7.4026870900506321</v>
      </c>
      <c r="I324" s="218">
        <f t="shared" si="10"/>
        <v>2041</v>
      </c>
    </row>
    <row r="325" spans="7:9" x14ac:dyDescent="0.2">
      <c r="G325" s="78">
        <v>51745</v>
      </c>
      <c r="H325" s="82">
        <v>7.2228753388481</v>
      </c>
      <c r="I325" s="218">
        <f t="shared" si="10"/>
        <v>2041</v>
      </c>
    </row>
    <row r="326" spans="7:9" x14ac:dyDescent="0.2">
      <c r="G326" s="78">
        <v>51775</v>
      </c>
      <c r="H326" s="82">
        <v>7.5067560433291129</v>
      </c>
      <c r="I326" s="218">
        <f t="shared" si="10"/>
        <v>2041</v>
      </c>
    </row>
    <row r="327" spans="7:9" x14ac:dyDescent="0.2">
      <c r="G327" s="78">
        <v>51806</v>
      </c>
      <c r="H327" s="82">
        <v>7.8000787995949352</v>
      </c>
      <c r="I327" s="218">
        <f t="shared" si="10"/>
        <v>2041</v>
      </c>
    </row>
    <row r="328" spans="7:9" x14ac:dyDescent="0.2">
      <c r="G328" s="78">
        <v>51836</v>
      </c>
      <c r="H328" s="82">
        <v>8.1880284573544291</v>
      </c>
      <c r="I328" s="218">
        <f t="shared" si="10"/>
        <v>2041</v>
      </c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O267"/>
  <sheetViews>
    <sheetView zoomScale="90" zoomScaleNormal="90" zoomScaleSheetLayoutView="85" workbookViewId="0">
      <pane xSplit="2" ySplit="12" topLeftCell="C13" activePane="bottomRight" state="frozen"/>
      <selection activeCell="C38" sqref="C38"/>
      <selection pane="topRight" activeCell="C38" sqref="C38"/>
      <selection pane="bottomLeft" activeCell="C38" sqref="C38"/>
      <selection pane="bottomRight" activeCell="Q17" sqref="Q17"/>
    </sheetView>
  </sheetViews>
  <sheetFormatPr defaultRowHeight="12.75" outlineLevelRow="1" x14ac:dyDescent="0.2"/>
  <cols>
    <col min="1" max="1" width="6.1640625" style="118" customWidth="1"/>
    <col min="2" max="2" width="12.6640625" style="118" customWidth="1"/>
    <col min="3" max="3" width="18.1640625" style="118" customWidth="1"/>
    <col min="4" max="4" width="16.1640625" style="118" customWidth="1"/>
    <col min="5" max="5" width="18.5" style="118" customWidth="1"/>
    <col min="6" max="7" width="16.1640625" style="118" customWidth="1"/>
    <col min="8" max="8" width="3.83203125" style="118" customWidth="1"/>
    <col min="9" max="9" width="9.5" style="118" hidden="1" customWidth="1"/>
    <col min="10" max="11" width="10" style="118" hidden="1" customWidth="1"/>
    <col min="12" max="12" width="9.33203125" style="118" hidden="1" customWidth="1"/>
    <col min="13" max="13" width="21.1640625" style="118" hidden="1" customWidth="1"/>
    <col min="14" max="14" width="13.83203125" style="118" hidden="1" customWidth="1"/>
    <col min="15" max="15" width="0" style="118" hidden="1" customWidth="1"/>
    <col min="16" max="16384" width="9.33203125" style="118"/>
  </cols>
  <sheetData>
    <row r="1" spans="2:15" s="6" customFormat="1" ht="15.75" x14ac:dyDescent="0.25">
      <c r="B1" s="1" t="s">
        <v>71</v>
      </c>
      <c r="C1" s="1"/>
      <c r="D1" s="43"/>
      <c r="E1" s="43"/>
      <c r="F1" s="43"/>
      <c r="G1" s="43"/>
      <c r="H1" s="79"/>
      <c r="I1" s="208"/>
      <c r="J1" s="208"/>
      <c r="K1" s="208"/>
    </row>
    <row r="2" spans="2:15" ht="5.25" customHeight="1" x14ac:dyDescent="0.2"/>
    <row r="3" spans="2:15" ht="15.75" x14ac:dyDescent="0.25">
      <c r="B3" s="1" t="str">
        <f>"Table "&amp;RIGHT('Table 4'!B3,1)+1</f>
        <v>Table 5</v>
      </c>
      <c r="C3" s="156"/>
      <c r="D3" s="156"/>
      <c r="E3" s="156"/>
      <c r="F3" s="156"/>
      <c r="G3" s="156"/>
      <c r="M3" s="118" t="s">
        <v>96</v>
      </c>
    </row>
    <row r="4" spans="2:15" x14ac:dyDescent="0.2">
      <c r="B4" s="156" t="str">
        <f ca="1">'Table 1'!B5</f>
        <v>Utah 2016.Q2 - 100.0 MW and 85.0% CF</v>
      </c>
      <c r="C4" s="156"/>
      <c r="D4" s="156"/>
      <c r="E4" s="156"/>
      <c r="F4" s="156"/>
      <c r="G4" s="156"/>
      <c r="M4" s="120" t="s">
        <v>141</v>
      </c>
      <c r="O4" s="118" t="s">
        <v>141</v>
      </c>
    </row>
    <row r="5" spans="2:15" x14ac:dyDescent="0.2">
      <c r="B5" s="156" t="str">
        <f>TEXT($K$5,"MMMM YYYY")&amp;"  through  "&amp;TEXT($K$6,"MMMM YYYY")</f>
        <v>January 2018  through  December 2032</v>
      </c>
      <c r="C5" s="156"/>
      <c r="D5" s="156"/>
      <c r="E5" s="156"/>
      <c r="F5" s="156"/>
      <c r="G5" s="156"/>
      <c r="J5" s="118" t="s">
        <v>76</v>
      </c>
      <c r="K5" s="119">
        <f>MIN(K13:K24)</f>
        <v>43101</v>
      </c>
      <c r="M5" s="118" t="s">
        <v>77</v>
      </c>
    </row>
    <row r="6" spans="2:15" x14ac:dyDescent="0.2">
      <c r="B6" s="156" t="s">
        <v>78</v>
      </c>
      <c r="C6" s="156"/>
      <c r="D6" s="156"/>
      <c r="E6" s="156"/>
      <c r="F6" s="156"/>
      <c r="G6" s="156"/>
      <c r="J6" s="118" t="s">
        <v>79</v>
      </c>
      <c r="K6" s="119">
        <f>MAX(K13:K264)</f>
        <v>48549</v>
      </c>
      <c r="M6" s="120">
        <v>100</v>
      </c>
      <c r="N6" s="118" t="s">
        <v>60</v>
      </c>
    </row>
    <row r="7" spans="2:15" x14ac:dyDescent="0.2">
      <c r="B7" s="156"/>
      <c r="C7" s="156"/>
      <c r="D7" s="156"/>
      <c r="E7" s="156"/>
      <c r="F7" s="156"/>
      <c r="G7" s="156"/>
      <c r="M7" s="232">
        <f ca="1">SUM(OFFSET(F12,MATCH(K5,B13:B24,0),0,12))/(8760*Study_MW)</f>
        <v>0.85</v>
      </c>
      <c r="N7" s="185" t="s">
        <v>65</v>
      </c>
    </row>
    <row r="8" spans="2:15" x14ac:dyDescent="0.2">
      <c r="B8" s="223" t="str">
        <f>"Nominal NPV at "&amp;TEXT(J9,"0.00%")&amp;" Discount Rate"</f>
        <v>Nominal NPV at 6.66% Discount Rate</v>
      </c>
      <c r="J8" s="118" t="str">
        <f>'Table 1'!I34</f>
        <v>Discount Rate - 2015 IRP Page 141</v>
      </c>
    </row>
    <row r="9" spans="2:15" x14ac:dyDescent="0.2">
      <c r="C9" s="121">
        <f>NPV($K$9,C13:C264)</f>
        <v>199775962.84678826</v>
      </c>
      <c r="D9" s="121">
        <f>NPV($K$9,D13:D264)</f>
        <v>34720818.445409641</v>
      </c>
      <c r="E9" s="121">
        <f>NPV($K$9,E13:E264)</f>
        <v>234496781.292198</v>
      </c>
      <c r="F9" s="261">
        <f>NPV($K$9,F13:F264)</f>
        <v>7142917.699496544</v>
      </c>
      <c r="G9" s="194">
        <f>($C9+D9)/$F9</f>
        <v>32.829271056661618</v>
      </c>
      <c r="J9" s="229">
        <f>'Table 1'!I35</f>
        <v>6.6600000000000006E-2</v>
      </c>
      <c r="K9" s="199">
        <f>((1+J9)^(1/12))-1</f>
        <v>5.3874620588785227E-3</v>
      </c>
    </row>
    <row r="10" spans="2:15" x14ac:dyDescent="0.2">
      <c r="N10" s="122"/>
    </row>
    <row r="11" spans="2:15" x14ac:dyDescent="0.2">
      <c r="B11" s="198"/>
      <c r="C11" s="124" t="s">
        <v>36</v>
      </c>
      <c r="D11" s="125" t="s">
        <v>80</v>
      </c>
      <c r="E11" s="125" t="s">
        <v>81</v>
      </c>
      <c r="F11" s="125" t="s">
        <v>81</v>
      </c>
      <c r="G11" s="126" t="s">
        <v>89</v>
      </c>
    </row>
    <row r="12" spans="2:15" x14ac:dyDescent="0.2">
      <c r="B12" s="130" t="s">
        <v>82</v>
      </c>
      <c r="C12" s="124" t="s">
        <v>83</v>
      </c>
      <c r="D12" s="128" t="str">
        <f>TEXT((SUM(F25:F72)/(8760*3+8784))/Study_MW,"0.0%")&amp;" CF"</f>
        <v>85.0% CF</v>
      </c>
      <c r="E12" s="129" t="s">
        <v>88</v>
      </c>
      <c r="F12" s="130" t="s">
        <v>84</v>
      </c>
      <c r="G12" s="128" t="str">
        <f>D12</f>
        <v>85.0% CF</v>
      </c>
      <c r="I12" s="125" t="s">
        <v>85</v>
      </c>
      <c r="J12" s="131" t="s">
        <v>0</v>
      </c>
      <c r="K12" s="131" t="s">
        <v>86</v>
      </c>
      <c r="L12" s="131" t="s">
        <v>85</v>
      </c>
      <c r="M12" s="131"/>
      <c r="N12" s="126"/>
    </row>
    <row r="13" spans="2:15" x14ac:dyDescent="0.2">
      <c r="B13" s="137">
        <v>43101</v>
      </c>
      <c r="C13" s="132">
        <v>1558303.5527008176</v>
      </c>
      <c r="D13" s="133">
        <f>IF(ISNUMBER($F13),VLOOKUP($J13,'Table 1'!$B$13:$C$32,2,FALSE)/12*1000*Study_MW,"")</f>
        <v>0</v>
      </c>
      <c r="E13" s="134">
        <f>IF(ISNUMBER(C13+D13),C13+D13,"")</f>
        <v>1558303.5527008176</v>
      </c>
      <c r="F13" s="132">
        <v>63240</v>
      </c>
      <c r="G13" s="135">
        <f>IF(ISNUMBER($F13),E13/$F13,"")</f>
        <v>24.641106146439242</v>
      </c>
      <c r="I13" s="123">
        <v>1</v>
      </c>
      <c r="J13" s="136">
        <f>YEAR(B13)</f>
        <v>2018</v>
      </c>
      <c r="K13" s="137">
        <f t="shared" ref="K13:K24" si="0">IF(ISNUMBER(F13),B13,"")</f>
        <v>43101</v>
      </c>
      <c r="L13" s="118">
        <v>263</v>
      </c>
      <c r="M13" s="118" t="s">
        <v>87</v>
      </c>
    </row>
    <row r="14" spans="2:15" x14ac:dyDescent="0.2">
      <c r="B14" s="141">
        <f t="shared" ref="B14:B77" si="1">EDATE(B13,1)</f>
        <v>43132</v>
      </c>
      <c r="C14" s="138">
        <v>1436815.397509262</v>
      </c>
      <c r="D14" s="134">
        <f>IF(ISNUMBER($F14),VLOOKUP($J14,'Table 1'!$B$13:$C$32,2,FALSE)/12*1000*Study_MW,"")</f>
        <v>0</v>
      </c>
      <c r="E14" s="134">
        <f t="shared" ref="E14:E23" si="2">IF(ISNUMBER(C14+D14),C14+D14,"")</f>
        <v>1436815.397509262</v>
      </c>
      <c r="F14" s="138">
        <v>57120</v>
      </c>
      <c r="G14" s="139">
        <f t="shared" ref="G14:G77" si="3">IF(ISNUMBER($F14),E14/$F14,"")</f>
        <v>25.154331188887639</v>
      </c>
      <c r="I14" s="140">
        <f>I13+1</f>
        <v>2</v>
      </c>
      <c r="J14" s="136">
        <f t="shared" ref="J14:J77" si="4">YEAR(B14)</f>
        <v>2018</v>
      </c>
      <c r="K14" s="141">
        <f t="shared" si="0"/>
        <v>43132</v>
      </c>
      <c r="L14" s="118">
        <v>351</v>
      </c>
      <c r="M14" s="192" t="s">
        <v>140</v>
      </c>
    </row>
    <row r="15" spans="2:15" x14ac:dyDescent="0.2">
      <c r="B15" s="141">
        <f t="shared" si="1"/>
        <v>43160</v>
      </c>
      <c r="C15" s="138">
        <v>1467776.4789074361</v>
      </c>
      <c r="D15" s="134">
        <f>IF(ISNUMBER($F15),VLOOKUP($J15,'Table 1'!$B$13:$C$32,2,FALSE)/12*1000*Study_MW,"")</f>
        <v>0</v>
      </c>
      <c r="E15" s="134">
        <f t="shared" si="2"/>
        <v>1467776.4789074361</v>
      </c>
      <c r="F15" s="138">
        <v>63240</v>
      </c>
      <c r="G15" s="139">
        <f t="shared" si="3"/>
        <v>23.209621741104304</v>
      </c>
      <c r="I15" s="140">
        <f t="shared" ref="I15:I24" si="5">I14+1</f>
        <v>3</v>
      </c>
      <c r="J15" s="136">
        <f t="shared" si="4"/>
        <v>2018</v>
      </c>
      <c r="K15" s="141">
        <f t="shared" si="0"/>
        <v>43160</v>
      </c>
    </row>
    <row r="16" spans="2:15" x14ac:dyDescent="0.2">
      <c r="B16" s="141">
        <f t="shared" si="1"/>
        <v>43191</v>
      </c>
      <c r="C16" s="138">
        <v>1256420.2431073487</v>
      </c>
      <c r="D16" s="134">
        <f>IF(ISNUMBER($F16),VLOOKUP($J16,'Table 1'!$B$13:$C$32,2,FALSE)/12*1000*Study_MW,"")</f>
        <v>0</v>
      </c>
      <c r="E16" s="134">
        <f t="shared" si="2"/>
        <v>1256420.2431073487</v>
      </c>
      <c r="F16" s="138">
        <v>61200</v>
      </c>
      <c r="G16" s="139">
        <f t="shared" si="3"/>
        <v>20.529742534433801</v>
      </c>
      <c r="I16" s="140">
        <f t="shared" si="5"/>
        <v>4</v>
      </c>
      <c r="J16" s="136">
        <f t="shared" si="4"/>
        <v>2018</v>
      </c>
      <c r="K16" s="141">
        <f t="shared" si="0"/>
        <v>43191</v>
      </c>
      <c r="L16" s="136">
        <f>YEAR(B13)</f>
        <v>2018</v>
      </c>
      <c r="M16" s="118">
        <f>SUMIF($J$13:$J$264,L16,$C$13:$C$264)</f>
        <v>16385794.182450026</v>
      </c>
      <c r="N16" s="118">
        <f>SUMIF($J$13:$J$264,L16,$D$13:$D$264)</f>
        <v>0</v>
      </c>
    </row>
    <row r="17" spans="2:14" x14ac:dyDescent="0.2">
      <c r="B17" s="141">
        <f t="shared" si="1"/>
        <v>43221</v>
      </c>
      <c r="C17" s="138">
        <v>1147390.7054200917</v>
      </c>
      <c r="D17" s="134">
        <f>IF(ISNUMBER($F17),VLOOKUP($J17,'Table 1'!$B$13:$C$32,2,FALSE)/12*1000*Study_MW,"")</f>
        <v>0</v>
      </c>
      <c r="E17" s="134">
        <f t="shared" si="2"/>
        <v>1147390.7054200917</v>
      </c>
      <c r="F17" s="138">
        <v>63240</v>
      </c>
      <c r="G17" s="139">
        <f t="shared" si="3"/>
        <v>18.143433039533392</v>
      </c>
      <c r="I17" s="140">
        <f t="shared" si="5"/>
        <v>5</v>
      </c>
      <c r="J17" s="136">
        <f t="shared" si="4"/>
        <v>2018</v>
      </c>
      <c r="K17" s="141">
        <f t="shared" si="0"/>
        <v>43221</v>
      </c>
      <c r="L17" s="136">
        <f>L16+1</f>
        <v>2019</v>
      </c>
      <c r="M17" s="118">
        <f>SUMIF($J$13:$J$264,L17,$C$13:$C$264)</f>
        <v>16299382.363994554</v>
      </c>
      <c r="N17" s="118">
        <f t="shared" ref="N17:N36" si="6">SUMIF($J$13:$J$264,L17,$D$13:$D$264)</f>
        <v>0</v>
      </c>
    </row>
    <row r="18" spans="2:14" x14ac:dyDescent="0.2">
      <c r="B18" s="141">
        <f t="shared" si="1"/>
        <v>43252</v>
      </c>
      <c r="C18" s="138">
        <v>1104715.3893647492</v>
      </c>
      <c r="D18" s="134">
        <f>IF(ISNUMBER($F18),VLOOKUP($J18,'Table 1'!$B$13:$C$32,2,FALSE)/12*1000*Study_MW,"")</f>
        <v>0</v>
      </c>
      <c r="E18" s="134">
        <f t="shared" si="2"/>
        <v>1104715.3893647492</v>
      </c>
      <c r="F18" s="138">
        <v>61200</v>
      </c>
      <c r="G18" s="139">
        <f t="shared" si="3"/>
        <v>18.050905054979562</v>
      </c>
      <c r="I18" s="140">
        <f t="shared" si="5"/>
        <v>6</v>
      </c>
      <c r="J18" s="136">
        <f t="shared" si="4"/>
        <v>2018</v>
      </c>
      <c r="K18" s="141">
        <f t="shared" si="0"/>
        <v>43252</v>
      </c>
      <c r="L18" s="136">
        <f t="shared" ref="L18:L36" si="7">L17+1</f>
        <v>2020</v>
      </c>
      <c r="M18" s="118">
        <f t="shared" ref="M18:M36" si="8">SUMIF($J$13:$J$264,L18,$C$13:$C$264)</f>
        <v>16813455.682165533</v>
      </c>
      <c r="N18" s="118">
        <f t="shared" si="6"/>
        <v>0</v>
      </c>
    </row>
    <row r="19" spans="2:14" x14ac:dyDescent="0.2">
      <c r="B19" s="141">
        <f t="shared" si="1"/>
        <v>43282</v>
      </c>
      <c r="C19" s="138">
        <v>1785143.5357376039</v>
      </c>
      <c r="D19" s="134">
        <f>IF(ISNUMBER($F19),VLOOKUP($J19,'Table 1'!$B$13:$C$32,2,FALSE)/12*1000*Study_MW,"")</f>
        <v>0</v>
      </c>
      <c r="E19" s="134">
        <f t="shared" si="2"/>
        <v>1785143.5357376039</v>
      </c>
      <c r="F19" s="138">
        <v>63240</v>
      </c>
      <c r="G19" s="139">
        <f t="shared" si="3"/>
        <v>28.22807615018349</v>
      </c>
      <c r="I19" s="140">
        <f t="shared" si="5"/>
        <v>7</v>
      </c>
      <c r="J19" s="136">
        <f t="shared" si="4"/>
        <v>2018</v>
      </c>
      <c r="K19" s="141">
        <f t="shared" si="0"/>
        <v>43282</v>
      </c>
      <c r="L19" s="136">
        <f t="shared" si="7"/>
        <v>2021</v>
      </c>
      <c r="M19" s="118">
        <f t="shared" si="8"/>
        <v>16581880.601857573</v>
      </c>
      <c r="N19" s="118">
        <f t="shared" si="6"/>
        <v>0</v>
      </c>
    </row>
    <row r="20" spans="2:14" x14ac:dyDescent="0.2">
      <c r="B20" s="141">
        <f t="shared" si="1"/>
        <v>43313</v>
      </c>
      <c r="C20" s="138">
        <v>1508987.9346252084</v>
      </c>
      <c r="D20" s="134">
        <f>IF(ISNUMBER($F20),VLOOKUP($J20,'Table 1'!$B$13:$C$32,2,FALSE)/12*1000*Study_MW,"")</f>
        <v>0</v>
      </c>
      <c r="E20" s="134">
        <f t="shared" si="2"/>
        <v>1508987.9346252084</v>
      </c>
      <c r="F20" s="138">
        <v>63240</v>
      </c>
      <c r="G20" s="139">
        <f t="shared" si="3"/>
        <v>23.861289288823663</v>
      </c>
      <c r="I20" s="140">
        <f t="shared" si="5"/>
        <v>8</v>
      </c>
      <c r="J20" s="136">
        <f t="shared" si="4"/>
        <v>2018</v>
      </c>
      <c r="K20" s="141">
        <f t="shared" si="0"/>
        <v>43313</v>
      </c>
      <c r="L20" s="136">
        <f t="shared" si="7"/>
        <v>2022</v>
      </c>
      <c r="M20" s="118">
        <f t="shared" si="8"/>
        <v>17974971.900636733</v>
      </c>
      <c r="N20" s="118">
        <f t="shared" si="6"/>
        <v>0</v>
      </c>
    </row>
    <row r="21" spans="2:14" x14ac:dyDescent="0.2">
      <c r="B21" s="141">
        <f t="shared" si="1"/>
        <v>43344</v>
      </c>
      <c r="C21" s="138">
        <v>1279842.4895042777</v>
      </c>
      <c r="D21" s="134">
        <f>IF(ISNUMBER($F21),VLOOKUP($J21,'Table 1'!$B$13:$C$32,2,FALSE)/12*1000*Study_MW,"")</f>
        <v>0</v>
      </c>
      <c r="E21" s="134">
        <f t="shared" si="2"/>
        <v>1279842.4895042777</v>
      </c>
      <c r="F21" s="138">
        <v>61200</v>
      </c>
      <c r="G21" s="139">
        <f t="shared" si="3"/>
        <v>20.912458978828067</v>
      </c>
      <c r="I21" s="140">
        <f t="shared" si="5"/>
        <v>9</v>
      </c>
      <c r="J21" s="136">
        <f t="shared" si="4"/>
        <v>2018</v>
      </c>
      <c r="K21" s="141">
        <f t="shared" si="0"/>
        <v>43344</v>
      </c>
      <c r="L21" s="136">
        <f t="shared" si="7"/>
        <v>2023</v>
      </c>
      <c r="M21" s="118">
        <f t="shared" si="8"/>
        <v>20161960.898148358</v>
      </c>
      <c r="N21" s="118">
        <f t="shared" si="6"/>
        <v>0</v>
      </c>
    </row>
    <row r="22" spans="2:14" x14ac:dyDescent="0.2">
      <c r="B22" s="141">
        <f t="shared" si="1"/>
        <v>43374</v>
      </c>
      <c r="C22" s="138">
        <v>1231386.012885794</v>
      </c>
      <c r="D22" s="134">
        <f>IF(ISNUMBER($F22),VLOOKUP($J22,'Table 1'!$B$13:$C$32,2,FALSE)/12*1000*Study_MW,"")</f>
        <v>0</v>
      </c>
      <c r="E22" s="134">
        <f t="shared" si="2"/>
        <v>1231386.012885794</v>
      </c>
      <c r="F22" s="138">
        <v>63240</v>
      </c>
      <c r="G22" s="139">
        <f t="shared" si="3"/>
        <v>19.47163208231806</v>
      </c>
      <c r="I22" s="140">
        <f t="shared" si="5"/>
        <v>10</v>
      </c>
      <c r="J22" s="136">
        <f t="shared" si="4"/>
        <v>2018</v>
      </c>
      <c r="K22" s="141">
        <f t="shared" si="0"/>
        <v>43374</v>
      </c>
      <c r="L22" s="136">
        <f t="shared" si="7"/>
        <v>2024</v>
      </c>
      <c r="M22" s="118">
        <f t="shared" si="8"/>
        <v>21772415.228303075</v>
      </c>
      <c r="N22" s="118">
        <f t="shared" si="6"/>
        <v>0</v>
      </c>
    </row>
    <row r="23" spans="2:14" x14ac:dyDescent="0.2">
      <c r="B23" s="141">
        <f t="shared" si="1"/>
        <v>43405</v>
      </c>
      <c r="C23" s="138">
        <v>1273209.6639843136</v>
      </c>
      <c r="D23" s="134">
        <f>IF(ISNUMBER($F23),VLOOKUP($J23,'Table 1'!$B$13:$C$32,2,FALSE)/12*1000*Study_MW,"")</f>
        <v>0</v>
      </c>
      <c r="E23" s="134">
        <f t="shared" si="2"/>
        <v>1273209.6639843136</v>
      </c>
      <c r="F23" s="138">
        <v>61200</v>
      </c>
      <c r="G23" s="139">
        <f t="shared" si="3"/>
        <v>20.804079476867869</v>
      </c>
      <c r="I23" s="140">
        <f t="shared" si="5"/>
        <v>11</v>
      </c>
      <c r="J23" s="136">
        <f t="shared" si="4"/>
        <v>2018</v>
      </c>
      <c r="K23" s="141">
        <f t="shared" si="0"/>
        <v>43405</v>
      </c>
      <c r="L23" s="136">
        <f t="shared" si="7"/>
        <v>2025</v>
      </c>
      <c r="M23" s="118">
        <f t="shared" si="8"/>
        <v>24530611.613641262</v>
      </c>
      <c r="N23" s="118">
        <f t="shared" si="6"/>
        <v>0</v>
      </c>
    </row>
    <row r="24" spans="2:14" x14ac:dyDescent="0.2">
      <c r="B24" s="145">
        <f t="shared" si="1"/>
        <v>43435</v>
      </c>
      <c r="C24" s="142">
        <v>1335802.7787031233</v>
      </c>
      <c r="D24" s="143">
        <f>IF(ISNUMBER($F24),VLOOKUP($J24,'Table 1'!$B$13:$C$32,2,FALSE)/12*1000*Study_MW,"")</f>
        <v>0</v>
      </c>
      <c r="E24" s="143">
        <f t="shared" ref="E24" si="9">IF(ISNUMBER(C24+D24),C24+D24,"")</f>
        <v>1335802.7787031233</v>
      </c>
      <c r="F24" s="142">
        <v>63240</v>
      </c>
      <c r="G24" s="144">
        <f t="shared" ref="G24" si="10">IF(ISNUMBER($F24),E24/$F24,"")</f>
        <v>21.122751086387151</v>
      </c>
      <c r="I24" s="127">
        <f t="shared" si="5"/>
        <v>12</v>
      </c>
      <c r="J24" s="136">
        <f t="shared" si="4"/>
        <v>2018</v>
      </c>
      <c r="K24" s="145">
        <f t="shared" si="0"/>
        <v>43435</v>
      </c>
      <c r="L24" s="136">
        <f t="shared" si="7"/>
        <v>2026</v>
      </c>
      <c r="M24" s="118">
        <f t="shared" si="8"/>
        <v>25284522.062871695</v>
      </c>
      <c r="N24" s="118">
        <f t="shared" si="6"/>
        <v>0</v>
      </c>
    </row>
    <row r="25" spans="2:14" x14ac:dyDescent="0.2">
      <c r="B25" s="137">
        <f t="shared" si="1"/>
        <v>43466</v>
      </c>
      <c r="C25" s="132">
        <v>1492209.9567524642</v>
      </c>
      <c r="D25" s="133">
        <f>IF(ISNUMBER($F25),VLOOKUP($J25,'Table 1'!$B$13:$C$32,2,FALSE)/12*1000*Study_MW,"")</f>
        <v>0</v>
      </c>
      <c r="E25" s="133">
        <f t="shared" ref="E25:E77" si="11">C25+D25</f>
        <v>1492209.9567524642</v>
      </c>
      <c r="F25" s="132">
        <v>63240</v>
      </c>
      <c r="G25" s="135">
        <f t="shared" si="3"/>
        <v>23.59598287084858</v>
      </c>
      <c r="I25" s="123">
        <f>I13+13</f>
        <v>14</v>
      </c>
      <c r="J25" s="136">
        <f t="shared" si="4"/>
        <v>2019</v>
      </c>
      <c r="K25" s="137">
        <f>IF(ISNUMBER(F25),IF(F25&lt;&gt;0,B25,""),"")</f>
        <v>43466</v>
      </c>
      <c r="L25" s="136">
        <f t="shared" si="7"/>
        <v>2027</v>
      </c>
      <c r="M25" s="118">
        <f t="shared" si="8"/>
        <v>26752220.030574352</v>
      </c>
      <c r="N25" s="118">
        <f t="shared" si="6"/>
        <v>0</v>
      </c>
    </row>
    <row r="26" spans="2:14" x14ac:dyDescent="0.2">
      <c r="B26" s="141">
        <f t="shared" si="1"/>
        <v>43497</v>
      </c>
      <c r="C26" s="138">
        <v>1278779.1940311491</v>
      </c>
      <c r="D26" s="134">
        <f>IF(ISNUMBER($F26),VLOOKUP($J26,'Table 1'!$B$13:$C$32,2,FALSE)/12*1000*Study_MW,"")</f>
        <v>0</v>
      </c>
      <c r="E26" s="134">
        <f t="shared" si="11"/>
        <v>1278779.1940311491</v>
      </c>
      <c r="F26" s="138">
        <v>57120</v>
      </c>
      <c r="G26" s="139">
        <f t="shared" si="3"/>
        <v>22.387590931917877</v>
      </c>
      <c r="I26" s="140">
        <f t="shared" ref="I26:I89" si="12">I14+13</f>
        <v>15</v>
      </c>
      <c r="J26" s="136">
        <f t="shared" si="4"/>
        <v>2019</v>
      </c>
      <c r="K26" s="141">
        <f t="shared" ref="K26:K89" si="13">IF(ISNUMBER(F26),IF(F26&lt;&gt;0,B26,""),"")</f>
        <v>43497</v>
      </c>
      <c r="L26" s="136">
        <f t="shared" si="7"/>
        <v>2028</v>
      </c>
      <c r="M26" s="118">
        <f t="shared" si="8"/>
        <v>23170769.859930068</v>
      </c>
      <c r="N26" s="118">
        <f t="shared" si="6"/>
        <v>14905000.000000006</v>
      </c>
    </row>
    <row r="27" spans="2:14" x14ac:dyDescent="0.2">
      <c r="B27" s="141">
        <f t="shared" si="1"/>
        <v>43525</v>
      </c>
      <c r="C27" s="138">
        <v>1386049.3051486611</v>
      </c>
      <c r="D27" s="134">
        <f>IF(ISNUMBER($F27),VLOOKUP($J27,'Table 1'!$B$13:$C$32,2,FALSE)/12*1000*Study_MW,"")</f>
        <v>0</v>
      </c>
      <c r="E27" s="134">
        <f t="shared" si="11"/>
        <v>1386049.3051486611</v>
      </c>
      <c r="F27" s="138">
        <v>63240</v>
      </c>
      <c r="G27" s="139">
        <f t="shared" si="3"/>
        <v>21.917288190206534</v>
      </c>
      <c r="I27" s="140">
        <f t="shared" si="12"/>
        <v>16</v>
      </c>
      <c r="J27" s="136">
        <f t="shared" si="4"/>
        <v>2019</v>
      </c>
      <c r="K27" s="141">
        <f t="shared" si="13"/>
        <v>43525</v>
      </c>
      <c r="L27" s="136">
        <f t="shared" si="7"/>
        <v>2029</v>
      </c>
      <c r="M27" s="118">
        <f t="shared" si="8"/>
        <v>23754673.725178778</v>
      </c>
      <c r="N27" s="118">
        <f t="shared" si="6"/>
        <v>15217000.000000002</v>
      </c>
    </row>
    <row r="28" spans="2:14" x14ac:dyDescent="0.2">
      <c r="B28" s="141">
        <f t="shared" si="1"/>
        <v>43556</v>
      </c>
      <c r="C28" s="138">
        <v>1208912.7621418387</v>
      </c>
      <c r="D28" s="134">
        <f>IF(ISNUMBER($F28),VLOOKUP($J28,'Table 1'!$B$13:$C$32,2,FALSE)/12*1000*Study_MW,"")</f>
        <v>0</v>
      </c>
      <c r="E28" s="134">
        <f t="shared" si="11"/>
        <v>1208912.7621418387</v>
      </c>
      <c r="F28" s="138">
        <v>61200</v>
      </c>
      <c r="G28" s="139">
        <f t="shared" si="3"/>
        <v>19.753476505585599</v>
      </c>
      <c r="I28" s="140">
        <f t="shared" si="12"/>
        <v>17</v>
      </c>
      <c r="J28" s="136">
        <f t="shared" si="4"/>
        <v>2019</v>
      </c>
      <c r="K28" s="141">
        <f t="shared" si="13"/>
        <v>43556</v>
      </c>
      <c r="L28" s="136">
        <f t="shared" si="7"/>
        <v>2030</v>
      </c>
      <c r="M28" s="118">
        <f t="shared" si="8"/>
        <v>25281134.693570912</v>
      </c>
      <c r="N28" s="118">
        <f t="shared" si="6"/>
        <v>15555000</v>
      </c>
    </row>
    <row r="29" spans="2:14" x14ac:dyDescent="0.2">
      <c r="B29" s="141">
        <f t="shared" si="1"/>
        <v>43586</v>
      </c>
      <c r="C29" s="138">
        <v>1114124.1707359999</v>
      </c>
      <c r="D29" s="134">
        <f>IF(ISNUMBER($F29),VLOOKUP($J29,'Table 1'!$B$13:$C$32,2,FALSE)/12*1000*Study_MW,"")</f>
        <v>0</v>
      </c>
      <c r="E29" s="134">
        <f t="shared" si="11"/>
        <v>1114124.1707359999</v>
      </c>
      <c r="F29" s="138">
        <v>63240</v>
      </c>
      <c r="G29" s="139">
        <f t="shared" si="3"/>
        <v>17.617396754206197</v>
      </c>
      <c r="I29" s="140">
        <f t="shared" si="12"/>
        <v>18</v>
      </c>
      <c r="J29" s="136">
        <f t="shared" si="4"/>
        <v>2019</v>
      </c>
      <c r="K29" s="141">
        <f t="shared" si="13"/>
        <v>43586</v>
      </c>
      <c r="L29" s="136">
        <f t="shared" si="7"/>
        <v>2031</v>
      </c>
      <c r="M29" s="118">
        <f t="shared" si="8"/>
        <v>26256853.288233906</v>
      </c>
      <c r="N29" s="118">
        <f t="shared" si="6"/>
        <v>15898000.000000006</v>
      </c>
    </row>
    <row r="30" spans="2:14" x14ac:dyDescent="0.2">
      <c r="B30" s="141">
        <f t="shared" si="1"/>
        <v>43617</v>
      </c>
      <c r="C30" s="138">
        <v>1083177.2333562821</v>
      </c>
      <c r="D30" s="134">
        <f>IF(ISNUMBER($F30),VLOOKUP($J30,'Table 1'!$B$13:$C$32,2,FALSE)/12*1000*Study_MW,"")</f>
        <v>0</v>
      </c>
      <c r="E30" s="134">
        <f t="shared" si="11"/>
        <v>1083177.2333562821</v>
      </c>
      <c r="F30" s="138">
        <v>61200</v>
      </c>
      <c r="G30" s="139">
        <f t="shared" si="3"/>
        <v>17.698974401246439</v>
      </c>
      <c r="I30" s="140">
        <f t="shared" si="12"/>
        <v>19</v>
      </c>
      <c r="J30" s="136">
        <f t="shared" si="4"/>
        <v>2019</v>
      </c>
      <c r="K30" s="141">
        <f t="shared" si="13"/>
        <v>43617</v>
      </c>
      <c r="L30" s="136">
        <f t="shared" si="7"/>
        <v>2032</v>
      </c>
      <c r="M30" s="118">
        <f t="shared" si="8"/>
        <v>27064345.288114071</v>
      </c>
      <c r="N30" s="118">
        <f t="shared" si="6"/>
        <v>16248000</v>
      </c>
    </row>
    <row r="31" spans="2:14" x14ac:dyDescent="0.2">
      <c r="B31" s="141">
        <f t="shared" si="1"/>
        <v>43647</v>
      </c>
      <c r="C31" s="138">
        <v>1708327.4544341564</v>
      </c>
      <c r="D31" s="134">
        <f>IF(ISNUMBER($F31),VLOOKUP($J31,'Table 1'!$B$13:$C$32,2,FALSE)/12*1000*Study_MW,"")</f>
        <v>0</v>
      </c>
      <c r="E31" s="134">
        <f t="shared" si="11"/>
        <v>1708327.4544341564</v>
      </c>
      <c r="F31" s="138">
        <v>63240</v>
      </c>
      <c r="G31" s="139">
        <f t="shared" si="3"/>
        <v>27.013400607750732</v>
      </c>
      <c r="I31" s="140">
        <f t="shared" si="12"/>
        <v>20</v>
      </c>
      <c r="J31" s="136">
        <f t="shared" si="4"/>
        <v>2019</v>
      </c>
      <c r="K31" s="141">
        <f t="shared" si="13"/>
        <v>43647</v>
      </c>
      <c r="L31" s="136">
        <f t="shared" si="7"/>
        <v>2033</v>
      </c>
      <c r="M31" s="118">
        <f t="shared" si="8"/>
        <v>0</v>
      </c>
      <c r="N31" s="118">
        <f t="shared" si="6"/>
        <v>0</v>
      </c>
    </row>
    <row r="32" spans="2:14" x14ac:dyDescent="0.2">
      <c r="B32" s="141">
        <f t="shared" si="1"/>
        <v>43678</v>
      </c>
      <c r="C32" s="138">
        <v>1451029.831877321</v>
      </c>
      <c r="D32" s="134">
        <f>IF(ISNUMBER($F32),VLOOKUP($J32,'Table 1'!$B$13:$C$32,2,FALSE)/12*1000*Study_MW,"")</f>
        <v>0</v>
      </c>
      <c r="E32" s="134">
        <f t="shared" si="11"/>
        <v>1451029.831877321</v>
      </c>
      <c r="F32" s="138">
        <v>63240</v>
      </c>
      <c r="G32" s="139">
        <f t="shared" si="3"/>
        <v>22.944810750748278</v>
      </c>
      <c r="I32" s="140">
        <f t="shared" si="12"/>
        <v>21</v>
      </c>
      <c r="J32" s="136">
        <f t="shared" si="4"/>
        <v>2019</v>
      </c>
      <c r="K32" s="141">
        <f t="shared" si="13"/>
        <v>43678</v>
      </c>
      <c r="L32" s="136">
        <f t="shared" si="7"/>
        <v>2034</v>
      </c>
      <c r="M32" s="118">
        <f t="shared" si="8"/>
        <v>0</v>
      </c>
      <c r="N32" s="118">
        <f t="shared" si="6"/>
        <v>0</v>
      </c>
    </row>
    <row r="33" spans="2:14" x14ac:dyDescent="0.2">
      <c r="B33" s="141">
        <f t="shared" si="1"/>
        <v>43709</v>
      </c>
      <c r="C33" s="138">
        <v>1277907.2978579104</v>
      </c>
      <c r="D33" s="134">
        <f>IF(ISNUMBER($F33),VLOOKUP($J33,'Table 1'!$B$13:$C$32,2,FALSE)/12*1000*Study_MW,"")</f>
        <v>0</v>
      </c>
      <c r="E33" s="134">
        <f t="shared" si="11"/>
        <v>1277907.2978579104</v>
      </c>
      <c r="F33" s="138">
        <v>61200</v>
      </c>
      <c r="G33" s="139">
        <f t="shared" si="3"/>
        <v>20.880838200292654</v>
      </c>
      <c r="I33" s="140">
        <f t="shared" si="12"/>
        <v>22</v>
      </c>
      <c r="J33" s="136">
        <f t="shared" si="4"/>
        <v>2019</v>
      </c>
      <c r="K33" s="141">
        <f t="shared" si="13"/>
        <v>43709</v>
      </c>
      <c r="L33" s="136">
        <f t="shared" si="7"/>
        <v>2035</v>
      </c>
      <c r="M33" s="118">
        <f t="shared" si="8"/>
        <v>0</v>
      </c>
      <c r="N33" s="118">
        <f t="shared" si="6"/>
        <v>0</v>
      </c>
    </row>
    <row r="34" spans="2:14" x14ac:dyDescent="0.2">
      <c r="B34" s="141">
        <f t="shared" si="1"/>
        <v>43739</v>
      </c>
      <c r="C34" s="138">
        <v>1247453.2431453168</v>
      </c>
      <c r="D34" s="134">
        <f>IF(ISNUMBER($F34),VLOOKUP($J34,'Table 1'!$B$13:$C$32,2,FALSE)/12*1000*Study_MW,"")</f>
        <v>0</v>
      </c>
      <c r="E34" s="134">
        <f t="shared" si="11"/>
        <v>1247453.2431453168</v>
      </c>
      <c r="F34" s="138">
        <v>63240</v>
      </c>
      <c r="G34" s="139">
        <f t="shared" si="3"/>
        <v>19.725699606978445</v>
      </c>
      <c r="I34" s="140">
        <f t="shared" si="12"/>
        <v>23</v>
      </c>
      <c r="J34" s="136">
        <f t="shared" si="4"/>
        <v>2019</v>
      </c>
      <c r="K34" s="141">
        <f t="shared" si="13"/>
        <v>43739</v>
      </c>
      <c r="L34" s="136">
        <f t="shared" si="7"/>
        <v>2036</v>
      </c>
      <c r="M34" s="118">
        <f t="shared" si="8"/>
        <v>0</v>
      </c>
      <c r="N34" s="118">
        <f t="shared" si="6"/>
        <v>0</v>
      </c>
    </row>
    <row r="35" spans="2:14" x14ac:dyDescent="0.2">
      <c r="B35" s="141">
        <f t="shared" si="1"/>
        <v>43770</v>
      </c>
      <c r="C35" s="138">
        <v>1410747.977433458</v>
      </c>
      <c r="D35" s="134">
        <f>IF(ISNUMBER($F35),VLOOKUP($J35,'Table 1'!$B$13:$C$32,2,FALSE)/12*1000*Study_MW,"")</f>
        <v>0</v>
      </c>
      <c r="E35" s="134">
        <f t="shared" si="11"/>
        <v>1410747.977433458</v>
      </c>
      <c r="F35" s="138">
        <v>61200</v>
      </c>
      <c r="G35" s="139">
        <f t="shared" si="3"/>
        <v>23.051437539762386</v>
      </c>
      <c r="I35" s="140">
        <f t="shared" si="12"/>
        <v>24</v>
      </c>
      <c r="J35" s="136">
        <f t="shared" si="4"/>
        <v>2019</v>
      </c>
      <c r="K35" s="141">
        <f t="shared" si="13"/>
        <v>43770</v>
      </c>
      <c r="L35" s="136">
        <f t="shared" si="7"/>
        <v>2037</v>
      </c>
      <c r="M35" s="118">
        <f t="shared" si="8"/>
        <v>0</v>
      </c>
      <c r="N35" s="118">
        <f t="shared" si="6"/>
        <v>0</v>
      </c>
    </row>
    <row r="36" spans="2:14" x14ac:dyDescent="0.2">
      <c r="B36" s="145">
        <f t="shared" si="1"/>
        <v>43800</v>
      </c>
      <c r="C36" s="142">
        <v>1640663.9370799959</v>
      </c>
      <c r="D36" s="143">
        <f>IF(ISNUMBER($F36),VLOOKUP($J36,'Table 1'!$B$13:$C$32,2,FALSE)/12*1000*Study_MW,"")</f>
        <v>0</v>
      </c>
      <c r="E36" s="143">
        <f t="shared" si="11"/>
        <v>1640663.9370799959</v>
      </c>
      <c r="F36" s="142">
        <v>63240</v>
      </c>
      <c r="G36" s="144">
        <f t="shared" si="3"/>
        <v>25.943452515496457</v>
      </c>
      <c r="I36" s="127">
        <f t="shared" si="12"/>
        <v>25</v>
      </c>
      <c r="J36" s="136">
        <f t="shared" si="4"/>
        <v>2019</v>
      </c>
      <c r="K36" s="145">
        <f t="shared" si="13"/>
        <v>43800</v>
      </c>
      <c r="L36" s="136">
        <f t="shared" si="7"/>
        <v>2038</v>
      </c>
      <c r="M36" s="118">
        <f t="shared" si="8"/>
        <v>0</v>
      </c>
      <c r="N36" s="118">
        <f t="shared" si="6"/>
        <v>0</v>
      </c>
    </row>
    <row r="37" spans="2:14" hidden="1" outlineLevel="1" x14ac:dyDescent="0.2">
      <c r="B37" s="137">
        <f t="shared" si="1"/>
        <v>43831</v>
      </c>
      <c r="C37" s="132">
        <v>1548178.6255038232</v>
      </c>
      <c r="D37" s="133">
        <f>IF(ISNUMBER($F37),VLOOKUP($J37,'Table 1'!$B$13:$C$32,2,FALSE)/12*1000*Study_MW,"")</f>
        <v>0</v>
      </c>
      <c r="E37" s="133">
        <f t="shared" si="11"/>
        <v>1548178.6255038232</v>
      </c>
      <c r="F37" s="132">
        <v>63240</v>
      </c>
      <c r="G37" s="135">
        <f t="shared" si="3"/>
        <v>24.481002933330537</v>
      </c>
      <c r="I37" s="123">
        <f>I25+13</f>
        <v>27</v>
      </c>
      <c r="J37" s="136">
        <f t="shared" si="4"/>
        <v>2020</v>
      </c>
      <c r="K37" s="137">
        <f t="shared" si="13"/>
        <v>43831</v>
      </c>
    </row>
    <row r="38" spans="2:14" hidden="1" outlineLevel="1" x14ac:dyDescent="0.2">
      <c r="B38" s="141">
        <f t="shared" si="1"/>
        <v>43862</v>
      </c>
      <c r="C38" s="138">
        <v>1472502.4583592117</v>
      </c>
      <c r="D38" s="134">
        <f>IF(ISNUMBER($F38),VLOOKUP($J38,'Table 1'!$B$13:$C$32,2,FALSE)/12*1000*Study_MW,"")</f>
        <v>0</v>
      </c>
      <c r="E38" s="134">
        <f t="shared" si="11"/>
        <v>1472502.4583592117</v>
      </c>
      <c r="F38" s="138">
        <v>59160</v>
      </c>
      <c r="G38" s="139">
        <f t="shared" si="3"/>
        <v>24.890170019594517</v>
      </c>
      <c r="I38" s="140">
        <f t="shared" si="12"/>
        <v>28</v>
      </c>
      <c r="J38" s="136">
        <f t="shared" si="4"/>
        <v>2020</v>
      </c>
      <c r="K38" s="141">
        <f t="shared" si="13"/>
        <v>43862</v>
      </c>
    </row>
    <row r="39" spans="2:14" hidden="1" outlineLevel="1" x14ac:dyDescent="0.2">
      <c r="B39" s="141">
        <f t="shared" si="1"/>
        <v>43891</v>
      </c>
      <c r="C39" s="138">
        <v>1359416.1092582494</v>
      </c>
      <c r="D39" s="134">
        <f>IF(ISNUMBER($F39),VLOOKUP($J39,'Table 1'!$B$13:$C$32,2,FALSE)/12*1000*Study_MW,"")</f>
        <v>0</v>
      </c>
      <c r="E39" s="134">
        <f t="shared" si="11"/>
        <v>1359416.1092582494</v>
      </c>
      <c r="F39" s="138">
        <v>63240</v>
      </c>
      <c r="G39" s="139">
        <f t="shared" si="3"/>
        <v>21.496143410155746</v>
      </c>
      <c r="I39" s="140">
        <f t="shared" si="12"/>
        <v>29</v>
      </c>
      <c r="J39" s="136">
        <f t="shared" si="4"/>
        <v>2020</v>
      </c>
      <c r="K39" s="141">
        <f t="shared" si="13"/>
        <v>43891</v>
      </c>
    </row>
    <row r="40" spans="2:14" hidden="1" outlineLevel="1" x14ac:dyDescent="0.2">
      <c r="B40" s="141">
        <f t="shared" si="1"/>
        <v>43922</v>
      </c>
      <c r="C40" s="138">
        <v>1171873.1958443671</v>
      </c>
      <c r="D40" s="134">
        <f>IF(ISNUMBER($F40),VLOOKUP($J40,'Table 1'!$B$13:$C$32,2,FALSE)/12*1000*Study_MW,"")</f>
        <v>0</v>
      </c>
      <c r="E40" s="134">
        <f t="shared" si="11"/>
        <v>1171873.1958443671</v>
      </c>
      <c r="F40" s="138">
        <v>61200</v>
      </c>
      <c r="G40" s="139">
        <f t="shared" si="3"/>
        <v>19.148254834058285</v>
      </c>
      <c r="I40" s="140">
        <f t="shared" si="12"/>
        <v>30</v>
      </c>
      <c r="J40" s="136">
        <f t="shared" si="4"/>
        <v>2020</v>
      </c>
      <c r="K40" s="141">
        <f t="shared" si="13"/>
        <v>43922</v>
      </c>
    </row>
    <row r="41" spans="2:14" hidden="1" outlineLevel="1" x14ac:dyDescent="0.2">
      <c r="B41" s="141">
        <f t="shared" si="1"/>
        <v>43952</v>
      </c>
      <c r="C41" s="138">
        <v>1241122.3636597991</v>
      </c>
      <c r="D41" s="134">
        <f>IF(ISNUMBER($F41),VLOOKUP($J41,'Table 1'!$B$13:$C$32,2,FALSE)/12*1000*Study_MW,"")</f>
        <v>0</v>
      </c>
      <c r="E41" s="134">
        <f t="shared" si="11"/>
        <v>1241122.3636597991</v>
      </c>
      <c r="F41" s="138">
        <v>63240</v>
      </c>
      <c r="G41" s="139">
        <f t="shared" si="3"/>
        <v>19.625590823209979</v>
      </c>
      <c r="I41" s="140">
        <f t="shared" si="12"/>
        <v>31</v>
      </c>
      <c r="J41" s="136">
        <f t="shared" si="4"/>
        <v>2020</v>
      </c>
      <c r="K41" s="141">
        <f t="shared" si="13"/>
        <v>43952</v>
      </c>
    </row>
    <row r="42" spans="2:14" hidden="1" outlineLevel="1" x14ac:dyDescent="0.2">
      <c r="B42" s="141">
        <f t="shared" si="1"/>
        <v>43983</v>
      </c>
      <c r="C42" s="138">
        <v>1113908.3905518055</v>
      </c>
      <c r="D42" s="134">
        <f>IF(ISNUMBER($F42),VLOOKUP($J42,'Table 1'!$B$13:$C$32,2,FALSE)/12*1000*Study_MW,"")</f>
        <v>0</v>
      </c>
      <c r="E42" s="134">
        <f t="shared" si="11"/>
        <v>1113908.3905518055</v>
      </c>
      <c r="F42" s="138">
        <v>61200</v>
      </c>
      <c r="G42" s="139">
        <f t="shared" si="3"/>
        <v>18.201117492676559</v>
      </c>
      <c r="I42" s="140">
        <f t="shared" si="12"/>
        <v>32</v>
      </c>
      <c r="J42" s="136">
        <f t="shared" si="4"/>
        <v>2020</v>
      </c>
      <c r="K42" s="141">
        <f t="shared" si="13"/>
        <v>43983</v>
      </c>
    </row>
    <row r="43" spans="2:14" hidden="1" outlineLevel="1" x14ac:dyDescent="0.2">
      <c r="B43" s="141">
        <f t="shared" si="1"/>
        <v>44013</v>
      </c>
      <c r="C43" s="138">
        <v>1670673.9584414661</v>
      </c>
      <c r="D43" s="134">
        <f>IF(ISNUMBER($F43),VLOOKUP($J43,'Table 1'!$B$13:$C$32,2,FALSE)/12*1000*Study_MW,"")</f>
        <v>0</v>
      </c>
      <c r="E43" s="134">
        <f t="shared" si="11"/>
        <v>1670673.9584414661</v>
      </c>
      <c r="F43" s="138">
        <v>63240</v>
      </c>
      <c r="G43" s="139">
        <f t="shared" si="3"/>
        <v>26.417994282755632</v>
      </c>
      <c r="I43" s="140">
        <f t="shared" si="12"/>
        <v>33</v>
      </c>
      <c r="J43" s="136">
        <f t="shared" si="4"/>
        <v>2020</v>
      </c>
      <c r="K43" s="141">
        <f t="shared" si="13"/>
        <v>44013</v>
      </c>
    </row>
    <row r="44" spans="2:14" hidden="1" outlineLevel="1" x14ac:dyDescent="0.2">
      <c r="B44" s="141">
        <f t="shared" si="1"/>
        <v>44044</v>
      </c>
      <c r="C44" s="138">
        <v>1467508.3463920653</v>
      </c>
      <c r="D44" s="134">
        <f>IF(ISNUMBER($F44),VLOOKUP($J44,'Table 1'!$B$13:$C$32,2,FALSE)/12*1000*Study_MW,"")</f>
        <v>0</v>
      </c>
      <c r="E44" s="134">
        <f t="shared" si="11"/>
        <v>1467508.3463920653</v>
      </c>
      <c r="F44" s="138">
        <v>63240</v>
      </c>
      <c r="G44" s="139">
        <f t="shared" si="3"/>
        <v>23.205381821506407</v>
      </c>
      <c r="I44" s="140">
        <f t="shared" si="12"/>
        <v>34</v>
      </c>
      <c r="J44" s="136">
        <f t="shared" si="4"/>
        <v>2020</v>
      </c>
      <c r="K44" s="141">
        <f t="shared" si="13"/>
        <v>44044</v>
      </c>
    </row>
    <row r="45" spans="2:14" hidden="1" outlineLevel="1" x14ac:dyDescent="0.2">
      <c r="B45" s="141">
        <f t="shared" si="1"/>
        <v>44075</v>
      </c>
      <c r="C45" s="138">
        <v>1346296.3707754463</v>
      </c>
      <c r="D45" s="134">
        <f>IF(ISNUMBER($F45),VLOOKUP($J45,'Table 1'!$B$13:$C$32,2,FALSE)/12*1000*Study_MW,"")</f>
        <v>0</v>
      </c>
      <c r="E45" s="134">
        <f t="shared" si="11"/>
        <v>1346296.3707754463</v>
      </c>
      <c r="F45" s="138">
        <v>61200</v>
      </c>
      <c r="G45" s="139">
        <f t="shared" si="3"/>
        <v>21.998306712017097</v>
      </c>
      <c r="I45" s="140">
        <f t="shared" si="12"/>
        <v>35</v>
      </c>
      <c r="J45" s="136">
        <f t="shared" si="4"/>
        <v>2020</v>
      </c>
      <c r="K45" s="141">
        <f t="shared" si="13"/>
        <v>44075</v>
      </c>
    </row>
    <row r="46" spans="2:14" hidden="1" outlineLevel="1" x14ac:dyDescent="0.2">
      <c r="B46" s="141">
        <f t="shared" si="1"/>
        <v>44105</v>
      </c>
      <c r="C46" s="138">
        <v>1285966.0741802603</v>
      </c>
      <c r="D46" s="134">
        <f>IF(ISNUMBER($F46),VLOOKUP($J46,'Table 1'!$B$13:$C$32,2,FALSE)/12*1000*Study_MW,"")</f>
        <v>0</v>
      </c>
      <c r="E46" s="134">
        <f t="shared" si="11"/>
        <v>1285966.0741802603</v>
      </c>
      <c r="F46" s="138">
        <v>63240</v>
      </c>
      <c r="G46" s="139">
        <f t="shared" si="3"/>
        <v>20.334694405127454</v>
      </c>
      <c r="I46" s="140">
        <f t="shared" si="12"/>
        <v>36</v>
      </c>
      <c r="J46" s="136">
        <f t="shared" si="4"/>
        <v>2020</v>
      </c>
      <c r="K46" s="141">
        <f t="shared" si="13"/>
        <v>44105</v>
      </c>
    </row>
    <row r="47" spans="2:14" hidden="1" outlineLevel="1" x14ac:dyDescent="0.2">
      <c r="B47" s="141">
        <f t="shared" si="1"/>
        <v>44136</v>
      </c>
      <c r="C47" s="138">
        <v>1570484.3246458918</v>
      </c>
      <c r="D47" s="134">
        <f>IF(ISNUMBER($F47),VLOOKUP($J47,'Table 1'!$B$13:$C$32,2,FALSE)/12*1000*Study_MW,"")</f>
        <v>0</v>
      </c>
      <c r="E47" s="134">
        <f t="shared" si="11"/>
        <v>1570484.3246458918</v>
      </c>
      <c r="F47" s="138">
        <v>61200</v>
      </c>
      <c r="G47" s="139">
        <f t="shared" si="3"/>
        <v>25.661508572645289</v>
      </c>
      <c r="I47" s="140">
        <f t="shared" si="12"/>
        <v>37</v>
      </c>
      <c r="J47" s="136">
        <f t="shared" si="4"/>
        <v>2020</v>
      </c>
      <c r="K47" s="141">
        <f t="shared" si="13"/>
        <v>44136</v>
      </c>
    </row>
    <row r="48" spans="2:14" hidden="1" outlineLevel="1" x14ac:dyDescent="0.2">
      <c r="B48" s="145">
        <f t="shared" si="1"/>
        <v>44166</v>
      </c>
      <c r="C48" s="142">
        <v>1565525.4645531476</v>
      </c>
      <c r="D48" s="143">
        <f>IF(ISNUMBER($F48),VLOOKUP($J48,'Table 1'!$B$13:$C$32,2,FALSE)/12*1000*Study_MW,"")</f>
        <v>0</v>
      </c>
      <c r="E48" s="143">
        <f t="shared" si="11"/>
        <v>1565525.4645531476</v>
      </c>
      <c r="F48" s="142">
        <v>63240</v>
      </c>
      <c r="G48" s="144">
        <f t="shared" si="3"/>
        <v>24.755304626077603</v>
      </c>
      <c r="I48" s="127">
        <f t="shared" si="12"/>
        <v>38</v>
      </c>
      <c r="J48" s="136">
        <f t="shared" si="4"/>
        <v>2020</v>
      </c>
      <c r="K48" s="145">
        <f t="shared" si="13"/>
        <v>44166</v>
      </c>
    </row>
    <row r="49" spans="2:11" hidden="1" outlineLevel="1" x14ac:dyDescent="0.2">
      <c r="B49" s="137">
        <f t="shared" si="1"/>
        <v>44197</v>
      </c>
      <c r="C49" s="132">
        <v>1516219.7827099562</v>
      </c>
      <c r="D49" s="133">
        <f>IF(ISNUMBER($F49),VLOOKUP($J49,'Table 1'!$B$13:$C$32,2,FALSE)/12*1000*Study_MW,"")</f>
        <v>0</v>
      </c>
      <c r="E49" s="133">
        <f t="shared" si="11"/>
        <v>1516219.7827099562</v>
      </c>
      <c r="F49" s="132">
        <v>63240</v>
      </c>
      <c r="G49" s="135">
        <f t="shared" si="3"/>
        <v>23.97564488788672</v>
      </c>
      <c r="I49" s="123">
        <f>I37+13</f>
        <v>40</v>
      </c>
      <c r="J49" s="136">
        <f t="shared" si="4"/>
        <v>2021</v>
      </c>
      <c r="K49" s="137">
        <f t="shared" si="13"/>
        <v>44197</v>
      </c>
    </row>
    <row r="50" spans="2:11" hidden="1" outlineLevel="1" x14ac:dyDescent="0.2">
      <c r="B50" s="141">
        <f t="shared" si="1"/>
        <v>44228</v>
      </c>
      <c r="C50" s="138">
        <v>1341135.1671979427</v>
      </c>
      <c r="D50" s="134">
        <f>IF(ISNUMBER($F50),VLOOKUP($J50,'Table 1'!$B$13:$C$32,2,FALSE)/12*1000*Study_MW,"")</f>
        <v>0</v>
      </c>
      <c r="E50" s="134">
        <f t="shared" si="11"/>
        <v>1341135.1671979427</v>
      </c>
      <c r="F50" s="138">
        <v>57120</v>
      </c>
      <c r="G50" s="139">
        <f t="shared" si="3"/>
        <v>23.479257128815522</v>
      </c>
      <c r="I50" s="140">
        <f t="shared" si="12"/>
        <v>41</v>
      </c>
      <c r="J50" s="136">
        <f t="shared" si="4"/>
        <v>2021</v>
      </c>
      <c r="K50" s="141">
        <f t="shared" si="13"/>
        <v>44228</v>
      </c>
    </row>
    <row r="51" spans="2:11" hidden="1" outlineLevel="1" x14ac:dyDescent="0.2">
      <c r="B51" s="141">
        <f t="shared" si="1"/>
        <v>44256</v>
      </c>
      <c r="C51" s="138">
        <v>1378103.105126828</v>
      </c>
      <c r="D51" s="134">
        <f>IF(ISNUMBER($F51),VLOOKUP($J51,'Table 1'!$B$13:$C$32,2,FALSE)/12*1000*Study_MW,"")</f>
        <v>0</v>
      </c>
      <c r="E51" s="134">
        <f t="shared" si="11"/>
        <v>1378103.105126828</v>
      </c>
      <c r="F51" s="138">
        <v>63240</v>
      </c>
      <c r="G51" s="139">
        <f t="shared" si="3"/>
        <v>21.791636703460277</v>
      </c>
      <c r="I51" s="140">
        <f t="shared" si="12"/>
        <v>42</v>
      </c>
      <c r="J51" s="136">
        <f t="shared" si="4"/>
        <v>2021</v>
      </c>
      <c r="K51" s="141">
        <f t="shared" si="13"/>
        <v>44256</v>
      </c>
    </row>
    <row r="52" spans="2:11" hidden="1" outlineLevel="1" x14ac:dyDescent="0.2">
      <c r="B52" s="141">
        <f t="shared" si="1"/>
        <v>44287</v>
      </c>
      <c r="C52" s="138">
        <v>1353782.9099145234</v>
      </c>
      <c r="D52" s="134">
        <f>IF(ISNUMBER($F52),VLOOKUP($J52,'Table 1'!$B$13:$C$32,2,FALSE)/12*1000*Study_MW,"")</f>
        <v>0</v>
      </c>
      <c r="E52" s="134">
        <f t="shared" si="11"/>
        <v>1353782.9099145234</v>
      </c>
      <c r="F52" s="138">
        <v>61200</v>
      </c>
      <c r="G52" s="139">
        <f t="shared" si="3"/>
        <v>22.120635782917049</v>
      </c>
      <c r="I52" s="140">
        <f t="shared" si="12"/>
        <v>43</v>
      </c>
      <c r="J52" s="136">
        <f t="shared" si="4"/>
        <v>2021</v>
      </c>
      <c r="K52" s="141">
        <f t="shared" si="13"/>
        <v>44287</v>
      </c>
    </row>
    <row r="53" spans="2:11" hidden="1" outlineLevel="1" x14ac:dyDescent="0.2">
      <c r="B53" s="141">
        <f t="shared" si="1"/>
        <v>44317</v>
      </c>
      <c r="C53" s="138">
        <v>1261817.0561923534</v>
      </c>
      <c r="D53" s="134">
        <f>IF(ISNUMBER($F53),VLOOKUP($J53,'Table 1'!$B$13:$C$32,2,FALSE)/12*1000*Study_MW,"")</f>
        <v>0</v>
      </c>
      <c r="E53" s="134">
        <f t="shared" si="11"/>
        <v>1261817.0561923534</v>
      </c>
      <c r="F53" s="138">
        <v>63240</v>
      </c>
      <c r="G53" s="139">
        <f t="shared" si="3"/>
        <v>19.952831375590659</v>
      </c>
      <c r="I53" s="140">
        <f t="shared" si="12"/>
        <v>44</v>
      </c>
      <c r="J53" s="136">
        <f t="shared" si="4"/>
        <v>2021</v>
      </c>
      <c r="K53" s="141">
        <f t="shared" si="13"/>
        <v>44317</v>
      </c>
    </row>
    <row r="54" spans="2:11" hidden="1" outlineLevel="1" x14ac:dyDescent="0.2">
      <c r="B54" s="141">
        <f t="shared" si="1"/>
        <v>44348</v>
      </c>
      <c r="C54" s="138">
        <v>1179597.8909644485</v>
      </c>
      <c r="D54" s="134">
        <f>IF(ISNUMBER($F54),VLOOKUP($J54,'Table 1'!$B$13:$C$32,2,FALSE)/12*1000*Study_MW,"")</f>
        <v>0</v>
      </c>
      <c r="E54" s="134">
        <f t="shared" si="11"/>
        <v>1179597.8909644485</v>
      </c>
      <c r="F54" s="138">
        <v>61200</v>
      </c>
      <c r="G54" s="139">
        <f t="shared" si="3"/>
        <v>19.274475342556347</v>
      </c>
      <c r="I54" s="140">
        <f t="shared" si="12"/>
        <v>45</v>
      </c>
      <c r="J54" s="136">
        <f t="shared" si="4"/>
        <v>2021</v>
      </c>
      <c r="K54" s="141">
        <f t="shared" si="13"/>
        <v>44348</v>
      </c>
    </row>
    <row r="55" spans="2:11" hidden="1" outlineLevel="1" x14ac:dyDescent="0.2">
      <c r="B55" s="141">
        <f t="shared" si="1"/>
        <v>44378</v>
      </c>
      <c r="C55" s="138">
        <v>1536671.9120779037</v>
      </c>
      <c r="D55" s="134">
        <f>IF(ISNUMBER($F55),VLOOKUP($J55,'Table 1'!$B$13:$C$32,2,FALSE)/12*1000*Study_MW,"")</f>
        <v>0</v>
      </c>
      <c r="E55" s="134">
        <f t="shared" si="11"/>
        <v>1536671.9120779037</v>
      </c>
      <c r="F55" s="138">
        <v>63240</v>
      </c>
      <c r="G55" s="139">
        <f t="shared" si="3"/>
        <v>24.299049843104108</v>
      </c>
      <c r="I55" s="140">
        <f t="shared" si="12"/>
        <v>46</v>
      </c>
      <c r="J55" s="136">
        <f t="shared" si="4"/>
        <v>2021</v>
      </c>
      <c r="K55" s="141">
        <f t="shared" si="13"/>
        <v>44378</v>
      </c>
    </row>
    <row r="56" spans="2:11" hidden="1" outlineLevel="1" x14ac:dyDescent="0.2">
      <c r="B56" s="141">
        <f t="shared" si="1"/>
        <v>44409</v>
      </c>
      <c r="C56" s="138">
        <v>1273798.2323113084</v>
      </c>
      <c r="D56" s="134">
        <f>IF(ISNUMBER($F56),VLOOKUP($J56,'Table 1'!$B$13:$C$32,2,FALSE)/12*1000*Study_MW,"")</f>
        <v>0</v>
      </c>
      <c r="E56" s="134">
        <f t="shared" si="11"/>
        <v>1273798.2323113084</v>
      </c>
      <c r="F56" s="138">
        <v>63240</v>
      </c>
      <c r="G56" s="139">
        <f t="shared" si="3"/>
        <v>20.142287038445737</v>
      </c>
      <c r="I56" s="140">
        <f t="shared" si="12"/>
        <v>47</v>
      </c>
      <c r="J56" s="136">
        <f t="shared" si="4"/>
        <v>2021</v>
      </c>
      <c r="K56" s="141">
        <f t="shared" si="13"/>
        <v>44409</v>
      </c>
    </row>
    <row r="57" spans="2:11" hidden="1" outlineLevel="1" x14ac:dyDescent="0.2">
      <c r="B57" s="141">
        <f t="shared" si="1"/>
        <v>44440</v>
      </c>
      <c r="C57" s="138">
        <v>1316028.4469206333</v>
      </c>
      <c r="D57" s="134">
        <f>IF(ISNUMBER($F57),VLOOKUP($J57,'Table 1'!$B$13:$C$32,2,FALSE)/12*1000*Study_MW,"")</f>
        <v>0</v>
      </c>
      <c r="E57" s="134">
        <f t="shared" si="11"/>
        <v>1316028.4469206333</v>
      </c>
      <c r="F57" s="138">
        <v>61200</v>
      </c>
      <c r="G57" s="139">
        <f t="shared" si="3"/>
        <v>21.503732792820806</v>
      </c>
      <c r="I57" s="140">
        <f t="shared" si="12"/>
        <v>48</v>
      </c>
      <c r="J57" s="136">
        <f t="shared" si="4"/>
        <v>2021</v>
      </c>
      <c r="K57" s="141">
        <f t="shared" si="13"/>
        <v>44440</v>
      </c>
    </row>
    <row r="58" spans="2:11" hidden="1" outlineLevel="1" x14ac:dyDescent="0.2">
      <c r="B58" s="141">
        <f t="shared" si="1"/>
        <v>44470</v>
      </c>
      <c r="C58" s="138">
        <v>1422775.1831271201</v>
      </c>
      <c r="D58" s="134">
        <f>IF(ISNUMBER($F58),VLOOKUP($J58,'Table 1'!$B$13:$C$32,2,FALSE)/12*1000*Study_MW,"")</f>
        <v>0</v>
      </c>
      <c r="E58" s="134">
        <f t="shared" si="11"/>
        <v>1422775.1831271201</v>
      </c>
      <c r="F58" s="138">
        <v>63240</v>
      </c>
      <c r="G58" s="139">
        <f t="shared" si="3"/>
        <v>22.498026298657813</v>
      </c>
      <c r="I58" s="140">
        <f t="shared" si="12"/>
        <v>49</v>
      </c>
      <c r="J58" s="136">
        <f t="shared" si="4"/>
        <v>2021</v>
      </c>
      <c r="K58" s="141">
        <f t="shared" si="13"/>
        <v>44470</v>
      </c>
    </row>
    <row r="59" spans="2:11" hidden="1" outlineLevel="1" x14ac:dyDescent="0.2">
      <c r="B59" s="141">
        <f t="shared" si="1"/>
        <v>44501</v>
      </c>
      <c r="C59" s="138">
        <v>1415549.7931180894</v>
      </c>
      <c r="D59" s="134">
        <f>IF(ISNUMBER($F59),VLOOKUP($J59,'Table 1'!$B$13:$C$32,2,FALSE)/12*1000*Study_MW,"")</f>
        <v>0</v>
      </c>
      <c r="E59" s="134">
        <f t="shared" si="11"/>
        <v>1415549.7931180894</v>
      </c>
      <c r="F59" s="138">
        <v>61200</v>
      </c>
      <c r="G59" s="139">
        <f t="shared" si="3"/>
        <v>23.129898580360937</v>
      </c>
      <c r="I59" s="140">
        <f t="shared" si="12"/>
        <v>50</v>
      </c>
      <c r="J59" s="136">
        <f t="shared" si="4"/>
        <v>2021</v>
      </c>
      <c r="K59" s="141">
        <f t="shared" si="13"/>
        <v>44501</v>
      </c>
    </row>
    <row r="60" spans="2:11" hidden="1" outlineLevel="1" x14ac:dyDescent="0.2">
      <c r="B60" s="145">
        <f t="shared" si="1"/>
        <v>44531</v>
      </c>
      <c r="C60" s="142">
        <v>1586401.1221964657</v>
      </c>
      <c r="D60" s="143">
        <f>IF(ISNUMBER($F60),VLOOKUP($J60,'Table 1'!$B$13:$C$32,2,FALSE)/12*1000*Study_MW,"")</f>
        <v>0</v>
      </c>
      <c r="E60" s="143">
        <f t="shared" si="11"/>
        <v>1586401.1221964657</v>
      </c>
      <c r="F60" s="142">
        <v>63240</v>
      </c>
      <c r="G60" s="144">
        <f t="shared" si="3"/>
        <v>25.085406739349551</v>
      </c>
      <c r="I60" s="127">
        <f t="shared" si="12"/>
        <v>51</v>
      </c>
      <c r="J60" s="136">
        <f t="shared" si="4"/>
        <v>2021</v>
      </c>
      <c r="K60" s="145">
        <f t="shared" si="13"/>
        <v>44531</v>
      </c>
    </row>
    <row r="61" spans="2:11" hidden="1" outlineLevel="1" x14ac:dyDescent="0.2">
      <c r="B61" s="137">
        <f t="shared" si="1"/>
        <v>44562</v>
      </c>
      <c r="C61" s="132">
        <v>1646831.5760758221</v>
      </c>
      <c r="D61" s="133">
        <f>IF(ISNUMBER($F61),VLOOKUP($J61,'Table 1'!$B$13:$C$32,2,FALSE)/12*1000*Study_MW,"")</f>
        <v>0</v>
      </c>
      <c r="E61" s="133">
        <f t="shared" si="11"/>
        <v>1646831.5760758221</v>
      </c>
      <c r="F61" s="132">
        <v>63240</v>
      </c>
      <c r="G61" s="135">
        <f t="shared" si="3"/>
        <v>26.040980013849179</v>
      </c>
      <c r="I61" s="123">
        <f>I49+13</f>
        <v>53</v>
      </c>
      <c r="J61" s="136">
        <f t="shared" si="4"/>
        <v>2022</v>
      </c>
      <c r="K61" s="137">
        <f t="shared" si="13"/>
        <v>44562</v>
      </c>
    </row>
    <row r="62" spans="2:11" hidden="1" outlineLevel="1" x14ac:dyDescent="0.2">
      <c r="B62" s="141">
        <f t="shared" si="1"/>
        <v>44593</v>
      </c>
      <c r="C62" s="138">
        <v>1383565.4318707585</v>
      </c>
      <c r="D62" s="134">
        <f>IF(ISNUMBER($F62),VLOOKUP($J62,'Table 1'!$B$13:$C$32,2,FALSE)/12*1000*Study_MW,"")</f>
        <v>0</v>
      </c>
      <c r="E62" s="134">
        <f t="shared" si="11"/>
        <v>1383565.4318707585</v>
      </c>
      <c r="F62" s="138">
        <v>57120</v>
      </c>
      <c r="G62" s="139">
        <f t="shared" si="3"/>
        <v>24.222083891294794</v>
      </c>
      <c r="I62" s="140">
        <f t="shared" si="12"/>
        <v>54</v>
      </c>
      <c r="J62" s="136">
        <f t="shared" si="4"/>
        <v>2022</v>
      </c>
      <c r="K62" s="141">
        <f t="shared" si="13"/>
        <v>44593</v>
      </c>
    </row>
    <row r="63" spans="2:11" hidden="1" outlineLevel="1" x14ac:dyDescent="0.2">
      <c r="B63" s="141">
        <f t="shared" si="1"/>
        <v>44621</v>
      </c>
      <c r="C63" s="138">
        <v>1521640.3493869901</v>
      </c>
      <c r="D63" s="134">
        <f>IF(ISNUMBER($F63),VLOOKUP($J63,'Table 1'!$B$13:$C$32,2,FALSE)/12*1000*Study_MW,"")</f>
        <v>0</v>
      </c>
      <c r="E63" s="134">
        <f t="shared" si="11"/>
        <v>1521640.3493869901</v>
      </c>
      <c r="F63" s="138">
        <v>63240</v>
      </c>
      <c r="G63" s="139">
        <f t="shared" si="3"/>
        <v>24.061359098466003</v>
      </c>
      <c r="I63" s="140">
        <f t="shared" si="12"/>
        <v>55</v>
      </c>
      <c r="J63" s="136">
        <f t="shared" si="4"/>
        <v>2022</v>
      </c>
      <c r="K63" s="141">
        <f t="shared" si="13"/>
        <v>44621</v>
      </c>
    </row>
    <row r="64" spans="2:11" hidden="1" outlineLevel="1" x14ac:dyDescent="0.2">
      <c r="B64" s="141">
        <f t="shared" si="1"/>
        <v>44652</v>
      </c>
      <c r="C64" s="138">
        <v>1338624.7520083487</v>
      </c>
      <c r="D64" s="134">
        <f>IF(ISNUMBER($F64),VLOOKUP($J64,'Table 1'!$B$13:$C$32,2,FALSE)/12*1000*Study_MW,"")</f>
        <v>0</v>
      </c>
      <c r="E64" s="134">
        <f t="shared" si="11"/>
        <v>1338624.7520083487</v>
      </c>
      <c r="F64" s="138">
        <v>61200</v>
      </c>
      <c r="G64" s="139">
        <f t="shared" si="3"/>
        <v>21.872953464188704</v>
      </c>
      <c r="I64" s="140">
        <f t="shared" si="12"/>
        <v>56</v>
      </c>
      <c r="J64" s="136">
        <f t="shared" si="4"/>
        <v>2022</v>
      </c>
      <c r="K64" s="141">
        <f t="shared" si="13"/>
        <v>44652</v>
      </c>
    </row>
    <row r="65" spans="2:11" hidden="1" outlineLevel="1" x14ac:dyDescent="0.2">
      <c r="B65" s="141">
        <f t="shared" si="1"/>
        <v>44682</v>
      </c>
      <c r="C65" s="138">
        <v>1299388.1612837613</v>
      </c>
      <c r="D65" s="134">
        <f>IF(ISNUMBER($F65),VLOOKUP($J65,'Table 1'!$B$13:$C$32,2,FALSE)/12*1000*Study_MW,"")</f>
        <v>0</v>
      </c>
      <c r="E65" s="134">
        <f t="shared" si="11"/>
        <v>1299388.1612837613</v>
      </c>
      <c r="F65" s="138">
        <v>63240</v>
      </c>
      <c r="G65" s="139">
        <f t="shared" si="3"/>
        <v>20.54693487165973</v>
      </c>
      <c r="I65" s="140">
        <f t="shared" si="12"/>
        <v>57</v>
      </c>
      <c r="J65" s="136">
        <f t="shared" si="4"/>
        <v>2022</v>
      </c>
      <c r="K65" s="141">
        <f t="shared" si="13"/>
        <v>44682</v>
      </c>
    </row>
    <row r="66" spans="2:11" hidden="1" outlineLevel="1" x14ac:dyDescent="0.2">
      <c r="B66" s="141">
        <f t="shared" si="1"/>
        <v>44713</v>
      </c>
      <c r="C66" s="138">
        <v>1226099.758300826</v>
      </c>
      <c r="D66" s="134">
        <f>IF(ISNUMBER($F66),VLOOKUP($J66,'Table 1'!$B$13:$C$32,2,FALSE)/12*1000*Study_MW,"")</f>
        <v>0</v>
      </c>
      <c r="E66" s="134">
        <f t="shared" si="11"/>
        <v>1226099.758300826</v>
      </c>
      <c r="F66" s="138">
        <v>61200</v>
      </c>
      <c r="G66" s="139">
        <f t="shared" si="3"/>
        <v>20.034309776157286</v>
      </c>
      <c r="I66" s="140">
        <f t="shared" si="12"/>
        <v>58</v>
      </c>
      <c r="J66" s="136">
        <f t="shared" si="4"/>
        <v>2022</v>
      </c>
      <c r="K66" s="141">
        <f t="shared" si="13"/>
        <v>44713</v>
      </c>
    </row>
    <row r="67" spans="2:11" hidden="1" outlineLevel="1" x14ac:dyDescent="0.2">
      <c r="B67" s="141">
        <f t="shared" si="1"/>
        <v>44743</v>
      </c>
      <c r="C67" s="138">
        <v>1719308.9699596167</v>
      </c>
      <c r="D67" s="134">
        <f>IF(ISNUMBER($F67),VLOOKUP($J67,'Table 1'!$B$13:$C$32,2,FALSE)/12*1000*Study_MW,"")</f>
        <v>0</v>
      </c>
      <c r="E67" s="134">
        <f t="shared" si="11"/>
        <v>1719308.9699596167</v>
      </c>
      <c r="F67" s="138">
        <v>63240</v>
      </c>
      <c r="G67" s="139">
        <f t="shared" si="3"/>
        <v>27.187048860841504</v>
      </c>
      <c r="I67" s="140">
        <f t="shared" si="12"/>
        <v>59</v>
      </c>
      <c r="J67" s="136">
        <f t="shared" si="4"/>
        <v>2022</v>
      </c>
      <c r="K67" s="141">
        <f t="shared" si="13"/>
        <v>44743</v>
      </c>
    </row>
    <row r="68" spans="2:11" hidden="1" outlineLevel="1" x14ac:dyDescent="0.2">
      <c r="B68" s="141">
        <f t="shared" si="1"/>
        <v>44774</v>
      </c>
      <c r="C68" s="138">
        <v>1450845.6854100227</v>
      </c>
      <c r="D68" s="134">
        <f>IF(ISNUMBER($F68),VLOOKUP($J68,'Table 1'!$B$13:$C$32,2,FALSE)/12*1000*Study_MW,"")</f>
        <v>0</v>
      </c>
      <c r="E68" s="134">
        <f t="shared" si="11"/>
        <v>1450845.6854100227</v>
      </c>
      <c r="F68" s="138">
        <v>63240</v>
      </c>
      <c r="G68" s="139">
        <f t="shared" si="3"/>
        <v>22.941898883776449</v>
      </c>
      <c r="I68" s="140">
        <f t="shared" si="12"/>
        <v>60</v>
      </c>
      <c r="J68" s="136">
        <f t="shared" si="4"/>
        <v>2022</v>
      </c>
      <c r="K68" s="141">
        <f t="shared" si="13"/>
        <v>44774</v>
      </c>
    </row>
    <row r="69" spans="2:11" hidden="1" outlineLevel="1" x14ac:dyDescent="0.2">
      <c r="B69" s="141">
        <f t="shared" si="1"/>
        <v>44805</v>
      </c>
      <c r="C69" s="138">
        <v>1496969.5878407359</v>
      </c>
      <c r="D69" s="134">
        <f>IF(ISNUMBER($F69),VLOOKUP($J69,'Table 1'!$B$13:$C$32,2,FALSE)/12*1000*Study_MW,"")</f>
        <v>0</v>
      </c>
      <c r="E69" s="134">
        <f t="shared" si="11"/>
        <v>1496969.5878407359</v>
      </c>
      <c r="F69" s="138">
        <v>61200</v>
      </c>
      <c r="G69" s="139">
        <f t="shared" si="3"/>
        <v>24.46028738301856</v>
      </c>
      <c r="I69" s="140">
        <f t="shared" si="12"/>
        <v>61</v>
      </c>
      <c r="J69" s="136">
        <f t="shared" si="4"/>
        <v>2022</v>
      </c>
      <c r="K69" s="141">
        <f t="shared" si="13"/>
        <v>44805</v>
      </c>
    </row>
    <row r="70" spans="2:11" hidden="1" outlineLevel="1" x14ac:dyDescent="0.2">
      <c r="B70" s="141">
        <f t="shared" si="1"/>
        <v>44835</v>
      </c>
      <c r="C70" s="138">
        <v>1511931.1957184374</v>
      </c>
      <c r="D70" s="134">
        <f>IF(ISNUMBER($F70),VLOOKUP($J70,'Table 1'!$B$13:$C$32,2,FALSE)/12*1000*Study_MW,"")</f>
        <v>0</v>
      </c>
      <c r="E70" s="134">
        <f t="shared" si="11"/>
        <v>1511931.1957184374</v>
      </c>
      <c r="F70" s="138">
        <v>63240</v>
      </c>
      <c r="G70" s="139">
        <f t="shared" si="3"/>
        <v>23.907830419330129</v>
      </c>
      <c r="I70" s="140">
        <f t="shared" si="12"/>
        <v>62</v>
      </c>
      <c r="J70" s="136">
        <f t="shared" si="4"/>
        <v>2022</v>
      </c>
      <c r="K70" s="141">
        <f t="shared" si="13"/>
        <v>44835</v>
      </c>
    </row>
    <row r="71" spans="2:11" hidden="1" outlineLevel="1" x14ac:dyDescent="0.2">
      <c r="B71" s="141">
        <f t="shared" si="1"/>
        <v>44866</v>
      </c>
      <c r="C71" s="138">
        <v>1608973.4229997844</v>
      </c>
      <c r="D71" s="134">
        <f>IF(ISNUMBER($F71),VLOOKUP($J71,'Table 1'!$B$13:$C$32,2,FALSE)/12*1000*Study_MW,"")</f>
        <v>0</v>
      </c>
      <c r="E71" s="134">
        <f t="shared" si="11"/>
        <v>1608973.4229997844</v>
      </c>
      <c r="F71" s="138">
        <v>61200</v>
      </c>
      <c r="G71" s="139">
        <f t="shared" si="3"/>
        <v>26.290415408493207</v>
      </c>
      <c r="I71" s="140">
        <f t="shared" si="12"/>
        <v>63</v>
      </c>
      <c r="J71" s="136">
        <f t="shared" si="4"/>
        <v>2022</v>
      </c>
      <c r="K71" s="141">
        <f t="shared" si="13"/>
        <v>44866</v>
      </c>
    </row>
    <row r="72" spans="2:11" hidden="1" outlineLevel="1" x14ac:dyDescent="0.2">
      <c r="B72" s="145">
        <f t="shared" si="1"/>
        <v>44896</v>
      </c>
      <c r="C72" s="142">
        <v>1770793.0097816288</v>
      </c>
      <c r="D72" s="143">
        <f>IF(ISNUMBER($F72),VLOOKUP($J72,'Table 1'!$B$13:$C$32,2,FALSE)/12*1000*Study_MW,"")</f>
        <v>0</v>
      </c>
      <c r="E72" s="143">
        <f t="shared" si="11"/>
        <v>1770793.0097816288</v>
      </c>
      <c r="F72" s="142">
        <v>63240</v>
      </c>
      <c r="G72" s="144">
        <f t="shared" si="3"/>
        <v>28.001154487375537</v>
      </c>
      <c r="I72" s="127">
        <f t="shared" si="12"/>
        <v>64</v>
      </c>
      <c r="J72" s="136">
        <f t="shared" si="4"/>
        <v>2022</v>
      </c>
      <c r="K72" s="145">
        <f t="shared" si="13"/>
        <v>44896</v>
      </c>
    </row>
    <row r="73" spans="2:11" hidden="1" outlineLevel="1" x14ac:dyDescent="0.2">
      <c r="B73" s="137">
        <f t="shared" si="1"/>
        <v>44927</v>
      </c>
      <c r="C73" s="132">
        <v>1937992.184538722</v>
      </c>
      <c r="D73" s="133">
        <f>IF(ISNUMBER($F73),VLOOKUP($J73,'Table 1'!$B$13:$C$32,2,FALSE)/12*1000*Study_MW,"")</f>
        <v>0</v>
      </c>
      <c r="E73" s="133">
        <f t="shared" si="11"/>
        <v>1937992.184538722</v>
      </c>
      <c r="F73" s="132">
        <v>63240</v>
      </c>
      <c r="G73" s="135">
        <f t="shared" si="3"/>
        <v>30.6450377061784</v>
      </c>
      <c r="I73" s="123">
        <f>I61+13</f>
        <v>66</v>
      </c>
      <c r="J73" s="136">
        <f t="shared" si="4"/>
        <v>2023</v>
      </c>
      <c r="K73" s="137">
        <f t="shared" si="13"/>
        <v>44927</v>
      </c>
    </row>
    <row r="74" spans="2:11" hidden="1" outlineLevel="1" x14ac:dyDescent="0.2">
      <c r="B74" s="141">
        <f t="shared" si="1"/>
        <v>44958</v>
      </c>
      <c r="C74" s="138">
        <v>1656020.8757187128</v>
      </c>
      <c r="D74" s="134">
        <f>IF(ISNUMBER($F74),VLOOKUP($J74,'Table 1'!$B$13:$C$32,2,FALSE)/12*1000*Study_MW,"")</f>
        <v>0</v>
      </c>
      <c r="E74" s="134">
        <f t="shared" si="11"/>
        <v>1656020.8757187128</v>
      </c>
      <c r="F74" s="138">
        <v>57120</v>
      </c>
      <c r="G74" s="139">
        <f t="shared" si="3"/>
        <v>28.991962109921442</v>
      </c>
      <c r="I74" s="140">
        <f t="shared" si="12"/>
        <v>67</v>
      </c>
      <c r="J74" s="136">
        <f t="shared" si="4"/>
        <v>2023</v>
      </c>
      <c r="K74" s="141">
        <f t="shared" si="13"/>
        <v>44958</v>
      </c>
    </row>
    <row r="75" spans="2:11" hidden="1" outlineLevel="1" x14ac:dyDescent="0.2">
      <c r="B75" s="141">
        <f t="shared" si="1"/>
        <v>44986</v>
      </c>
      <c r="C75" s="138">
        <v>1716920.6733430922</v>
      </c>
      <c r="D75" s="134">
        <f>IF(ISNUMBER($F75),VLOOKUP($J75,'Table 1'!$B$13:$C$32,2,FALSE)/12*1000*Study_MW,"")</f>
        <v>0</v>
      </c>
      <c r="E75" s="134">
        <f t="shared" si="11"/>
        <v>1716920.6733430922</v>
      </c>
      <c r="F75" s="138">
        <v>63240</v>
      </c>
      <c r="G75" s="139">
        <f t="shared" si="3"/>
        <v>27.149283259694691</v>
      </c>
      <c r="I75" s="140">
        <f t="shared" si="12"/>
        <v>68</v>
      </c>
      <c r="J75" s="136">
        <f t="shared" si="4"/>
        <v>2023</v>
      </c>
      <c r="K75" s="141">
        <f t="shared" si="13"/>
        <v>44986</v>
      </c>
    </row>
    <row r="76" spans="2:11" hidden="1" outlineLevel="1" x14ac:dyDescent="0.2">
      <c r="B76" s="141">
        <f t="shared" si="1"/>
        <v>45017</v>
      </c>
      <c r="C76" s="138">
        <v>1419337.1112819165</v>
      </c>
      <c r="D76" s="134">
        <f>IF(ISNUMBER($F76),VLOOKUP($J76,'Table 1'!$B$13:$C$32,2,FALSE)/12*1000*Study_MW,"")</f>
        <v>0</v>
      </c>
      <c r="E76" s="134">
        <f t="shared" si="11"/>
        <v>1419337.1112819165</v>
      </c>
      <c r="F76" s="138">
        <v>61200</v>
      </c>
      <c r="G76" s="139">
        <f t="shared" si="3"/>
        <v>23.191782864083603</v>
      </c>
      <c r="I76" s="140">
        <f t="shared" si="12"/>
        <v>69</v>
      </c>
      <c r="J76" s="136">
        <f t="shared" si="4"/>
        <v>2023</v>
      </c>
      <c r="K76" s="141">
        <f t="shared" si="13"/>
        <v>45017</v>
      </c>
    </row>
    <row r="77" spans="2:11" hidden="1" outlineLevel="1" x14ac:dyDescent="0.2">
      <c r="B77" s="141">
        <f t="shared" si="1"/>
        <v>45047</v>
      </c>
      <c r="C77" s="138">
        <v>1553002.221808359</v>
      </c>
      <c r="D77" s="134">
        <f>IF(ISNUMBER($F77),VLOOKUP($J77,'Table 1'!$B$13:$C$32,2,FALSE)/12*1000*Study_MW,"")</f>
        <v>0</v>
      </c>
      <c r="E77" s="134">
        <f t="shared" si="11"/>
        <v>1553002.221808359</v>
      </c>
      <c r="F77" s="138">
        <v>63240</v>
      </c>
      <c r="G77" s="139">
        <f t="shared" si="3"/>
        <v>24.55727738469891</v>
      </c>
      <c r="I77" s="140">
        <f t="shared" si="12"/>
        <v>70</v>
      </c>
      <c r="J77" s="136">
        <f t="shared" si="4"/>
        <v>2023</v>
      </c>
      <c r="K77" s="141">
        <f t="shared" si="13"/>
        <v>45047</v>
      </c>
    </row>
    <row r="78" spans="2:11" hidden="1" outlineLevel="1" x14ac:dyDescent="0.2">
      <c r="B78" s="141">
        <f t="shared" ref="B78:B141" si="14">EDATE(B77,1)</f>
        <v>45078</v>
      </c>
      <c r="C78" s="138">
        <v>1300529.009640485</v>
      </c>
      <c r="D78" s="134">
        <f>IF(ISNUMBER($F78),VLOOKUP($J78,'Table 1'!$B$13:$C$32,2,FALSE)/12*1000*Study_MW,"")</f>
        <v>0</v>
      </c>
      <c r="E78" s="134">
        <f t="shared" ref="E78:E141" si="15">C78+D78</f>
        <v>1300529.009640485</v>
      </c>
      <c r="F78" s="138">
        <v>61200</v>
      </c>
      <c r="G78" s="139">
        <f t="shared" ref="G78:G141" si="16">IF(ISNUMBER($F78),E78/$F78,"")</f>
        <v>21.250474013733417</v>
      </c>
      <c r="I78" s="140">
        <f t="shared" si="12"/>
        <v>71</v>
      </c>
      <c r="J78" s="136">
        <f t="shared" ref="J78:J141" si="17">YEAR(B78)</f>
        <v>2023</v>
      </c>
      <c r="K78" s="141">
        <f t="shared" si="13"/>
        <v>45078</v>
      </c>
    </row>
    <row r="79" spans="2:11" hidden="1" outlineLevel="1" x14ac:dyDescent="0.2">
      <c r="B79" s="141">
        <f t="shared" si="14"/>
        <v>45108</v>
      </c>
      <c r="C79" s="138">
        <v>1763059.3439451158</v>
      </c>
      <c r="D79" s="134">
        <f>IF(ISNUMBER($F79),VLOOKUP($J79,'Table 1'!$B$13:$C$32,2,FALSE)/12*1000*Study_MW,"")</f>
        <v>0</v>
      </c>
      <c r="E79" s="134">
        <f t="shared" si="15"/>
        <v>1763059.3439451158</v>
      </c>
      <c r="F79" s="138">
        <v>63240</v>
      </c>
      <c r="G79" s="139">
        <f t="shared" si="16"/>
        <v>27.878863756247878</v>
      </c>
      <c r="I79" s="140">
        <f t="shared" si="12"/>
        <v>72</v>
      </c>
      <c r="J79" s="136">
        <f t="shared" si="17"/>
        <v>2023</v>
      </c>
      <c r="K79" s="141">
        <f t="shared" si="13"/>
        <v>45108</v>
      </c>
    </row>
    <row r="80" spans="2:11" hidden="1" outlineLevel="1" x14ac:dyDescent="0.2">
      <c r="B80" s="141">
        <f t="shared" si="14"/>
        <v>45139</v>
      </c>
      <c r="C80" s="138">
        <v>1766500.3176256716</v>
      </c>
      <c r="D80" s="134">
        <f>IF(ISNUMBER($F80),VLOOKUP($J80,'Table 1'!$B$13:$C$32,2,FALSE)/12*1000*Study_MW,"")</f>
        <v>0</v>
      </c>
      <c r="E80" s="134">
        <f t="shared" si="15"/>
        <v>1766500.3176256716</v>
      </c>
      <c r="F80" s="138">
        <v>63240</v>
      </c>
      <c r="G80" s="139">
        <f t="shared" si="16"/>
        <v>27.933275104770267</v>
      </c>
      <c r="I80" s="140">
        <f t="shared" si="12"/>
        <v>73</v>
      </c>
      <c r="J80" s="136">
        <f t="shared" si="17"/>
        <v>2023</v>
      </c>
      <c r="K80" s="141">
        <f t="shared" si="13"/>
        <v>45139</v>
      </c>
    </row>
    <row r="81" spans="2:11" hidden="1" outlineLevel="1" x14ac:dyDescent="0.2">
      <c r="B81" s="141">
        <f t="shared" si="14"/>
        <v>45170</v>
      </c>
      <c r="C81" s="138">
        <v>1590911.3860809803</v>
      </c>
      <c r="D81" s="134">
        <f>IF(ISNUMBER($F81),VLOOKUP($J81,'Table 1'!$B$13:$C$32,2,FALSE)/12*1000*Study_MW,"")</f>
        <v>0</v>
      </c>
      <c r="E81" s="134">
        <f t="shared" si="15"/>
        <v>1590911.3860809803</v>
      </c>
      <c r="F81" s="138">
        <v>61200</v>
      </c>
      <c r="G81" s="139">
        <f t="shared" si="16"/>
        <v>25.995284086290528</v>
      </c>
      <c r="I81" s="140">
        <f t="shared" si="12"/>
        <v>74</v>
      </c>
      <c r="J81" s="136">
        <f t="shared" si="17"/>
        <v>2023</v>
      </c>
      <c r="K81" s="141">
        <f t="shared" si="13"/>
        <v>45170</v>
      </c>
    </row>
    <row r="82" spans="2:11" hidden="1" outlineLevel="1" x14ac:dyDescent="0.2">
      <c r="B82" s="141">
        <f t="shared" si="14"/>
        <v>45200</v>
      </c>
      <c r="C82" s="138">
        <v>1637652.4474506676</v>
      </c>
      <c r="D82" s="134">
        <f>IF(ISNUMBER($F82),VLOOKUP($J82,'Table 1'!$B$13:$C$32,2,FALSE)/12*1000*Study_MW,"")</f>
        <v>0</v>
      </c>
      <c r="E82" s="134">
        <f t="shared" si="15"/>
        <v>1637652.4474506676</v>
      </c>
      <c r="F82" s="138">
        <v>63240</v>
      </c>
      <c r="G82" s="139">
        <f t="shared" si="16"/>
        <v>25.895832502382472</v>
      </c>
      <c r="I82" s="140">
        <f t="shared" si="12"/>
        <v>75</v>
      </c>
      <c r="J82" s="136">
        <f t="shared" si="17"/>
        <v>2023</v>
      </c>
      <c r="K82" s="141">
        <f t="shared" si="13"/>
        <v>45200</v>
      </c>
    </row>
    <row r="83" spans="2:11" hidden="1" outlineLevel="1" x14ac:dyDescent="0.2">
      <c r="B83" s="141">
        <f t="shared" si="14"/>
        <v>45231</v>
      </c>
      <c r="C83" s="138">
        <v>1800016.9083165526</v>
      </c>
      <c r="D83" s="134">
        <f>IF(ISNUMBER($F83),VLOOKUP($J83,'Table 1'!$B$13:$C$32,2,FALSE)/12*1000*Study_MW,"")</f>
        <v>0</v>
      </c>
      <c r="E83" s="134">
        <f t="shared" si="15"/>
        <v>1800016.9083165526</v>
      </c>
      <c r="F83" s="138">
        <v>61200</v>
      </c>
      <c r="G83" s="139">
        <f t="shared" si="16"/>
        <v>29.412040985564584</v>
      </c>
      <c r="I83" s="140">
        <f t="shared" si="12"/>
        <v>76</v>
      </c>
      <c r="J83" s="136">
        <f t="shared" si="17"/>
        <v>2023</v>
      </c>
      <c r="K83" s="141">
        <f t="shared" si="13"/>
        <v>45231</v>
      </c>
    </row>
    <row r="84" spans="2:11" hidden="1" outlineLevel="1" x14ac:dyDescent="0.2">
      <c r="B84" s="145">
        <f t="shared" si="14"/>
        <v>45261</v>
      </c>
      <c r="C84" s="142">
        <v>2020018.4183980823</v>
      </c>
      <c r="D84" s="143">
        <f>IF(ISNUMBER($F84),VLOOKUP($J84,'Table 1'!$B$13:$C$32,2,FALSE)/12*1000*Study_MW,"")</f>
        <v>0</v>
      </c>
      <c r="E84" s="143">
        <f t="shared" si="15"/>
        <v>2020018.4183980823</v>
      </c>
      <c r="F84" s="142">
        <v>63240</v>
      </c>
      <c r="G84" s="144">
        <f t="shared" si="16"/>
        <v>31.942100227673659</v>
      </c>
      <c r="I84" s="127">
        <f t="shared" si="12"/>
        <v>77</v>
      </c>
      <c r="J84" s="136">
        <f t="shared" si="17"/>
        <v>2023</v>
      </c>
      <c r="K84" s="145">
        <f t="shared" si="13"/>
        <v>45261</v>
      </c>
    </row>
    <row r="85" spans="2:11" hidden="1" outlineLevel="1" x14ac:dyDescent="0.2">
      <c r="B85" s="137">
        <f t="shared" si="14"/>
        <v>45292</v>
      </c>
      <c r="C85" s="132">
        <v>2019878.4395650029</v>
      </c>
      <c r="D85" s="133">
        <f>IF(ISNUMBER($F85),VLOOKUP($J85,'Table 1'!$B$13:$C$32,2,FALSE)/12*1000*Study_MW,"")</f>
        <v>0</v>
      </c>
      <c r="E85" s="133">
        <f t="shared" si="15"/>
        <v>2019878.4395650029</v>
      </c>
      <c r="F85" s="132">
        <v>63240</v>
      </c>
      <c r="G85" s="135">
        <f t="shared" si="16"/>
        <v>31.939886773640147</v>
      </c>
      <c r="I85" s="123">
        <f>I73+13</f>
        <v>79</v>
      </c>
      <c r="J85" s="136">
        <f t="shared" si="17"/>
        <v>2024</v>
      </c>
      <c r="K85" s="137">
        <f t="shared" si="13"/>
        <v>45292</v>
      </c>
    </row>
    <row r="86" spans="2:11" hidden="1" outlineLevel="1" x14ac:dyDescent="0.2">
      <c r="B86" s="141">
        <f t="shared" si="14"/>
        <v>45323</v>
      </c>
      <c r="C86" s="138">
        <v>1924716.6874728799</v>
      </c>
      <c r="D86" s="134">
        <f>IF(ISNUMBER($F86),VLOOKUP($J86,'Table 1'!$B$13:$C$32,2,FALSE)/12*1000*Study_MW,"")</f>
        <v>0</v>
      </c>
      <c r="E86" s="134">
        <f t="shared" si="15"/>
        <v>1924716.6874728799</v>
      </c>
      <c r="F86" s="138">
        <v>59160</v>
      </c>
      <c r="G86" s="139">
        <f t="shared" si="16"/>
        <v>32.534088699676808</v>
      </c>
      <c r="I86" s="140">
        <f t="shared" si="12"/>
        <v>80</v>
      </c>
      <c r="J86" s="136">
        <f t="shared" si="17"/>
        <v>2024</v>
      </c>
      <c r="K86" s="141">
        <f t="shared" si="13"/>
        <v>45323</v>
      </c>
    </row>
    <row r="87" spans="2:11" hidden="1" outlineLevel="1" x14ac:dyDescent="0.2">
      <c r="B87" s="141">
        <f t="shared" si="14"/>
        <v>45352</v>
      </c>
      <c r="C87" s="138">
        <v>1826448.7359007001</v>
      </c>
      <c r="D87" s="134">
        <f>IF(ISNUMBER($F87),VLOOKUP($J87,'Table 1'!$B$13:$C$32,2,FALSE)/12*1000*Study_MW,"")</f>
        <v>0</v>
      </c>
      <c r="E87" s="134">
        <f t="shared" si="15"/>
        <v>1826448.7359007001</v>
      </c>
      <c r="F87" s="138">
        <v>63240</v>
      </c>
      <c r="G87" s="139">
        <f t="shared" si="16"/>
        <v>28.881226057885833</v>
      </c>
      <c r="I87" s="140">
        <f t="shared" si="12"/>
        <v>81</v>
      </c>
      <c r="J87" s="136">
        <f t="shared" si="17"/>
        <v>2024</v>
      </c>
      <c r="K87" s="141">
        <f t="shared" si="13"/>
        <v>45352</v>
      </c>
    </row>
    <row r="88" spans="2:11" hidden="1" outlineLevel="1" x14ac:dyDescent="0.2">
      <c r="B88" s="141">
        <f t="shared" si="14"/>
        <v>45383</v>
      </c>
      <c r="C88" s="138">
        <v>1634706.7969782054</v>
      </c>
      <c r="D88" s="134">
        <f>IF(ISNUMBER($F88),VLOOKUP($J88,'Table 1'!$B$13:$C$32,2,FALSE)/12*1000*Study_MW,"")</f>
        <v>0</v>
      </c>
      <c r="E88" s="134">
        <f t="shared" si="15"/>
        <v>1634706.7969782054</v>
      </c>
      <c r="F88" s="138">
        <v>61200</v>
      </c>
      <c r="G88" s="139">
        <f t="shared" si="16"/>
        <v>26.710895375460872</v>
      </c>
      <c r="I88" s="140">
        <f t="shared" si="12"/>
        <v>82</v>
      </c>
      <c r="J88" s="136">
        <f t="shared" si="17"/>
        <v>2024</v>
      </c>
      <c r="K88" s="141">
        <f t="shared" si="13"/>
        <v>45383</v>
      </c>
    </row>
    <row r="89" spans="2:11" hidden="1" outlineLevel="1" x14ac:dyDescent="0.2">
      <c r="B89" s="141">
        <f t="shared" si="14"/>
        <v>45413</v>
      </c>
      <c r="C89" s="138">
        <v>1603781.2990370989</v>
      </c>
      <c r="D89" s="134">
        <f>IF(ISNUMBER($F89),VLOOKUP($J89,'Table 1'!$B$13:$C$32,2,FALSE)/12*1000*Study_MW,"")</f>
        <v>0</v>
      </c>
      <c r="E89" s="134">
        <f t="shared" si="15"/>
        <v>1603781.2990370989</v>
      </c>
      <c r="F89" s="138">
        <v>63240</v>
      </c>
      <c r="G89" s="139">
        <f t="shared" si="16"/>
        <v>25.360235595147042</v>
      </c>
      <c r="I89" s="140">
        <f t="shared" si="12"/>
        <v>83</v>
      </c>
      <c r="J89" s="136">
        <f t="shared" si="17"/>
        <v>2024</v>
      </c>
      <c r="K89" s="141">
        <f t="shared" si="13"/>
        <v>45413</v>
      </c>
    </row>
    <row r="90" spans="2:11" hidden="1" outlineLevel="1" x14ac:dyDescent="0.2">
      <c r="B90" s="141">
        <f t="shared" si="14"/>
        <v>45444</v>
      </c>
      <c r="C90" s="138">
        <v>1532887.1168677211</v>
      </c>
      <c r="D90" s="134">
        <f>IF(ISNUMBER($F90),VLOOKUP($J90,'Table 1'!$B$13:$C$32,2,FALSE)/12*1000*Study_MW,"")</f>
        <v>0</v>
      </c>
      <c r="E90" s="134">
        <f t="shared" si="15"/>
        <v>1532887.1168677211</v>
      </c>
      <c r="F90" s="138">
        <v>61200</v>
      </c>
      <c r="G90" s="139">
        <f t="shared" si="16"/>
        <v>25.047175112217666</v>
      </c>
      <c r="I90" s="140">
        <f t="shared" ref="I90:I96" si="18">I78+13</f>
        <v>84</v>
      </c>
      <c r="J90" s="136">
        <f t="shared" si="17"/>
        <v>2024</v>
      </c>
      <c r="K90" s="141">
        <f t="shared" ref="K90:K153" si="19">IF(ISNUMBER(F90),IF(F90&lt;&gt;0,B90,""),"")</f>
        <v>45444</v>
      </c>
    </row>
    <row r="91" spans="2:11" hidden="1" outlineLevel="1" x14ac:dyDescent="0.2">
      <c r="B91" s="141">
        <f t="shared" si="14"/>
        <v>45474</v>
      </c>
      <c r="C91" s="138">
        <v>1942195.013640523</v>
      </c>
      <c r="D91" s="134">
        <f>IF(ISNUMBER($F91),VLOOKUP($J91,'Table 1'!$B$13:$C$32,2,FALSE)/12*1000*Study_MW,"")</f>
        <v>0</v>
      </c>
      <c r="E91" s="134">
        <f t="shared" si="15"/>
        <v>1942195.013640523</v>
      </c>
      <c r="F91" s="138">
        <v>63240</v>
      </c>
      <c r="G91" s="139">
        <f t="shared" si="16"/>
        <v>30.711496104372596</v>
      </c>
      <c r="I91" s="140">
        <f t="shared" si="18"/>
        <v>85</v>
      </c>
      <c r="J91" s="136">
        <f t="shared" si="17"/>
        <v>2024</v>
      </c>
      <c r="K91" s="141">
        <f t="shared" si="19"/>
        <v>45474</v>
      </c>
    </row>
    <row r="92" spans="2:11" hidden="1" outlineLevel="1" x14ac:dyDescent="0.2">
      <c r="B92" s="141">
        <f t="shared" si="14"/>
        <v>45505</v>
      </c>
      <c r="C92" s="138">
        <v>1702224.1416826546</v>
      </c>
      <c r="D92" s="134">
        <f>IF(ISNUMBER($F92),VLOOKUP($J92,'Table 1'!$B$13:$C$32,2,FALSE)/12*1000*Study_MW,"")</f>
        <v>0</v>
      </c>
      <c r="E92" s="134">
        <f t="shared" si="15"/>
        <v>1702224.1416826546</v>
      </c>
      <c r="F92" s="138">
        <v>63240</v>
      </c>
      <c r="G92" s="139">
        <f t="shared" si="16"/>
        <v>26.916890285936979</v>
      </c>
      <c r="I92" s="140">
        <f t="shared" si="18"/>
        <v>86</v>
      </c>
      <c r="J92" s="136">
        <f t="shared" si="17"/>
        <v>2024</v>
      </c>
      <c r="K92" s="141">
        <f t="shared" si="19"/>
        <v>45505</v>
      </c>
    </row>
    <row r="93" spans="2:11" hidden="1" outlineLevel="1" x14ac:dyDescent="0.2">
      <c r="B93" s="141">
        <f t="shared" si="14"/>
        <v>45536</v>
      </c>
      <c r="C93" s="138">
        <v>1628681.2922164202</v>
      </c>
      <c r="D93" s="134">
        <f>IF(ISNUMBER($F93),VLOOKUP($J93,'Table 1'!$B$13:$C$32,2,FALSE)/12*1000*Study_MW,"")</f>
        <v>0</v>
      </c>
      <c r="E93" s="134">
        <f t="shared" si="15"/>
        <v>1628681.2922164202</v>
      </c>
      <c r="F93" s="138">
        <v>61200</v>
      </c>
      <c r="G93" s="139">
        <f t="shared" si="16"/>
        <v>26.612439415300983</v>
      </c>
      <c r="I93" s="140">
        <f t="shared" si="18"/>
        <v>87</v>
      </c>
      <c r="J93" s="136">
        <f t="shared" si="17"/>
        <v>2024</v>
      </c>
      <c r="K93" s="141">
        <f t="shared" si="19"/>
        <v>45536</v>
      </c>
    </row>
    <row r="94" spans="2:11" hidden="1" outlineLevel="1" x14ac:dyDescent="0.2">
      <c r="B94" s="141">
        <f t="shared" si="14"/>
        <v>45566</v>
      </c>
      <c r="C94" s="138">
        <v>1903142.740829587</v>
      </c>
      <c r="D94" s="134">
        <f>IF(ISNUMBER($F94),VLOOKUP($J94,'Table 1'!$B$13:$C$32,2,FALSE)/12*1000*Study_MW,"")</f>
        <v>0</v>
      </c>
      <c r="E94" s="134">
        <f t="shared" si="15"/>
        <v>1903142.740829587</v>
      </c>
      <c r="F94" s="138">
        <v>63240</v>
      </c>
      <c r="G94" s="139">
        <f t="shared" si="16"/>
        <v>30.093971233864437</v>
      </c>
      <c r="I94" s="140">
        <f t="shared" si="18"/>
        <v>88</v>
      </c>
      <c r="J94" s="136">
        <f t="shared" si="17"/>
        <v>2024</v>
      </c>
      <c r="K94" s="141">
        <f t="shared" si="19"/>
        <v>45566</v>
      </c>
    </row>
    <row r="95" spans="2:11" hidden="1" outlineLevel="1" x14ac:dyDescent="0.2">
      <c r="B95" s="141">
        <f t="shared" si="14"/>
        <v>45597</v>
      </c>
      <c r="C95" s="138">
        <v>2002635.6527812183</v>
      </c>
      <c r="D95" s="134">
        <f>IF(ISNUMBER($F95),VLOOKUP($J95,'Table 1'!$B$13:$C$32,2,FALSE)/12*1000*Study_MW,"")</f>
        <v>0</v>
      </c>
      <c r="E95" s="134">
        <f t="shared" si="15"/>
        <v>2002635.6527812183</v>
      </c>
      <c r="F95" s="138">
        <v>61200</v>
      </c>
      <c r="G95" s="139">
        <f t="shared" si="16"/>
        <v>32.722804784006833</v>
      </c>
      <c r="I95" s="140">
        <f t="shared" si="18"/>
        <v>89</v>
      </c>
      <c r="J95" s="136">
        <f t="shared" si="17"/>
        <v>2024</v>
      </c>
      <c r="K95" s="141">
        <f t="shared" si="19"/>
        <v>45597</v>
      </c>
    </row>
    <row r="96" spans="2:11" hidden="1" outlineLevel="1" x14ac:dyDescent="0.2">
      <c r="B96" s="145">
        <f t="shared" si="14"/>
        <v>45627</v>
      </c>
      <c r="C96" s="142">
        <v>2051117.3113310635</v>
      </c>
      <c r="D96" s="143">
        <f>IF(ISNUMBER($F96),VLOOKUP($J96,'Table 1'!$B$13:$C$32,2,FALSE)/12*1000*Study_MW,"")</f>
        <v>0</v>
      </c>
      <c r="E96" s="143">
        <f t="shared" si="15"/>
        <v>2051117.3113310635</v>
      </c>
      <c r="F96" s="142">
        <v>63240</v>
      </c>
      <c r="G96" s="144">
        <f t="shared" si="16"/>
        <v>32.433860077973804</v>
      </c>
      <c r="I96" s="127">
        <f t="shared" si="18"/>
        <v>90</v>
      </c>
      <c r="J96" s="136">
        <f t="shared" si="17"/>
        <v>2024</v>
      </c>
      <c r="K96" s="145">
        <f t="shared" si="19"/>
        <v>45627</v>
      </c>
    </row>
    <row r="97" spans="2:11" hidden="1" outlineLevel="1" x14ac:dyDescent="0.2">
      <c r="B97" s="137">
        <f t="shared" si="14"/>
        <v>45658</v>
      </c>
      <c r="C97" s="132">
        <v>2234456.2051145732</v>
      </c>
      <c r="D97" s="133">
        <f>IF(ISNUMBER($F97),VLOOKUP($J97,'Table 1'!$B$13:$C$32,2,FALSE)/12*1000*Study_MW,"")</f>
        <v>0</v>
      </c>
      <c r="E97" s="133">
        <f t="shared" si="15"/>
        <v>2234456.2051145732</v>
      </c>
      <c r="F97" s="132">
        <v>63240</v>
      </c>
      <c r="G97" s="135">
        <f t="shared" si="16"/>
        <v>35.332957070122916</v>
      </c>
      <c r="I97" s="123">
        <f>I85+13</f>
        <v>92</v>
      </c>
      <c r="J97" s="136">
        <f t="shared" si="17"/>
        <v>2025</v>
      </c>
      <c r="K97" s="137">
        <f t="shared" si="19"/>
        <v>45658</v>
      </c>
    </row>
    <row r="98" spans="2:11" hidden="1" outlineLevel="1" x14ac:dyDescent="0.2">
      <c r="B98" s="141">
        <f t="shared" si="14"/>
        <v>45689</v>
      </c>
      <c r="C98" s="138">
        <v>1706446.8431130052</v>
      </c>
      <c r="D98" s="134">
        <f>IF(ISNUMBER($F98),VLOOKUP($J98,'Table 1'!$B$13:$C$32,2,FALSE)/12*1000*Study_MW,"")</f>
        <v>0</v>
      </c>
      <c r="E98" s="134">
        <f t="shared" si="15"/>
        <v>1706446.8431130052</v>
      </c>
      <c r="F98" s="138">
        <v>57120</v>
      </c>
      <c r="G98" s="139">
        <f t="shared" si="16"/>
        <v>29.874769662342526</v>
      </c>
      <c r="I98" s="140">
        <f t="shared" ref="I98:I120" si="20">I86+13</f>
        <v>93</v>
      </c>
      <c r="J98" s="136">
        <f t="shared" si="17"/>
        <v>2025</v>
      </c>
      <c r="K98" s="141">
        <f t="shared" si="19"/>
        <v>45689</v>
      </c>
    </row>
    <row r="99" spans="2:11" hidden="1" outlineLevel="1" x14ac:dyDescent="0.2">
      <c r="B99" s="141">
        <f t="shared" si="14"/>
        <v>45717</v>
      </c>
      <c r="C99" s="138">
        <v>1943500.0356342196</v>
      </c>
      <c r="D99" s="134">
        <f>IF(ISNUMBER($F99),VLOOKUP($J99,'Table 1'!$B$13:$C$32,2,FALSE)/12*1000*Study_MW,"")</f>
        <v>0</v>
      </c>
      <c r="E99" s="134">
        <f t="shared" si="15"/>
        <v>1943500.0356342196</v>
      </c>
      <c r="F99" s="138">
        <v>63240</v>
      </c>
      <c r="G99" s="139">
        <f t="shared" si="16"/>
        <v>30.7321321257783</v>
      </c>
      <c r="I99" s="140">
        <f t="shared" si="20"/>
        <v>94</v>
      </c>
      <c r="J99" s="136">
        <f t="shared" si="17"/>
        <v>2025</v>
      </c>
      <c r="K99" s="141">
        <f t="shared" si="19"/>
        <v>45717</v>
      </c>
    </row>
    <row r="100" spans="2:11" hidden="1" outlineLevel="1" x14ac:dyDescent="0.2">
      <c r="B100" s="141">
        <f t="shared" si="14"/>
        <v>45748</v>
      </c>
      <c r="C100" s="138">
        <v>1833620.5692122579</v>
      </c>
      <c r="D100" s="134">
        <f>IF(ISNUMBER($F100),VLOOKUP($J100,'Table 1'!$B$13:$C$32,2,FALSE)/12*1000*Study_MW,"")</f>
        <v>0</v>
      </c>
      <c r="E100" s="134">
        <f t="shared" si="15"/>
        <v>1833620.5692122579</v>
      </c>
      <c r="F100" s="138">
        <v>61200</v>
      </c>
      <c r="G100" s="139">
        <f t="shared" si="16"/>
        <v>29.961120411964998</v>
      </c>
      <c r="I100" s="140">
        <f t="shared" si="20"/>
        <v>95</v>
      </c>
      <c r="J100" s="136">
        <f t="shared" si="17"/>
        <v>2025</v>
      </c>
      <c r="K100" s="141">
        <f t="shared" si="19"/>
        <v>45748</v>
      </c>
    </row>
    <row r="101" spans="2:11" hidden="1" outlineLevel="1" x14ac:dyDescent="0.2">
      <c r="B101" s="141">
        <f t="shared" si="14"/>
        <v>45778</v>
      </c>
      <c r="C101" s="138">
        <v>1681594.3205234706</v>
      </c>
      <c r="D101" s="134">
        <f>IF(ISNUMBER($F101),VLOOKUP($J101,'Table 1'!$B$13:$C$32,2,FALSE)/12*1000*Study_MW,"")</f>
        <v>0</v>
      </c>
      <c r="E101" s="134">
        <f t="shared" si="15"/>
        <v>1681594.3205234706</v>
      </c>
      <c r="F101" s="138">
        <v>63240</v>
      </c>
      <c r="G101" s="139">
        <f t="shared" si="16"/>
        <v>26.590675530099155</v>
      </c>
      <c r="I101" s="140">
        <f t="shared" si="20"/>
        <v>96</v>
      </c>
      <c r="J101" s="136">
        <f t="shared" si="17"/>
        <v>2025</v>
      </c>
      <c r="K101" s="141">
        <f t="shared" si="19"/>
        <v>45778</v>
      </c>
    </row>
    <row r="102" spans="2:11" hidden="1" outlineLevel="1" x14ac:dyDescent="0.2">
      <c r="B102" s="141">
        <f t="shared" si="14"/>
        <v>45809</v>
      </c>
      <c r="C102" s="138">
        <v>1638041.0676521063</v>
      </c>
      <c r="D102" s="134">
        <f>IF(ISNUMBER($F102),VLOOKUP($J102,'Table 1'!$B$13:$C$32,2,FALSE)/12*1000*Study_MW,"")</f>
        <v>0</v>
      </c>
      <c r="E102" s="134">
        <f t="shared" si="15"/>
        <v>1638041.0676521063</v>
      </c>
      <c r="F102" s="138">
        <v>61200</v>
      </c>
      <c r="G102" s="139">
        <f t="shared" si="16"/>
        <v>26.765376922420039</v>
      </c>
      <c r="I102" s="140">
        <f t="shared" si="20"/>
        <v>97</v>
      </c>
      <c r="J102" s="136">
        <f t="shared" si="17"/>
        <v>2025</v>
      </c>
      <c r="K102" s="141">
        <f t="shared" si="19"/>
        <v>45809</v>
      </c>
    </row>
    <row r="103" spans="2:11" hidden="1" outlineLevel="1" x14ac:dyDescent="0.2">
      <c r="B103" s="141">
        <f t="shared" si="14"/>
        <v>45839</v>
      </c>
      <c r="C103" s="138">
        <v>2609696.8701364696</v>
      </c>
      <c r="D103" s="134">
        <f>IF(ISNUMBER($F103),VLOOKUP($J103,'Table 1'!$B$13:$C$32,2,FALSE)/12*1000*Study_MW,"")</f>
        <v>0</v>
      </c>
      <c r="E103" s="134">
        <f t="shared" si="15"/>
        <v>2609696.8701364696</v>
      </c>
      <c r="F103" s="138">
        <v>63240</v>
      </c>
      <c r="G103" s="139">
        <f t="shared" si="16"/>
        <v>41.26655392372659</v>
      </c>
      <c r="I103" s="140">
        <f t="shared" si="20"/>
        <v>98</v>
      </c>
      <c r="J103" s="136">
        <f t="shared" si="17"/>
        <v>2025</v>
      </c>
      <c r="K103" s="141">
        <f t="shared" si="19"/>
        <v>45839</v>
      </c>
    </row>
    <row r="104" spans="2:11" hidden="1" outlineLevel="1" x14ac:dyDescent="0.2">
      <c r="B104" s="141">
        <f t="shared" si="14"/>
        <v>45870</v>
      </c>
      <c r="C104" s="138">
        <v>2475823.3417407274</v>
      </c>
      <c r="D104" s="134">
        <f>IF(ISNUMBER($F104),VLOOKUP($J104,'Table 1'!$B$13:$C$32,2,FALSE)/12*1000*Study_MW,"")</f>
        <v>0</v>
      </c>
      <c r="E104" s="134">
        <f t="shared" si="15"/>
        <v>2475823.3417407274</v>
      </c>
      <c r="F104" s="138">
        <v>63240</v>
      </c>
      <c r="G104" s="139">
        <f t="shared" si="16"/>
        <v>39.149641710005177</v>
      </c>
      <c r="I104" s="140">
        <f t="shared" si="20"/>
        <v>99</v>
      </c>
      <c r="J104" s="136">
        <f t="shared" si="17"/>
        <v>2025</v>
      </c>
      <c r="K104" s="141">
        <f t="shared" si="19"/>
        <v>45870</v>
      </c>
    </row>
    <row r="105" spans="2:11" hidden="1" outlineLevel="1" x14ac:dyDescent="0.2">
      <c r="B105" s="141">
        <f t="shared" si="14"/>
        <v>45901</v>
      </c>
      <c r="C105" s="138">
        <v>2385987.2717042267</v>
      </c>
      <c r="D105" s="134">
        <f>IF(ISNUMBER($F105),VLOOKUP($J105,'Table 1'!$B$13:$C$32,2,FALSE)/12*1000*Study_MW,"")</f>
        <v>0</v>
      </c>
      <c r="E105" s="134">
        <f t="shared" si="15"/>
        <v>2385987.2717042267</v>
      </c>
      <c r="F105" s="138">
        <v>61200</v>
      </c>
      <c r="G105" s="139">
        <f t="shared" si="16"/>
        <v>38.986720125886059</v>
      </c>
      <c r="I105" s="140">
        <f t="shared" si="20"/>
        <v>100</v>
      </c>
      <c r="J105" s="136">
        <f t="shared" si="17"/>
        <v>2025</v>
      </c>
      <c r="K105" s="141">
        <f t="shared" si="19"/>
        <v>45901</v>
      </c>
    </row>
    <row r="106" spans="2:11" hidden="1" outlineLevel="1" x14ac:dyDescent="0.2">
      <c r="B106" s="141">
        <f t="shared" si="14"/>
        <v>45931</v>
      </c>
      <c r="C106" s="138">
        <v>1870232.3707951903</v>
      </c>
      <c r="D106" s="134">
        <f>IF(ISNUMBER($F106),VLOOKUP($J106,'Table 1'!$B$13:$C$32,2,FALSE)/12*1000*Study_MW,"")</f>
        <v>0</v>
      </c>
      <c r="E106" s="134">
        <f t="shared" si="15"/>
        <v>1870232.3707951903</v>
      </c>
      <c r="F106" s="138">
        <v>63240</v>
      </c>
      <c r="G106" s="139">
        <f t="shared" si="16"/>
        <v>29.573566900619706</v>
      </c>
      <c r="I106" s="140">
        <f t="shared" si="20"/>
        <v>101</v>
      </c>
      <c r="J106" s="136">
        <f t="shared" si="17"/>
        <v>2025</v>
      </c>
      <c r="K106" s="141">
        <f t="shared" si="19"/>
        <v>45931</v>
      </c>
    </row>
    <row r="107" spans="2:11" hidden="1" outlineLevel="1" x14ac:dyDescent="0.2">
      <c r="B107" s="141">
        <f t="shared" si="14"/>
        <v>45962</v>
      </c>
      <c r="C107" s="138">
        <v>1944831.9967300892</v>
      </c>
      <c r="D107" s="134">
        <f>IF(ISNUMBER($F107),VLOOKUP($J107,'Table 1'!$B$13:$C$32,2,FALSE)/12*1000*Study_MW,"")</f>
        <v>0</v>
      </c>
      <c r="E107" s="134">
        <f t="shared" si="15"/>
        <v>1944831.9967300892</v>
      </c>
      <c r="F107" s="138">
        <v>61200</v>
      </c>
      <c r="G107" s="139">
        <f t="shared" si="16"/>
        <v>31.778300600164854</v>
      </c>
      <c r="I107" s="140">
        <f t="shared" si="20"/>
        <v>102</v>
      </c>
      <c r="J107" s="136">
        <f t="shared" si="17"/>
        <v>2025</v>
      </c>
      <c r="K107" s="141">
        <f t="shared" si="19"/>
        <v>45962</v>
      </c>
    </row>
    <row r="108" spans="2:11" hidden="1" outlineLevel="1" x14ac:dyDescent="0.2">
      <c r="B108" s="145">
        <f t="shared" si="14"/>
        <v>45992</v>
      </c>
      <c r="C108" s="142">
        <v>2206380.7212849259</v>
      </c>
      <c r="D108" s="143">
        <f>IF(ISNUMBER($F108),VLOOKUP($J108,'Table 1'!$B$13:$C$32,2,FALSE)/12*1000*Study_MW,"")</f>
        <v>0</v>
      </c>
      <c r="E108" s="143">
        <f t="shared" si="15"/>
        <v>2206380.7212849259</v>
      </c>
      <c r="F108" s="142">
        <v>63240</v>
      </c>
      <c r="G108" s="144">
        <f t="shared" si="16"/>
        <v>34.889005712917864</v>
      </c>
      <c r="I108" s="127">
        <f t="shared" si="20"/>
        <v>103</v>
      </c>
      <c r="J108" s="136">
        <f t="shared" si="17"/>
        <v>2025</v>
      </c>
      <c r="K108" s="145">
        <f t="shared" si="19"/>
        <v>45992</v>
      </c>
    </row>
    <row r="109" spans="2:11" hidden="1" outlineLevel="1" x14ac:dyDescent="0.2">
      <c r="B109" s="137">
        <f t="shared" si="14"/>
        <v>46023</v>
      </c>
      <c r="C109" s="132">
        <v>2162007.0749169588</v>
      </c>
      <c r="D109" s="133">
        <f>IF(ISNUMBER($F109),VLOOKUP($J109,'Table 1'!$B$13:$C$32,2,FALSE)/12*1000*Study_MW,"")</f>
        <v>0</v>
      </c>
      <c r="E109" s="133">
        <f t="shared" si="15"/>
        <v>2162007.0749169588</v>
      </c>
      <c r="F109" s="132">
        <v>63240</v>
      </c>
      <c r="G109" s="135">
        <f t="shared" si="16"/>
        <v>34.187335150489545</v>
      </c>
      <c r="I109" s="123">
        <f>I97+13</f>
        <v>105</v>
      </c>
      <c r="J109" s="136">
        <f t="shared" si="17"/>
        <v>2026</v>
      </c>
      <c r="K109" s="137">
        <f t="shared" si="19"/>
        <v>46023</v>
      </c>
    </row>
    <row r="110" spans="2:11" hidden="1" outlineLevel="1" x14ac:dyDescent="0.2">
      <c r="B110" s="141">
        <f t="shared" si="14"/>
        <v>46054</v>
      </c>
      <c r="C110" s="138">
        <v>1958913.7951966524</v>
      </c>
      <c r="D110" s="134">
        <f>IF(ISNUMBER($F110),VLOOKUP($J110,'Table 1'!$B$13:$C$32,2,FALSE)/12*1000*Study_MW,"")</f>
        <v>0</v>
      </c>
      <c r="E110" s="134">
        <f t="shared" si="15"/>
        <v>1958913.7951966524</v>
      </c>
      <c r="F110" s="138">
        <v>57120</v>
      </c>
      <c r="G110" s="139">
        <f t="shared" si="16"/>
        <v>34.294709299661285</v>
      </c>
      <c r="I110" s="140">
        <f t="shared" si="20"/>
        <v>106</v>
      </c>
      <c r="J110" s="136">
        <f t="shared" si="17"/>
        <v>2026</v>
      </c>
      <c r="K110" s="141">
        <f t="shared" si="19"/>
        <v>46054</v>
      </c>
    </row>
    <row r="111" spans="2:11" hidden="1" outlineLevel="1" x14ac:dyDescent="0.2">
      <c r="B111" s="141">
        <f t="shared" si="14"/>
        <v>46082</v>
      </c>
      <c r="C111" s="138">
        <v>1979161.5247559249</v>
      </c>
      <c r="D111" s="134">
        <f>IF(ISNUMBER($F111),VLOOKUP($J111,'Table 1'!$B$13:$C$32,2,FALSE)/12*1000*Study_MW,"")</f>
        <v>0</v>
      </c>
      <c r="E111" s="134">
        <f t="shared" si="15"/>
        <v>1979161.5247559249</v>
      </c>
      <c r="F111" s="138">
        <v>63240</v>
      </c>
      <c r="G111" s="139">
        <f t="shared" si="16"/>
        <v>31.296039290890654</v>
      </c>
      <c r="I111" s="140">
        <f t="shared" si="20"/>
        <v>107</v>
      </c>
      <c r="J111" s="136">
        <f t="shared" si="17"/>
        <v>2026</v>
      </c>
      <c r="K111" s="141">
        <f t="shared" si="19"/>
        <v>46082</v>
      </c>
    </row>
    <row r="112" spans="2:11" hidden="1" outlineLevel="1" x14ac:dyDescent="0.2">
      <c r="B112" s="141">
        <f t="shared" si="14"/>
        <v>46113</v>
      </c>
      <c r="C112" s="138">
        <v>1886592.4580659866</v>
      </c>
      <c r="D112" s="134">
        <f>IF(ISNUMBER($F112),VLOOKUP($J112,'Table 1'!$B$13:$C$32,2,FALSE)/12*1000*Study_MW,"")</f>
        <v>0</v>
      </c>
      <c r="E112" s="134">
        <f t="shared" si="15"/>
        <v>1886592.4580659866</v>
      </c>
      <c r="F112" s="138">
        <v>61200</v>
      </c>
      <c r="G112" s="139">
        <f t="shared" si="16"/>
        <v>30.826674151405012</v>
      </c>
      <c r="I112" s="140">
        <f t="shared" si="20"/>
        <v>108</v>
      </c>
      <c r="J112" s="136">
        <f t="shared" si="17"/>
        <v>2026</v>
      </c>
      <c r="K112" s="141">
        <f t="shared" si="19"/>
        <v>46113</v>
      </c>
    </row>
    <row r="113" spans="2:11" hidden="1" outlineLevel="1" x14ac:dyDescent="0.2">
      <c r="B113" s="141">
        <f t="shared" si="14"/>
        <v>46143</v>
      </c>
      <c r="C113" s="138">
        <v>1724618.7140575349</v>
      </c>
      <c r="D113" s="134">
        <f>IF(ISNUMBER($F113),VLOOKUP($J113,'Table 1'!$B$13:$C$32,2,FALSE)/12*1000*Study_MW,"")</f>
        <v>0</v>
      </c>
      <c r="E113" s="134">
        <f t="shared" si="15"/>
        <v>1724618.7140575349</v>
      </c>
      <c r="F113" s="138">
        <v>63240</v>
      </c>
      <c r="G113" s="139">
        <f t="shared" si="16"/>
        <v>27.271010658721298</v>
      </c>
      <c r="I113" s="140">
        <f t="shared" si="20"/>
        <v>109</v>
      </c>
      <c r="J113" s="136">
        <f t="shared" si="17"/>
        <v>2026</v>
      </c>
      <c r="K113" s="141">
        <f t="shared" si="19"/>
        <v>46143</v>
      </c>
    </row>
    <row r="114" spans="2:11" hidden="1" outlineLevel="1" x14ac:dyDescent="0.2">
      <c r="B114" s="141">
        <f t="shared" si="14"/>
        <v>46174</v>
      </c>
      <c r="C114" s="138">
        <v>1678440.3978747725</v>
      </c>
      <c r="D114" s="134">
        <f>IF(ISNUMBER($F114),VLOOKUP($J114,'Table 1'!$B$13:$C$32,2,FALSE)/12*1000*Study_MW,"")</f>
        <v>0</v>
      </c>
      <c r="E114" s="134">
        <f t="shared" si="15"/>
        <v>1678440.3978747725</v>
      </c>
      <c r="F114" s="138">
        <v>61200</v>
      </c>
      <c r="G114" s="139">
        <f t="shared" si="16"/>
        <v>27.425496697300204</v>
      </c>
      <c r="I114" s="140">
        <f t="shared" si="20"/>
        <v>110</v>
      </c>
      <c r="J114" s="136">
        <f t="shared" si="17"/>
        <v>2026</v>
      </c>
      <c r="K114" s="141">
        <f t="shared" si="19"/>
        <v>46174</v>
      </c>
    </row>
    <row r="115" spans="2:11" hidden="1" outlineLevel="1" x14ac:dyDescent="0.2">
      <c r="B115" s="141">
        <f t="shared" si="14"/>
        <v>46204</v>
      </c>
      <c r="C115" s="138">
        <v>2719839.5719808936</v>
      </c>
      <c r="D115" s="134">
        <f>IF(ISNUMBER($F115),VLOOKUP($J115,'Table 1'!$B$13:$C$32,2,FALSE)/12*1000*Study_MW,"")</f>
        <v>0</v>
      </c>
      <c r="E115" s="134">
        <f t="shared" si="15"/>
        <v>2719839.5719808936</v>
      </c>
      <c r="F115" s="138">
        <v>63240</v>
      </c>
      <c r="G115" s="139">
        <f t="shared" si="16"/>
        <v>43.008215875725703</v>
      </c>
      <c r="I115" s="140">
        <f t="shared" si="20"/>
        <v>111</v>
      </c>
      <c r="J115" s="136">
        <f t="shared" si="17"/>
        <v>2026</v>
      </c>
      <c r="K115" s="141">
        <f t="shared" si="19"/>
        <v>46204</v>
      </c>
    </row>
    <row r="116" spans="2:11" hidden="1" outlineLevel="1" x14ac:dyDescent="0.2">
      <c r="B116" s="141">
        <f t="shared" si="14"/>
        <v>46235</v>
      </c>
      <c r="C116" s="138">
        <v>2575817.3456703722</v>
      </c>
      <c r="D116" s="134">
        <f>IF(ISNUMBER($F116),VLOOKUP($J116,'Table 1'!$B$13:$C$32,2,FALSE)/12*1000*Study_MW,"")</f>
        <v>0</v>
      </c>
      <c r="E116" s="134">
        <f t="shared" si="15"/>
        <v>2575817.3456703722</v>
      </c>
      <c r="F116" s="138">
        <v>63240</v>
      </c>
      <c r="G116" s="139">
        <f t="shared" si="16"/>
        <v>40.730824567842696</v>
      </c>
      <c r="I116" s="140">
        <f t="shared" si="20"/>
        <v>112</v>
      </c>
      <c r="J116" s="136">
        <f t="shared" si="17"/>
        <v>2026</v>
      </c>
      <c r="K116" s="141">
        <f t="shared" si="19"/>
        <v>46235</v>
      </c>
    </row>
    <row r="117" spans="2:11" hidden="1" outlineLevel="1" x14ac:dyDescent="0.2">
      <c r="B117" s="141">
        <f t="shared" si="14"/>
        <v>46266</v>
      </c>
      <c r="C117" s="138">
        <v>2503239.5688512027</v>
      </c>
      <c r="D117" s="134">
        <f>IF(ISNUMBER($F117),VLOOKUP($J117,'Table 1'!$B$13:$C$32,2,FALSE)/12*1000*Study_MW,"")</f>
        <v>0</v>
      </c>
      <c r="E117" s="134">
        <f t="shared" si="15"/>
        <v>2503239.5688512027</v>
      </c>
      <c r="F117" s="138">
        <v>61200</v>
      </c>
      <c r="G117" s="139">
        <f t="shared" si="16"/>
        <v>40.902607334169979</v>
      </c>
      <c r="I117" s="140">
        <f t="shared" si="20"/>
        <v>113</v>
      </c>
      <c r="J117" s="136">
        <f t="shared" si="17"/>
        <v>2026</v>
      </c>
      <c r="K117" s="141">
        <f t="shared" si="19"/>
        <v>46266</v>
      </c>
    </row>
    <row r="118" spans="2:11" hidden="1" outlineLevel="1" x14ac:dyDescent="0.2">
      <c r="B118" s="141">
        <f t="shared" si="14"/>
        <v>46296</v>
      </c>
      <c r="C118" s="138">
        <v>1888464.6522201598</v>
      </c>
      <c r="D118" s="134">
        <f>IF(ISNUMBER($F118),VLOOKUP($J118,'Table 1'!$B$13:$C$32,2,FALSE)/12*1000*Study_MW,"")</f>
        <v>0</v>
      </c>
      <c r="E118" s="134">
        <f t="shared" si="15"/>
        <v>1888464.6522201598</v>
      </c>
      <c r="F118" s="138">
        <v>63240</v>
      </c>
      <c r="G118" s="139">
        <f t="shared" si="16"/>
        <v>29.861869895954456</v>
      </c>
      <c r="I118" s="140">
        <f t="shared" si="20"/>
        <v>114</v>
      </c>
      <c r="J118" s="136">
        <f t="shared" si="17"/>
        <v>2026</v>
      </c>
      <c r="K118" s="141">
        <f t="shared" si="19"/>
        <v>46296</v>
      </c>
    </row>
    <row r="119" spans="2:11" hidden="1" outlineLevel="1" x14ac:dyDescent="0.2">
      <c r="B119" s="141">
        <f t="shared" si="14"/>
        <v>46327</v>
      </c>
      <c r="C119" s="138">
        <v>2007719.7341920733</v>
      </c>
      <c r="D119" s="134">
        <f>IF(ISNUMBER($F119),VLOOKUP($J119,'Table 1'!$B$13:$C$32,2,FALSE)/12*1000*Study_MW,"")</f>
        <v>0</v>
      </c>
      <c r="E119" s="134">
        <f t="shared" si="15"/>
        <v>2007719.7341920733</v>
      </c>
      <c r="F119" s="138">
        <v>61200</v>
      </c>
      <c r="G119" s="139">
        <f t="shared" si="16"/>
        <v>32.805878009674402</v>
      </c>
      <c r="I119" s="140">
        <f t="shared" si="20"/>
        <v>115</v>
      </c>
      <c r="J119" s="136">
        <f t="shared" si="17"/>
        <v>2026</v>
      </c>
      <c r="K119" s="141">
        <f t="shared" si="19"/>
        <v>46327</v>
      </c>
    </row>
    <row r="120" spans="2:11" hidden="1" outlineLevel="1" x14ac:dyDescent="0.2">
      <c r="B120" s="145">
        <f t="shared" si="14"/>
        <v>46357</v>
      </c>
      <c r="C120" s="142">
        <v>2199707.2250891626</v>
      </c>
      <c r="D120" s="143">
        <f>IF(ISNUMBER($F120),VLOOKUP($J120,'Table 1'!$B$13:$C$32,2,FALSE)/12*1000*Study_MW,"")</f>
        <v>0</v>
      </c>
      <c r="E120" s="143">
        <f t="shared" si="15"/>
        <v>2199707.2250891626</v>
      </c>
      <c r="F120" s="142">
        <v>63240</v>
      </c>
      <c r="G120" s="144">
        <f t="shared" si="16"/>
        <v>34.783479207608515</v>
      </c>
      <c r="I120" s="127">
        <f t="shared" si="20"/>
        <v>116</v>
      </c>
      <c r="J120" s="136">
        <f t="shared" si="17"/>
        <v>2026</v>
      </c>
      <c r="K120" s="145">
        <f t="shared" si="19"/>
        <v>46357</v>
      </c>
    </row>
    <row r="121" spans="2:11" hidden="1" outlineLevel="1" x14ac:dyDescent="0.2">
      <c r="B121" s="137">
        <f t="shared" si="14"/>
        <v>46388</v>
      </c>
      <c r="C121" s="132">
        <v>2223430.3319803774</v>
      </c>
      <c r="D121" s="133">
        <f>IF(ISNUMBER($F121),VLOOKUP($J121,'Table 1'!$B$13:$C$32,2,FALSE)/12*1000*Study_MW,"")</f>
        <v>0</v>
      </c>
      <c r="E121" s="133">
        <f t="shared" si="15"/>
        <v>2223430.3319803774</v>
      </c>
      <c r="F121" s="132">
        <v>63240</v>
      </c>
      <c r="G121" s="135">
        <f t="shared" si="16"/>
        <v>35.158607400069222</v>
      </c>
      <c r="I121" s="123">
        <f>I109+13</f>
        <v>118</v>
      </c>
      <c r="J121" s="136">
        <f t="shared" si="17"/>
        <v>2027</v>
      </c>
      <c r="K121" s="137">
        <f t="shared" si="19"/>
        <v>46388</v>
      </c>
    </row>
    <row r="122" spans="2:11" hidden="1" outlineLevel="1" x14ac:dyDescent="0.2">
      <c r="B122" s="141">
        <f t="shared" si="14"/>
        <v>46419</v>
      </c>
      <c r="C122" s="138">
        <v>2016571.8850649595</v>
      </c>
      <c r="D122" s="134">
        <f>IF(ISNUMBER($F122),VLOOKUP($J122,'Table 1'!$B$13:$C$32,2,FALSE)/12*1000*Study_MW,"")</f>
        <v>0</v>
      </c>
      <c r="E122" s="134">
        <f t="shared" si="15"/>
        <v>2016571.8850649595</v>
      </c>
      <c r="F122" s="138">
        <v>57120</v>
      </c>
      <c r="G122" s="139">
        <f t="shared" si="16"/>
        <v>35.304129640492988</v>
      </c>
      <c r="I122" s="140">
        <f t="shared" ref="I122:I132" si="21">I110+13</f>
        <v>119</v>
      </c>
      <c r="J122" s="136">
        <f t="shared" si="17"/>
        <v>2027</v>
      </c>
      <c r="K122" s="141">
        <f t="shared" si="19"/>
        <v>46419</v>
      </c>
    </row>
    <row r="123" spans="2:11" hidden="1" outlineLevel="1" x14ac:dyDescent="0.2">
      <c r="B123" s="141">
        <f t="shared" si="14"/>
        <v>46447</v>
      </c>
      <c r="C123" s="138">
        <v>2089249.5816106796</v>
      </c>
      <c r="D123" s="134">
        <f>IF(ISNUMBER($F123),VLOOKUP($J123,'Table 1'!$B$13:$C$32,2,FALSE)/12*1000*Study_MW,"")</f>
        <v>0</v>
      </c>
      <c r="E123" s="134">
        <f t="shared" si="15"/>
        <v>2089249.5816106796</v>
      </c>
      <c r="F123" s="138">
        <v>63240</v>
      </c>
      <c r="G123" s="139">
        <f t="shared" si="16"/>
        <v>33.036837153869065</v>
      </c>
      <c r="I123" s="140">
        <f t="shared" si="21"/>
        <v>120</v>
      </c>
      <c r="J123" s="136">
        <f t="shared" si="17"/>
        <v>2027</v>
      </c>
      <c r="K123" s="141">
        <f t="shared" si="19"/>
        <v>46447</v>
      </c>
    </row>
    <row r="124" spans="2:11" hidden="1" outlineLevel="1" x14ac:dyDescent="0.2">
      <c r="B124" s="141">
        <f t="shared" si="14"/>
        <v>46478</v>
      </c>
      <c r="C124" s="138">
        <v>1931695.9922344685</v>
      </c>
      <c r="D124" s="134">
        <f>IF(ISNUMBER($F124),VLOOKUP($J124,'Table 1'!$B$13:$C$32,2,FALSE)/12*1000*Study_MW,"")</f>
        <v>0</v>
      </c>
      <c r="E124" s="134">
        <f t="shared" si="15"/>
        <v>1931695.9922344685</v>
      </c>
      <c r="F124" s="138">
        <v>61200</v>
      </c>
      <c r="G124" s="139">
        <f t="shared" si="16"/>
        <v>31.563660003831185</v>
      </c>
      <c r="I124" s="140">
        <f t="shared" si="21"/>
        <v>121</v>
      </c>
      <c r="J124" s="136">
        <f t="shared" si="17"/>
        <v>2027</v>
      </c>
      <c r="K124" s="141">
        <f t="shared" si="19"/>
        <v>46478</v>
      </c>
    </row>
    <row r="125" spans="2:11" hidden="1" outlineLevel="1" x14ac:dyDescent="0.2">
      <c r="B125" s="141">
        <f t="shared" si="14"/>
        <v>46508</v>
      </c>
      <c r="C125" s="138">
        <v>1787830.6139278114</v>
      </c>
      <c r="D125" s="134">
        <f>IF(ISNUMBER($F125),VLOOKUP($J125,'Table 1'!$B$13:$C$32,2,FALSE)/12*1000*Study_MW,"")</f>
        <v>0</v>
      </c>
      <c r="E125" s="134">
        <f t="shared" si="15"/>
        <v>1787830.6139278114</v>
      </c>
      <c r="F125" s="138">
        <v>63240</v>
      </c>
      <c r="G125" s="139">
        <f t="shared" si="16"/>
        <v>28.270566317644075</v>
      </c>
      <c r="I125" s="140">
        <f t="shared" si="21"/>
        <v>122</v>
      </c>
      <c r="J125" s="136">
        <f t="shared" si="17"/>
        <v>2027</v>
      </c>
      <c r="K125" s="141">
        <f t="shared" si="19"/>
        <v>46508</v>
      </c>
    </row>
    <row r="126" spans="2:11" hidden="1" outlineLevel="1" x14ac:dyDescent="0.2">
      <c r="B126" s="141">
        <f t="shared" si="14"/>
        <v>46539</v>
      </c>
      <c r="C126" s="138">
        <v>1783252.1307912767</v>
      </c>
      <c r="D126" s="134">
        <f>IF(ISNUMBER($F126),VLOOKUP($J126,'Table 1'!$B$13:$C$32,2,FALSE)/12*1000*Study_MW,"")</f>
        <v>0</v>
      </c>
      <c r="E126" s="134">
        <f t="shared" si="15"/>
        <v>1783252.1307912767</v>
      </c>
      <c r="F126" s="138">
        <v>61200</v>
      </c>
      <c r="G126" s="139">
        <f t="shared" si="16"/>
        <v>29.138106712275764</v>
      </c>
      <c r="I126" s="140">
        <f t="shared" si="21"/>
        <v>123</v>
      </c>
      <c r="J126" s="136">
        <f t="shared" si="17"/>
        <v>2027</v>
      </c>
      <c r="K126" s="141">
        <f t="shared" si="19"/>
        <v>46539</v>
      </c>
    </row>
    <row r="127" spans="2:11" hidden="1" outlineLevel="1" x14ac:dyDescent="0.2">
      <c r="B127" s="141">
        <f t="shared" si="14"/>
        <v>46569</v>
      </c>
      <c r="C127" s="138">
        <v>2829341.8451830149</v>
      </c>
      <c r="D127" s="134">
        <f>IF(ISNUMBER($F127),VLOOKUP($J127,'Table 1'!$B$13:$C$32,2,FALSE)/12*1000*Study_MW,"")</f>
        <v>0</v>
      </c>
      <c r="E127" s="134">
        <f t="shared" si="15"/>
        <v>2829341.8451830149</v>
      </c>
      <c r="F127" s="138">
        <v>63240</v>
      </c>
      <c r="G127" s="139">
        <f t="shared" si="16"/>
        <v>44.739750872596694</v>
      </c>
      <c r="I127" s="140">
        <f t="shared" si="21"/>
        <v>124</v>
      </c>
      <c r="J127" s="136">
        <f t="shared" si="17"/>
        <v>2027</v>
      </c>
      <c r="K127" s="141">
        <f t="shared" si="19"/>
        <v>46569</v>
      </c>
    </row>
    <row r="128" spans="2:11" hidden="1" outlineLevel="1" x14ac:dyDescent="0.2">
      <c r="B128" s="141">
        <f t="shared" si="14"/>
        <v>46600</v>
      </c>
      <c r="C128" s="138">
        <v>2696447.3919956982</v>
      </c>
      <c r="D128" s="134">
        <f>IF(ISNUMBER($F128),VLOOKUP($J128,'Table 1'!$B$13:$C$32,2,FALSE)/12*1000*Study_MW,"")</f>
        <v>0</v>
      </c>
      <c r="E128" s="134">
        <f t="shared" si="15"/>
        <v>2696447.3919956982</v>
      </c>
      <c r="F128" s="138">
        <v>63240</v>
      </c>
      <c r="G128" s="139">
        <f t="shared" si="16"/>
        <v>42.638320556541714</v>
      </c>
      <c r="I128" s="140">
        <f t="shared" si="21"/>
        <v>125</v>
      </c>
      <c r="J128" s="136">
        <f t="shared" si="17"/>
        <v>2027</v>
      </c>
      <c r="K128" s="141">
        <f t="shared" si="19"/>
        <v>46600</v>
      </c>
    </row>
    <row r="129" spans="2:11" hidden="1" outlineLevel="1" x14ac:dyDescent="0.2">
      <c r="B129" s="141">
        <f t="shared" si="14"/>
        <v>46631</v>
      </c>
      <c r="C129" s="138">
        <v>2646217.2938441336</v>
      </c>
      <c r="D129" s="134">
        <f>IF(ISNUMBER($F129),VLOOKUP($J129,'Table 1'!$B$13:$C$32,2,FALSE)/12*1000*Study_MW,"")</f>
        <v>0</v>
      </c>
      <c r="E129" s="134">
        <f t="shared" si="15"/>
        <v>2646217.2938441336</v>
      </c>
      <c r="F129" s="138">
        <v>61200</v>
      </c>
      <c r="G129" s="139">
        <f t="shared" si="16"/>
        <v>43.23884467065578</v>
      </c>
      <c r="I129" s="140">
        <f t="shared" si="21"/>
        <v>126</v>
      </c>
      <c r="J129" s="136">
        <f t="shared" si="17"/>
        <v>2027</v>
      </c>
      <c r="K129" s="141">
        <f t="shared" si="19"/>
        <v>46631</v>
      </c>
    </row>
    <row r="130" spans="2:11" hidden="1" outlineLevel="1" x14ac:dyDescent="0.2">
      <c r="B130" s="141">
        <f t="shared" si="14"/>
        <v>46661</v>
      </c>
      <c r="C130" s="138">
        <v>2028686.894018203</v>
      </c>
      <c r="D130" s="134">
        <f>IF(ISNUMBER($F130),VLOOKUP($J130,'Table 1'!$B$13:$C$32,2,FALSE)/12*1000*Study_MW,"")</f>
        <v>0</v>
      </c>
      <c r="E130" s="134">
        <f t="shared" si="15"/>
        <v>2028686.894018203</v>
      </c>
      <c r="F130" s="138">
        <v>63240</v>
      </c>
      <c r="G130" s="139">
        <f t="shared" si="16"/>
        <v>32.079172897188535</v>
      </c>
      <c r="I130" s="140">
        <f t="shared" si="21"/>
        <v>127</v>
      </c>
      <c r="J130" s="136">
        <f t="shared" si="17"/>
        <v>2027</v>
      </c>
      <c r="K130" s="141">
        <f t="shared" si="19"/>
        <v>46661</v>
      </c>
    </row>
    <row r="131" spans="2:11" hidden="1" outlineLevel="1" x14ac:dyDescent="0.2">
      <c r="B131" s="141">
        <f t="shared" si="14"/>
        <v>46692</v>
      </c>
      <c r="C131" s="138">
        <v>2167134.5322194099</v>
      </c>
      <c r="D131" s="134">
        <f>IF(ISNUMBER($F131),VLOOKUP($J131,'Table 1'!$B$13:$C$32,2,FALSE)/12*1000*Study_MW,"")</f>
        <v>0</v>
      </c>
      <c r="E131" s="134">
        <f t="shared" si="15"/>
        <v>2167134.5322194099</v>
      </c>
      <c r="F131" s="138">
        <v>61200</v>
      </c>
      <c r="G131" s="139">
        <f t="shared" si="16"/>
        <v>35.410694970905389</v>
      </c>
      <c r="I131" s="140">
        <f t="shared" si="21"/>
        <v>128</v>
      </c>
      <c r="J131" s="136">
        <f t="shared" si="17"/>
        <v>2027</v>
      </c>
      <c r="K131" s="141">
        <f t="shared" si="19"/>
        <v>46692</v>
      </c>
    </row>
    <row r="132" spans="2:11" hidden="1" outlineLevel="1" x14ac:dyDescent="0.2">
      <c r="B132" s="145">
        <f t="shared" si="14"/>
        <v>46722</v>
      </c>
      <c r="C132" s="142">
        <v>2552361.5377043188</v>
      </c>
      <c r="D132" s="143">
        <f>IF(ISNUMBER($F132),VLOOKUP($J132,'Table 1'!$B$13:$C$32,2,FALSE)/12*1000*Study_MW,"")</f>
        <v>0</v>
      </c>
      <c r="E132" s="143">
        <f t="shared" si="15"/>
        <v>2552361.5377043188</v>
      </c>
      <c r="F132" s="142">
        <v>63240</v>
      </c>
      <c r="G132" s="144">
        <f t="shared" si="16"/>
        <v>40.359923113604026</v>
      </c>
      <c r="I132" s="127">
        <f t="shared" si="21"/>
        <v>129</v>
      </c>
      <c r="J132" s="136">
        <f t="shared" si="17"/>
        <v>2027</v>
      </c>
      <c r="K132" s="145">
        <f t="shared" si="19"/>
        <v>46722</v>
      </c>
    </row>
    <row r="133" spans="2:11" hidden="1" outlineLevel="1" x14ac:dyDescent="0.2">
      <c r="B133" s="137">
        <f t="shared" si="14"/>
        <v>46753</v>
      </c>
      <c r="C133" s="132">
        <v>1922696.6187491715</v>
      </c>
      <c r="D133" s="133">
        <f>IF(ISNUMBER($F133),VLOOKUP($J133,'Table 1'!$B$13:$C$32,2,FALSE)/12*1000*Study_MW,"")</f>
        <v>1242083.3333333335</v>
      </c>
      <c r="E133" s="133">
        <f t="shared" si="15"/>
        <v>3164779.952082505</v>
      </c>
      <c r="F133" s="132">
        <v>63240</v>
      </c>
      <c r="G133" s="135">
        <f t="shared" si="16"/>
        <v>50.043958761582935</v>
      </c>
      <c r="I133" s="123">
        <f>I13</f>
        <v>1</v>
      </c>
      <c r="J133" s="136">
        <f t="shared" si="17"/>
        <v>2028</v>
      </c>
      <c r="K133" s="137">
        <f t="shared" si="19"/>
        <v>46753</v>
      </c>
    </row>
    <row r="134" spans="2:11" hidden="1" outlineLevel="1" x14ac:dyDescent="0.2">
      <c r="B134" s="141">
        <f t="shared" si="14"/>
        <v>46784</v>
      </c>
      <c r="C134" s="138">
        <v>1875192.3508480191</v>
      </c>
      <c r="D134" s="134">
        <f>IF(ISNUMBER($F134),VLOOKUP($J134,'Table 1'!$B$13:$C$32,2,FALSE)/12*1000*Study_MW,"")</f>
        <v>1242083.3333333335</v>
      </c>
      <c r="E134" s="134">
        <f t="shared" si="15"/>
        <v>3117275.6841813526</v>
      </c>
      <c r="F134" s="138">
        <v>59160</v>
      </c>
      <c r="G134" s="139">
        <f t="shared" si="16"/>
        <v>52.692286750868028</v>
      </c>
      <c r="I134" s="140">
        <f t="shared" ref="I134:I197" si="22">I14</f>
        <v>2</v>
      </c>
      <c r="J134" s="136">
        <f t="shared" si="17"/>
        <v>2028</v>
      </c>
      <c r="K134" s="141">
        <f t="shared" si="19"/>
        <v>46784</v>
      </c>
    </row>
    <row r="135" spans="2:11" hidden="1" outlineLevel="1" x14ac:dyDescent="0.2">
      <c r="B135" s="141">
        <f t="shared" si="14"/>
        <v>46813</v>
      </c>
      <c r="C135" s="138">
        <v>1947312.5849176645</v>
      </c>
      <c r="D135" s="134">
        <f>IF(ISNUMBER($F135),VLOOKUP($J135,'Table 1'!$B$13:$C$32,2,FALSE)/12*1000*Study_MW,"")</f>
        <v>1242083.3333333335</v>
      </c>
      <c r="E135" s="134">
        <f t="shared" si="15"/>
        <v>3189395.918250998</v>
      </c>
      <c r="F135" s="138">
        <v>63240</v>
      </c>
      <c r="G135" s="139">
        <f t="shared" si="16"/>
        <v>50.433205538440831</v>
      </c>
      <c r="I135" s="140">
        <f t="shared" si="22"/>
        <v>3</v>
      </c>
      <c r="J135" s="136">
        <f t="shared" si="17"/>
        <v>2028</v>
      </c>
      <c r="K135" s="141">
        <f t="shared" si="19"/>
        <v>46813</v>
      </c>
    </row>
    <row r="136" spans="2:11" hidden="1" outlineLevel="1" x14ac:dyDescent="0.2">
      <c r="B136" s="141">
        <f t="shared" si="14"/>
        <v>46844</v>
      </c>
      <c r="C136" s="138">
        <v>1831298.2174248099</v>
      </c>
      <c r="D136" s="134">
        <f>IF(ISNUMBER($F136),VLOOKUP($J136,'Table 1'!$B$13:$C$32,2,FALSE)/12*1000*Study_MW,"")</f>
        <v>1242083.3333333335</v>
      </c>
      <c r="E136" s="134">
        <f t="shared" si="15"/>
        <v>3073381.5507581434</v>
      </c>
      <c r="F136" s="138">
        <v>61200</v>
      </c>
      <c r="G136" s="139">
        <f t="shared" si="16"/>
        <v>50.218652790165741</v>
      </c>
      <c r="I136" s="140">
        <f t="shared" si="22"/>
        <v>4</v>
      </c>
      <c r="J136" s="136">
        <f t="shared" si="17"/>
        <v>2028</v>
      </c>
      <c r="K136" s="141">
        <f t="shared" si="19"/>
        <v>46844</v>
      </c>
    </row>
    <row r="137" spans="2:11" hidden="1" outlineLevel="1" x14ac:dyDescent="0.2">
      <c r="B137" s="141">
        <f t="shared" si="14"/>
        <v>46874</v>
      </c>
      <c r="C137" s="138">
        <v>1882335.7979599833</v>
      </c>
      <c r="D137" s="134">
        <f>IF(ISNUMBER($F137),VLOOKUP($J137,'Table 1'!$B$13:$C$32,2,FALSE)/12*1000*Study_MW,"")</f>
        <v>1242083.3333333335</v>
      </c>
      <c r="E137" s="134">
        <f t="shared" si="15"/>
        <v>3124419.1312933168</v>
      </c>
      <c r="F137" s="138">
        <v>63240</v>
      </c>
      <c r="G137" s="139">
        <f t="shared" si="16"/>
        <v>49.405742114062569</v>
      </c>
      <c r="I137" s="140">
        <f t="shared" si="22"/>
        <v>5</v>
      </c>
      <c r="J137" s="136">
        <f t="shared" si="17"/>
        <v>2028</v>
      </c>
      <c r="K137" s="141">
        <f t="shared" si="19"/>
        <v>46874</v>
      </c>
    </row>
    <row r="138" spans="2:11" hidden="1" outlineLevel="1" x14ac:dyDescent="0.2">
      <c r="B138" s="141">
        <f t="shared" si="14"/>
        <v>46905</v>
      </c>
      <c r="C138" s="138">
        <v>1864633.8837073743</v>
      </c>
      <c r="D138" s="134">
        <f>IF(ISNUMBER($F138),VLOOKUP($J138,'Table 1'!$B$13:$C$32,2,FALSE)/12*1000*Study_MW,"")</f>
        <v>1242083.3333333335</v>
      </c>
      <c r="E138" s="134">
        <f t="shared" si="15"/>
        <v>3106717.2170407078</v>
      </c>
      <c r="F138" s="138">
        <v>61200</v>
      </c>
      <c r="G138" s="139">
        <f t="shared" si="16"/>
        <v>50.763353219619411</v>
      </c>
      <c r="I138" s="140">
        <f t="shared" si="22"/>
        <v>6</v>
      </c>
      <c r="J138" s="136">
        <f t="shared" si="17"/>
        <v>2028</v>
      </c>
      <c r="K138" s="141">
        <f t="shared" si="19"/>
        <v>46905</v>
      </c>
    </row>
    <row r="139" spans="2:11" hidden="1" outlineLevel="1" x14ac:dyDescent="0.2">
      <c r="B139" s="141">
        <f t="shared" si="14"/>
        <v>46935</v>
      </c>
      <c r="C139" s="138">
        <v>1935520.7225693762</v>
      </c>
      <c r="D139" s="134">
        <f>IF(ISNUMBER($F139),VLOOKUP($J139,'Table 1'!$B$13:$C$32,2,FALSE)/12*1000*Study_MW,"")</f>
        <v>1242083.3333333335</v>
      </c>
      <c r="E139" s="134">
        <f t="shared" si="15"/>
        <v>3177604.0559027097</v>
      </c>
      <c r="F139" s="138">
        <v>63240</v>
      </c>
      <c r="G139" s="139">
        <f t="shared" si="16"/>
        <v>50.246743451972009</v>
      </c>
      <c r="I139" s="140">
        <f t="shared" si="22"/>
        <v>7</v>
      </c>
      <c r="J139" s="136">
        <f t="shared" si="17"/>
        <v>2028</v>
      </c>
      <c r="K139" s="141">
        <f t="shared" si="19"/>
        <v>46935</v>
      </c>
    </row>
    <row r="140" spans="2:11" hidden="1" outlineLevel="1" x14ac:dyDescent="0.2">
      <c r="B140" s="141">
        <f t="shared" si="14"/>
        <v>46966</v>
      </c>
      <c r="C140" s="138">
        <v>1981910.9977898598</v>
      </c>
      <c r="D140" s="134">
        <f>IF(ISNUMBER($F140),VLOOKUP($J140,'Table 1'!$B$13:$C$32,2,FALSE)/12*1000*Study_MW,"")</f>
        <v>1242083.3333333335</v>
      </c>
      <c r="E140" s="134">
        <f t="shared" si="15"/>
        <v>3223994.3311231933</v>
      </c>
      <c r="F140" s="138">
        <v>63240</v>
      </c>
      <c r="G140" s="139">
        <f t="shared" si="16"/>
        <v>50.980302516179528</v>
      </c>
      <c r="I140" s="140">
        <f t="shared" si="22"/>
        <v>8</v>
      </c>
      <c r="J140" s="136">
        <f t="shared" si="17"/>
        <v>2028</v>
      </c>
      <c r="K140" s="141">
        <f t="shared" si="19"/>
        <v>46966</v>
      </c>
    </row>
    <row r="141" spans="2:11" hidden="1" outlineLevel="1" x14ac:dyDescent="0.2">
      <c r="B141" s="141">
        <f t="shared" si="14"/>
        <v>46997</v>
      </c>
      <c r="C141" s="138">
        <v>1900266.7536931932</v>
      </c>
      <c r="D141" s="134">
        <f>IF(ISNUMBER($F141),VLOOKUP($J141,'Table 1'!$B$13:$C$32,2,FALSE)/12*1000*Study_MW,"")</f>
        <v>1242083.3333333335</v>
      </c>
      <c r="E141" s="134">
        <f t="shared" si="15"/>
        <v>3142350.0870265267</v>
      </c>
      <c r="F141" s="138">
        <v>61200</v>
      </c>
      <c r="G141" s="139">
        <f t="shared" si="16"/>
        <v>51.345589657296188</v>
      </c>
      <c r="I141" s="140">
        <f t="shared" si="22"/>
        <v>9</v>
      </c>
      <c r="J141" s="136">
        <f t="shared" si="17"/>
        <v>2028</v>
      </c>
      <c r="K141" s="141">
        <f t="shared" si="19"/>
        <v>46997</v>
      </c>
    </row>
    <row r="142" spans="2:11" hidden="1" outlineLevel="1" x14ac:dyDescent="0.2">
      <c r="B142" s="141">
        <f t="shared" ref="B142:B205" si="23">EDATE(B141,1)</f>
        <v>47027</v>
      </c>
      <c r="C142" s="138">
        <v>1952733.6754957438</v>
      </c>
      <c r="D142" s="134">
        <f>IF(ISNUMBER($F142),VLOOKUP($J142,'Table 1'!$B$13:$C$32,2,FALSE)/12*1000*Study_MW,"")</f>
        <v>1242083.3333333335</v>
      </c>
      <c r="E142" s="134">
        <f t="shared" ref="E142:E205" si="24">C142+D142</f>
        <v>3194817.0088290772</v>
      </c>
      <c r="F142" s="138">
        <v>63240</v>
      </c>
      <c r="G142" s="139">
        <f t="shared" ref="G142:G192" si="25">IF(ISNUMBER($F142),E142/$F142,"")</f>
        <v>50.51892803335037</v>
      </c>
      <c r="I142" s="140">
        <f t="shared" si="22"/>
        <v>10</v>
      </c>
      <c r="J142" s="136">
        <f t="shared" ref="J142:J205" si="26">YEAR(B142)</f>
        <v>2028</v>
      </c>
      <c r="K142" s="141">
        <f t="shared" si="19"/>
        <v>47027</v>
      </c>
    </row>
    <row r="143" spans="2:11" hidden="1" outlineLevel="1" x14ac:dyDescent="0.2">
      <c r="B143" s="141">
        <f t="shared" si="23"/>
        <v>47058</v>
      </c>
      <c r="C143" s="138">
        <v>1969712.9963804483</v>
      </c>
      <c r="D143" s="134">
        <f>IF(ISNUMBER($F143),VLOOKUP($J143,'Table 1'!$B$13:$C$32,2,FALSE)/12*1000*Study_MW,"")</f>
        <v>1242083.3333333335</v>
      </c>
      <c r="E143" s="134">
        <f t="shared" si="24"/>
        <v>3211796.3297137818</v>
      </c>
      <c r="F143" s="138">
        <v>61200</v>
      </c>
      <c r="G143" s="139">
        <f t="shared" si="25"/>
        <v>52.480332184865716</v>
      </c>
      <c r="I143" s="140">
        <f t="shared" si="22"/>
        <v>11</v>
      </c>
      <c r="J143" s="136">
        <f t="shared" si="26"/>
        <v>2028</v>
      </c>
      <c r="K143" s="141">
        <f t="shared" si="19"/>
        <v>47058</v>
      </c>
    </row>
    <row r="144" spans="2:11" hidden="1" outlineLevel="1" x14ac:dyDescent="0.2">
      <c r="B144" s="145">
        <f t="shared" si="23"/>
        <v>47088</v>
      </c>
      <c r="C144" s="142">
        <v>2107155.2603944242</v>
      </c>
      <c r="D144" s="143">
        <f>IF(ISNUMBER($F144),VLOOKUP($J144,'Table 1'!$B$13:$C$32,2,FALSE)/12*1000*Study_MW,"")</f>
        <v>1242083.3333333335</v>
      </c>
      <c r="E144" s="143">
        <f t="shared" si="24"/>
        <v>3349238.5937277577</v>
      </c>
      <c r="F144" s="142">
        <v>63240</v>
      </c>
      <c r="G144" s="144">
        <f t="shared" si="25"/>
        <v>52.960762076656508</v>
      </c>
      <c r="I144" s="127">
        <f t="shared" si="22"/>
        <v>12</v>
      </c>
      <c r="J144" s="136">
        <f t="shared" si="26"/>
        <v>2028</v>
      </c>
      <c r="K144" s="145">
        <f t="shared" si="19"/>
        <v>47088</v>
      </c>
    </row>
    <row r="145" spans="2:11" hidden="1" outlineLevel="1" x14ac:dyDescent="0.2">
      <c r="B145" s="137">
        <f t="shared" si="23"/>
        <v>47119</v>
      </c>
      <c r="C145" s="132">
        <v>2067249.9305967689</v>
      </c>
      <c r="D145" s="133">
        <f>IF(ISNUMBER($F145),VLOOKUP($J145,'Table 1'!$B$13:$C$32,2,FALSE)/12*1000*Study_MW,"")</f>
        <v>1268083.3333333333</v>
      </c>
      <c r="E145" s="133">
        <f t="shared" si="24"/>
        <v>3335333.2639301019</v>
      </c>
      <c r="F145" s="132">
        <v>63240</v>
      </c>
      <c r="G145" s="135">
        <f t="shared" si="25"/>
        <v>52.74088020129826</v>
      </c>
      <c r="I145" s="123">
        <f>I25</f>
        <v>14</v>
      </c>
      <c r="J145" s="136">
        <f t="shared" si="26"/>
        <v>2029</v>
      </c>
      <c r="K145" s="137">
        <f t="shared" si="19"/>
        <v>47119</v>
      </c>
    </row>
    <row r="146" spans="2:11" hidden="1" outlineLevel="1" x14ac:dyDescent="0.2">
      <c r="B146" s="141">
        <f t="shared" si="23"/>
        <v>47150</v>
      </c>
      <c r="C146" s="138">
        <v>1920007.9421865642</v>
      </c>
      <c r="D146" s="134">
        <f>IF(ISNUMBER($F146),VLOOKUP($J146,'Table 1'!$B$13:$C$32,2,FALSE)/12*1000*Study_MW,"")</f>
        <v>1268083.3333333333</v>
      </c>
      <c r="E146" s="134">
        <f t="shared" si="24"/>
        <v>3188091.2755198972</v>
      </c>
      <c r="F146" s="138">
        <v>57120</v>
      </c>
      <c r="G146" s="139">
        <f t="shared" si="25"/>
        <v>55.813922890754505</v>
      </c>
      <c r="I146" s="140">
        <f t="shared" si="22"/>
        <v>15</v>
      </c>
      <c r="J146" s="136">
        <f t="shared" si="26"/>
        <v>2029</v>
      </c>
      <c r="K146" s="141">
        <f t="shared" si="19"/>
        <v>47150</v>
      </c>
    </row>
    <row r="147" spans="2:11" hidden="1" outlineLevel="1" x14ac:dyDescent="0.2">
      <c r="B147" s="141">
        <f t="shared" si="23"/>
        <v>47178</v>
      </c>
      <c r="C147" s="138">
        <v>2072617.4208118618</v>
      </c>
      <c r="D147" s="134">
        <f>IF(ISNUMBER($F147),VLOOKUP($J147,'Table 1'!$B$13:$C$32,2,FALSE)/12*1000*Study_MW,"")</f>
        <v>1268083.3333333333</v>
      </c>
      <c r="E147" s="134">
        <f t="shared" si="24"/>
        <v>3340700.7541451948</v>
      </c>
      <c r="F147" s="138">
        <v>63240</v>
      </c>
      <c r="G147" s="139">
        <f t="shared" si="25"/>
        <v>52.825755125635588</v>
      </c>
      <c r="I147" s="140">
        <f t="shared" si="22"/>
        <v>16</v>
      </c>
      <c r="J147" s="136">
        <f t="shared" si="26"/>
        <v>2029</v>
      </c>
      <c r="K147" s="141">
        <f t="shared" si="19"/>
        <v>47178</v>
      </c>
    </row>
    <row r="148" spans="2:11" hidden="1" outlineLevel="1" x14ac:dyDescent="0.2">
      <c r="B148" s="141">
        <f t="shared" si="23"/>
        <v>47209</v>
      </c>
      <c r="C148" s="138">
        <v>1901372.928406328</v>
      </c>
      <c r="D148" s="134">
        <f>IF(ISNUMBER($F148),VLOOKUP($J148,'Table 1'!$B$13:$C$32,2,FALSE)/12*1000*Study_MW,"")</f>
        <v>1268083.3333333333</v>
      </c>
      <c r="E148" s="134">
        <f t="shared" si="24"/>
        <v>3169456.261739661</v>
      </c>
      <c r="F148" s="138">
        <v>61200</v>
      </c>
      <c r="G148" s="139">
        <f t="shared" si="25"/>
        <v>51.788501008817988</v>
      </c>
      <c r="I148" s="140">
        <f t="shared" si="22"/>
        <v>17</v>
      </c>
      <c r="J148" s="136">
        <f t="shared" si="26"/>
        <v>2029</v>
      </c>
      <c r="K148" s="141">
        <f t="shared" si="19"/>
        <v>47209</v>
      </c>
    </row>
    <row r="149" spans="2:11" hidden="1" outlineLevel="1" x14ac:dyDescent="0.2">
      <c r="B149" s="141">
        <f t="shared" si="23"/>
        <v>47239</v>
      </c>
      <c r="C149" s="138">
        <v>1987880.3485144079</v>
      </c>
      <c r="D149" s="134">
        <f>IF(ISNUMBER($F149),VLOOKUP($J149,'Table 1'!$B$13:$C$32,2,FALSE)/12*1000*Study_MW,"")</f>
        <v>1268083.3333333333</v>
      </c>
      <c r="E149" s="134">
        <f t="shared" si="24"/>
        <v>3255963.6818477409</v>
      </c>
      <c r="F149" s="138">
        <v>63240</v>
      </c>
      <c r="G149" s="139">
        <f t="shared" si="25"/>
        <v>51.48582672118502</v>
      </c>
      <c r="I149" s="140">
        <f t="shared" si="22"/>
        <v>18</v>
      </c>
      <c r="J149" s="136">
        <f t="shared" si="26"/>
        <v>2029</v>
      </c>
      <c r="K149" s="141">
        <f t="shared" si="19"/>
        <v>47239</v>
      </c>
    </row>
    <row r="150" spans="2:11" hidden="1" outlineLevel="1" x14ac:dyDescent="0.2">
      <c r="B150" s="141">
        <f t="shared" si="23"/>
        <v>47270</v>
      </c>
      <c r="C150" s="138">
        <v>1924299.7383860648</v>
      </c>
      <c r="D150" s="134">
        <f>IF(ISNUMBER($F150),VLOOKUP($J150,'Table 1'!$B$13:$C$32,2,FALSE)/12*1000*Study_MW,"")</f>
        <v>1268083.3333333333</v>
      </c>
      <c r="E150" s="134">
        <f t="shared" si="24"/>
        <v>3192383.0717193978</v>
      </c>
      <c r="F150" s="138">
        <v>61200</v>
      </c>
      <c r="G150" s="139">
        <f t="shared" si="25"/>
        <v>52.163122086918264</v>
      </c>
      <c r="I150" s="140">
        <f t="shared" si="22"/>
        <v>19</v>
      </c>
      <c r="J150" s="136">
        <f t="shared" si="26"/>
        <v>2029</v>
      </c>
      <c r="K150" s="141">
        <f t="shared" si="19"/>
        <v>47270</v>
      </c>
    </row>
    <row r="151" spans="2:11" hidden="1" outlineLevel="1" x14ac:dyDescent="0.2">
      <c r="B151" s="141">
        <f t="shared" si="23"/>
        <v>47300</v>
      </c>
      <c r="C151" s="138">
        <v>1962175.9514487088</v>
      </c>
      <c r="D151" s="134">
        <f>IF(ISNUMBER($F151),VLOOKUP($J151,'Table 1'!$B$13:$C$32,2,FALSE)/12*1000*Study_MW,"")</f>
        <v>1268083.3333333333</v>
      </c>
      <c r="E151" s="134">
        <f t="shared" si="24"/>
        <v>3230259.2847820418</v>
      </c>
      <c r="F151" s="138">
        <v>63240</v>
      </c>
      <c r="G151" s="139">
        <f t="shared" si="25"/>
        <v>51.079368829570555</v>
      </c>
      <c r="I151" s="140">
        <f t="shared" si="22"/>
        <v>20</v>
      </c>
      <c r="J151" s="136">
        <f t="shared" si="26"/>
        <v>2029</v>
      </c>
      <c r="K151" s="141">
        <f t="shared" si="19"/>
        <v>47300</v>
      </c>
    </row>
    <row r="152" spans="2:11" hidden="1" outlineLevel="1" x14ac:dyDescent="0.2">
      <c r="B152" s="141">
        <f t="shared" si="23"/>
        <v>47331</v>
      </c>
      <c r="C152" s="138">
        <v>2017318.8803780973</v>
      </c>
      <c r="D152" s="134">
        <f>IF(ISNUMBER($F152),VLOOKUP($J152,'Table 1'!$B$13:$C$32,2,FALSE)/12*1000*Study_MW,"")</f>
        <v>1268083.3333333333</v>
      </c>
      <c r="E152" s="134">
        <f t="shared" si="24"/>
        <v>3285402.2137114303</v>
      </c>
      <c r="F152" s="138">
        <v>63240</v>
      </c>
      <c r="G152" s="139">
        <f t="shared" si="25"/>
        <v>51.951331652615913</v>
      </c>
      <c r="I152" s="140">
        <f t="shared" si="22"/>
        <v>21</v>
      </c>
      <c r="J152" s="136">
        <f t="shared" si="26"/>
        <v>2029</v>
      </c>
      <c r="K152" s="141">
        <f t="shared" si="19"/>
        <v>47331</v>
      </c>
    </row>
    <row r="153" spans="2:11" hidden="1" outlineLevel="1" x14ac:dyDescent="0.2">
      <c r="B153" s="141">
        <f t="shared" si="23"/>
        <v>47362</v>
      </c>
      <c r="C153" s="138">
        <v>1889586.6608007848</v>
      </c>
      <c r="D153" s="134">
        <f>IF(ISNUMBER($F153),VLOOKUP($J153,'Table 1'!$B$13:$C$32,2,FALSE)/12*1000*Study_MW,"")</f>
        <v>1268083.3333333333</v>
      </c>
      <c r="E153" s="134">
        <f t="shared" si="24"/>
        <v>3157669.9941341178</v>
      </c>
      <c r="F153" s="138">
        <v>61200</v>
      </c>
      <c r="G153" s="139">
        <f t="shared" si="25"/>
        <v>51.595914936831988</v>
      </c>
      <c r="I153" s="140">
        <f t="shared" si="22"/>
        <v>22</v>
      </c>
      <c r="J153" s="136">
        <f t="shared" si="26"/>
        <v>2029</v>
      </c>
      <c r="K153" s="141">
        <f t="shared" si="19"/>
        <v>47362</v>
      </c>
    </row>
    <row r="154" spans="2:11" hidden="1" outlineLevel="1" x14ac:dyDescent="0.2">
      <c r="B154" s="141">
        <f t="shared" si="23"/>
        <v>47392</v>
      </c>
      <c r="C154" s="138">
        <v>1970627.3153213263</v>
      </c>
      <c r="D154" s="134">
        <f>IF(ISNUMBER($F154),VLOOKUP($J154,'Table 1'!$B$13:$C$32,2,FALSE)/12*1000*Study_MW,"")</f>
        <v>1268083.3333333333</v>
      </c>
      <c r="E154" s="134">
        <f t="shared" si="24"/>
        <v>3238710.6486546593</v>
      </c>
      <c r="F154" s="138">
        <v>63240</v>
      </c>
      <c r="G154" s="139">
        <f t="shared" si="25"/>
        <v>51.21300835949809</v>
      </c>
      <c r="I154" s="140">
        <f t="shared" si="22"/>
        <v>23</v>
      </c>
      <c r="J154" s="136">
        <f t="shared" si="26"/>
        <v>2029</v>
      </c>
      <c r="K154" s="141">
        <f t="shared" ref="K154:K217" si="27">IF(ISNUMBER(F154),IF(F154&lt;&gt;0,B154,""),"")</f>
        <v>47392</v>
      </c>
    </row>
    <row r="155" spans="2:11" hidden="1" outlineLevel="1" x14ac:dyDescent="0.2">
      <c r="B155" s="141">
        <f t="shared" si="23"/>
        <v>47423</v>
      </c>
      <c r="C155" s="138">
        <v>1956391.6115619838</v>
      </c>
      <c r="D155" s="134">
        <f>IF(ISNUMBER($F155),VLOOKUP($J155,'Table 1'!$B$13:$C$32,2,FALSE)/12*1000*Study_MW,"")</f>
        <v>1268083.3333333333</v>
      </c>
      <c r="E155" s="134">
        <f t="shared" si="24"/>
        <v>3224474.9448953168</v>
      </c>
      <c r="F155" s="138">
        <v>61200</v>
      </c>
      <c r="G155" s="139">
        <f t="shared" si="25"/>
        <v>52.687499099596678</v>
      </c>
      <c r="I155" s="140">
        <f t="shared" si="22"/>
        <v>24</v>
      </c>
      <c r="J155" s="136">
        <f t="shared" si="26"/>
        <v>2029</v>
      </c>
      <c r="K155" s="141">
        <f t="shared" si="27"/>
        <v>47423</v>
      </c>
    </row>
    <row r="156" spans="2:11" hidden="1" outlineLevel="1" x14ac:dyDescent="0.2">
      <c r="B156" s="145">
        <f t="shared" si="23"/>
        <v>47453</v>
      </c>
      <c r="C156" s="142">
        <v>2085144.9967658818</v>
      </c>
      <c r="D156" s="143">
        <f>IF(ISNUMBER($F156),VLOOKUP($J156,'Table 1'!$B$13:$C$32,2,FALSE)/12*1000*Study_MW,"")</f>
        <v>1268083.3333333333</v>
      </c>
      <c r="E156" s="143">
        <f t="shared" si="24"/>
        <v>3353228.3300992148</v>
      </c>
      <c r="F156" s="142">
        <v>63240</v>
      </c>
      <c r="G156" s="144">
        <f t="shared" si="25"/>
        <v>53.023850887084357</v>
      </c>
      <c r="I156" s="127">
        <f t="shared" si="22"/>
        <v>25</v>
      </c>
      <c r="J156" s="136">
        <f t="shared" si="26"/>
        <v>2029</v>
      </c>
      <c r="K156" s="145">
        <f t="shared" si="27"/>
        <v>47453</v>
      </c>
    </row>
    <row r="157" spans="2:11" hidden="1" outlineLevel="1" x14ac:dyDescent="0.2">
      <c r="B157" s="137">
        <f t="shared" si="23"/>
        <v>47484</v>
      </c>
      <c r="C157" s="132">
        <v>2128064.4192700982</v>
      </c>
      <c r="D157" s="133">
        <f>IF(ISNUMBER($F157),VLOOKUP($J157,'Table 1'!$B$13:$C$32,2,FALSE)/12*1000*Study_MW,"")</f>
        <v>1296250</v>
      </c>
      <c r="E157" s="133">
        <f t="shared" si="24"/>
        <v>3424314.4192700982</v>
      </c>
      <c r="F157" s="132">
        <v>63240</v>
      </c>
      <c r="G157" s="135">
        <f t="shared" si="25"/>
        <v>54.147919343296934</v>
      </c>
      <c r="I157" s="123">
        <f>I37</f>
        <v>27</v>
      </c>
      <c r="J157" s="136">
        <f t="shared" si="26"/>
        <v>2030</v>
      </c>
      <c r="K157" s="137">
        <f t="shared" si="27"/>
        <v>47484</v>
      </c>
    </row>
    <row r="158" spans="2:11" hidden="1" outlineLevel="1" x14ac:dyDescent="0.2">
      <c r="B158" s="141">
        <f t="shared" si="23"/>
        <v>47515</v>
      </c>
      <c r="C158" s="138">
        <v>1958402.0019888282</v>
      </c>
      <c r="D158" s="134">
        <f>IF(ISNUMBER($F158),VLOOKUP($J158,'Table 1'!$B$13:$C$32,2,FALSE)/12*1000*Study_MW,"")</f>
        <v>1296250</v>
      </c>
      <c r="E158" s="134">
        <f t="shared" si="24"/>
        <v>3254652.0019888282</v>
      </c>
      <c r="F158" s="138">
        <v>57120</v>
      </c>
      <c r="G158" s="139">
        <f t="shared" si="25"/>
        <v>56.979201715490689</v>
      </c>
      <c r="I158" s="140">
        <f t="shared" si="22"/>
        <v>28</v>
      </c>
      <c r="J158" s="136">
        <f t="shared" si="26"/>
        <v>2030</v>
      </c>
      <c r="K158" s="141">
        <f t="shared" si="27"/>
        <v>47515</v>
      </c>
    </row>
    <row r="159" spans="2:11" hidden="1" outlineLevel="1" x14ac:dyDescent="0.2">
      <c r="B159" s="141">
        <f t="shared" si="23"/>
        <v>47543</v>
      </c>
      <c r="C159" s="138">
        <v>2094170.3952539563</v>
      </c>
      <c r="D159" s="134">
        <f>IF(ISNUMBER($F159),VLOOKUP($J159,'Table 1'!$B$13:$C$32,2,FALSE)/12*1000*Study_MW,"")</f>
        <v>1296250</v>
      </c>
      <c r="E159" s="134">
        <f t="shared" si="24"/>
        <v>3390420.3952539563</v>
      </c>
      <c r="F159" s="138">
        <v>63240</v>
      </c>
      <c r="G159" s="139">
        <f t="shared" si="25"/>
        <v>53.611960709265595</v>
      </c>
      <c r="I159" s="140">
        <f t="shared" si="22"/>
        <v>29</v>
      </c>
      <c r="J159" s="136">
        <f t="shared" si="26"/>
        <v>2030</v>
      </c>
      <c r="K159" s="141">
        <f t="shared" si="27"/>
        <v>47543</v>
      </c>
    </row>
    <row r="160" spans="2:11" hidden="1" outlineLevel="1" x14ac:dyDescent="0.2">
      <c r="B160" s="141">
        <f t="shared" si="23"/>
        <v>47574</v>
      </c>
      <c r="C160" s="138">
        <v>2064291.9372539222</v>
      </c>
      <c r="D160" s="134">
        <f>IF(ISNUMBER($F160),VLOOKUP($J160,'Table 1'!$B$13:$C$32,2,FALSE)/12*1000*Study_MW,"")</f>
        <v>1296250</v>
      </c>
      <c r="E160" s="134">
        <f t="shared" si="24"/>
        <v>3360541.9372539222</v>
      </c>
      <c r="F160" s="138">
        <v>61200</v>
      </c>
      <c r="G160" s="139">
        <f t="shared" si="25"/>
        <v>54.910815968201341</v>
      </c>
      <c r="I160" s="140">
        <f t="shared" si="22"/>
        <v>30</v>
      </c>
      <c r="J160" s="136">
        <f t="shared" si="26"/>
        <v>2030</v>
      </c>
      <c r="K160" s="141">
        <f t="shared" si="27"/>
        <v>47574</v>
      </c>
    </row>
    <row r="161" spans="2:11" hidden="1" outlineLevel="1" x14ac:dyDescent="0.2">
      <c r="B161" s="141">
        <f t="shared" si="23"/>
        <v>47604</v>
      </c>
      <c r="C161" s="138">
        <v>2148275.7594931722</v>
      </c>
      <c r="D161" s="134">
        <f>IF(ISNUMBER($F161),VLOOKUP($J161,'Table 1'!$B$13:$C$32,2,FALSE)/12*1000*Study_MW,"")</f>
        <v>1296250</v>
      </c>
      <c r="E161" s="134">
        <f t="shared" si="24"/>
        <v>3444525.7594931722</v>
      </c>
      <c r="F161" s="138">
        <v>63240</v>
      </c>
      <c r="G161" s="139">
        <f t="shared" si="25"/>
        <v>54.467516753528969</v>
      </c>
      <c r="I161" s="140">
        <f t="shared" si="22"/>
        <v>31</v>
      </c>
      <c r="J161" s="136">
        <f t="shared" si="26"/>
        <v>2030</v>
      </c>
      <c r="K161" s="141">
        <f t="shared" si="27"/>
        <v>47604</v>
      </c>
    </row>
    <row r="162" spans="2:11" hidden="1" outlineLevel="1" x14ac:dyDescent="0.2">
      <c r="B162" s="141">
        <f t="shared" si="23"/>
        <v>47635</v>
      </c>
      <c r="C162" s="138">
        <v>2023116.2411021292</v>
      </c>
      <c r="D162" s="134">
        <f>IF(ISNUMBER($F162),VLOOKUP($J162,'Table 1'!$B$13:$C$32,2,FALSE)/12*1000*Study_MW,"")</f>
        <v>1296250</v>
      </c>
      <c r="E162" s="134">
        <f t="shared" si="24"/>
        <v>3319366.2411021292</v>
      </c>
      <c r="F162" s="138">
        <v>61200</v>
      </c>
      <c r="G162" s="139">
        <f t="shared" si="25"/>
        <v>54.238010475524987</v>
      </c>
      <c r="I162" s="140">
        <f t="shared" si="22"/>
        <v>32</v>
      </c>
      <c r="J162" s="136">
        <f t="shared" si="26"/>
        <v>2030</v>
      </c>
      <c r="K162" s="141">
        <f t="shared" si="27"/>
        <v>47635</v>
      </c>
    </row>
    <row r="163" spans="2:11" hidden="1" outlineLevel="1" x14ac:dyDescent="0.2">
      <c r="B163" s="141">
        <f t="shared" si="23"/>
        <v>47665</v>
      </c>
      <c r="C163" s="138">
        <v>2108204.4971509576</v>
      </c>
      <c r="D163" s="134">
        <f>IF(ISNUMBER($F163),VLOOKUP($J163,'Table 1'!$B$13:$C$32,2,FALSE)/12*1000*Study_MW,"")</f>
        <v>1296250</v>
      </c>
      <c r="E163" s="134">
        <f t="shared" si="24"/>
        <v>3404454.4971509576</v>
      </c>
      <c r="F163" s="138">
        <v>63240</v>
      </c>
      <c r="G163" s="139">
        <f t="shared" si="25"/>
        <v>53.833878829079026</v>
      </c>
      <c r="I163" s="140">
        <f t="shared" si="22"/>
        <v>33</v>
      </c>
      <c r="J163" s="136">
        <f t="shared" si="26"/>
        <v>2030</v>
      </c>
      <c r="K163" s="141">
        <f t="shared" si="27"/>
        <v>47665</v>
      </c>
    </row>
    <row r="164" spans="2:11" hidden="1" outlineLevel="1" x14ac:dyDescent="0.2">
      <c r="B164" s="141">
        <f t="shared" si="23"/>
        <v>47696</v>
      </c>
      <c r="C164" s="138">
        <v>2156227.4668143094</v>
      </c>
      <c r="D164" s="134">
        <f>IF(ISNUMBER($F164),VLOOKUP($J164,'Table 1'!$B$13:$C$32,2,FALSE)/12*1000*Study_MW,"")</f>
        <v>1296250</v>
      </c>
      <c r="E164" s="134">
        <f t="shared" si="24"/>
        <v>3452477.4668143094</v>
      </c>
      <c r="F164" s="138">
        <v>63240</v>
      </c>
      <c r="G164" s="139">
        <f t="shared" si="25"/>
        <v>54.593255325969473</v>
      </c>
      <c r="I164" s="140">
        <f t="shared" si="22"/>
        <v>34</v>
      </c>
      <c r="J164" s="136">
        <f t="shared" si="26"/>
        <v>2030</v>
      </c>
      <c r="K164" s="141">
        <f t="shared" si="27"/>
        <v>47696</v>
      </c>
    </row>
    <row r="165" spans="2:11" hidden="1" outlineLevel="1" x14ac:dyDescent="0.2">
      <c r="B165" s="141">
        <f t="shared" si="23"/>
        <v>47727</v>
      </c>
      <c r="C165" s="138">
        <v>2078961.4171465635</v>
      </c>
      <c r="D165" s="134">
        <f>IF(ISNUMBER($F165),VLOOKUP($J165,'Table 1'!$B$13:$C$32,2,FALSE)/12*1000*Study_MW,"")</f>
        <v>1296250</v>
      </c>
      <c r="E165" s="134">
        <f t="shared" si="24"/>
        <v>3375211.4171465635</v>
      </c>
      <c r="F165" s="138">
        <v>61200</v>
      </c>
      <c r="G165" s="139">
        <f t="shared" si="25"/>
        <v>55.150513352068032</v>
      </c>
      <c r="I165" s="140">
        <f t="shared" si="22"/>
        <v>35</v>
      </c>
      <c r="J165" s="136">
        <f t="shared" si="26"/>
        <v>2030</v>
      </c>
      <c r="K165" s="141">
        <f t="shared" si="27"/>
        <v>47727</v>
      </c>
    </row>
    <row r="166" spans="2:11" hidden="1" outlineLevel="1" x14ac:dyDescent="0.2">
      <c r="B166" s="141">
        <f t="shared" si="23"/>
        <v>47757</v>
      </c>
      <c r="C166" s="138">
        <v>2152572.7120935619</v>
      </c>
      <c r="D166" s="134">
        <f>IF(ISNUMBER($F166),VLOOKUP($J166,'Table 1'!$B$13:$C$32,2,FALSE)/12*1000*Study_MW,"")</f>
        <v>1296250</v>
      </c>
      <c r="E166" s="134">
        <f t="shared" si="24"/>
        <v>3448822.7120935619</v>
      </c>
      <c r="F166" s="138">
        <v>63240</v>
      </c>
      <c r="G166" s="139">
        <f t="shared" si="25"/>
        <v>54.535463505590798</v>
      </c>
      <c r="I166" s="140">
        <f t="shared" si="22"/>
        <v>36</v>
      </c>
      <c r="J166" s="136">
        <f t="shared" si="26"/>
        <v>2030</v>
      </c>
      <c r="K166" s="141">
        <f t="shared" si="27"/>
        <v>47757</v>
      </c>
    </row>
    <row r="167" spans="2:11" hidden="1" outlineLevel="1" x14ac:dyDescent="0.2">
      <c r="B167" s="141">
        <f t="shared" si="23"/>
        <v>47788</v>
      </c>
      <c r="C167" s="138">
        <v>2119271.577650696</v>
      </c>
      <c r="D167" s="134">
        <f>IF(ISNUMBER($F167),VLOOKUP($J167,'Table 1'!$B$13:$C$32,2,FALSE)/12*1000*Study_MW,"")</f>
        <v>1296250</v>
      </c>
      <c r="E167" s="134">
        <f t="shared" si="24"/>
        <v>3415521.577650696</v>
      </c>
      <c r="F167" s="138">
        <v>61200</v>
      </c>
      <c r="G167" s="139">
        <f t="shared" si="25"/>
        <v>55.80917610540353</v>
      </c>
      <c r="I167" s="140">
        <f t="shared" si="22"/>
        <v>37</v>
      </c>
      <c r="J167" s="136">
        <f t="shared" si="26"/>
        <v>2030</v>
      </c>
      <c r="K167" s="141">
        <f t="shared" si="27"/>
        <v>47788</v>
      </c>
    </row>
    <row r="168" spans="2:11" hidden="1" outlineLevel="1" x14ac:dyDescent="0.2">
      <c r="B168" s="145">
        <f t="shared" si="23"/>
        <v>47818</v>
      </c>
      <c r="C168" s="142">
        <v>2249576.2683527172</v>
      </c>
      <c r="D168" s="143">
        <f>IF(ISNUMBER($F168),VLOOKUP($J168,'Table 1'!$B$13:$C$32,2,FALSE)/12*1000*Study_MW,"")</f>
        <v>1296250</v>
      </c>
      <c r="E168" s="143">
        <f t="shared" si="24"/>
        <v>3545826.2683527172</v>
      </c>
      <c r="F168" s="142">
        <v>63240</v>
      </c>
      <c r="G168" s="144">
        <f t="shared" si="25"/>
        <v>56.069359082111276</v>
      </c>
      <c r="I168" s="127">
        <f t="shared" si="22"/>
        <v>38</v>
      </c>
      <c r="J168" s="136">
        <f t="shared" si="26"/>
        <v>2030</v>
      </c>
      <c r="K168" s="145">
        <f t="shared" si="27"/>
        <v>47818</v>
      </c>
    </row>
    <row r="169" spans="2:11" hidden="1" outlineLevel="1" x14ac:dyDescent="0.2">
      <c r="B169" s="137">
        <f t="shared" si="23"/>
        <v>47849</v>
      </c>
      <c r="C169" s="132">
        <v>2234449.7180949152</v>
      </c>
      <c r="D169" s="133">
        <f>IF(ISNUMBER($F169),VLOOKUP($J169,'Table 1'!$B$13:$C$32,2,FALSE)/12*1000*Study_MW,"")</f>
        <v>1324833.3333333335</v>
      </c>
      <c r="E169" s="133">
        <f t="shared" si="24"/>
        <v>3559283.0514282486</v>
      </c>
      <c r="F169" s="132">
        <v>63240</v>
      </c>
      <c r="G169" s="135">
        <f t="shared" si="25"/>
        <v>56.282148188302479</v>
      </c>
      <c r="I169" s="123">
        <f>I49</f>
        <v>40</v>
      </c>
      <c r="J169" s="136">
        <f t="shared" si="26"/>
        <v>2031</v>
      </c>
      <c r="K169" s="137">
        <f t="shared" si="27"/>
        <v>47849</v>
      </c>
    </row>
    <row r="170" spans="2:11" hidden="1" outlineLevel="1" x14ac:dyDescent="0.2">
      <c r="B170" s="141">
        <f t="shared" si="23"/>
        <v>47880</v>
      </c>
      <c r="C170" s="138">
        <v>2041028.0246948004</v>
      </c>
      <c r="D170" s="134">
        <f>IF(ISNUMBER($F170),VLOOKUP($J170,'Table 1'!$B$13:$C$32,2,FALSE)/12*1000*Study_MW,"")</f>
        <v>1324833.3333333335</v>
      </c>
      <c r="E170" s="134">
        <f t="shared" si="24"/>
        <v>3365861.3580281339</v>
      </c>
      <c r="F170" s="138">
        <v>57120</v>
      </c>
      <c r="G170" s="139">
        <f t="shared" si="25"/>
        <v>58.926144223181616</v>
      </c>
      <c r="I170" s="140">
        <f t="shared" si="22"/>
        <v>41</v>
      </c>
      <c r="J170" s="136">
        <f t="shared" si="26"/>
        <v>2031</v>
      </c>
      <c r="K170" s="141">
        <f t="shared" si="27"/>
        <v>47880</v>
      </c>
    </row>
    <row r="171" spans="2:11" hidden="1" outlineLevel="1" x14ac:dyDescent="0.2">
      <c r="B171" s="141">
        <f t="shared" si="23"/>
        <v>47908</v>
      </c>
      <c r="C171" s="138">
        <v>2250204.647031486</v>
      </c>
      <c r="D171" s="134">
        <f>IF(ISNUMBER($F171),VLOOKUP($J171,'Table 1'!$B$13:$C$32,2,FALSE)/12*1000*Study_MW,"")</f>
        <v>1324833.3333333335</v>
      </c>
      <c r="E171" s="134">
        <f t="shared" si="24"/>
        <v>3575037.9803648195</v>
      </c>
      <c r="F171" s="138">
        <v>63240</v>
      </c>
      <c r="G171" s="139">
        <f t="shared" si="25"/>
        <v>56.53127736187254</v>
      </c>
      <c r="I171" s="140">
        <f t="shared" si="22"/>
        <v>42</v>
      </c>
      <c r="J171" s="136">
        <f t="shared" si="26"/>
        <v>2031</v>
      </c>
      <c r="K171" s="141">
        <f t="shared" si="27"/>
        <v>47908</v>
      </c>
    </row>
    <row r="172" spans="2:11" hidden="1" outlineLevel="1" x14ac:dyDescent="0.2">
      <c r="B172" s="141">
        <f t="shared" si="23"/>
        <v>47939</v>
      </c>
      <c r="C172" s="138">
        <v>2141649.9354386926</v>
      </c>
      <c r="D172" s="134">
        <f>IF(ISNUMBER($F172),VLOOKUP($J172,'Table 1'!$B$13:$C$32,2,FALSE)/12*1000*Study_MW,"")</f>
        <v>1324833.3333333335</v>
      </c>
      <c r="E172" s="134">
        <f t="shared" si="24"/>
        <v>3466483.2687720261</v>
      </c>
      <c r="F172" s="138">
        <v>61200</v>
      </c>
      <c r="G172" s="139">
        <f t="shared" si="25"/>
        <v>56.64188347666709</v>
      </c>
      <c r="I172" s="140">
        <f t="shared" si="22"/>
        <v>43</v>
      </c>
      <c r="J172" s="136">
        <f t="shared" si="26"/>
        <v>2031</v>
      </c>
      <c r="K172" s="141">
        <f t="shared" si="27"/>
        <v>47939</v>
      </c>
    </row>
    <row r="173" spans="2:11" hidden="1" outlineLevel="1" x14ac:dyDescent="0.2">
      <c r="B173" s="141">
        <f t="shared" si="23"/>
        <v>47969</v>
      </c>
      <c r="C173" s="138">
        <v>2136287.3437260985</v>
      </c>
      <c r="D173" s="134">
        <f>IF(ISNUMBER($F173),VLOOKUP($J173,'Table 1'!$B$13:$C$32,2,FALSE)/12*1000*Study_MW,"")</f>
        <v>1324833.3333333335</v>
      </c>
      <c r="E173" s="134">
        <f t="shared" si="24"/>
        <v>3461120.677059432</v>
      </c>
      <c r="F173" s="138">
        <v>63240</v>
      </c>
      <c r="G173" s="139">
        <f t="shared" si="25"/>
        <v>54.729928479750662</v>
      </c>
      <c r="I173" s="140">
        <f t="shared" si="22"/>
        <v>44</v>
      </c>
      <c r="J173" s="136">
        <f t="shared" si="26"/>
        <v>2031</v>
      </c>
      <c r="K173" s="141">
        <f t="shared" si="27"/>
        <v>47969</v>
      </c>
    </row>
    <row r="174" spans="2:11" hidden="1" outlineLevel="1" x14ac:dyDescent="0.2">
      <c r="B174" s="141">
        <f t="shared" si="23"/>
        <v>48000</v>
      </c>
      <c r="C174" s="138">
        <v>2104875.2079862356</v>
      </c>
      <c r="D174" s="134">
        <f>IF(ISNUMBER($F174),VLOOKUP($J174,'Table 1'!$B$13:$C$32,2,FALSE)/12*1000*Study_MW,"")</f>
        <v>1324833.3333333335</v>
      </c>
      <c r="E174" s="134">
        <f t="shared" si="24"/>
        <v>3429708.5413195691</v>
      </c>
      <c r="F174" s="138">
        <v>61200</v>
      </c>
      <c r="G174" s="139">
        <f t="shared" si="25"/>
        <v>56.040989237247864</v>
      </c>
      <c r="I174" s="140">
        <f t="shared" si="22"/>
        <v>45</v>
      </c>
      <c r="J174" s="136">
        <f t="shared" si="26"/>
        <v>2031</v>
      </c>
      <c r="K174" s="141">
        <f t="shared" si="27"/>
        <v>48000</v>
      </c>
    </row>
    <row r="175" spans="2:11" hidden="1" outlineLevel="1" x14ac:dyDescent="0.2">
      <c r="B175" s="141">
        <f t="shared" si="23"/>
        <v>48030</v>
      </c>
      <c r="C175" s="138">
        <v>2249470.7353333831</v>
      </c>
      <c r="D175" s="134">
        <f>IF(ISNUMBER($F175),VLOOKUP($J175,'Table 1'!$B$13:$C$32,2,FALSE)/12*1000*Study_MW,"")</f>
        <v>1324833.3333333335</v>
      </c>
      <c r="E175" s="134">
        <f t="shared" si="24"/>
        <v>3574304.0686667166</v>
      </c>
      <c r="F175" s="138">
        <v>63240</v>
      </c>
      <c r="G175" s="139">
        <f t="shared" si="25"/>
        <v>56.519672180055608</v>
      </c>
      <c r="I175" s="140">
        <f t="shared" si="22"/>
        <v>46</v>
      </c>
      <c r="J175" s="136">
        <f t="shared" si="26"/>
        <v>2031</v>
      </c>
      <c r="K175" s="141">
        <f t="shared" si="27"/>
        <v>48030</v>
      </c>
    </row>
    <row r="176" spans="2:11" hidden="1" outlineLevel="1" x14ac:dyDescent="0.2">
      <c r="B176" s="141">
        <f t="shared" si="23"/>
        <v>48061</v>
      </c>
      <c r="C176" s="138">
        <v>2272069.3495984077</v>
      </c>
      <c r="D176" s="134">
        <f>IF(ISNUMBER($F176),VLOOKUP($J176,'Table 1'!$B$13:$C$32,2,FALSE)/12*1000*Study_MW,"")</f>
        <v>1324833.3333333335</v>
      </c>
      <c r="E176" s="134">
        <f t="shared" si="24"/>
        <v>3596902.6829317412</v>
      </c>
      <c r="F176" s="138">
        <v>63240</v>
      </c>
      <c r="G176" s="139">
        <f t="shared" si="25"/>
        <v>56.877019021691041</v>
      </c>
      <c r="I176" s="140">
        <f t="shared" si="22"/>
        <v>47</v>
      </c>
      <c r="J176" s="136">
        <f t="shared" si="26"/>
        <v>2031</v>
      </c>
      <c r="K176" s="141">
        <f t="shared" si="27"/>
        <v>48061</v>
      </c>
    </row>
    <row r="177" spans="2:11" hidden="1" outlineLevel="1" x14ac:dyDescent="0.2">
      <c r="B177" s="141">
        <f t="shared" si="23"/>
        <v>48092</v>
      </c>
      <c r="C177" s="138">
        <v>2160334.9566854239</v>
      </c>
      <c r="D177" s="134">
        <f>IF(ISNUMBER($F177),VLOOKUP($J177,'Table 1'!$B$13:$C$32,2,FALSE)/12*1000*Study_MW,"")</f>
        <v>1324833.3333333335</v>
      </c>
      <c r="E177" s="134">
        <f t="shared" si="24"/>
        <v>3485168.2900187573</v>
      </c>
      <c r="F177" s="138">
        <v>61200</v>
      </c>
      <c r="G177" s="139">
        <f t="shared" si="25"/>
        <v>56.947194281352246</v>
      </c>
      <c r="I177" s="140">
        <f t="shared" si="22"/>
        <v>48</v>
      </c>
      <c r="J177" s="136">
        <f t="shared" si="26"/>
        <v>2031</v>
      </c>
      <c r="K177" s="141">
        <f t="shared" si="27"/>
        <v>48092</v>
      </c>
    </row>
    <row r="178" spans="2:11" hidden="1" outlineLevel="1" x14ac:dyDescent="0.2">
      <c r="B178" s="141">
        <f t="shared" si="23"/>
        <v>48122</v>
      </c>
      <c r="C178" s="138">
        <v>2216570.7152605355</v>
      </c>
      <c r="D178" s="134">
        <f>IF(ISNUMBER($F178),VLOOKUP($J178,'Table 1'!$B$13:$C$32,2,FALSE)/12*1000*Study_MW,"")</f>
        <v>1324833.3333333335</v>
      </c>
      <c r="E178" s="134">
        <f t="shared" si="24"/>
        <v>3541404.048593869</v>
      </c>
      <c r="F178" s="138">
        <v>63240</v>
      </c>
      <c r="G178" s="139">
        <f t="shared" si="25"/>
        <v>55.999431508441951</v>
      </c>
      <c r="I178" s="140">
        <f t="shared" si="22"/>
        <v>49</v>
      </c>
      <c r="J178" s="136">
        <f t="shared" si="26"/>
        <v>2031</v>
      </c>
      <c r="K178" s="141">
        <f t="shared" si="27"/>
        <v>48122</v>
      </c>
    </row>
    <row r="179" spans="2:11" hidden="1" outlineLevel="1" x14ac:dyDescent="0.2">
      <c r="B179" s="141">
        <f t="shared" si="23"/>
        <v>48153</v>
      </c>
      <c r="C179" s="138">
        <v>2163536.3977068067</v>
      </c>
      <c r="D179" s="134">
        <f>IF(ISNUMBER($F179),VLOOKUP($J179,'Table 1'!$B$13:$C$32,2,FALSE)/12*1000*Study_MW,"")</f>
        <v>1324833.3333333335</v>
      </c>
      <c r="E179" s="134">
        <f t="shared" si="24"/>
        <v>3488369.7310401401</v>
      </c>
      <c r="F179" s="138">
        <v>61200</v>
      </c>
      <c r="G179" s="139">
        <f t="shared" si="25"/>
        <v>56.999505409152619</v>
      </c>
      <c r="I179" s="140">
        <f t="shared" si="22"/>
        <v>50</v>
      </c>
      <c r="J179" s="136">
        <f t="shared" si="26"/>
        <v>2031</v>
      </c>
      <c r="K179" s="141">
        <f t="shared" si="27"/>
        <v>48153</v>
      </c>
    </row>
    <row r="180" spans="2:11" hidden="1" outlineLevel="1" x14ac:dyDescent="0.2">
      <c r="B180" s="145">
        <f t="shared" si="23"/>
        <v>48183</v>
      </c>
      <c r="C180" s="142">
        <v>2286376.2566771209</v>
      </c>
      <c r="D180" s="143">
        <f>IF(ISNUMBER($F180),VLOOKUP($J180,'Table 1'!$B$13:$C$32,2,FALSE)/12*1000*Study_MW,"")</f>
        <v>1324833.3333333335</v>
      </c>
      <c r="E180" s="143">
        <f t="shared" si="24"/>
        <v>3611209.5900104544</v>
      </c>
      <c r="F180" s="142">
        <v>63240</v>
      </c>
      <c r="G180" s="144">
        <f t="shared" si="25"/>
        <v>57.103250948931915</v>
      </c>
      <c r="I180" s="127">
        <f t="shared" si="22"/>
        <v>51</v>
      </c>
      <c r="J180" s="136">
        <f t="shared" si="26"/>
        <v>2031</v>
      </c>
      <c r="K180" s="145">
        <f t="shared" si="27"/>
        <v>48183</v>
      </c>
    </row>
    <row r="181" spans="2:11" collapsed="1" x14ac:dyDescent="0.2">
      <c r="B181" s="137">
        <f t="shared" si="23"/>
        <v>48214</v>
      </c>
      <c r="C181" s="132">
        <v>2338203.0817860067</v>
      </c>
      <c r="D181" s="133">
        <f>IF(ISNUMBER($F181),VLOOKUP($J181,'Table 1'!$B$13:$C$32,2,FALSE)/12*1000*Study_MW,"")</f>
        <v>1354000</v>
      </c>
      <c r="E181" s="133">
        <f t="shared" si="24"/>
        <v>3692203.0817860067</v>
      </c>
      <c r="F181" s="132">
        <v>63240</v>
      </c>
      <c r="G181" s="135">
        <f t="shared" si="25"/>
        <v>58.383982950442864</v>
      </c>
      <c r="I181" s="123">
        <f>I61</f>
        <v>53</v>
      </c>
      <c r="J181" s="136">
        <f t="shared" si="26"/>
        <v>2032</v>
      </c>
      <c r="K181" s="137">
        <f t="shared" si="27"/>
        <v>48214</v>
      </c>
    </row>
    <row r="182" spans="2:11" x14ac:dyDescent="0.2">
      <c r="B182" s="141">
        <f t="shared" si="23"/>
        <v>48245</v>
      </c>
      <c r="C182" s="138">
        <v>2223826.9686939418</v>
      </c>
      <c r="D182" s="134">
        <f>IF(ISNUMBER($F182),VLOOKUP($J182,'Table 1'!$B$13:$C$32,2,FALSE)/12*1000*Study_MW,"")</f>
        <v>1354000</v>
      </c>
      <c r="E182" s="134">
        <f t="shared" si="24"/>
        <v>3577826.9686939418</v>
      </c>
      <c r="F182" s="138">
        <v>59160</v>
      </c>
      <c r="G182" s="139">
        <f t="shared" si="25"/>
        <v>60.477129288268117</v>
      </c>
      <c r="I182" s="140">
        <f t="shared" si="22"/>
        <v>54</v>
      </c>
      <c r="J182" s="136">
        <f t="shared" si="26"/>
        <v>2032</v>
      </c>
      <c r="K182" s="141">
        <f t="shared" si="27"/>
        <v>48245</v>
      </c>
    </row>
    <row r="183" spans="2:11" x14ac:dyDescent="0.2">
      <c r="B183" s="141">
        <f t="shared" si="23"/>
        <v>48274</v>
      </c>
      <c r="C183" s="138">
        <v>2297927.2916892767</v>
      </c>
      <c r="D183" s="134">
        <f>IF(ISNUMBER($F183),VLOOKUP($J183,'Table 1'!$B$13:$C$32,2,FALSE)/12*1000*Study_MW,"")</f>
        <v>1354000</v>
      </c>
      <c r="E183" s="134">
        <f t="shared" si="24"/>
        <v>3651927.2916892767</v>
      </c>
      <c r="F183" s="138">
        <v>63240</v>
      </c>
      <c r="G183" s="139">
        <f t="shared" si="25"/>
        <v>57.747110874276984</v>
      </c>
      <c r="I183" s="140">
        <f t="shared" si="22"/>
        <v>55</v>
      </c>
      <c r="J183" s="136">
        <f t="shared" si="26"/>
        <v>2032</v>
      </c>
      <c r="K183" s="141">
        <f t="shared" si="27"/>
        <v>48274</v>
      </c>
    </row>
    <row r="184" spans="2:11" x14ac:dyDescent="0.2">
      <c r="B184" s="141">
        <f t="shared" si="23"/>
        <v>48305</v>
      </c>
      <c r="C184" s="138">
        <v>2209060.4827172458</v>
      </c>
      <c r="D184" s="134">
        <f>IF(ISNUMBER($F184),VLOOKUP($J184,'Table 1'!$B$13:$C$32,2,FALSE)/12*1000*Study_MW,"")</f>
        <v>1354000</v>
      </c>
      <c r="E184" s="134">
        <f t="shared" si="24"/>
        <v>3563060.4827172458</v>
      </c>
      <c r="F184" s="138">
        <v>61200</v>
      </c>
      <c r="G184" s="139">
        <f t="shared" si="25"/>
        <v>58.219942528059569</v>
      </c>
      <c r="I184" s="140">
        <f t="shared" si="22"/>
        <v>56</v>
      </c>
      <c r="J184" s="136">
        <f t="shared" si="26"/>
        <v>2032</v>
      </c>
      <c r="K184" s="141">
        <f t="shared" si="27"/>
        <v>48305</v>
      </c>
    </row>
    <row r="185" spans="2:11" x14ac:dyDescent="0.2">
      <c r="B185" s="141">
        <f t="shared" si="23"/>
        <v>48335</v>
      </c>
      <c r="C185" s="138">
        <v>2248963.3988958895</v>
      </c>
      <c r="D185" s="134">
        <f>IF(ISNUMBER($F185),VLOOKUP($J185,'Table 1'!$B$13:$C$32,2,FALSE)/12*1000*Study_MW,"")</f>
        <v>1354000</v>
      </c>
      <c r="E185" s="134">
        <f t="shared" si="24"/>
        <v>3602963.3988958895</v>
      </c>
      <c r="F185" s="138">
        <v>63240</v>
      </c>
      <c r="G185" s="139">
        <f t="shared" si="25"/>
        <v>56.972855770017226</v>
      </c>
      <c r="I185" s="140">
        <f t="shared" si="22"/>
        <v>57</v>
      </c>
      <c r="J185" s="136">
        <f t="shared" si="26"/>
        <v>2032</v>
      </c>
      <c r="K185" s="141">
        <f t="shared" si="27"/>
        <v>48335</v>
      </c>
    </row>
    <row r="186" spans="2:11" x14ac:dyDescent="0.2">
      <c r="B186" s="141">
        <f t="shared" si="23"/>
        <v>48366</v>
      </c>
      <c r="C186" s="138">
        <v>2226328.4125701189</v>
      </c>
      <c r="D186" s="134">
        <f>IF(ISNUMBER($F186),VLOOKUP($J186,'Table 1'!$B$13:$C$32,2,FALSE)/12*1000*Study_MW,"")</f>
        <v>1354000</v>
      </c>
      <c r="E186" s="134">
        <f t="shared" si="24"/>
        <v>3580328.4125701189</v>
      </c>
      <c r="F186" s="138">
        <v>61200</v>
      </c>
      <c r="G186" s="139">
        <f t="shared" si="25"/>
        <v>58.502098244609783</v>
      </c>
      <c r="I186" s="140">
        <f t="shared" si="22"/>
        <v>58</v>
      </c>
      <c r="J186" s="136">
        <f t="shared" si="26"/>
        <v>2032</v>
      </c>
      <c r="K186" s="141">
        <f t="shared" si="27"/>
        <v>48366</v>
      </c>
    </row>
    <row r="187" spans="2:11" x14ac:dyDescent="0.2">
      <c r="B187" s="141">
        <f t="shared" si="23"/>
        <v>48396</v>
      </c>
      <c r="C187" s="138">
        <v>2255372.6065217853</v>
      </c>
      <c r="D187" s="134">
        <f>IF(ISNUMBER($F187),VLOOKUP($J187,'Table 1'!$B$13:$C$32,2,FALSE)/12*1000*Study_MW,"")</f>
        <v>1354000</v>
      </c>
      <c r="E187" s="134">
        <f t="shared" si="24"/>
        <v>3609372.6065217853</v>
      </c>
      <c r="F187" s="138">
        <v>63240</v>
      </c>
      <c r="G187" s="139">
        <f t="shared" si="25"/>
        <v>57.074203139180668</v>
      </c>
      <c r="I187" s="140">
        <f t="shared" si="22"/>
        <v>59</v>
      </c>
      <c r="J187" s="136">
        <f t="shared" si="26"/>
        <v>2032</v>
      </c>
      <c r="K187" s="141">
        <f t="shared" si="27"/>
        <v>48396</v>
      </c>
    </row>
    <row r="188" spans="2:11" x14ac:dyDescent="0.2">
      <c r="B188" s="141">
        <f t="shared" si="23"/>
        <v>48427</v>
      </c>
      <c r="C188" s="138">
        <v>2310597.1665623188</v>
      </c>
      <c r="D188" s="134">
        <f>IF(ISNUMBER($F188),VLOOKUP($J188,'Table 1'!$B$13:$C$32,2,FALSE)/12*1000*Study_MW,"")</f>
        <v>1354000</v>
      </c>
      <c r="E188" s="134">
        <f t="shared" si="24"/>
        <v>3664597.1665623188</v>
      </c>
      <c r="F188" s="138">
        <v>63240</v>
      </c>
      <c r="G188" s="139">
        <f t="shared" si="25"/>
        <v>57.947456776760262</v>
      </c>
      <c r="I188" s="140">
        <f t="shared" si="22"/>
        <v>60</v>
      </c>
      <c r="J188" s="136">
        <f t="shared" si="26"/>
        <v>2032</v>
      </c>
      <c r="K188" s="141">
        <f t="shared" si="27"/>
        <v>48427</v>
      </c>
    </row>
    <row r="189" spans="2:11" x14ac:dyDescent="0.2">
      <c r="B189" s="141">
        <f t="shared" si="23"/>
        <v>48458</v>
      </c>
      <c r="C189" s="138">
        <v>2176870.4560988545</v>
      </c>
      <c r="D189" s="134">
        <f>IF(ISNUMBER($F189),VLOOKUP($J189,'Table 1'!$B$13:$C$32,2,FALSE)/12*1000*Study_MW,"")</f>
        <v>1354000</v>
      </c>
      <c r="E189" s="134">
        <f t="shared" si="24"/>
        <v>3530870.4560988545</v>
      </c>
      <c r="F189" s="138">
        <v>61200</v>
      </c>
      <c r="G189" s="139">
        <f t="shared" si="25"/>
        <v>57.693961700961673</v>
      </c>
      <c r="I189" s="140">
        <f t="shared" si="22"/>
        <v>61</v>
      </c>
      <c r="J189" s="136">
        <f t="shared" si="26"/>
        <v>2032</v>
      </c>
      <c r="K189" s="141">
        <f t="shared" si="27"/>
        <v>48458</v>
      </c>
    </row>
    <row r="190" spans="2:11" x14ac:dyDescent="0.2">
      <c r="B190" s="141">
        <f t="shared" si="23"/>
        <v>48488</v>
      </c>
      <c r="C190" s="138">
        <v>2220109.3823334277</v>
      </c>
      <c r="D190" s="134">
        <f>IF(ISNUMBER($F190),VLOOKUP($J190,'Table 1'!$B$13:$C$32,2,FALSE)/12*1000*Study_MW,"")</f>
        <v>1354000</v>
      </c>
      <c r="E190" s="134">
        <f t="shared" si="24"/>
        <v>3574109.3823334277</v>
      </c>
      <c r="F190" s="138">
        <v>63240</v>
      </c>
      <c r="G190" s="139">
        <f t="shared" si="25"/>
        <v>56.516593648536173</v>
      </c>
      <c r="I190" s="140">
        <f t="shared" si="22"/>
        <v>62</v>
      </c>
      <c r="J190" s="136">
        <f t="shared" si="26"/>
        <v>2032</v>
      </c>
      <c r="K190" s="141">
        <f t="shared" si="27"/>
        <v>48488</v>
      </c>
    </row>
    <row r="191" spans="2:11" x14ac:dyDescent="0.2">
      <c r="B191" s="141">
        <f t="shared" si="23"/>
        <v>48519</v>
      </c>
      <c r="C191" s="138">
        <v>2222801.7278014421</v>
      </c>
      <c r="D191" s="134">
        <f>IF(ISNUMBER($F191),VLOOKUP($J191,'Table 1'!$B$13:$C$32,2,FALSE)/12*1000*Study_MW,"")</f>
        <v>1354000</v>
      </c>
      <c r="E191" s="134">
        <f t="shared" si="24"/>
        <v>3576801.7278014421</v>
      </c>
      <c r="F191" s="138">
        <v>61200</v>
      </c>
      <c r="G191" s="139">
        <f t="shared" si="25"/>
        <v>58.444472676494151</v>
      </c>
      <c r="I191" s="140">
        <f t="shared" si="22"/>
        <v>63</v>
      </c>
      <c r="J191" s="136">
        <f t="shared" si="26"/>
        <v>2032</v>
      </c>
      <c r="K191" s="141">
        <f t="shared" si="27"/>
        <v>48519</v>
      </c>
    </row>
    <row r="192" spans="2:11" x14ac:dyDescent="0.2">
      <c r="B192" s="145">
        <f t="shared" si="23"/>
        <v>48549</v>
      </c>
      <c r="C192" s="142">
        <v>2334284.312443763</v>
      </c>
      <c r="D192" s="143">
        <f>IF(ISNUMBER($F192),VLOOKUP($J192,'Table 1'!$B$13:$C$32,2,FALSE)/12*1000*Study_MW,"")</f>
        <v>1354000</v>
      </c>
      <c r="E192" s="143">
        <f t="shared" si="24"/>
        <v>3688284.312443763</v>
      </c>
      <c r="F192" s="142">
        <v>63240</v>
      </c>
      <c r="G192" s="144">
        <f t="shared" si="25"/>
        <v>58.322016325802707</v>
      </c>
      <c r="I192" s="127">
        <f t="shared" si="22"/>
        <v>64</v>
      </c>
      <c r="J192" s="136">
        <f t="shared" si="26"/>
        <v>2032</v>
      </c>
      <c r="K192" s="145">
        <f t="shared" si="27"/>
        <v>48549</v>
      </c>
    </row>
    <row r="193" spans="2:11" hidden="1" x14ac:dyDescent="0.2">
      <c r="B193" s="137">
        <f t="shared" si="23"/>
        <v>48580</v>
      </c>
      <c r="C193" s="246">
        <v>0</v>
      </c>
      <c r="D193" s="247">
        <f>IF(AND(ISNUMBER($F193)*SUM(F193:F204)&lt;&gt;0),VLOOKUP($J193,'Table 1'!$B$13:$C$32,2,FALSE)/12*1000*Study_MW,0)</f>
        <v>0</v>
      </c>
      <c r="E193" s="247">
        <f t="shared" si="24"/>
        <v>0</v>
      </c>
      <c r="F193" s="246">
        <v>0</v>
      </c>
      <c r="G193" s="248">
        <f>IFERROR(E193/$F193,0)</f>
        <v>0</v>
      </c>
      <c r="I193" s="123">
        <f>I73</f>
        <v>66</v>
      </c>
      <c r="J193" s="136">
        <f t="shared" si="26"/>
        <v>2033</v>
      </c>
      <c r="K193" s="137" t="str">
        <f t="shared" si="27"/>
        <v/>
      </c>
    </row>
    <row r="194" spans="2:11" hidden="1" x14ac:dyDescent="0.2">
      <c r="B194" s="141">
        <f t="shared" si="23"/>
        <v>48611</v>
      </c>
      <c r="C194" s="249">
        <v>0</v>
      </c>
      <c r="D194" s="250">
        <f>IF(AND(ISNUMBER($F194)*SUM(F194:F205)&lt;&gt;0),VLOOKUP($J194,'Table 1'!$B$13:$C$32,2,FALSE)/12*1000*Study_MW,0)</f>
        <v>0</v>
      </c>
      <c r="E194" s="250">
        <f t="shared" si="24"/>
        <v>0</v>
      </c>
      <c r="F194" s="249">
        <v>0</v>
      </c>
      <c r="G194" s="251">
        <f t="shared" ref="G194:G252" si="28">IFERROR(E194/$F194,0)</f>
        <v>0</v>
      </c>
      <c r="I194" s="140">
        <f t="shared" si="22"/>
        <v>67</v>
      </c>
      <c r="J194" s="136">
        <f t="shared" si="26"/>
        <v>2033</v>
      </c>
      <c r="K194" s="141" t="str">
        <f t="shared" si="27"/>
        <v/>
      </c>
    </row>
    <row r="195" spans="2:11" hidden="1" x14ac:dyDescent="0.2">
      <c r="B195" s="141">
        <f t="shared" si="23"/>
        <v>48639</v>
      </c>
      <c r="C195" s="249">
        <v>0</v>
      </c>
      <c r="D195" s="250">
        <f>IF(AND(ISNUMBER($F195)*SUM(F195:F206)&lt;&gt;0),VLOOKUP($J195,'Table 1'!$B$13:$C$32,2,FALSE)/12*1000*Study_MW,0)</f>
        <v>0</v>
      </c>
      <c r="E195" s="250">
        <f t="shared" si="24"/>
        <v>0</v>
      </c>
      <c r="F195" s="249">
        <v>0</v>
      </c>
      <c r="G195" s="251">
        <f t="shared" si="28"/>
        <v>0</v>
      </c>
      <c r="I195" s="140">
        <f t="shared" si="22"/>
        <v>68</v>
      </c>
      <c r="J195" s="136">
        <f t="shared" si="26"/>
        <v>2033</v>
      </c>
      <c r="K195" s="141" t="str">
        <f t="shared" si="27"/>
        <v/>
      </c>
    </row>
    <row r="196" spans="2:11" hidden="1" x14ac:dyDescent="0.2">
      <c r="B196" s="141">
        <f t="shared" si="23"/>
        <v>48670</v>
      </c>
      <c r="C196" s="249">
        <v>0</v>
      </c>
      <c r="D196" s="250">
        <f>IF(AND(ISNUMBER($F196)*SUM(F196:F207)&lt;&gt;0),VLOOKUP($J196,'Table 1'!$B$13:$C$32,2,FALSE)/12*1000*Study_MW,0)</f>
        <v>0</v>
      </c>
      <c r="E196" s="250">
        <f t="shared" si="24"/>
        <v>0</v>
      </c>
      <c r="F196" s="249">
        <v>0</v>
      </c>
      <c r="G196" s="251">
        <f t="shared" si="28"/>
        <v>0</v>
      </c>
      <c r="I196" s="140">
        <f t="shared" si="22"/>
        <v>69</v>
      </c>
      <c r="J196" s="136">
        <f t="shared" si="26"/>
        <v>2033</v>
      </c>
      <c r="K196" s="141" t="str">
        <f t="shared" si="27"/>
        <v/>
      </c>
    </row>
    <row r="197" spans="2:11" hidden="1" x14ac:dyDescent="0.2">
      <c r="B197" s="141">
        <f t="shared" si="23"/>
        <v>48700</v>
      </c>
      <c r="C197" s="249">
        <v>0</v>
      </c>
      <c r="D197" s="250">
        <f>IF(AND(ISNUMBER($F197)*SUM(F197:F208)&lt;&gt;0),VLOOKUP($J197,'Table 1'!$B$13:$C$32,2,FALSE)/12*1000*Study_MW,0)</f>
        <v>0</v>
      </c>
      <c r="E197" s="250">
        <f t="shared" si="24"/>
        <v>0</v>
      </c>
      <c r="F197" s="249">
        <v>0</v>
      </c>
      <c r="G197" s="251">
        <f t="shared" si="28"/>
        <v>0</v>
      </c>
      <c r="I197" s="140">
        <f t="shared" si="22"/>
        <v>70</v>
      </c>
      <c r="J197" s="136">
        <f t="shared" si="26"/>
        <v>2033</v>
      </c>
      <c r="K197" s="141" t="str">
        <f t="shared" si="27"/>
        <v/>
      </c>
    </row>
    <row r="198" spans="2:11" hidden="1" x14ac:dyDescent="0.2">
      <c r="B198" s="141">
        <f t="shared" si="23"/>
        <v>48731</v>
      </c>
      <c r="C198" s="249">
        <v>0</v>
      </c>
      <c r="D198" s="250">
        <f>IF(AND(ISNUMBER($F198)*SUM(F198:F209)&lt;&gt;0),VLOOKUP($J198,'Table 1'!$B$13:$C$32,2,FALSE)/12*1000*Study_MW,0)</f>
        <v>0</v>
      </c>
      <c r="E198" s="250">
        <f t="shared" si="24"/>
        <v>0</v>
      </c>
      <c r="F198" s="249">
        <v>0</v>
      </c>
      <c r="G198" s="251">
        <f t="shared" si="28"/>
        <v>0</v>
      </c>
      <c r="I198" s="140">
        <f t="shared" ref="I198:I204" si="29">I78</f>
        <v>71</v>
      </c>
      <c r="J198" s="136">
        <f t="shared" si="26"/>
        <v>2033</v>
      </c>
      <c r="K198" s="141" t="str">
        <f t="shared" si="27"/>
        <v/>
      </c>
    </row>
    <row r="199" spans="2:11" hidden="1" x14ac:dyDescent="0.2">
      <c r="B199" s="141">
        <f t="shared" si="23"/>
        <v>48761</v>
      </c>
      <c r="C199" s="249">
        <v>0</v>
      </c>
      <c r="D199" s="250">
        <f>IF(AND(ISNUMBER($F199)*SUM(F199:F210)&lt;&gt;0),VLOOKUP($J199,'Table 1'!$B$13:$C$32,2,FALSE)/12*1000*Study_MW,0)</f>
        <v>0</v>
      </c>
      <c r="E199" s="250">
        <f t="shared" si="24"/>
        <v>0</v>
      </c>
      <c r="F199" s="249">
        <v>0</v>
      </c>
      <c r="G199" s="251">
        <f t="shared" si="28"/>
        <v>0</v>
      </c>
      <c r="I199" s="140">
        <f t="shared" si="29"/>
        <v>72</v>
      </c>
      <c r="J199" s="136">
        <f t="shared" si="26"/>
        <v>2033</v>
      </c>
      <c r="K199" s="141" t="str">
        <f t="shared" si="27"/>
        <v/>
      </c>
    </row>
    <row r="200" spans="2:11" hidden="1" x14ac:dyDescent="0.2">
      <c r="B200" s="141">
        <f t="shared" si="23"/>
        <v>48792</v>
      </c>
      <c r="C200" s="249">
        <v>0</v>
      </c>
      <c r="D200" s="250">
        <f>IF(AND(ISNUMBER($F200)*SUM(F200:F211)&lt;&gt;0),VLOOKUP($J200,'Table 1'!$B$13:$C$32,2,FALSE)/12*1000*Study_MW,0)</f>
        <v>0</v>
      </c>
      <c r="E200" s="250">
        <f t="shared" si="24"/>
        <v>0</v>
      </c>
      <c r="F200" s="249">
        <v>0</v>
      </c>
      <c r="G200" s="251">
        <f t="shared" si="28"/>
        <v>0</v>
      </c>
      <c r="I200" s="140">
        <f t="shared" si="29"/>
        <v>73</v>
      </c>
      <c r="J200" s="136">
        <f t="shared" si="26"/>
        <v>2033</v>
      </c>
      <c r="K200" s="141" t="str">
        <f t="shared" si="27"/>
        <v/>
      </c>
    </row>
    <row r="201" spans="2:11" hidden="1" x14ac:dyDescent="0.2">
      <c r="B201" s="141">
        <f t="shared" si="23"/>
        <v>48823</v>
      </c>
      <c r="C201" s="249">
        <v>0</v>
      </c>
      <c r="D201" s="250">
        <f>IF(AND(ISNUMBER($F201)*SUM(F201:F212)&lt;&gt;0),VLOOKUP($J201,'Table 1'!$B$13:$C$32,2,FALSE)/12*1000*Study_MW,0)</f>
        <v>0</v>
      </c>
      <c r="E201" s="250">
        <f t="shared" si="24"/>
        <v>0</v>
      </c>
      <c r="F201" s="249">
        <v>0</v>
      </c>
      <c r="G201" s="251">
        <f t="shared" si="28"/>
        <v>0</v>
      </c>
      <c r="I201" s="140">
        <f t="shared" si="29"/>
        <v>74</v>
      </c>
      <c r="J201" s="136">
        <f t="shared" si="26"/>
        <v>2033</v>
      </c>
      <c r="K201" s="141" t="str">
        <f t="shared" si="27"/>
        <v/>
      </c>
    </row>
    <row r="202" spans="2:11" hidden="1" x14ac:dyDescent="0.2">
      <c r="B202" s="141">
        <f t="shared" si="23"/>
        <v>48853</v>
      </c>
      <c r="C202" s="249">
        <v>0</v>
      </c>
      <c r="D202" s="250">
        <f>IF(AND(ISNUMBER($F202)*SUM(F202:F213)&lt;&gt;0),VLOOKUP($J202,'Table 1'!$B$13:$C$32,2,FALSE)/12*1000*Study_MW,0)</f>
        <v>0</v>
      </c>
      <c r="E202" s="250">
        <f t="shared" si="24"/>
        <v>0</v>
      </c>
      <c r="F202" s="249">
        <v>0</v>
      </c>
      <c r="G202" s="251">
        <f t="shared" si="28"/>
        <v>0</v>
      </c>
      <c r="I202" s="140">
        <f t="shared" si="29"/>
        <v>75</v>
      </c>
      <c r="J202" s="136">
        <f t="shared" si="26"/>
        <v>2033</v>
      </c>
      <c r="K202" s="141" t="str">
        <f t="shared" si="27"/>
        <v/>
      </c>
    </row>
    <row r="203" spans="2:11" hidden="1" x14ac:dyDescent="0.2">
      <c r="B203" s="141">
        <f t="shared" si="23"/>
        <v>48884</v>
      </c>
      <c r="C203" s="249">
        <v>0</v>
      </c>
      <c r="D203" s="250">
        <f>IF(AND(ISNUMBER($F203)*SUM(F203:F214)&lt;&gt;0),VLOOKUP($J203,'Table 1'!$B$13:$C$32,2,FALSE)/12*1000*Study_MW,0)</f>
        <v>0</v>
      </c>
      <c r="E203" s="250">
        <f t="shared" si="24"/>
        <v>0</v>
      </c>
      <c r="F203" s="249">
        <v>0</v>
      </c>
      <c r="G203" s="251">
        <f t="shared" si="28"/>
        <v>0</v>
      </c>
      <c r="I203" s="140">
        <f t="shared" si="29"/>
        <v>76</v>
      </c>
      <c r="J203" s="136">
        <f t="shared" si="26"/>
        <v>2033</v>
      </c>
      <c r="K203" s="141" t="str">
        <f t="shared" si="27"/>
        <v/>
      </c>
    </row>
    <row r="204" spans="2:11" hidden="1" x14ac:dyDescent="0.2">
      <c r="B204" s="145">
        <f t="shared" si="23"/>
        <v>48914</v>
      </c>
      <c r="C204" s="252">
        <v>0</v>
      </c>
      <c r="D204" s="253">
        <f>IF(AND(ISNUMBER($F204)*SUM(F204:F215)&lt;&gt;0),VLOOKUP($J204,'Table 1'!$B$13:$C$32,2,FALSE)/12*1000*Study_MW,0)</f>
        <v>0</v>
      </c>
      <c r="E204" s="253">
        <f t="shared" si="24"/>
        <v>0</v>
      </c>
      <c r="F204" s="252">
        <v>0</v>
      </c>
      <c r="G204" s="254">
        <f t="shared" si="28"/>
        <v>0</v>
      </c>
      <c r="I204" s="127">
        <f t="shared" si="29"/>
        <v>77</v>
      </c>
      <c r="J204" s="136">
        <f t="shared" si="26"/>
        <v>2033</v>
      </c>
      <c r="K204" s="145" t="str">
        <f t="shared" si="27"/>
        <v/>
      </c>
    </row>
    <row r="205" spans="2:11" hidden="1" outlineLevel="1" x14ac:dyDescent="0.2">
      <c r="B205" s="137">
        <f t="shared" si="23"/>
        <v>48945</v>
      </c>
      <c r="C205" s="246">
        <v>0</v>
      </c>
      <c r="D205" s="247">
        <f>IF(AND(ISNUMBER($F205)*SUM(F205:F216)&lt;&gt;0),VLOOKUP($J205,'Table 1'!$B$13:$C$32,2,FALSE)/12*1000*Study_MW,0)</f>
        <v>0</v>
      </c>
      <c r="E205" s="247">
        <f t="shared" si="24"/>
        <v>0</v>
      </c>
      <c r="F205" s="246">
        <v>0</v>
      </c>
      <c r="G205" s="248">
        <f t="shared" si="28"/>
        <v>0</v>
      </c>
      <c r="I205" s="123">
        <f>I85</f>
        <v>79</v>
      </c>
      <c r="J205" s="136">
        <f t="shared" si="26"/>
        <v>2034</v>
      </c>
      <c r="K205" s="137" t="str">
        <f t="shared" si="27"/>
        <v/>
      </c>
    </row>
    <row r="206" spans="2:11" hidden="1" outlineLevel="1" x14ac:dyDescent="0.2">
      <c r="B206" s="141">
        <f t="shared" ref="B206:B264" si="30">EDATE(B205,1)</f>
        <v>48976</v>
      </c>
      <c r="C206" s="249">
        <v>0</v>
      </c>
      <c r="D206" s="250">
        <f>IF(AND(ISNUMBER($F206)*SUM(F206:F217)&lt;&gt;0),VLOOKUP($J206,'Table 1'!$B$13:$C$32,2,FALSE)/12*1000*Study_MW,0)</f>
        <v>0</v>
      </c>
      <c r="E206" s="250">
        <f t="shared" ref="E206:E252" si="31">C206+D206</f>
        <v>0</v>
      </c>
      <c r="F206" s="249">
        <v>0</v>
      </c>
      <c r="G206" s="251">
        <f t="shared" si="28"/>
        <v>0</v>
      </c>
      <c r="I206" s="140">
        <f t="shared" ref="I206:I228" si="32">I86</f>
        <v>80</v>
      </c>
      <c r="J206" s="136">
        <f t="shared" ref="J206:J264" si="33">YEAR(B206)</f>
        <v>2034</v>
      </c>
      <c r="K206" s="141" t="str">
        <f t="shared" si="27"/>
        <v/>
      </c>
    </row>
    <row r="207" spans="2:11" hidden="1" outlineLevel="1" x14ac:dyDescent="0.2">
      <c r="B207" s="141">
        <f t="shared" si="30"/>
        <v>49004</v>
      </c>
      <c r="C207" s="249">
        <v>0</v>
      </c>
      <c r="D207" s="250">
        <f>IF(AND(ISNUMBER($F207)*SUM(F207:F218)&lt;&gt;0),VLOOKUP($J207,'Table 1'!$B$13:$C$32,2,FALSE)/12*1000*Study_MW,0)</f>
        <v>0</v>
      </c>
      <c r="E207" s="250">
        <f t="shared" si="31"/>
        <v>0</v>
      </c>
      <c r="F207" s="249">
        <v>0</v>
      </c>
      <c r="G207" s="251">
        <f t="shared" si="28"/>
        <v>0</v>
      </c>
      <c r="I207" s="140">
        <f t="shared" si="32"/>
        <v>81</v>
      </c>
      <c r="J207" s="136">
        <f t="shared" si="33"/>
        <v>2034</v>
      </c>
      <c r="K207" s="141" t="str">
        <f t="shared" si="27"/>
        <v/>
      </c>
    </row>
    <row r="208" spans="2:11" hidden="1" outlineLevel="1" x14ac:dyDescent="0.2">
      <c r="B208" s="141">
        <f t="shared" si="30"/>
        <v>49035</v>
      </c>
      <c r="C208" s="249">
        <v>0</v>
      </c>
      <c r="D208" s="250">
        <f>IF(AND(ISNUMBER($F208)*SUM(F208:F219)&lt;&gt;0),VLOOKUP($J208,'Table 1'!$B$13:$C$32,2,FALSE)/12*1000*Study_MW,0)</f>
        <v>0</v>
      </c>
      <c r="E208" s="250">
        <f t="shared" si="31"/>
        <v>0</v>
      </c>
      <c r="F208" s="249">
        <v>0</v>
      </c>
      <c r="G208" s="251">
        <f t="shared" si="28"/>
        <v>0</v>
      </c>
      <c r="I208" s="140">
        <f t="shared" si="32"/>
        <v>82</v>
      </c>
      <c r="J208" s="136">
        <f t="shared" si="33"/>
        <v>2034</v>
      </c>
      <c r="K208" s="141" t="str">
        <f t="shared" si="27"/>
        <v/>
      </c>
    </row>
    <row r="209" spans="2:11" hidden="1" outlineLevel="1" x14ac:dyDescent="0.2">
      <c r="B209" s="141">
        <f t="shared" si="30"/>
        <v>49065</v>
      </c>
      <c r="C209" s="249">
        <v>0</v>
      </c>
      <c r="D209" s="250">
        <f>IF(AND(ISNUMBER($F209)*SUM(F209:F220)&lt;&gt;0),VLOOKUP($J209,'Table 1'!$B$13:$C$32,2,FALSE)/12*1000*Study_MW,0)</f>
        <v>0</v>
      </c>
      <c r="E209" s="250">
        <f t="shared" si="31"/>
        <v>0</v>
      </c>
      <c r="F209" s="249">
        <v>0</v>
      </c>
      <c r="G209" s="251">
        <f t="shared" si="28"/>
        <v>0</v>
      </c>
      <c r="I209" s="140">
        <f t="shared" si="32"/>
        <v>83</v>
      </c>
      <c r="J209" s="136">
        <f t="shared" si="33"/>
        <v>2034</v>
      </c>
      <c r="K209" s="141" t="str">
        <f t="shared" si="27"/>
        <v/>
      </c>
    </row>
    <row r="210" spans="2:11" hidden="1" outlineLevel="1" x14ac:dyDescent="0.2">
      <c r="B210" s="141">
        <f t="shared" si="30"/>
        <v>49096</v>
      </c>
      <c r="C210" s="249">
        <v>0</v>
      </c>
      <c r="D210" s="250">
        <f>IF(AND(ISNUMBER($F210)*SUM(F210:F221)&lt;&gt;0),VLOOKUP($J210,'Table 1'!$B$13:$C$32,2,FALSE)/12*1000*Study_MW,0)</f>
        <v>0</v>
      </c>
      <c r="E210" s="250">
        <f t="shared" si="31"/>
        <v>0</v>
      </c>
      <c r="F210" s="249">
        <v>0</v>
      </c>
      <c r="G210" s="251">
        <f t="shared" si="28"/>
        <v>0</v>
      </c>
      <c r="I210" s="140">
        <f t="shared" si="32"/>
        <v>84</v>
      </c>
      <c r="J210" s="136">
        <f t="shared" si="33"/>
        <v>2034</v>
      </c>
      <c r="K210" s="141" t="str">
        <f t="shared" si="27"/>
        <v/>
      </c>
    </row>
    <row r="211" spans="2:11" hidden="1" outlineLevel="1" x14ac:dyDescent="0.2">
      <c r="B211" s="141">
        <f t="shared" si="30"/>
        <v>49126</v>
      </c>
      <c r="C211" s="249">
        <v>0</v>
      </c>
      <c r="D211" s="250">
        <f>IF(AND(ISNUMBER($F211)*SUM(F211:F222)&lt;&gt;0),VLOOKUP($J211,'Table 1'!$B$13:$C$32,2,FALSE)/12*1000*Study_MW,0)</f>
        <v>0</v>
      </c>
      <c r="E211" s="250">
        <f t="shared" si="31"/>
        <v>0</v>
      </c>
      <c r="F211" s="249">
        <v>0</v>
      </c>
      <c r="G211" s="251">
        <f t="shared" si="28"/>
        <v>0</v>
      </c>
      <c r="I211" s="140">
        <f t="shared" si="32"/>
        <v>85</v>
      </c>
      <c r="J211" s="136">
        <f t="shared" si="33"/>
        <v>2034</v>
      </c>
      <c r="K211" s="141" t="str">
        <f t="shared" si="27"/>
        <v/>
      </c>
    </row>
    <row r="212" spans="2:11" hidden="1" outlineLevel="1" x14ac:dyDescent="0.2">
      <c r="B212" s="141">
        <f t="shared" si="30"/>
        <v>49157</v>
      </c>
      <c r="C212" s="249">
        <v>0</v>
      </c>
      <c r="D212" s="250">
        <f>IF(AND(ISNUMBER($F212)*SUM(F212:F223)&lt;&gt;0),VLOOKUP($J212,'Table 1'!$B$13:$C$32,2,FALSE)/12*1000*Study_MW,0)</f>
        <v>0</v>
      </c>
      <c r="E212" s="250">
        <f t="shared" si="31"/>
        <v>0</v>
      </c>
      <c r="F212" s="249">
        <v>0</v>
      </c>
      <c r="G212" s="251">
        <f t="shared" si="28"/>
        <v>0</v>
      </c>
      <c r="I212" s="140">
        <f t="shared" si="32"/>
        <v>86</v>
      </c>
      <c r="J212" s="136">
        <f t="shared" si="33"/>
        <v>2034</v>
      </c>
      <c r="K212" s="141" t="str">
        <f t="shared" si="27"/>
        <v/>
      </c>
    </row>
    <row r="213" spans="2:11" hidden="1" outlineLevel="1" x14ac:dyDescent="0.2">
      <c r="B213" s="141">
        <f t="shared" si="30"/>
        <v>49188</v>
      </c>
      <c r="C213" s="249">
        <v>0</v>
      </c>
      <c r="D213" s="250">
        <f>IF(AND(ISNUMBER($F213)*SUM(F213:F224)&lt;&gt;0),VLOOKUP($J213,'Table 1'!$B$13:$C$32,2,FALSE)/12*1000*Study_MW,0)</f>
        <v>0</v>
      </c>
      <c r="E213" s="250">
        <f t="shared" si="31"/>
        <v>0</v>
      </c>
      <c r="F213" s="249">
        <v>0</v>
      </c>
      <c r="G213" s="251">
        <f t="shared" si="28"/>
        <v>0</v>
      </c>
      <c r="I213" s="140">
        <f t="shared" si="32"/>
        <v>87</v>
      </c>
      <c r="J213" s="136">
        <f t="shared" si="33"/>
        <v>2034</v>
      </c>
      <c r="K213" s="141" t="str">
        <f t="shared" si="27"/>
        <v/>
      </c>
    </row>
    <row r="214" spans="2:11" hidden="1" outlineLevel="1" x14ac:dyDescent="0.2">
      <c r="B214" s="141">
        <f t="shared" si="30"/>
        <v>49218</v>
      </c>
      <c r="C214" s="249">
        <v>0</v>
      </c>
      <c r="D214" s="250">
        <f>IF(AND(ISNUMBER($F214)*SUM(F214:F225)&lt;&gt;0),VLOOKUP($J214,'Table 1'!$B$13:$C$32,2,FALSE)/12*1000*Study_MW,0)</f>
        <v>0</v>
      </c>
      <c r="E214" s="250">
        <f t="shared" si="31"/>
        <v>0</v>
      </c>
      <c r="F214" s="249">
        <v>0</v>
      </c>
      <c r="G214" s="251">
        <f t="shared" si="28"/>
        <v>0</v>
      </c>
      <c r="I214" s="140">
        <f t="shared" si="32"/>
        <v>88</v>
      </c>
      <c r="J214" s="136">
        <f t="shared" si="33"/>
        <v>2034</v>
      </c>
      <c r="K214" s="141" t="str">
        <f t="shared" si="27"/>
        <v/>
      </c>
    </row>
    <row r="215" spans="2:11" hidden="1" outlineLevel="1" x14ac:dyDescent="0.2">
      <c r="B215" s="141">
        <f t="shared" si="30"/>
        <v>49249</v>
      </c>
      <c r="C215" s="249">
        <v>0</v>
      </c>
      <c r="D215" s="250">
        <f>IF(AND(ISNUMBER($F215)*SUM(F215:F226)&lt;&gt;0),VLOOKUP($J215,'Table 1'!$B$13:$C$32,2,FALSE)/12*1000*Study_MW,0)</f>
        <v>0</v>
      </c>
      <c r="E215" s="250">
        <f t="shared" si="31"/>
        <v>0</v>
      </c>
      <c r="F215" s="249">
        <v>0</v>
      </c>
      <c r="G215" s="251">
        <f t="shared" si="28"/>
        <v>0</v>
      </c>
      <c r="I215" s="140">
        <f t="shared" si="32"/>
        <v>89</v>
      </c>
      <c r="J215" s="136">
        <f t="shared" si="33"/>
        <v>2034</v>
      </c>
      <c r="K215" s="141" t="str">
        <f t="shared" si="27"/>
        <v/>
      </c>
    </row>
    <row r="216" spans="2:11" hidden="1" outlineLevel="1" x14ac:dyDescent="0.2">
      <c r="B216" s="145">
        <f t="shared" si="30"/>
        <v>49279</v>
      </c>
      <c r="C216" s="252">
        <v>0</v>
      </c>
      <c r="D216" s="253">
        <f>IF(AND(ISNUMBER($F216)*SUM(F216:F227)&lt;&gt;0),VLOOKUP($J216,'Table 1'!$B$13:$C$32,2,FALSE)/12*1000*Study_MW,0)</f>
        <v>0</v>
      </c>
      <c r="E216" s="253">
        <f t="shared" si="31"/>
        <v>0</v>
      </c>
      <c r="F216" s="252">
        <v>0</v>
      </c>
      <c r="G216" s="254">
        <f t="shared" si="28"/>
        <v>0</v>
      </c>
      <c r="I216" s="127">
        <f t="shared" si="32"/>
        <v>90</v>
      </c>
      <c r="J216" s="136">
        <f t="shared" si="33"/>
        <v>2034</v>
      </c>
      <c r="K216" s="145" t="str">
        <f t="shared" si="27"/>
        <v/>
      </c>
    </row>
    <row r="217" spans="2:11" hidden="1" outlineLevel="1" x14ac:dyDescent="0.2">
      <c r="B217" s="137">
        <f t="shared" si="30"/>
        <v>49310</v>
      </c>
      <c r="C217" s="246">
        <v>0</v>
      </c>
      <c r="D217" s="247">
        <f>IF(AND(ISNUMBER($F217)*SUM(F217:F228)&lt;&gt;0),VLOOKUP($J217,'Table 1'!$B$13:$C$32,2,FALSE)/12*1000*Study_MW,0)</f>
        <v>0</v>
      </c>
      <c r="E217" s="247">
        <f t="shared" si="31"/>
        <v>0</v>
      </c>
      <c r="F217" s="246">
        <v>0</v>
      </c>
      <c r="G217" s="248">
        <f t="shared" si="28"/>
        <v>0</v>
      </c>
      <c r="I217" s="123">
        <f>I97</f>
        <v>92</v>
      </c>
      <c r="J217" s="136">
        <f t="shared" si="33"/>
        <v>2035</v>
      </c>
      <c r="K217" s="137" t="str">
        <f t="shared" si="27"/>
        <v/>
      </c>
    </row>
    <row r="218" spans="2:11" hidden="1" outlineLevel="1" x14ac:dyDescent="0.2">
      <c r="B218" s="141">
        <f t="shared" si="30"/>
        <v>49341</v>
      </c>
      <c r="C218" s="249">
        <v>0</v>
      </c>
      <c r="D218" s="250">
        <f>IF(AND(ISNUMBER($F218)*SUM(F218:F229)&lt;&gt;0),VLOOKUP($J218,'Table 1'!$B$13:$C$32,2,FALSE)/12*1000*Study_MW,0)</f>
        <v>0</v>
      </c>
      <c r="E218" s="250">
        <f t="shared" si="31"/>
        <v>0</v>
      </c>
      <c r="F218" s="249">
        <v>0</v>
      </c>
      <c r="G218" s="251">
        <f t="shared" si="28"/>
        <v>0</v>
      </c>
      <c r="I218" s="140">
        <f t="shared" si="32"/>
        <v>93</v>
      </c>
      <c r="J218" s="136">
        <f t="shared" si="33"/>
        <v>2035</v>
      </c>
      <c r="K218" s="141" t="str">
        <f t="shared" ref="K218:K264" si="34">IF(ISNUMBER(F218),IF(F218&lt;&gt;0,B218,""),"")</f>
        <v/>
      </c>
    </row>
    <row r="219" spans="2:11" hidden="1" outlineLevel="1" x14ac:dyDescent="0.2">
      <c r="B219" s="141">
        <f t="shared" si="30"/>
        <v>49369</v>
      </c>
      <c r="C219" s="249">
        <v>0</v>
      </c>
      <c r="D219" s="250">
        <f>IF(AND(ISNUMBER($F219)*SUM(F219:F230)&lt;&gt;0),VLOOKUP($J219,'Table 1'!$B$13:$C$32,2,FALSE)/12*1000*Study_MW,0)</f>
        <v>0</v>
      </c>
      <c r="E219" s="250">
        <f t="shared" si="31"/>
        <v>0</v>
      </c>
      <c r="F219" s="249">
        <v>0</v>
      </c>
      <c r="G219" s="251">
        <f t="shared" si="28"/>
        <v>0</v>
      </c>
      <c r="I219" s="140">
        <f t="shared" si="32"/>
        <v>94</v>
      </c>
      <c r="J219" s="136">
        <f t="shared" si="33"/>
        <v>2035</v>
      </c>
      <c r="K219" s="141" t="str">
        <f t="shared" si="34"/>
        <v/>
      </c>
    </row>
    <row r="220" spans="2:11" hidden="1" outlineLevel="1" x14ac:dyDescent="0.2">
      <c r="B220" s="141">
        <f t="shared" si="30"/>
        <v>49400</v>
      </c>
      <c r="C220" s="249">
        <v>0</v>
      </c>
      <c r="D220" s="250">
        <f>IF(AND(ISNUMBER($F220)*SUM(F220:F231)&lt;&gt;0),VLOOKUP($J220,'Table 1'!$B$13:$C$32,2,FALSE)/12*1000*Study_MW,0)</f>
        <v>0</v>
      </c>
      <c r="E220" s="250">
        <f t="shared" si="31"/>
        <v>0</v>
      </c>
      <c r="F220" s="249">
        <v>0</v>
      </c>
      <c r="G220" s="251">
        <f t="shared" si="28"/>
        <v>0</v>
      </c>
      <c r="I220" s="140">
        <f t="shared" si="32"/>
        <v>95</v>
      </c>
      <c r="J220" s="136">
        <f t="shared" si="33"/>
        <v>2035</v>
      </c>
      <c r="K220" s="141" t="str">
        <f t="shared" si="34"/>
        <v/>
      </c>
    </row>
    <row r="221" spans="2:11" hidden="1" outlineLevel="1" x14ac:dyDescent="0.2">
      <c r="B221" s="141">
        <f t="shared" si="30"/>
        <v>49430</v>
      </c>
      <c r="C221" s="249">
        <v>0</v>
      </c>
      <c r="D221" s="250">
        <f>IF(AND(ISNUMBER($F221)*SUM(F221:F232)&lt;&gt;0),VLOOKUP($J221,'Table 1'!$B$13:$C$32,2,FALSE)/12*1000*Study_MW,0)</f>
        <v>0</v>
      </c>
      <c r="E221" s="250">
        <f t="shared" si="31"/>
        <v>0</v>
      </c>
      <c r="F221" s="249">
        <v>0</v>
      </c>
      <c r="G221" s="251">
        <f t="shared" si="28"/>
        <v>0</v>
      </c>
      <c r="I221" s="140">
        <f t="shared" si="32"/>
        <v>96</v>
      </c>
      <c r="J221" s="136">
        <f t="shared" si="33"/>
        <v>2035</v>
      </c>
      <c r="K221" s="141" t="str">
        <f t="shared" si="34"/>
        <v/>
      </c>
    </row>
    <row r="222" spans="2:11" hidden="1" outlineLevel="1" x14ac:dyDescent="0.2">
      <c r="B222" s="141">
        <f t="shared" si="30"/>
        <v>49461</v>
      </c>
      <c r="C222" s="249">
        <v>0</v>
      </c>
      <c r="D222" s="250">
        <f>IF(AND(ISNUMBER($F222)*SUM(F222:F233)&lt;&gt;0),VLOOKUP($J222,'Table 1'!$B$13:$C$32,2,FALSE)/12*1000*Study_MW,0)</f>
        <v>0</v>
      </c>
      <c r="E222" s="250">
        <f t="shared" si="31"/>
        <v>0</v>
      </c>
      <c r="F222" s="249">
        <v>0</v>
      </c>
      <c r="G222" s="251">
        <f t="shared" si="28"/>
        <v>0</v>
      </c>
      <c r="I222" s="140">
        <f t="shared" si="32"/>
        <v>97</v>
      </c>
      <c r="J222" s="136">
        <f t="shared" si="33"/>
        <v>2035</v>
      </c>
      <c r="K222" s="141" t="str">
        <f t="shared" si="34"/>
        <v/>
      </c>
    </row>
    <row r="223" spans="2:11" hidden="1" outlineLevel="1" x14ac:dyDescent="0.2">
      <c r="B223" s="141">
        <f t="shared" si="30"/>
        <v>49491</v>
      </c>
      <c r="C223" s="249">
        <v>0</v>
      </c>
      <c r="D223" s="250">
        <f>IF(AND(ISNUMBER($F223)*SUM(F223:F234)&lt;&gt;0),VLOOKUP($J223,'Table 1'!$B$13:$C$32,2,FALSE)/12*1000*Study_MW,0)</f>
        <v>0</v>
      </c>
      <c r="E223" s="250">
        <f t="shared" si="31"/>
        <v>0</v>
      </c>
      <c r="F223" s="249">
        <v>0</v>
      </c>
      <c r="G223" s="251">
        <f t="shared" si="28"/>
        <v>0</v>
      </c>
      <c r="I223" s="140">
        <f t="shared" si="32"/>
        <v>98</v>
      </c>
      <c r="J223" s="136">
        <f t="shared" si="33"/>
        <v>2035</v>
      </c>
      <c r="K223" s="141" t="str">
        <f t="shared" si="34"/>
        <v/>
      </c>
    </row>
    <row r="224" spans="2:11" hidden="1" outlineLevel="1" x14ac:dyDescent="0.2">
      <c r="B224" s="141">
        <f t="shared" si="30"/>
        <v>49522</v>
      </c>
      <c r="C224" s="249">
        <v>0</v>
      </c>
      <c r="D224" s="250">
        <f>IF(AND(ISNUMBER($F224)*SUM(F224:F235)&lt;&gt;0),VLOOKUP($J224,'Table 1'!$B$13:$C$32,2,FALSE)/12*1000*Study_MW,0)</f>
        <v>0</v>
      </c>
      <c r="E224" s="250">
        <f t="shared" si="31"/>
        <v>0</v>
      </c>
      <c r="F224" s="249">
        <v>0</v>
      </c>
      <c r="G224" s="251">
        <f t="shared" si="28"/>
        <v>0</v>
      </c>
      <c r="I224" s="140">
        <f t="shared" si="32"/>
        <v>99</v>
      </c>
      <c r="J224" s="136">
        <f t="shared" si="33"/>
        <v>2035</v>
      </c>
      <c r="K224" s="141" t="str">
        <f t="shared" si="34"/>
        <v/>
      </c>
    </row>
    <row r="225" spans="2:11" hidden="1" outlineLevel="1" x14ac:dyDescent="0.2">
      <c r="B225" s="141">
        <f t="shared" si="30"/>
        <v>49553</v>
      </c>
      <c r="C225" s="249">
        <v>0</v>
      </c>
      <c r="D225" s="250">
        <f>IF(AND(ISNUMBER($F225)*SUM(F225:F236)&lt;&gt;0),VLOOKUP($J225,'Table 1'!$B$13:$C$32,2,FALSE)/12*1000*Study_MW,0)</f>
        <v>0</v>
      </c>
      <c r="E225" s="250">
        <f t="shared" si="31"/>
        <v>0</v>
      </c>
      <c r="F225" s="249">
        <v>0</v>
      </c>
      <c r="G225" s="251">
        <f t="shared" si="28"/>
        <v>0</v>
      </c>
      <c r="I225" s="140">
        <f t="shared" si="32"/>
        <v>100</v>
      </c>
      <c r="J225" s="136">
        <f t="shared" si="33"/>
        <v>2035</v>
      </c>
      <c r="K225" s="141" t="str">
        <f t="shared" si="34"/>
        <v/>
      </c>
    </row>
    <row r="226" spans="2:11" hidden="1" outlineLevel="1" x14ac:dyDescent="0.2">
      <c r="B226" s="141">
        <f t="shared" si="30"/>
        <v>49583</v>
      </c>
      <c r="C226" s="249">
        <v>0</v>
      </c>
      <c r="D226" s="250">
        <f>IF(AND(ISNUMBER($F226)*SUM(F226:F237)&lt;&gt;0),VLOOKUP($J226,'Table 1'!$B$13:$C$32,2,FALSE)/12*1000*Study_MW,0)</f>
        <v>0</v>
      </c>
      <c r="E226" s="250">
        <f t="shared" si="31"/>
        <v>0</v>
      </c>
      <c r="F226" s="249">
        <v>0</v>
      </c>
      <c r="G226" s="251">
        <f t="shared" si="28"/>
        <v>0</v>
      </c>
      <c r="I226" s="140">
        <f t="shared" si="32"/>
        <v>101</v>
      </c>
      <c r="J226" s="136">
        <f t="shared" si="33"/>
        <v>2035</v>
      </c>
      <c r="K226" s="141" t="str">
        <f t="shared" si="34"/>
        <v/>
      </c>
    </row>
    <row r="227" spans="2:11" hidden="1" outlineLevel="1" x14ac:dyDescent="0.2">
      <c r="B227" s="141">
        <f t="shared" si="30"/>
        <v>49614</v>
      </c>
      <c r="C227" s="249">
        <v>0</v>
      </c>
      <c r="D227" s="250">
        <f>IF(AND(ISNUMBER($F227)*SUM(F227:F238)&lt;&gt;0),VLOOKUP($J227,'Table 1'!$B$13:$C$32,2,FALSE)/12*1000*Study_MW,0)</f>
        <v>0</v>
      </c>
      <c r="E227" s="250">
        <f t="shared" si="31"/>
        <v>0</v>
      </c>
      <c r="F227" s="249">
        <v>0</v>
      </c>
      <c r="G227" s="251">
        <f t="shared" si="28"/>
        <v>0</v>
      </c>
      <c r="I227" s="140">
        <f t="shared" si="32"/>
        <v>102</v>
      </c>
      <c r="J227" s="136">
        <f t="shared" si="33"/>
        <v>2035</v>
      </c>
      <c r="K227" s="141" t="str">
        <f t="shared" si="34"/>
        <v/>
      </c>
    </row>
    <row r="228" spans="2:11" hidden="1" outlineLevel="1" x14ac:dyDescent="0.2">
      <c r="B228" s="145">
        <f t="shared" si="30"/>
        <v>49644</v>
      </c>
      <c r="C228" s="252">
        <v>0</v>
      </c>
      <c r="D228" s="253">
        <f>IF(AND(ISNUMBER($F228)*SUM(F228:F239)&lt;&gt;0),VLOOKUP($J228,'Table 1'!$B$13:$C$32,2,FALSE)/12*1000*Study_MW,0)</f>
        <v>0</v>
      </c>
      <c r="E228" s="253">
        <f t="shared" si="31"/>
        <v>0</v>
      </c>
      <c r="F228" s="252">
        <v>0</v>
      </c>
      <c r="G228" s="254">
        <f t="shared" si="28"/>
        <v>0</v>
      </c>
      <c r="I228" s="127">
        <f t="shared" si="32"/>
        <v>103</v>
      </c>
      <c r="J228" s="136">
        <f t="shared" si="33"/>
        <v>2035</v>
      </c>
      <c r="K228" s="145" t="str">
        <f t="shared" si="34"/>
        <v/>
      </c>
    </row>
    <row r="229" spans="2:11" hidden="1" outlineLevel="1" x14ac:dyDescent="0.2">
      <c r="B229" s="137">
        <f t="shared" si="30"/>
        <v>49675</v>
      </c>
      <c r="C229" s="246">
        <v>0</v>
      </c>
      <c r="D229" s="247">
        <f>IF(AND(ISNUMBER($F229)*SUM(F229:F240)&lt;&gt;0),VLOOKUP($J229,'Table 1'!$B$13:$C$32,2,FALSE)/12*1000*Study_MW,0)</f>
        <v>0</v>
      </c>
      <c r="E229" s="247">
        <f t="shared" si="31"/>
        <v>0</v>
      </c>
      <c r="F229" s="246">
        <v>0</v>
      </c>
      <c r="G229" s="248">
        <f t="shared" si="28"/>
        <v>0</v>
      </c>
      <c r="I229" s="123">
        <f>I109</f>
        <v>105</v>
      </c>
      <c r="J229" s="136">
        <f t="shared" si="33"/>
        <v>2036</v>
      </c>
      <c r="K229" s="137" t="str">
        <f t="shared" si="34"/>
        <v/>
      </c>
    </row>
    <row r="230" spans="2:11" hidden="1" outlineLevel="1" x14ac:dyDescent="0.2">
      <c r="B230" s="141">
        <f t="shared" si="30"/>
        <v>49706</v>
      </c>
      <c r="C230" s="249">
        <v>0</v>
      </c>
      <c r="D230" s="250">
        <f>IF(AND(ISNUMBER($F230)*SUM(F230:F241)&lt;&gt;0),VLOOKUP($J230,'Table 1'!$B$13:$C$32,2,FALSE)/12*1000*Study_MW,0)</f>
        <v>0</v>
      </c>
      <c r="E230" s="250">
        <f t="shared" si="31"/>
        <v>0</v>
      </c>
      <c r="F230" s="249">
        <v>0</v>
      </c>
      <c r="G230" s="251">
        <f t="shared" si="28"/>
        <v>0</v>
      </c>
      <c r="I230" s="140">
        <f t="shared" ref="I230:I252" si="35">I110</f>
        <v>106</v>
      </c>
      <c r="J230" s="136">
        <f t="shared" si="33"/>
        <v>2036</v>
      </c>
      <c r="K230" s="141" t="str">
        <f t="shared" si="34"/>
        <v/>
      </c>
    </row>
    <row r="231" spans="2:11" hidden="1" outlineLevel="1" x14ac:dyDescent="0.2">
      <c r="B231" s="141">
        <f t="shared" si="30"/>
        <v>49735</v>
      </c>
      <c r="C231" s="249">
        <v>0</v>
      </c>
      <c r="D231" s="250">
        <f>IF(AND(ISNUMBER($F231)*SUM(F231:F242)&lt;&gt;0),VLOOKUP($J231,'Table 1'!$B$13:$C$32,2,FALSE)/12*1000*Study_MW,0)</f>
        <v>0</v>
      </c>
      <c r="E231" s="250">
        <f t="shared" si="31"/>
        <v>0</v>
      </c>
      <c r="F231" s="249">
        <v>0</v>
      </c>
      <c r="G231" s="251">
        <f t="shared" si="28"/>
        <v>0</v>
      </c>
      <c r="I231" s="140">
        <f t="shared" si="35"/>
        <v>107</v>
      </c>
      <c r="J231" s="136">
        <f t="shared" si="33"/>
        <v>2036</v>
      </c>
      <c r="K231" s="141" t="str">
        <f t="shared" si="34"/>
        <v/>
      </c>
    </row>
    <row r="232" spans="2:11" hidden="1" outlineLevel="1" x14ac:dyDescent="0.2">
      <c r="B232" s="141">
        <f t="shared" si="30"/>
        <v>49766</v>
      </c>
      <c r="C232" s="249">
        <v>0</v>
      </c>
      <c r="D232" s="250">
        <f>IF(AND(ISNUMBER($F232)*SUM(F232:F243)&lt;&gt;0),VLOOKUP($J232,'Table 1'!$B$13:$C$32,2,FALSE)/12*1000*Study_MW,0)</f>
        <v>0</v>
      </c>
      <c r="E232" s="250">
        <f t="shared" si="31"/>
        <v>0</v>
      </c>
      <c r="F232" s="249">
        <v>0</v>
      </c>
      <c r="G232" s="251">
        <f t="shared" si="28"/>
        <v>0</v>
      </c>
      <c r="I232" s="140">
        <f t="shared" si="35"/>
        <v>108</v>
      </c>
      <c r="J232" s="136">
        <f t="shared" si="33"/>
        <v>2036</v>
      </c>
      <c r="K232" s="141" t="str">
        <f t="shared" si="34"/>
        <v/>
      </c>
    </row>
    <row r="233" spans="2:11" hidden="1" outlineLevel="1" x14ac:dyDescent="0.2">
      <c r="B233" s="141">
        <f t="shared" si="30"/>
        <v>49796</v>
      </c>
      <c r="C233" s="249">
        <v>0</v>
      </c>
      <c r="D233" s="250">
        <f>IF(AND(ISNUMBER($F233)*SUM(F233:F244)&lt;&gt;0),VLOOKUP($J233,'Table 1'!$B$13:$C$32,2,FALSE)/12*1000*Study_MW,0)</f>
        <v>0</v>
      </c>
      <c r="E233" s="250">
        <f t="shared" si="31"/>
        <v>0</v>
      </c>
      <c r="F233" s="249">
        <v>0</v>
      </c>
      <c r="G233" s="251">
        <f t="shared" si="28"/>
        <v>0</v>
      </c>
      <c r="I233" s="140">
        <f t="shared" si="35"/>
        <v>109</v>
      </c>
      <c r="J233" s="136">
        <f t="shared" si="33"/>
        <v>2036</v>
      </c>
      <c r="K233" s="141" t="str">
        <f t="shared" si="34"/>
        <v/>
      </c>
    </row>
    <row r="234" spans="2:11" hidden="1" outlineLevel="1" x14ac:dyDescent="0.2">
      <c r="B234" s="141">
        <f t="shared" si="30"/>
        <v>49827</v>
      </c>
      <c r="C234" s="249">
        <v>0</v>
      </c>
      <c r="D234" s="250">
        <f>IF(AND(ISNUMBER($F234)*SUM(F234:F245)&lt;&gt;0),VLOOKUP($J234,'Table 1'!$B$13:$C$32,2,FALSE)/12*1000*Study_MW,0)</f>
        <v>0</v>
      </c>
      <c r="E234" s="250">
        <f t="shared" si="31"/>
        <v>0</v>
      </c>
      <c r="F234" s="249">
        <v>0</v>
      </c>
      <c r="G234" s="251">
        <f t="shared" si="28"/>
        <v>0</v>
      </c>
      <c r="I234" s="140">
        <f t="shared" si="35"/>
        <v>110</v>
      </c>
      <c r="J234" s="136">
        <f t="shared" si="33"/>
        <v>2036</v>
      </c>
      <c r="K234" s="141" t="str">
        <f t="shared" si="34"/>
        <v/>
      </c>
    </row>
    <row r="235" spans="2:11" hidden="1" outlineLevel="1" x14ac:dyDescent="0.2">
      <c r="B235" s="141">
        <f t="shared" si="30"/>
        <v>49857</v>
      </c>
      <c r="C235" s="249">
        <v>0</v>
      </c>
      <c r="D235" s="250">
        <f>IF(AND(ISNUMBER($F235)*SUM(F235:F246)&lt;&gt;0),VLOOKUP($J235,'Table 1'!$B$13:$C$32,2,FALSE)/12*1000*Study_MW,0)</f>
        <v>0</v>
      </c>
      <c r="E235" s="250">
        <f t="shared" si="31"/>
        <v>0</v>
      </c>
      <c r="F235" s="249">
        <v>0</v>
      </c>
      <c r="G235" s="251">
        <f t="shared" si="28"/>
        <v>0</v>
      </c>
      <c r="I235" s="140">
        <f t="shared" si="35"/>
        <v>111</v>
      </c>
      <c r="J235" s="136">
        <f t="shared" si="33"/>
        <v>2036</v>
      </c>
      <c r="K235" s="141" t="str">
        <f t="shared" si="34"/>
        <v/>
      </c>
    </row>
    <row r="236" spans="2:11" hidden="1" outlineLevel="1" x14ac:dyDescent="0.2">
      <c r="B236" s="141">
        <f t="shared" si="30"/>
        <v>49888</v>
      </c>
      <c r="C236" s="249">
        <v>0</v>
      </c>
      <c r="D236" s="250">
        <f>IF(AND(ISNUMBER($F236)*SUM(F236:F247)&lt;&gt;0),VLOOKUP($J236,'Table 1'!$B$13:$C$32,2,FALSE)/12*1000*Study_MW,0)</f>
        <v>0</v>
      </c>
      <c r="E236" s="250">
        <f t="shared" si="31"/>
        <v>0</v>
      </c>
      <c r="F236" s="249">
        <v>0</v>
      </c>
      <c r="G236" s="251">
        <f t="shared" si="28"/>
        <v>0</v>
      </c>
      <c r="I236" s="140">
        <f t="shared" si="35"/>
        <v>112</v>
      </c>
      <c r="J236" s="136">
        <f t="shared" si="33"/>
        <v>2036</v>
      </c>
      <c r="K236" s="141" t="str">
        <f t="shared" si="34"/>
        <v/>
      </c>
    </row>
    <row r="237" spans="2:11" hidden="1" outlineLevel="1" x14ac:dyDescent="0.2">
      <c r="B237" s="141">
        <f t="shared" si="30"/>
        <v>49919</v>
      </c>
      <c r="C237" s="249">
        <v>0</v>
      </c>
      <c r="D237" s="250">
        <f>IF(AND(ISNUMBER($F237)*SUM(F237:F248)&lt;&gt;0),VLOOKUP($J237,'Table 1'!$B$13:$C$32,2,FALSE)/12*1000*Study_MW,0)</f>
        <v>0</v>
      </c>
      <c r="E237" s="250">
        <f t="shared" si="31"/>
        <v>0</v>
      </c>
      <c r="F237" s="249">
        <v>0</v>
      </c>
      <c r="G237" s="251">
        <f t="shared" si="28"/>
        <v>0</v>
      </c>
      <c r="I237" s="140">
        <f t="shared" si="35"/>
        <v>113</v>
      </c>
      <c r="J237" s="136">
        <f t="shared" si="33"/>
        <v>2036</v>
      </c>
      <c r="K237" s="141" t="str">
        <f t="shared" si="34"/>
        <v/>
      </c>
    </row>
    <row r="238" spans="2:11" hidden="1" outlineLevel="1" x14ac:dyDescent="0.2">
      <c r="B238" s="141">
        <f t="shared" si="30"/>
        <v>49949</v>
      </c>
      <c r="C238" s="249">
        <v>0</v>
      </c>
      <c r="D238" s="250">
        <f>IF(AND(ISNUMBER($F238)*SUM(F238:F249)&lt;&gt;0),VLOOKUP($J238,'Table 1'!$B$13:$C$32,2,FALSE)/12*1000*Study_MW,0)</f>
        <v>0</v>
      </c>
      <c r="E238" s="250">
        <f t="shared" si="31"/>
        <v>0</v>
      </c>
      <c r="F238" s="249">
        <v>0</v>
      </c>
      <c r="G238" s="251">
        <f t="shared" si="28"/>
        <v>0</v>
      </c>
      <c r="I238" s="140">
        <f t="shared" si="35"/>
        <v>114</v>
      </c>
      <c r="J238" s="136">
        <f t="shared" si="33"/>
        <v>2036</v>
      </c>
      <c r="K238" s="141" t="str">
        <f t="shared" si="34"/>
        <v/>
      </c>
    </row>
    <row r="239" spans="2:11" hidden="1" outlineLevel="1" x14ac:dyDescent="0.2">
      <c r="B239" s="141">
        <f t="shared" si="30"/>
        <v>49980</v>
      </c>
      <c r="C239" s="249">
        <v>0</v>
      </c>
      <c r="D239" s="250">
        <f>IF(AND(ISNUMBER($F239)*SUM(F239:F250)&lt;&gt;0),VLOOKUP($J239,'Table 1'!$B$13:$C$32,2,FALSE)/12*1000*Study_MW,0)</f>
        <v>0</v>
      </c>
      <c r="E239" s="250">
        <f t="shared" si="31"/>
        <v>0</v>
      </c>
      <c r="F239" s="249">
        <v>0</v>
      </c>
      <c r="G239" s="251">
        <f t="shared" si="28"/>
        <v>0</v>
      </c>
      <c r="I239" s="140">
        <f t="shared" si="35"/>
        <v>115</v>
      </c>
      <c r="J239" s="136">
        <f t="shared" si="33"/>
        <v>2036</v>
      </c>
      <c r="K239" s="141" t="str">
        <f t="shared" si="34"/>
        <v/>
      </c>
    </row>
    <row r="240" spans="2:11" hidden="1" outlineLevel="1" x14ac:dyDescent="0.2">
      <c r="B240" s="145">
        <f t="shared" si="30"/>
        <v>50010</v>
      </c>
      <c r="C240" s="252">
        <v>0</v>
      </c>
      <c r="D240" s="253">
        <f>IF(AND(ISNUMBER($F240)*SUM(F240:F251)&lt;&gt;0),VLOOKUP($J240,'Table 1'!$B$13:$C$32,2,FALSE)/12*1000*Study_MW,0)</f>
        <v>0</v>
      </c>
      <c r="E240" s="253">
        <f t="shared" si="31"/>
        <v>0</v>
      </c>
      <c r="F240" s="252">
        <v>0</v>
      </c>
      <c r="G240" s="254">
        <f t="shared" si="28"/>
        <v>0</v>
      </c>
      <c r="I240" s="127">
        <f t="shared" si="35"/>
        <v>116</v>
      </c>
      <c r="J240" s="136">
        <f t="shared" si="33"/>
        <v>2036</v>
      </c>
      <c r="K240" s="145" t="str">
        <f t="shared" si="34"/>
        <v/>
      </c>
    </row>
    <row r="241" spans="2:11" hidden="1" outlineLevel="1" x14ac:dyDescent="0.2">
      <c r="B241" s="137">
        <f t="shared" si="30"/>
        <v>50041</v>
      </c>
      <c r="C241" s="246">
        <v>0</v>
      </c>
      <c r="D241" s="247">
        <f>IF(AND(ISNUMBER($F241)*SUM(F241:F252)&lt;&gt;0),VLOOKUP($J241,'Table 1'!$B$13:$C$32,2,FALSE)/12*1000*Study_MW,0)</f>
        <v>0</v>
      </c>
      <c r="E241" s="247">
        <f t="shared" si="31"/>
        <v>0</v>
      </c>
      <c r="F241" s="246">
        <v>0</v>
      </c>
      <c r="G241" s="248">
        <f t="shared" si="28"/>
        <v>0</v>
      </c>
      <c r="I241" s="123">
        <f>I121</f>
        <v>118</v>
      </c>
      <c r="J241" s="136">
        <f t="shared" si="33"/>
        <v>2037</v>
      </c>
      <c r="K241" s="137" t="str">
        <f t="shared" si="34"/>
        <v/>
      </c>
    </row>
    <row r="242" spans="2:11" hidden="1" outlineLevel="1" x14ac:dyDescent="0.2">
      <c r="B242" s="141">
        <f t="shared" si="30"/>
        <v>50072</v>
      </c>
      <c r="C242" s="249">
        <v>0</v>
      </c>
      <c r="D242" s="250">
        <f>IF(AND(ISNUMBER($F242)*SUM(F242:F253)&lt;&gt;0),VLOOKUP($J242,'Table 1'!$B$13:$C$32,2,FALSE)/12*1000*Study_MW,0)</f>
        <v>0</v>
      </c>
      <c r="E242" s="250">
        <f t="shared" si="31"/>
        <v>0</v>
      </c>
      <c r="F242" s="249">
        <v>0</v>
      </c>
      <c r="G242" s="251">
        <f t="shared" si="28"/>
        <v>0</v>
      </c>
      <c r="I242" s="140">
        <f t="shared" si="35"/>
        <v>119</v>
      </c>
      <c r="J242" s="136">
        <f t="shared" si="33"/>
        <v>2037</v>
      </c>
      <c r="K242" s="141" t="str">
        <f t="shared" si="34"/>
        <v/>
      </c>
    </row>
    <row r="243" spans="2:11" hidden="1" outlineLevel="1" x14ac:dyDescent="0.2">
      <c r="B243" s="141">
        <f t="shared" si="30"/>
        <v>50100</v>
      </c>
      <c r="C243" s="249">
        <v>0</v>
      </c>
      <c r="D243" s="250">
        <f>IF(AND(ISNUMBER($F243)*SUM(F243:F254)&lt;&gt;0),VLOOKUP($J243,'Table 1'!$B$13:$C$32,2,FALSE)/12*1000*Study_MW,0)</f>
        <v>0</v>
      </c>
      <c r="E243" s="250">
        <f t="shared" si="31"/>
        <v>0</v>
      </c>
      <c r="F243" s="249">
        <v>0</v>
      </c>
      <c r="G243" s="251">
        <f t="shared" si="28"/>
        <v>0</v>
      </c>
      <c r="I243" s="140">
        <f t="shared" si="35"/>
        <v>120</v>
      </c>
      <c r="J243" s="136">
        <f t="shared" si="33"/>
        <v>2037</v>
      </c>
      <c r="K243" s="141" t="str">
        <f t="shared" si="34"/>
        <v/>
      </c>
    </row>
    <row r="244" spans="2:11" hidden="1" outlineLevel="1" x14ac:dyDescent="0.2">
      <c r="B244" s="141">
        <f t="shared" si="30"/>
        <v>50131</v>
      </c>
      <c r="C244" s="249">
        <v>0</v>
      </c>
      <c r="D244" s="250">
        <f>IF(AND(ISNUMBER($F244)*SUM(F244:F255)&lt;&gt;0),VLOOKUP($J244,'Table 1'!$B$13:$C$32,2,FALSE)/12*1000*Study_MW,0)</f>
        <v>0</v>
      </c>
      <c r="E244" s="250">
        <f t="shared" si="31"/>
        <v>0</v>
      </c>
      <c r="F244" s="249">
        <v>0</v>
      </c>
      <c r="G244" s="251">
        <f t="shared" si="28"/>
        <v>0</v>
      </c>
      <c r="I244" s="140">
        <f t="shared" si="35"/>
        <v>121</v>
      </c>
      <c r="J244" s="136">
        <f t="shared" si="33"/>
        <v>2037</v>
      </c>
      <c r="K244" s="141" t="str">
        <f t="shared" si="34"/>
        <v/>
      </c>
    </row>
    <row r="245" spans="2:11" hidden="1" outlineLevel="1" x14ac:dyDescent="0.2">
      <c r="B245" s="141">
        <f t="shared" si="30"/>
        <v>50161</v>
      </c>
      <c r="C245" s="249">
        <v>0</v>
      </c>
      <c r="D245" s="250">
        <f>IF(AND(ISNUMBER($F245)*SUM(F245:F256)&lt;&gt;0),VLOOKUP($J245,'Table 1'!$B$13:$C$32,2,FALSE)/12*1000*Study_MW,0)</f>
        <v>0</v>
      </c>
      <c r="E245" s="250">
        <f t="shared" si="31"/>
        <v>0</v>
      </c>
      <c r="F245" s="249">
        <v>0</v>
      </c>
      <c r="G245" s="251">
        <f t="shared" si="28"/>
        <v>0</v>
      </c>
      <c r="I245" s="140">
        <f t="shared" si="35"/>
        <v>122</v>
      </c>
      <c r="J245" s="136">
        <f t="shared" si="33"/>
        <v>2037</v>
      </c>
      <c r="K245" s="141" t="str">
        <f t="shared" si="34"/>
        <v/>
      </c>
    </row>
    <row r="246" spans="2:11" hidden="1" outlineLevel="1" x14ac:dyDescent="0.2">
      <c r="B246" s="141">
        <f t="shared" si="30"/>
        <v>50192</v>
      </c>
      <c r="C246" s="249">
        <v>0</v>
      </c>
      <c r="D246" s="250">
        <f>IF(AND(ISNUMBER($F246)*SUM(F246:F257)&lt;&gt;0),VLOOKUP($J246,'Table 1'!$B$13:$C$32,2,FALSE)/12*1000*Study_MW,0)</f>
        <v>0</v>
      </c>
      <c r="E246" s="250">
        <f t="shared" si="31"/>
        <v>0</v>
      </c>
      <c r="F246" s="249">
        <v>0</v>
      </c>
      <c r="G246" s="251">
        <f t="shared" si="28"/>
        <v>0</v>
      </c>
      <c r="I246" s="140">
        <f t="shared" si="35"/>
        <v>123</v>
      </c>
      <c r="J246" s="136">
        <f t="shared" si="33"/>
        <v>2037</v>
      </c>
      <c r="K246" s="141" t="str">
        <f t="shared" si="34"/>
        <v/>
      </c>
    </row>
    <row r="247" spans="2:11" hidden="1" outlineLevel="1" x14ac:dyDescent="0.2">
      <c r="B247" s="141">
        <f t="shared" si="30"/>
        <v>50222</v>
      </c>
      <c r="C247" s="249">
        <v>0</v>
      </c>
      <c r="D247" s="250">
        <f>IF(AND(ISNUMBER($F247)*SUM(F247:F258)&lt;&gt;0),VLOOKUP($J247,'Table 1'!$B$13:$C$32,2,FALSE)/12*1000*Study_MW,0)</f>
        <v>0</v>
      </c>
      <c r="E247" s="250">
        <f t="shared" si="31"/>
        <v>0</v>
      </c>
      <c r="F247" s="249">
        <v>0</v>
      </c>
      <c r="G247" s="251">
        <f t="shared" si="28"/>
        <v>0</v>
      </c>
      <c r="I247" s="140">
        <f t="shared" si="35"/>
        <v>124</v>
      </c>
      <c r="J247" s="136">
        <f t="shared" si="33"/>
        <v>2037</v>
      </c>
      <c r="K247" s="141" t="str">
        <f t="shared" si="34"/>
        <v/>
      </c>
    </row>
    <row r="248" spans="2:11" hidden="1" outlineLevel="1" x14ac:dyDescent="0.2">
      <c r="B248" s="141">
        <f t="shared" si="30"/>
        <v>50253</v>
      </c>
      <c r="C248" s="249">
        <v>0</v>
      </c>
      <c r="D248" s="250">
        <f>IF(AND(ISNUMBER($F248)*SUM(F248:F259)&lt;&gt;0),VLOOKUP($J248,'Table 1'!$B$13:$C$32,2,FALSE)/12*1000*Study_MW,0)</f>
        <v>0</v>
      </c>
      <c r="E248" s="250">
        <f t="shared" si="31"/>
        <v>0</v>
      </c>
      <c r="F248" s="249">
        <v>0</v>
      </c>
      <c r="G248" s="251">
        <f t="shared" si="28"/>
        <v>0</v>
      </c>
      <c r="I248" s="140">
        <f t="shared" si="35"/>
        <v>125</v>
      </c>
      <c r="J248" s="136">
        <f t="shared" si="33"/>
        <v>2037</v>
      </c>
      <c r="K248" s="141" t="str">
        <f t="shared" si="34"/>
        <v/>
      </c>
    </row>
    <row r="249" spans="2:11" hidden="1" outlineLevel="1" x14ac:dyDescent="0.2">
      <c r="B249" s="141">
        <f t="shared" si="30"/>
        <v>50284</v>
      </c>
      <c r="C249" s="249">
        <v>0</v>
      </c>
      <c r="D249" s="250">
        <f>IF(AND(ISNUMBER($F249)*SUM(F249:F260)&lt;&gt;0),VLOOKUP($J249,'Table 1'!$B$13:$C$32,2,FALSE)/12*1000*Study_MW,0)</f>
        <v>0</v>
      </c>
      <c r="E249" s="250">
        <f t="shared" si="31"/>
        <v>0</v>
      </c>
      <c r="F249" s="249">
        <v>0</v>
      </c>
      <c r="G249" s="251">
        <f t="shared" si="28"/>
        <v>0</v>
      </c>
      <c r="I249" s="140">
        <f t="shared" si="35"/>
        <v>126</v>
      </c>
      <c r="J249" s="136">
        <f t="shared" si="33"/>
        <v>2037</v>
      </c>
      <c r="K249" s="141" t="str">
        <f t="shared" si="34"/>
        <v/>
      </c>
    </row>
    <row r="250" spans="2:11" hidden="1" outlineLevel="1" x14ac:dyDescent="0.2">
      <c r="B250" s="141">
        <f t="shared" si="30"/>
        <v>50314</v>
      </c>
      <c r="C250" s="249">
        <v>0</v>
      </c>
      <c r="D250" s="250">
        <f>IF(AND(ISNUMBER($F250)*SUM(F250:F261)&lt;&gt;0),VLOOKUP($J250,'Table 1'!$B$13:$C$32,2,FALSE)/12*1000*Study_MW,0)</f>
        <v>0</v>
      </c>
      <c r="E250" s="250">
        <f t="shared" si="31"/>
        <v>0</v>
      </c>
      <c r="F250" s="249">
        <v>0</v>
      </c>
      <c r="G250" s="251">
        <f t="shared" si="28"/>
        <v>0</v>
      </c>
      <c r="I250" s="140">
        <f t="shared" si="35"/>
        <v>127</v>
      </c>
      <c r="J250" s="136">
        <f t="shared" si="33"/>
        <v>2037</v>
      </c>
      <c r="K250" s="141" t="str">
        <f t="shared" si="34"/>
        <v/>
      </c>
    </row>
    <row r="251" spans="2:11" hidden="1" outlineLevel="1" x14ac:dyDescent="0.2">
      <c r="B251" s="141">
        <f t="shared" si="30"/>
        <v>50345</v>
      </c>
      <c r="C251" s="249">
        <v>0</v>
      </c>
      <c r="D251" s="250">
        <f>IF(AND(ISNUMBER($F251)*SUM(F251:F262)&lt;&gt;0),VLOOKUP($J251,'Table 1'!$B$13:$C$32,2,FALSE)/12*1000*Study_MW,0)</f>
        <v>0</v>
      </c>
      <c r="E251" s="250">
        <f t="shared" si="31"/>
        <v>0</v>
      </c>
      <c r="F251" s="249">
        <v>0</v>
      </c>
      <c r="G251" s="251">
        <f t="shared" si="28"/>
        <v>0</v>
      </c>
      <c r="I251" s="140">
        <f t="shared" si="35"/>
        <v>128</v>
      </c>
      <c r="J251" s="136">
        <f t="shared" si="33"/>
        <v>2037</v>
      </c>
      <c r="K251" s="141" t="str">
        <f t="shared" si="34"/>
        <v/>
      </c>
    </row>
    <row r="252" spans="2:11" hidden="1" collapsed="1" x14ac:dyDescent="0.2">
      <c r="B252" s="145">
        <f t="shared" si="30"/>
        <v>50375</v>
      </c>
      <c r="C252" s="252">
        <v>0</v>
      </c>
      <c r="D252" s="253">
        <f>IF(AND(ISNUMBER($F252)*SUM(F252:F263)&lt;&gt;0),VLOOKUP($J252,'Table 1'!$B$13:$C$32,2,FALSE)/12*1000*Study_MW,0)</f>
        <v>0</v>
      </c>
      <c r="E252" s="253">
        <f t="shared" si="31"/>
        <v>0</v>
      </c>
      <c r="F252" s="252">
        <v>0</v>
      </c>
      <c r="G252" s="254">
        <f t="shared" si="28"/>
        <v>0</v>
      </c>
      <c r="I252" s="127">
        <f t="shared" si="35"/>
        <v>129</v>
      </c>
      <c r="J252" s="136">
        <f t="shared" si="33"/>
        <v>2037</v>
      </c>
      <c r="K252" s="145" t="str">
        <f t="shared" si="34"/>
        <v/>
      </c>
    </row>
    <row r="253" spans="2:11" hidden="1" x14ac:dyDescent="0.2">
      <c r="B253" s="195">
        <f t="shared" si="30"/>
        <v>50406</v>
      </c>
      <c r="C253" s="146" t="str">
        <f>IF(AND(F13="",$F$252&gt;0),IFERROR(C241*(C241/C193)^(1/4),C241*1.019)*F253/F241,"")</f>
        <v/>
      </c>
      <c r="D253" s="147" t="str">
        <f>IF(ISNUMBER($F253),D241*(1+'Table 3 477 (WM)'!$D$87)*F253/F241,"")</f>
        <v/>
      </c>
      <c r="E253" s="147" t="str">
        <f>IF(ISNUMBER($F253),C253+D253,"")</f>
        <v/>
      </c>
      <c r="F253" s="146" t="str">
        <f>IF(AND(F13="",$F$252&gt;0),F241*(F241/F49)^(1/16),"")</f>
        <v/>
      </c>
      <c r="G253" s="148" t="str">
        <f>IFERROR(IF(ISNUMBER($F253),E253/$F253,""),"")</f>
        <v/>
      </c>
      <c r="I253" s="123"/>
      <c r="J253" s="136">
        <f t="shared" si="33"/>
        <v>2038</v>
      </c>
      <c r="K253" s="137" t="str">
        <f t="shared" si="34"/>
        <v/>
      </c>
    </row>
    <row r="254" spans="2:11" hidden="1" outlineLevel="1" x14ac:dyDescent="0.2">
      <c r="B254" s="196">
        <f t="shared" si="30"/>
        <v>50437</v>
      </c>
      <c r="C254" s="149" t="str">
        <f t="shared" ref="C254:C263" si="36">IF(AND(F14="",$F$252&gt;0),IFERROR(C242*(C242/C194)^(1/4),C242*1.019)*F254/F242,"")</f>
        <v/>
      </c>
      <c r="D254" s="150" t="str">
        <f>IF(ISNUMBER($F254),D242*(1+'Table 3 477 (WM)'!$D$87)*F254/F242,"")</f>
        <v/>
      </c>
      <c r="E254" s="150" t="str">
        <f t="shared" ref="E254:E263" si="37">IF(ISNUMBER($F254),C254+D254,"")</f>
        <v/>
      </c>
      <c r="F254" s="149" t="str">
        <f t="shared" ref="F254:F263" si="38">IF(AND(F14="",$F$252&gt;0),F242*(F242/F50)^(1/16),"")</f>
        <v/>
      </c>
      <c r="G254" s="151" t="str">
        <f t="shared" ref="G254:G263" si="39">IFERROR(IF(ISNUMBER($F254),E254/$F254,""),"")</f>
        <v/>
      </c>
      <c r="I254" s="140"/>
      <c r="J254" s="136">
        <f t="shared" si="33"/>
        <v>2038</v>
      </c>
      <c r="K254" s="141" t="str">
        <f t="shared" si="34"/>
        <v/>
      </c>
    </row>
    <row r="255" spans="2:11" hidden="1" outlineLevel="1" x14ac:dyDescent="0.2">
      <c r="B255" s="196">
        <f t="shared" si="30"/>
        <v>50465</v>
      </c>
      <c r="C255" s="149" t="str">
        <f t="shared" si="36"/>
        <v/>
      </c>
      <c r="D255" s="150" t="str">
        <f>IF(ISNUMBER($F255),D243*(1+'Table 3 477 (WM)'!$D$87)*F255/F243,"")</f>
        <v/>
      </c>
      <c r="E255" s="150" t="str">
        <f t="shared" si="37"/>
        <v/>
      </c>
      <c r="F255" s="149" t="str">
        <f t="shared" si="38"/>
        <v/>
      </c>
      <c r="G255" s="151" t="str">
        <f t="shared" si="39"/>
        <v/>
      </c>
      <c r="I255" s="140"/>
      <c r="J255" s="136">
        <f t="shared" si="33"/>
        <v>2038</v>
      </c>
      <c r="K255" s="141" t="str">
        <f t="shared" si="34"/>
        <v/>
      </c>
    </row>
    <row r="256" spans="2:11" hidden="1" outlineLevel="1" x14ac:dyDescent="0.2">
      <c r="B256" s="196">
        <f t="shared" si="30"/>
        <v>50496</v>
      </c>
      <c r="C256" s="149" t="str">
        <f t="shared" si="36"/>
        <v/>
      </c>
      <c r="D256" s="150" t="str">
        <f>IF(ISNUMBER($F256),D244*(1+'Table 3 477 (WM)'!$D$87)*F256/F244,"")</f>
        <v/>
      </c>
      <c r="E256" s="150" t="str">
        <f t="shared" si="37"/>
        <v/>
      </c>
      <c r="F256" s="149" t="str">
        <f t="shared" si="38"/>
        <v/>
      </c>
      <c r="G256" s="151" t="str">
        <f t="shared" si="39"/>
        <v/>
      </c>
      <c r="I256" s="140"/>
      <c r="J256" s="136">
        <f t="shared" si="33"/>
        <v>2038</v>
      </c>
      <c r="K256" s="141" t="str">
        <f t="shared" si="34"/>
        <v/>
      </c>
    </row>
    <row r="257" spans="2:11" hidden="1" outlineLevel="1" x14ac:dyDescent="0.2">
      <c r="B257" s="196">
        <f t="shared" si="30"/>
        <v>50526</v>
      </c>
      <c r="C257" s="149" t="str">
        <f t="shared" si="36"/>
        <v/>
      </c>
      <c r="D257" s="150" t="str">
        <f>IF(ISNUMBER($F257),D245*(1+'Table 3 477 (WM)'!$D$87)*F257/F245,"")</f>
        <v/>
      </c>
      <c r="E257" s="150" t="str">
        <f t="shared" si="37"/>
        <v/>
      </c>
      <c r="F257" s="149" t="str">
        <f t="shared" si="38"/>
        <v/>
      </c>
      <c r="G257" s="151" t="str">
        <f t="shared" si="39"/>
        <v/>
      </c>
      <c r="I257" s="140"/>
      <c r="J257" s="136">
        <f t="shared" si="33"/>
        <v>2038</v>
      </c>
      <c r="K257" s="141" t="str">
        <f t="shared" si="34"/>
        <v/>
      </c>
    </row>
    <row r="258" spans="2:11" hidden="1" outlineLevel="1" x14ac:dyDescent="0.2">
      <c r="B258" s="196">
        <f t="shared" si="30"/>
        <v>50557</v>
      </c>
      <c r="C258" s="149" t="str">
        <f t="shared" si="36"/>
        <v/>
      </c>
      <c r="D258" s="150" t="str">
        <f>IF(ISNUMBER($F258),D246*(1+'Table 3 477 (WM)'!$D$87)*F258/F246,"")</f>
        <v/>
      </c>
      <c r="E258" s="150" t="str">
        <f t="shared" si="37"/>
        <v/>
      </c>
      <c r="F258" s="149" t="str">
        <f t="shared" si="38"/>
        <v/>
      </c>
      <c r="G258" s="151" t="str">
        <f t="shared" si="39"/>
        <v/>
      </c>
      <c r="I258" s="140"/>
      <c r="J258" s="136">
        <f t="shared" si="33"/>
        <v>2038</v>
      </c>
      <c r="K258" s="141" t="str">
        <f t="shared" si="34"/>
        <v/>
      </c>
    </row>
    <row r="259" spans="2:11" hidden="1" outlineLevel="1" x14ac:dyDescent="0.2">
      <c r="B259" s="196">
        <f t="shared" si="30"/>
        <v>50587</v>
      </c>
      <c r="C259" s="149" t="str">
        <f t="shared" si="36"/>
        <v/>
      </c>
      <c r="D259" s="150" t="str">
        <f>IF(ISNUMBER($F259),D247*(1+'Table 3 477 (WM)'!$D$87)*F259/F247,"")</f>
        <v/>
      </c>
      <c r="E259" s="150" t="str">
        <f t="shared" si="37"/>
        <v/>
      </c>
      <c r="F259" s="149" t="str">
        <f t="shared" si="38"/>
        <v/>
      </c>
      <c r="G259" s="151" t="str">
        <f t="shared" si="39"/>
        <v/>
      </c>
      <c r="I259" s="140"/>
      <c r="J259" s="136">
        <f t="shared" si="33"/>
        <v>2038</v>
      </c>
      <c r="K259" s="141" t="str">
        <f t="shared" si="34"/>
        <v/>
      </c>
    </row>
    <row r="260" spans="2:11" hidden="1" outlineLevel="1" x14ac:dyDescent="0.2">
      <c r="B260" s="196">
        <f t="shared" si="30"/>
        <v>50618</v>
      </c>
      <c r="C260" s="149" t="str">
        <f t="shared" si="36"/>
        <v/>
      </c>
      <c r="D260" s="150" t="str">
        <f>IF(ISNUMBER($F260),D248*(1+'Table 3 477 (WM)'!$D$87)*F260/F248,"")</f>
        <v/>
      </c>
      <c r="E260" s="150" t="str">
        <f t="shared" si="37"/>
        <v/>
      </c>
      <c r="F260" s="149" t="str">
        <f t="shared" si="38"/>
        <v/>
      </c>
      <c r="G260" s="151" t="str">
        <f t="shared" si="39"/>
        <v/>
      </c>
      <c r="I260" s="140"/>
      <c r="J260" s="136">
        <f t="shared" si="33"/>
        <v>2038</v>
      </c>
      <c r="K260" s="141" t="str">
        <f t="shared" si="34"/>
        <v/>
      </c>
    </row>
    <row r="261" spans="2:11" hidden="1" outlineLevel="1" x14ac:dyDescent="0.2">
      <c r="B261" s="196">
        <f t="shared" si="30"/>
        <v>50649</v>
      </c>
      <c r="C261" s="149" t="str">
        <f t="shared" si="36"/>
        <v/>
      </c>
      <c r="D261" s="150" t="str">
        <f>IF(ISNUMBER($F261),D249*(1+'Table 3 477 (WM)'!$D$87)*F261/F249,"")</f>
        <v/>
      </c>
      <c r="E261" s="150" t="str">
        <f t="shared" si="37"/>
        <v/>
      </c>
      <c r="F261" s="149" t="str">
        <f t="shared" si="38"/>
        <v/>
      </c>
      <c r="G261" s="151" t="str">
        <f t="shared" si="39"/>
        <v/>
      </c>
      <c r="I261" s="140"/>
      <c r="J261" s="136">
        <f t="shared" si="33"/>
        <v>2038</v>
      </c>
      <c r="K261" s="141" t="str">
        <f t="shared" si="34"/>
        <v/>
      </c>
    </row>
    <row r="262" spans="2:11" hidden="1" outlineLevel="1" x14ac:dyDescent="0.2">
      <c r="B262" s="196">
        <f t="shared" si="30"/>
        <v>50679</v>
      </c>
      <c r="C262" s="149" t="str">
        <f t="shared" si="36"/>
        <v/>
      </c>
      <c r="D262" s="150" t="str">
        <f>IF(ISNUMBER($F262),D250*(1+'Table 3 477 (WM)'!$D$87)*F262/F250,"")</f>
        <v/>
      </c>
      <c r="E262" s="150" t="str">
        <f t="shared" si="37"/>
        <v/>
      </c>
      <c r="F262" s="149" t="str">
        <f t="shared" si="38"/>
        <v/>
      </c>
      <c r="G262" s="151" t="str">
        <f t="shared" si="39"/>
        <v/>
      </c>
      <c r="I262" s="140"/>
      <c r="J262" s="136">
        <f t="shared" si="33"/>
        <v>2038</v>
      </c>
      <c r="K262" s="141" t="str">
        <f t="shared" si="34"/>
        <v/>
      </c>
    </row>
    <row r="263" spans="2:11" hidden="1" outlineLevel="1" x14ac:dyDescent="0.2">
      <c r="B263" s="196">
        <f t="shared" si="30"/>
        <v>50710</v>
      </c>
      <c r="C263" s="149" t="str">
        <f t="shared" si="36"/>
        <v/>
      </c>
      <c r="D263" s="150" t="str">
        <f>IF(ISNUMBER($F263),D251*(1+'Table 3 477 (WM)'!$D$87)*F263/F251,"")</f>
        <v/>
      </c>
      <c r="E263" s="150" t="str">
        <f t="shared" si="37"/>
        <v/>
      </c>
      <c r="F263" s="149" t="str">
        <f t="shared" si="38"/>
        <v/>
      </c>
      <c r="G263" s="151" t="str">
        <f t="shared" si="39"/>
        <v/>
      </c>
      <c r="I263" s="140"/>
      <c r="J263" s="136">
        <f t="shared" si="33"/>
        <v>2038</v>
      </c>
      <c r="K263" s="141" t="str">
        <f t="shared" si="34"/>
        <v/>
      </c>
    </row>
    <row r="264" spans="2:11" hidden="1" collapsed="1" x14ac:dyDescent="0.2">
      <c r="B264" s="197">
        <f t="shared" si="30"/>
        <v>50740</v>
      </c>
      <c r="C264" s="152"/>
      <c r="D264" s="153"/>
      <c r="E264" s="153"/>
      <c r="F264" s="152"/>
      <c r="G264" s="154"/>
      <c r="I264" s="127"/>
      <c r="J264" s="136">
        <f t="shared" si="33"/>
        <v>2038</v>
      </c>
      <c r="K264" s="145" t="str">
        <f t="shared" si="34"/>
        <v/>
      </c>
    </row>
    <row r="265" spans="2:11" hidden="1" x14ac:dyDescent="0.2">
      <c r="B265" s="155"/>
      <c r="K265" s="136"/>
    </row>
    <row r="266" spans="2:11" hidden="1" x14ac:dyDescent="0.2">
      <c r="B266" s="118" t="str">
        <f>"Note: Energy Dollars in "&amp;YEAR(B253)&amp;" are "&amp;YEAR(B241)&amp;" x ("&amp;YEAR(B241)&amp;" / "&amp;YEAR(B193)&amp;" ) ^ (1/4)"</f>
        <v>Note: Energy Dollars in 2038 are 2037 x (2037 / 2033 ) ^ (1/4)</v>
      </c>
    </row>
    <row r="267" spans="2:11" hidden="1" x14ac:dyDescent="0.2"/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28</vt:i4>
      </vt:variant>
    </vt:vector>
  </HeadingPairs>
  <TitlesOfParts>
    <vt:vector size="36" baseType="lpstr">
      <vt:lpstr>Appendix B</vt:lpstr>
      <vt:lpstr>Table 1</vt:lpstr>
      <vt:lpstr>Table 2</vt:lpstr>
      <vt:lpstr>Table 3 635 (Wyo)</vt:lpstr>
      <vt:lpstr>Table 3 477 (WM)</vt:lpstr>
      <vt:lpstr>Table 3 635 (Ut S)</vt:lpstr>
      <vt:lpstr>Table 4</vt:lpstr>
      <vt:lpstr>Table 5</vt:lpstr>
      <vt:lpstr>'Appendix B'!_477_CCCT_WestMain</vt:lpstr>
      <vt:lpstr>_477_CCCT_WestMain</vt:lpstr>
      <vt:lpstr>'Appendix B'!_635_CCCT_UtahS</vt:lpstr>
      <vt:lpstr>_635_CCCT_UtahS</vt:lpstr>
      <vt:lpstr>'Appendix B'!_635_CCCT_WyoNE</vt:lpstr>
      <vt:lpstr>_635_CCCT_WyoNE</vt:lpstr>
      <vt:lpstr>_Percent_Last_CCCT</vt:lpstr>
      <vt:lpstr>'Appendix B'!Discount_Rate</vt:lpstr>
      <vt:lpstr>Discount_Rate</vt:lpstr>
      <vt:lpstr>'Appendix B'!Print_Area</vt:lpstr>
      <vt:lpstr>'Table 1'!Print_Area</vt:lpstr>
      <vt:lpstr>'Table 2'!Print_Area</vt:lpstr>
      <vt:lpstr>'Table 3 477 (WM)'!Print_Area</vt:lpstr>
      <vt:lpstr>'Table 3 635 (Ut S)'!Print_Area</vt:lpstr>
      <vt:lpstr>'Table 3 635 (Wyo)'!Print_Area</vt:lpstr>
      <vt:lpstr>'Table 4'!Print_Area</vt:lpstr>
      <vt:lpstr>'Table 5'!Print_Area</vt:lpstr>
      <vt:lpstr>'Table 2'!Print_Titles</vt:lpstr>
      <vt:lpstr>'Table 3 477 (WM)'!Print_Titles</vt:lpstr>
      <vt:lpstr>'Table 3 635 (Ut S)'!Print_Titles</vt:lpstr>
      <vt:lpstr>'Table 3 635 (Wyo)'!Print_Titles</vt:lpstr>
      <vt:lpstr>'Appendix B'!Study_Cap_Adj</vt:lpstr>
      <vt:lpstr>Study_Cap_Adj</vt:lpstr>
      <vt:lpstr>'Appendix B'!Study_CF</vt:lpstr>
      <vt:lpstr>Study_CF</vt:lpstr>
      <vt:lpstr>'Appendix B'!Study_MW</vt:lpstr>
      <vt:lpstr>Study_MW</vt:lpstr>
      <vt:lpstr>Study_Name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2016-09-23T16:05:40Z</dcterms:created>
  <dcterms:modified xsi:type="dcterms:W3CDTF">2016-09-26T16:09:57Z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