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-15" windowWidth="12750" windowHeight="11880"/>
  </bookViews>
  <sheets>
    <sheet name="Incremental" sheetId="6" r:id="rId1"/>
    <sheet name="Total" sheetId="5" r:id="rId2"/>
    <sheet name="Energy" sheetId="12" r:id="rId3"/>
    <sheet name="Capacity" sheetId="10" r:id="rId4"/>
  </sheets>
  <definedNames>
    <definedName name="_Order1" hidden="1">255</definedName>
    <definedName name="_Order2" hidden="1">0</definedName>
    <definedName name="Discount_Rate">Total!$B$36</definedName>
    <definedName name="_xlnm.Print_Area" localSheetId="3">Capacity!$A$1:$H$33</definedName>
    <definedName name="_xlnm.Print_Area" localSheetId="2">Energy!$A$1:$H$32</definedName>
    <definedName name="_xlnm.Print_Area" localSheetId="0">Incremental!$A$1:$H$32</definedName>
    <definedName name="_xlnm.Print_Area" localSheetId="1">Total!$A$1:$H$32</definedName>
    <definedName name="Study_CF">#REF!</definedName>
    <definedName name="Study_MW">#REF!</definedName>
    <definedName name="Study_Name">#REF!</definedName>
  </definedNames>
  <calcPr calcId="152511" calcOnSave="0"/>
</workbook>
</file>

<file path=xl/calcChain.xml><?xml version="1.0" encoding="utf-8"?>
<calcChain xmlns="http://schemas.openxmlformats.org/spreadsheetml/2006/main">
  <c r="F24" i="5" l="1"/>
  <c r="E24" i="6" s="1"/>
  <c r="E24" i="5"/>
  <c r="D24" i="5"/>
  <c r="C24" i="5"/>
  <c r="F23" i="5"/>
  <c r="E23" i="5"/>
  <c r="E23" i="6" s="1"/>
  <c r="D23" i="5"/>
  <c r="D23" i="6" s="1"/>
  <c r="C23" i="5"/>
  <c r="F22" i="5"/>
  <c r="E22" i="5"/>
  <c r="D22" i="6" s="1"/>
  <c r="D22" i="5"/>
  <c r="C22" i="6" s="1"/>
  <c r="C22" i="5"/>
  <c r="F21" i="5"/>
  <c r="E21" i="5"/>
  <c r="D21" i="6" s="1"/>
  <c r="D21" i="5"/>
  <c r="C21" i="5"/>
  <c r="F20" i="5"/>
  <c r="E20" i="6" s="1"/>
  <c r="E20" i="5"/>
  <c r="D20" i="5"/>
  <c r="C20" i="6" s="1"/>
  <c r="C20" i="5"/>
  <c r="F19" i="5"/>
  <c r="E19" i="5"/>
  <c r="D19" i="5"/>
  <c r="C19" i="6" s="1"/>
  <c r="C19" i="5"/>
  <c r="F18" i="5"/>
  <c r="E18" i="5"/>
  <c r="D18" i="5"/>
  <c r="C18" i="6" s="1"/>
  <c r="C18" i="5"/>
  <c r="F17" i="5"/>
  <c r="E17" i="6" s="1"/>
  <c r="E17" i="5"/>
  <c r="D17" i="6" s="1"/>
  <c r="D17" i="5"/>
  <c r="C17" i="5"/>
  <c r="F16" i="5"/>
  <c r="E16" i="5"/>
  <c r="D16" i="5"/>
  <c r="D16" i="6" s="1"/>
  <c r="C16" i="5"/>
  <c r="C16" i="6" s="1"/>
  <c r="F15" i="5"/>
  <c r="E15" i="5"/>
  <c r="D15" i="5"/>
  <c r="C15" i="6" s="1"/>
  <c r="C15" i="5"/>
  <c r="F14" i="5"/>
  <c r="E14" i="6" s="1"/>
  <c r="E14" i="5"/>
  <c r="D14" i="5"/>
  <c r="D14" i="6" s="1"/>
  <c r="C14" i="5"/>
  <c r="F13" i="5"/>
  <c r="E13" i="6" s="1"/>
  <c r="E13" i="5"/>
  <c r="D13" i="6" s="1"/>
  <c r="D13" i="5"/>
  <c r="C13" i="5"/>
  <c r="F12" i="5"/>
  <c r="E12" i="6" s="1"/>
  <c r="E12" i="5"/>
  <c r="D12" i="5"/>
  <c r="C12" i="5"/>
  <c r="F11" i="5"/>
  <c r="E11" i="5"/>
  <c r="D11" i="6" s="1"/>
  <c r="D11" i="5"/>
  <c r="C11" i="5"/>
  <c r="F10" i="5"/>
  <c r="E10" i="5"/>
  <c r="E27" i="5" s="1"/>
  <c r="D10" i="5"/>
  <c r="D27" i="5" s="1"/>
  <c r="C10" i="5"/>
  <c r="D24" i="6"/>
  <c r="C24" i="6"/>
  <c r="E22" i="6"/>
  <c r="E21" i="6"/>
  <c r="C21" i="6"/>
  <c r="D20" i="6"/>
  <c r="E19" i="6"/>
  <c r="D19" i="6"/>
  <c r="E18" i="6"/>
  <c r="C17" i="6"/>
  <c r="E16" i="6"/>
  <c r="E15" i="6"/>
  <c r="D15" i="6"/>
  <c r="C13" i="6"/>
  <c r="D12" i="6"/>
  <c r="C12" i="6"/>
  <c r="E11" i="6"/>
  <c r="E10" i="6"/>
  <c r="C27" i="5"/>
  <c r="D18" i="6"/>
  <c r="C14" i="6"/>
  <c r="C11" i="6"/>
  <c r="B26" i="12"/>
  <c r="F27" i="5" l="1"/>
  <c r="C10" i="6"/>
  <c r="C23" i="6"/>
  <c r="D10" i="6"/>
  <c r="C27" i="6"/>
  <c r="D27" i="6"/>
  <c r="E27" i="6" l="1"/>
  <c r="E38" i="12"/>
  <c r="D38" i="12"/>
  <c r="C38" i="12"/>
  <c r="B38" i="12"/>
  <c r="G38" i="12"/>
  <c r="F38" i="12"/>
  <c r="D8" i="10"/>
  <c r="B30" i="10" l="1"/>
  <c r="C8" i="6" l="1"/>
  <c r="C7" i="6"/>
  <c r="C7" i="12"/>
  <c r="D8" i="5" l="1"/>
  <c r="C8" i="5"/>
  <c r="D7" i="5"/>
  <c r="C7" i="5"/>
  <c r="D8" i="6"/>
  <c r="D7" i="6"/>
  <c r="B39" i="10" l="1"/>
  <c r="G8" i="10"/>
  <c r="B4" i="10"/>
  <c r="B26" i="10" l="1"/>
  <c r="B11" i="10"/>
  <c r="F11" i="10" l="1"/>
  <c r="B12" i="10"/>
  <c r="F10" i="10"/>
  <c r="B13" i="10" l="1"/>
  <c r="E8" i="6"/>
  <c r="E7" i="6"/>
  <c r="F13" i="10" l="1"/>
  <c r="F12" i="10"/>
  <c r="B14" i="10"/>
  <c r="F8" i="6"/>
  <c r="F7" i="6"/>
  <c r="F14" i="10" l="1"/>
  <c r="B15" i="10"/>
  <c r="B16" i="10" l="1"/>
  <c r="G8" i="5"/>
  <c r="F8" i="5"/>
  <c r="G7" i="5"/>
  <c r="F7" i="5"/>
  <c r="F16" i="10" l="1"/>
  <c r="B17" i="10"/>
  <c r="F15" i="10"/>
  <c r="B1" i="12"/>
  <c r="B3" i="12"/>
  <c r="B10" i="12"/>
  <c r="B29" i="12"/>
  <c r="B35" i="12"/>
  <c r="B18" i="10" l="1"/>
  <c r="B11" i="12"/>
  <c r="F18" i="10" l="1"/>
  <c r="B19" i="10"/>
  <c r="F17" i="10"/>
  <c r="B12" i="12"/>
  <c r="F19" i="10" l="1"/>
  <c r="B20" i="10"/>
  <c r="B13" i="12"/>
  <c r="F20" i="10" l="1"/>
  <c r="B21" i="10"/>
  <c r="B14" i="12"/>
  <c r="F21" i="10" l="1"/>
  <c r="B22" i="10"/>
  <c r="B15" i="12"/>
  <c r="F22" i="10" l="1"/>
  <c r="B23" i="10"/>
  <c r="C27" i="10" s="1"/>
  <c r="B16" i="12"/>
  <c r="F23" i="10" l="1"/>
  <c r="B24" i="10"/>
  <c r="B17" i="12"/>
  <c r="F24" i="10" l="1"/>
  <c r="B27" i="10"/>
  <c r="B18" i="12"/>
  <c r="F27" i="10" l="1"/>
  <c r="B19" i="12"/>
  <c r="B20" i="12" l="1"/>
  <c r="B31" i="5"/>
  <c r="B31" i="12" l="1"/>
  <c r="B21" i="12"/>
  <c r="B22" i="12" l="1"/>
  <c r="B23" i="12" l="1"/>
  <c r="B24" i="12" l="1"/>
  <c r="C24" i="12" l="1"/>
  <c r="B27" i="12"/>
  <c r="C27" i="12" l="1"/>
  <c r="B26" i="5"/>
  <c r="B31" i="6" l="1"/>
  <c r="B32" i="6"/>
  <c r="B29" i="6"/>
  <c r="E8" i="5" l="1"/>
  <c r="E7" i="5"/>
  <c r="B36" i="6" l="1"/>
  <c r="B26" i="6" l="1"/>
  <c r="B10" i="6" l="1"/>
  <c r="B11" i="5"/>
  <c r="B3" i="6"/>
  <c r="B1" i="6"/>
  <c r="B11" i="6" l="1"/>
  <c r="B12" i="5"/>
  <c r="B13" i="5" l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7" i="6" l="1"/>
  <c r="B14" i="5"/>
  <c r="B4" i="12"/>
  <c r="B4" i="6"/>
  <c r="B4" i="5"/>
  <c r="B15" i="5" l="1"/>
  <c r="B16" i="5" l="1"/>
  <c r="B17" i="5" l="1"/>
  <c r="B18" i="5" l="1"/>
  <c r="B19" i="5" l="1"/>
  <c r="B20" i="5" l="1"/>
  <c r="B21" i="5" l="1"/>
  <c r="B22" i="5" l="1"/>
  <c r="B23" i="5" l="1"/>
  <c r="B24" i="5" l="1"/>
  <c r="B27" i="5" s="1"/>
  <c r="B30" i="5" l="1"/>
  <c r="B30" i="6" l="1"/>
  <c r="B30" i="12"/>
  <c r="G16" i="10" l="1"/>
  <c r="G15" i="10" l="1"/>
  <c r="G12" i="10"/>
  <c r="G13" i="10"/>
  <c r="G11" i="10"/>
  <c r="G17" i="10"/>
  <c r="G19" i="10"/>
  <c r="G14" i="10"/>
  <c r="G18" i="10"/>
  <c r="G10" i="10" l="1"/>
  <c r="G24" i="10" l="1"/>
  <c r="G23" i="10"/>
  <c r="G22" i="10" l="1"/>
  <c r="G20" i="10"/>
  <c r="G21" i="10" l="1"/>
  <c r="G27" i="10" l="1"/>
  <c r="F8" i="10" l="1"/>
  <c r="D27" i="12" l="1"/>
  <c r="E27" i="12" l="1"/>
  <c r="G11" i="5" l="1"/>
  <c r="G21" i="5"/>
  <c r="F21" i="6" s="1"/>
  <c r="G20" i="5"/>
  <c r="F20" i="6" s="1"/>
  <c r="G22" i="5"/>
  <c r="F22" i="6" s="1"/>
  <c r="G24" i="5"/>
  <c r="F24" i="6" s="1"/>
  <c r="G23" i="5"/>
  <c r="F23" i="6" s="1"/>
  <c r="G15" i="5"/>
  <c r="F15" i="6" s="1"/>
  <c r="G18" i="5"/>
  <c r="F18" i="6" s="1"/>
  <c r="G16" i="5"/>
  <c r="F16" i="6" s="1"/>
  <c r="G17" i="5"/>
  <c r="F17" i="6" s="1"/>
  <c r="G13" i="5"/>
  <c r="F13" i="6" s="1"/>
  <c r="G14" i="5"/>
  <c r="F14" i="6" s="1"/>
  <c r="G19" i="5"/>
  <c r="F19" i="6" s="1"/>
  <c r="G12" i="5"/>
  <c r="F12" i="6" s="1"/>
  <c r="G10" i="5"/>
  <c r="F10" i="6" s="1"/>
  <c r="G27" i="5" l="1"/>
  <c r="F27" i="6" s="1"/>
  <c r="G27" i="6" s="1"/>
  <c r="F11" i="6"/>
  <c r="G27" i="12"/>
  <c r="G21" i="6" l="1"/>
  <c r="G20" i="6"/>
  <c r="G18" i="6" l="1"/>
  <c r="G19" i="6"/>
  <c r="G23" i="6"/>
  <c r="G13" i="6"/>
  <c r="G15" i="6"/>
  <c r="G14" i="6"/>
  <c r="F27" i="12"/>
  <c r="G17" i="6"/>
  <c r="G22" i="6"/>
  <c r="G24" i="6"/>
  <c r="G16" i="6"/>
  <c r="G11" i="6"/>
  <c r="G12" i="6" l="1"/>
  <c r="G10" i="6"/>
</calcChain>
</file>

<file path=xl/sharedStrings.xml><?xml version="1.0" encoding="utf-8"?>
<sst xmlns="http://schemas.openxmlformats.org/spreadsheetml/2006/main" count="42" uniqueCount="34">
  <si>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</si>
  <si>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</si>
  <si>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</si>
  <si>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</si>
  <si>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</si>
  <si>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</si>
  <si>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</si>
  <si>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</si>
  <si>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</si>
  <si>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</si>
  <si>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</si>
  <si>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</si>
  <si>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</si>
  <si>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OFPC Date</t>
  </si>
  <si>
    <t>Update</t>
  </si>
  <si>
    <t>Generic</t>
  </si>
  <si>
    <t>Discount Rate - 2015 IRP Page 141</t>
  </si>
  <si>
    <t>Impact</t>
  </si>
  <si>
    <t>QF</t>
  </si>
  <si>
    <t>Queue</t>
  </si>
  <si>
    <t>2016.Q1</t>
  </si>
  <si>
    <t>(1)   Studies are sequential.  The order of the studies would affect the price impact.</t>
  </si>
  <si>
    <t>2016.Q2</t>
  </si>
  <si>
    <t>Load</t>
  </si>
  <si>
    <t>Forecast</t>
  </si>
  <si>
    <t>1606</t>
  </si>
  <si>
    <t>(4)  15-Year Nominal Levelized Payment (2018-2032)</t>
  </si>
  <si>
    <t>(x)   Escalated by 2.2% from prior year</t>
  </si>
  <si>
    <t>OFPC (2)</t>
  </si>
  <si>
    <t>2016.Q1 (3)</t>
  </si>
  <si>
    <t>(3)  Capacity costs reflect - 2028 - WYNE DJohns - 665 MW - CCCT Dry "JF, 2x1 - East Side Resource (5,050') ( 100.0%)</t>
  </si>
  <si>
    <t xml:space="preserve">   </t>
  </si>
  <si>
    <t>(4)  Capacity costs reflect - 2028 - West M - 477 MW - CCCT Dry "J", Adv 1x1 - West Side Resource (1,500') ( 100.0%)</t>
  </si>
  <si>
    <t xml:space="preserve">(5)  Capacity costs reflect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</si>
</sst>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&quot;$&quot;#,##0.00\(\x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65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2" xfId="4" applyNumberFormat="1" applyFont="1" applyFill="1" applyBorder="1" applyAlignment="1">
      <alignment horizontal="center"/>
    </xf>
    <xf numFmtId="8" fontId="4" fillId="0" borderId="0" xfId="4" applyNumberFormat="1" applyFont="1"/>
    <xf numFmtId="8" fontId="4" fillId="0" borderId="0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Fill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3" fillId="0" borderId="5" xfId="0" quotePrefix="1" applyFont="1" applyFill="1" applyBorder="1" applyAlignment="1">
      <alignment horizontal="center"/>
    </xf>
    <xf numFmtId="165" fontId="3" fillId="0" borderId="9" xfId="4" applyFont="1" applyBorder="1" applyAlignment="1">
      <alignment horizontal="centerContinuous"/>
    </xf>
    <xf numFmtId="0" fontId="4" fillId="0" borderId="2" xfId="4" applyNumberFormat="1" applyFont="1" applyBorder="1" applyAlignment="1">
      <alignment horizontal="center"/>
    </xf>
    <xf numFmtId="172" fontId="4" fillId="0" borderId="0" xfId="4" applyNumberFormat="1" applyFont="1" applyFill="1" applyBorder="1" applyAlignment="1">
      <alignment horizontal="center"/>
    </xf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J36"/>
  <sheetViews>
    <sheetView tabSelected="1"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D54" sqref="D54"/>
    </sheetView>
  </sheetViews>
  <sheetFormatPr defaultRowHeight="15" x14ac:dyDescent="0.2"/>
  <cols>
    <col min="1" max="1" width="1.85546875" style="1" customWidth="1"/>
    <col min="2" max="2" width="13.7109375" style="1" customWidth="1"/>
    <col min="3" max="7" width="17.7109375" style="1" customWidth="1"/>
    <col min="8" max="8" width="2.28515625" style="1" customWidth="1"/>
    <col min="9" max="9" width="9.140625" style="1"/>
    <col min="10" max="10" width="10.85546875" style="1" bestFit="1" customWidth="1"/>
    <col min="11" max="16384" width="9.140625" style="1"/>
  </cols>
  <sheetData>
    <row r="1" spans="2:10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10" ht="8.25" customHeight="1" x14ac:dyDescent="0.25">
      <c r="B2" s="6"/>
      <c r="C2" s="6"/>
      <c r="D2" s="6"/>
      <c r="E2" s="6"/>
      <c r="F2" s="6"/>
      <c r="G2" s="6"/>
    </row>
    <row r="3" spans="2:10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10" ht="15.75" x14ac:dyDescent="0.25">
      <c r="B4" s="6" t="str">
        <f>Capacity!$B$4</f>
        <v>Step Study between 2016.Q2 and 2016.Q1 Compliance Filing</v>
      </c>
      <c r="C4" s="6"/>
      <c r="D4" s="6"/>
      <c r="E4" s="6"/>
      <c r="F4" s="6"/>
      <c r="G4" s="6"/>
    </row>
    <row r="5" spans="2:10" ht="15.75" x14ac:dyDescent="0.25">
      <c r="B5" s="6" t="s">
        <v>12</v>
      </c>
      <c r="C5" s="6"/>
      <c r="D5" s="6"/>
      <c r="E5" s="6"/>
      <c r="F5" s="6"/>
      <c r="G5" s="6"/>
    </row>
    <row r="6" spans="2:10" x14ac:dyDescent="0.2">
      <c r="C6" s="9"/>
      <c r="D6" s="9"/>
      <c r="E6" s="9"/>
      <c r="F6" s="9"/>
      <c r="G6" s="9"/>
    </row>
    <row r="7" spans="2:10" s="4" customFormat="1" ht="15.75" x14ac:dyDescent="0.25">
      <c r="B7" s="14"/>
      <c r="C7" s="11" t="str">
        <f>Energy!D7</f>
        <v>Load</v>
      </c>
      <c r="D7" s="11" t="str">
        <f>Energy!E7</f>
        <v>1606</v>
      </c>
      <c r="E7" s="11" t="str">
        <f>Energy!F7</f>
        <v>Generic</v>
      </c>
      <c r="F7" s="11" t="str">
        <f>Energy!G7</f>
        <v>QF</v>
      </c>
      <c r="G7" s="11" t="s">
        <v>5</v>
      </c>
      <c r="H7" s="1"/>
    </row>
    <row r="8" spans="2:10" s="4" customFormat="1" ht="15.75" x14ac:dyDescent="0.25">
      <c r="B8" s="15" t="s">
        <v>0</v>
      </c>
      <c r="C8" s="12" t="str">
        <f>Energy!D8</f>
        <v>Forecast</v>
      </c>
      <c r="D8" s="12" t="str">
        <f>Energy!E8</f>
        <v>OFPC (2)</v>
      </c>
      <c r="E8" s="12" t="str">
        <f>Energy!F8</f>
        <v>Update</v>
      </c>
      <c r="F8" s="12" t="str">
        <f>Energy!G8</f>
        <v>Queue</v>
      </c>
      <c r="G8" s="12" t="s">
        <v>17</v>
      </c>
      <c r="H8" s="1"/>
    </row>
    <row r="9" spans="2:10" ht="4.5" customHeight="1" x14ac:dyDescent="0.2"/>
    <row r="10" spans="2:10" ht="15.75" x14ac:dyDescent="0.25">
      <c r="B10" s="3">
        <f>Total!B10</f>
        <v>2018</v>
      </c>
      <c r="C10" s="54">
        <f>ROUND(Total!D10-Total!C10,3)</f>
        <v>-1.84</v>
      </c>
      <c r="D10" s="54">
        <f>ROUND(Total!E10-Total!D10,3)</f>
        <v>1.2</v>
      </c>
      <c r="E10" s="54">
        <f>ROUND(Total!F10-Total!E10,3)</f>
        <v>0.79</v>
      </c>
      <c r="F10" s="54">
        <f>ROUND(Total!G10-Total!F10,3)</f>
        <v>0.35299999999999998</v>
      </c>
      <c r="G10" s="54">
        <f t="shared" ref="G10" ca="1" si="0">SUM(OFFSET($C10,0,0,1,COLUMN(G10)-3))</f>
        <v>0.50299999999999989</v>
      </c>
      <c r="H10" s="55"/>
      <c r="J10" s="22"/>
    </row>
    <row r="11" spans="2:10" ht="15.75" x14ac:dyDescent="0.25">
      <c r="B11" s="3">
        <f t="shared" ref="B11:B24" si="1">B10+1</f>
        <v>2019</v>
      </c>
      <c r="C11" s="54">
        <f>ROUND(Total!D11-Total!C11,3)</f>
        <v>-1.63</v>
      </c>
      <c r="D11" s="54">
        <f>ROUND(Total!E11-Total!D11,3)</f>
        <v>0.22</v>
      </c>
      <c r="E11" s="54">
        <f>ROUND(Total!F11-Total!E11,3)</f>
        <v>1.1100000000000001</v>
      </c>
      <c r="F11" s="54">
        <f>ROUND(Total!G11-Total!F11,3)</f>
        <v>-1.3759999999999999</v>
      </c>
      <c r="G11" s="54">
        <f ca="1">SUM(OFFSET($C11,0,0,1,COLUMN(G11)-3))</f>
        <v>-1.6759999999999997</v>
      </c>
      <c r="H11" s="55"/>
      <c r="J11" s="22"/>
    </row>
    <row r="12" spans="2:10" ht="15.75" x14ac:dyDescent="0.25">
      <c r="B12" s="3">
        <f t="shared" si="1"/>
        <v>2020</v>
      </c>
      <c r="C12" s="54">
        <f>ROUND(Total!D12-Total!C12,3)</f>
        <v>-2.4500000000000002</v>
      </c>
      <c r="D12" s="54">
        <f>ROUND(Total!E12-Total!D12,3)</f>
        <v>0.42</v>
      </c>
      <c r="E12" s="54">
        <f>ROUND(Total!F12-Total!E12,3)</f>
        <v>0.63</v>
      </c>
      <c r="F12" s="54">
        <f>ROUND(Total!G12-Total!F12,3)</f>
        <v>-8.9999999999999993E-3</v>
      </c>
      <c r="G12" s="54">
        <f t="shared" ref="G12:G24" ca="1" si="2">SUM(OFFSET($C12,0,0,1,COLUMN(G12)-3))</f>
        <v>-1.4090000000000003</v>
      </c>
      <c r="H12" s="55"/>
      <c r="J12" s="22"/>
    </row>
    <row r="13" spans="2:10" ht="15.75" x14ac:dyDescent="0.25">
      <c r="B13" s="3">
        <f t="shared" si="1"/>
        <v>2021</v>
      </c>
      <c r="C13" s="54">
        <f>ROUND(Total!D13-Total!C13,3)</f>
        <v>-1.77</v>
      </c>
      <c r="D13" s="54">
        <f>ROUND(Total!E13-Total!D13,3)</f>
        <v>-0.48</v>
      </c>
      <c r="E13" s="54">
        <f>ROUND(Total!F13-Total!E13,3)</f>
        <v>0.91</v>
      </c>
      <c r="F13" s="54">
        <f>ROUND(Total!G13-Total!F13,3)</f>
        <v>-2.411</v>
      </c>
      <c r="G13" s="54">
        <f t="shared" ca="1" si="2"/>
        <v>-3.7509999999999999</v>
      </c>
      <c r="H13" s="55"/>
      <c r="J13" s="22"/>
    </row>
    <row r="14" spans="2:10" ht="15.75" x14ac:dyDescent="0.25">
      <c r="B14" s="3">
        <f t="shared" si="1"/>
        <v>2022</v>
      </c>
      <c r="C14" s="54">
        <f>ROUND(Total!D14-Total!C14,3)</f>
        <v>-1.91</v>
      </c>
      <c r="D14" s="54">
        <f>ROUND(Total!E14-Total!D14,3)</f>
        <v>-0.83</v>
      </c>
      <c r="E14" s="54">
        <f>ROUND(Total!F14-Total!E14,3)</f>
        <v>1.02</v>
      </c>
      <c r="F14" s="54">
        <f>ROUND(Total!G14-Total!F14,3)</f>
        <v>-2.097</v>
      </c>
      <c r="G14" s="54">
        <f t="shared" ca="1" si="2"/>
        <v>-3.8169999999999997</v>
      </c>
      <c r="H14" s="55"/>
      <c r="J14" s="22"/>
    </row>
    <row r="15" spans="2:10" ht="15.75" x14ac:dyDescent="0.25">
      <c r="B15" s="3">
        <f t="shared" si="1"/>
        <v>2023</v>
      </c>
      <c r="C15" s="54">
        <f>ROUND(Total!D15-Total!C15,3)</f>
        <v>-3.15</v>
      </c>
      <c r="D15" s="54">
        <f>ROUND(Total!E15-Total!D15,3)</f>
        <v>0.3</v>
      </c>
      <c r="E15" s="54">
        <f>ROUND(Total!F15-Total!E15,3)</f>
        <v>2.14</v>
      </c>
      <c r="F15" s="54">
        <f>ROUND(Total!G15-Total!F15,3)</f>
        <v>-2.3879999999999999</v>
      </c>
      <c r="G15" s="54">
        <f t="shared" ca="1" si="2"/>
        <v>-3.0979999999999999</v>
      </c>
      <c r="H15" s="55"/>
      <c r="J15" s="22"/>
    </row>
    <row r="16" spans="2:10" ht="15.75" x14ac:dyDescent="0.25">
      <c r="B16" s="3">
        <f t="shared" si="1"/>
        <v>2024</v>
      </c>
      <c r="C16" s="54">
        <f>ROUND(Total!D16-Total!C16,3)</f>
        <v>-2.36</v>
      </c>
      <c r="D16" s="54">
        <f>ROUND(Total!E16-Total!D16,3)</f>
        <v>0.2</v>
      </c>
      <c r="E16" s="54">
        <f>ROUND(Total!F16-Total!E16,3)</f>
        <v>0.75</v>
      </c>
      <c r="F16" s="54">
        <f>ROUND(Total!G16-Total!F16,3)</f>
        <v>-1.9410000000000001</v>
      </c>
      <c r="G16" s="54">
        <f t="shared" ca="1" si="2"/>
        <v>-3.351</v>
      </c>
      <c r="H16" s="55"/>
      <c r="J16" s="22"/>
    </row>
    <row r="17" spans="2:10" ht="15.75" x14ac:dyDescent="0.25">
      <c r="B17" s="3">
        <f t="shared" si="1"/>
        <v>2025</v>
      </c>
      <c r="C17" s="54">
        <f>ROUND(Total!D17-Total!C17,3)</f>
        <v>-1.36</v>
      </c>
      <c r="D17" s="54">
        <f>ROUND(Total!E17-Total!D17,3)</f>
        <v>-0.59</v>
      </c>
      <c r="E17" s="54">
        <f>ROUND(Total!F17-Total!E17,3)</f>
        <v>0.49</v>
      </c>
      <c r="F17" s="54">
        <f>ROUND(Total!G17-Total!F17,3)</f>
        <v>-5.6000000000000001E-2</v>
      </c>
      <c r="G17" s="54">
        <f t="shared" ca="1" si="2"/>
        <v>-1.5160000000000002</v>
      </c>
      <c r="H17" s="55"/>
      <c r="J17" s="22"/>
    </row>
    <row r="18" spans="2:10" ht="15.75" x14ac:dyDescent="0.25">
      <c r="B18" s="3">
        <f t="shared" si="1"/>
        <v>2026</v>
      </c>
      <c r="C18" s="54">
        <f>ROUND(Total!D18-Total!C18,3)</f>
        <v>-1.71</v>
      </c>
      <c r="D18" s="54">
        <f>ROUND(Total!E18-Total!D18,3)</f>
        <v>-0.61</v>
      </c>
      <c r="E18" s="54">
        <f>ROUND(Total!F18-Total!E18,3)</f>
        <v>0.62</v>
      </c>
      <c r="F18" s="54">
        <f>ROUND(Total!G18-Total!F18,3)</f>
        <v>0.11899999999999999</v>
      </c>
      <c r="G18" s="54">
        <f t="shared" ca="1" si="2"/>
        <v>-1.5809999999999997</v>
      </c>
      <c r="H18" s="55"/>
      <c r="J18" s="22"/>
    </row>
    <row r="19" spans="2:10" ht="15.75" x14ac:dyDescent="0.25">
      <c r="B19" s="3">
        <f t="shared" si="1"/>
        <v>2027</v>
      </c>
      <c r="C19" s="54">
        <f>ROUND(Total!D19-Total!C19,3)</f>
        <v>-3.07</v>
      </c>
      <c r="D19" s="54">
        <f>ROUND(Total!E19-Total!D19,3)</f>
        <v>-0.11</v>
      </c>
      <c r="E19" s="54">
        <f>ROUND(Total!F19-Total!E19,3)</f>
        <v>1.1499999999999999</v>
      </c>
      <c r="F19" s="54">
        <f>ROUND(Total!G19-Total!F19,3)</f>
        <v>-0.17</v>
      </c>
      <c r="G19" s="54">
        <f t="shared" ca="1" si="2"/>
        <v>-2.1999999999999997</v>
      </c>
      <c r="H19" s="55"/>
      <c r="J19" s="22"/>
    </row>
    <row r="20" spans="2:10" ht="15.75" x14ac:dyDescent="0.25">
      <c r="B20" s="3">
        <f t="shared" si="1"/>
        <v>2028</v>
      </c>
      <c r="C20" s="54">
        <f>ROUND(Total!D20-Total!C20,3)</f>
        <v>-0.86</v>
      </c>
      <c r="D20" s="54">
        <f>ROUND(Total!E20-Total!D20,3)</f>
        <v>-0.4</v>
      </c>
      <c r="E20" s="54">
        <f>ROUND(Total!F20-Total!E20,3)</f>
        <v>0.18</v>
      </c>
      <c r="F20" s="54">
        <f>ROUND(Total!G20-Total!F20,3)</f>
        <v>0.78700000000000003</v>
      </c>
      <c r="G20" s="54">
        <f t="shared" ca="1" si="2"/>
        <v>-0.29300000000000004</v>
      </c>
      <c r="H20" s="55"/>
      <c r="J20" s="22"/>
    </row>
    <row r="21" spans="2:10" ht="15.75" x14ac:dyDescent="0.25">
      <c r="B21" s="3">
        <f t="shared" si="1"/>
        <v>2029</v>
      </c>
      <c r="C21" s="54">
        <f>ROUND(Total!D21-Total!C21,3)</f>
        <v>-1.1499999999999999</v>
      </c>
      <c r="D21" s="54">
        <f>ROUND(Total!E21-Total!D21,3)</f>
        <v>-0.32</v>
      </c>
      <c r="E21" s="54">
        <f>ROUND(Total!F21-Total!E21,3)</f>
        <v>0.06</v>
      </c>
      <c r="F21" s="54">
        <f>ROUND(Total!G21-Total!F21,3)</f>
        <v>0.61599999999999999</v>
      </c>
      <c r="G21" s="54">
        <f t="shared" ca="1" si="2"/>
        <v>-0.79399999999999993</v>
      </c>
      <c r="H21" s="55"/>
      <c r="J21" s="22"/>
    </row>
    <row r="22" spans="2:10" ht="15.75" x14ac:dyDescent="0.25">
      <c r="B22" s="3">
        <f t="shared" si="1"/>
        <v>2030</v>
      </c>
      <c r="C22" s="54">
        <f>ROUND(Total!D22-Total!C22,3)</f>
        <v>-0.67</v>
      </c>
      <c r="D22" s="54">
        <f>ROUND(Total!E22-Total!D22,3)</f>
        <v>-0.28000000000000003</v>
      </c>
      <c r="E22" s="54">
        <f>ROUND(Total!F22-Total!E22,3)</f>
        <v>0.17</v>
      </c>
      <c r="F22" s="54">
        <f>ROUND(Total!G22-Total!F22,3)</f>
        <v>0.66</v>
      </c>
      <c r="G22" s="54">
        <f t="shared" ca="1" si="2"/>
        <v>-0.12</v>
      </c>
      <c r="H22" s="55"/>
      <c r="J22" s="22"/>
    </row>
    <row r="23" spans="2:10" ht="15.75" x14ac:dyDescent="0.25">
      <c r="B23" s="3">
        <f t="shared" si="1"/>
        <v>2031</v>
      </c>
      <c r="C23" s="54">
        <f>ROUND(Total!D23-Total!C23,3)</f>
        <v>-0.28000000000000003</v>
      </c>
      <c r="D23" s="54">
        <f>ROUND(Total!E23-Total!D23,3)</f>
        <v>-0.46</v>
      </c>
      <c r="E23" s="54">
        <f>ROUND(Total!F23-Total!E23,3)</f>
        <v>-0.14000000000000001</v>
      </c>
      <c r="F23" s="54">
        <f>ROUND(Total!G23-Total!F23,3)</f>
        <v>1.83</v>
      </c>
      <c r="G23" s="54">
        <f t="shared" ca="1" si="2"/>
        <v>0.95000000000000007</v>
      </c>
      <c r="H23" s="55"/>
      <c r="J23" s="22"/>
    </row>
    <row r="24" spans="2:10" ht="15.75" x14ac:dyDescent="0.25">
      <c r="B24" s="3">
        <f t="shared" si="1"/>
        <v>2032</v>
      </c>
      <c r="C24" s="54">
        <f>ROUND(Total!D24-Total!C24,3)</f>
        <v>-0.04</v>
      </c>
      <c r="D24" s="54">
        <f>ROUND(Total!E24-Total!D24,3)</f>
        <v>-0.27</v>
      </c>
      <c r="E24" s="54">
        <f>ROUND(Total!F24-Total!E24,3)</f>
        <v>-0.06</v>
      </c>
      <c r="F24" s="54">
        <f>ROUND(Total!G24-Total!F24,3)</f>
        <v>1.542</v>
      </c>
      <c r="G24" s="54">
        <f t="shared" ca="1" si="2"/>
        <v>1.1720000000000002</v>
      </c>
      <c r="H24" s="55"/>
      <c r="J24" s="22"/>
    </row>
    <row r="25" spans="2:10" x14ac:dyDescent="0.2">
      <c r="C25" s="55"/>
      <c r="D25" s="55"/>
      <c r="E25" s="55"/>
      <c r="F25" s="55"/>
      <c r="G25" s="55"/>
      <c r="H25" s="55"/>
    </row>
    <row r="26" spans="2:10" x14ac:dyDescent="0.2">
      <c r="B26" s="13" t="str">
        <f>Total!B26</f>
        <v>Nominal Levelized Payment at 6.660% Discount Rate (3)</v>
      </c>
      <c r="C26" s="56"/>
      <c r="D26" s="56"/>
      <c r="E26" s="56"/>
      <c r="F26" s="56"/>
      <c r="G26" s="56"/>
      <c r="H26" s="55"/>
    </row>
    <row r="27" spans="2:10" x14ac:dyDescent="0.2">
      <c r="B27" s="8" t="str">
        <f>B10&amp;" - "&amp;B24</f>
        <v>2018 - 2032</v>
      </c>
      <c r="C27" s="57">
        <f>ROUND(Total!D27-Total!C27,3)</f>
        <v>-1.756</v>
      </c>
      <c r="D27" s="57">
        <f>ROUND(Total!E27-Total!D27,3)</f>
        <v>-5.1999999999999998E-2</v>
      </c>
      <c r="E27" s="57">
        <f>ROUND(Total!F27-Total!E27,3)</f>
        <v>0.748</v>
      </c>
      <c r="F27" s="57">
        <f>ROUND(Total!G27-Total!F27,3)</f>
        <v>-0.53</v>
      </c>
      <c r="G27" s="57">
        <f t="shared" ref="G27" ca="1" si="3">SUM(OFFSET($C27,0,0,1,COLUMN(G27)-3))</f>
        <v>-1.59</v>
      </c>
      <c r="H27" s="55"/>
    </row>
    <row r="28" spans="2:10" x14ac:dyDescent="0.2">
      <c r="C28" s="55"/>
      <c r="D28" s="55"/>
      <c r="E28" s="55"/>
      <c r="F28" s="55"/>
      <c r="G28" s="59"/>
    </row>
    <row r="29" spans="2:10" x14ac:dyDescent="0.2">
      <c r="B29" s="1" t="str">
        <f>Total!B29</f>
        <v>(1)   Studies are sequential.  The order of the studies would affect the price impact.</v>
      </c>
      <c r="C29" s="55"/>
      <c r="D29" s="55"/>
      <c r="E29" s="55"/>
      <c r="F29" s="55"/>
      <c r="G29" s="55"/>
    </row>
    <row r="30" spans="2:10" x14ac:dyDescent="0.2">
      <c r="B30" s="1" t="str">
        <f>Total!B30</f>
        <v>(2)   Official Forward Price Curve Dated June 2016</v>
      </c>
    </row>
    <row r="31" spans="2:10" x14ac:dyDescent="0.2">
      <c r="B31" s="1" t="str">
        <f>Total!B31</f>
        <v>(3)   Discount Rate - 2015 IRP Page 141</v>
      </c>
      <c r="C31" s="8"/>
    </row>
    <row r="32" spans="2:10" x14ac:dyDescent="0.2">
      <c r="B32" s="1" t="str">
        <f>Total!B32</f>
        <v xml:space="preserve">(4)   Capacity costs are allocated assuming an 85% capacity factor. </v>
      </c>
    </row>
    <row r="35" spans="2:2" hidden="1" x14ac:dyDescent="0.2">
      <c r="B35" s="24" t="s">
        <v>16</v>
      </c>
    </row>
    <row r="36" spans="2:2" hidden="1" x14ac:dyDescent="0.2">
      <c r="B36" s="40">
        <f>Discount_Rate</f>
        <v>6.6600000000000006E-2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O43" sqref="O43"/>
    </sheetView>
  </sheetViews>
  <sheetFormatPr defaultRowHeight="15" x14ac:dyDescent="0.2"/>
  <cols>
    <col min="1" max="1" width="1.85546875" style="1" customWidth="1"/>
    <col min="2" max="2" width="13.7109375" style="1" customWidth="1"/>
    <col min="3" max="7" width="17.7109375" style="1" customWidth="1"/>
    <col min="8" max="8" width="2.42578125" style="1" customWidth="1"/>
    <col min="9" max="9" width="9.140625" style="1"/>
    <col min="10" max="10" width="10.28515625" style="1" bestFit="1" customWidth="1"/>
    <col min="11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4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2016.Q2 and 2016.Q1 Compliance Filing</v>
      </c>
      <c r="C4" s="6"/>
      <c r="D4" s="6"/>
      <c r="E4" s="6"/>
      <c r="F4" s="6"/>
      <c r="G4" s="6"/>
    </row>
    <row r="5" spans="2:16" ht="15.75" x14ac:dyDescent="0.25">
      <c r="B5" s="6" t="s">
        <v>11</v>
      </c>
      <c r="C5" s="6"/>
      <c r="D5" s="6"/>
      <c r="E5" s="6"/>
      <c r="F5" s="6"/>
      <c r="G5" s="6"/>
    </row>
    <row r="6" spans="2:16" s="21" customFormat="1" ht="15.75" x14ac:dyDescent="0.25">
      <c r="B6" s="19"/>
      <c r="C6" s="19"/>
      <c r="D6" s="20"/>
      <c r="E6" s="19"/>
      <c r="F6" s="19"/>
      <c r="G6" s="19"/>
    </row>
    <row r="7" spans="2:16" ht="15.75" x14ac:dyDescent="0.25">
      <c r="B7" s="48"/>
      <c r="C7" s="49" t="str">
        <f>Energy!C7</f>
        <v>2016.Q1</v>
      </c>
      <c r="D7" s="49" t="str">
        <f>Energy!D7</f>
        <v>Load</v>
      </c>
      <c r="E7" s="49" t="str">
        <f>Energy!E7</f>
        <v>1606</v>
      </c>
      <c r="F7" s="49" t="str">
        <f>Energy!F7</f>
        <v>Generic</v>
      </c>
      <c r="G7" s="49" t="str">
        <f>Energy!G7</f>
        <v>QF</v>
      </c>
    </row>
    <row r="8" spans="2:16" ht="15.75" x14ac:dyDescent="0.25">
      <c r="B8" s="7" t="s">
        <v>0</v>
      </c>
      <c r="C8" s="2" t="str">
        <f>Energy!C8</f>
        <v>As Filed</v>
      </c>
      <c r="D8" s="2" t="str">
        <f>Energy!D8</f>
        <v>Forecast</v>
      </c>
      <c r="E8" s="2" t="str">
        <f>Energy!E8</f>
        <v>OFPC (2)</v>
      </c>
      <c r="F8" s="2" t="str">
        <f>Energy!F8</f>
        <v>Update</v>
      </c>
      <c r="G8" s="2" t="str">
        <f>Energy!G8</f>
        <v>Queue</v>
      </c>
    </row>
    <row r="9" spans="2:16" ht="4.5" customHeight="1" x14ac:dyDescent="0.2"/>
    <row r="10" spans="2:16" ht="15.75" x14ac:dyDescent="0.25">
      <c r="B10" s="3">
        <v>2018</v>
      </c>
      <c r="C10" s="16">
        <f>ROUND(Capacity!$F10+Energy!C10,3)</f>
        <v>21.503</v>
      </c>
      <c r="D10" s="16">
        <f>ROUND(Capacity!$F10+Energy!D10,3)</f>
        <v>19.663</v>
      </c>
      <c r="E10" s="16">
        <f>ROUND(Capacity!$F10+Energy!E10,3)</f>
        <v>20.863</v>
      </c>
      <c r="F10" s="16">
        <f>ROUND(Capacity!$F10+Energy!F10,3)</f>
        <v>21.652999999999999</v>
      </c>
      <c r="G10" s="16">
        <f>ROUND(Capacity!$G10+Energy!G10,3)</f>
        <v>22.006</v>
      </c>
      <c r="I10" s="50"/>
      <c r="J10" s="60"/>
      <c r="K10" s="50"/>
      <c r="L10" s="50"/>
      <c r="M10" s="50"/>
      <c r="N10" s="50"/>
      <c r="O10" s="50"/>
    </row>
    <row r="11" spans="2:16" ht="15.75" x14ac:dyDescent="0.25">
      <c r="B11" s="3">
        <f t="shared" ref="B11:B24" si="0">B10+1</f>
        <v>2019</v>
      </c>
      <c r="C11" s="16">
        <f>ROUND(Capacity!$F11+Energy!C11,3)</f>
        <v>23.565999999999999</v>
      </c>
      <c r="D11" s="16">
        <f>ROUND(Capacity!$F11+Energy!D11,3)</f>
        <v>21.936</v>
      </c>
      <c r="E11" s="16">
        <f>ROUND(Capacity!$F11+Energy!E11,3)</f>
        <v>22.155999999999999</v>
      </c>
      <c r="F11" s="16">
        <f>ROUND(Capacity!$F11+Energy!F11,3)</f>
        <v>23.265999999999998</v>
      </c>
      <c r="G11" s="16">
        <f>ROUND(Capacity!$G11+Energy!G11,3)</f>
        <v>21.89</v>
      </c>
      <c r="I11" s="50"/>
      <c r="J11" s="60"/>
      <c r="K11" s="50"/>
      <c r="L11" s="50"/>
      <c r="M11" s="50"/>
      <c r="N11" s="50"/>
      <c r="O11" s="50"/>
    </row>
    <row r="12" spans="2:16" ht="15.75" x14ac:dyDescent="0.25">
      <c r="B12" s="3">
        <f t="shared" si="0"/>
        <v>2020</v>
      </c>
      <c r="C12" s="16">
        <f>ROUND(Capacity!$F12+Energy!C12,3)</f>
        <v>23.928000000000001</v>
      </c>
      <c r="D12" s="16">
        <f>ROUND(Capacity!$F12+Energy!D12,3)</f>
        <v>21.478000000000002</v>
      </c>
      <c r="E12" s="16">
        <f>ROUND(Capacity!$F12+Energy!E12,3)</f>
        <v>21.898</v>
      </c>
      <c r="F12" s="16">
        <f>ROUND(Capacity!$F12+Energy!F12,3)</f>
        <v>22.527999999999999</v>
      </c>
      <c r="G12" s="16">
        <f>ROUND(Capacity!$G12+Energy!G12,3)</f>
        <v>22.518999999999998</v>
      </c>
      <c r="I12" s="50"/>
      <c r="J12" s="60"/>
      <c r="K12" s="50"/>
      <c r="L12" s="50"/>
      <c r="M12" s="50"/>
      <c r="N12" s="50"/>
      <c r="O12" s="50"/>
    </row>
    <row r="13" spans="2:16" ht="15.75" x14ac:dyDescent="0.25">
      <c r="B13" s="3">
        <f t="shared" si="0"/>
        <v>2021</v>
      </c>
      <c r="C13" s="16">
        <f>ROUND(Capacity!$F13+Energy!C13,3)</f>
        <v>26.021000000000001</v>
      </c>
      <c r="D13" s="16">
        <f>ROUND(Capacity!$F13+Energy!D13,3)</f>
        <v>24.251000000000001</v>
      </c>
      <c r="E13" s="16">
        <f>ROUND(Capacity!$F13+Energy!E13,3)</f>
        <v>23.771000000000001</v>
      </c>
      <c r="F13" s="16">
        <f>ROUND(Capacity!$F13+Energy!F13,3)</f>
        <v>24.681000000000001</v>
      </c>
      <c r="G13" s="16">
        <f>ROUND(Capacity!$G13+Energy!G13,3)</f>
        <v>22.27</v>
      </c>
      <c r="I13" s="50"/>
      <c r="J13" s="60"/>
      <c r="K13" s="50"/>
      <c r="L13" s="50"/>
      <c r="M13" s="50"/>
      <c r="N13" s="50"/>
      <c r="O13" s="50"/>
      <c r="P13" s="5"/>
    </row>
    <row r="14" spans="2:16" ht="15.75" x14ac:dyDescent="0.25">
      <c r="B14" s="3">
        <f t="shared" si="0"/>
        <v>2022</v>
      </c>
      <c r="C14" s="16">
        <f>ROUND(Capacity!$F14+Energy!C14,3)</f>
        <v>27.957000000000001</v>
      </c>
      <c r="D14" s="16">
        <f>ROUND(Capacity!$F14+Energy!D14,3)</f>
        <v>26.047000000000001</v>
      </c>
      <c r="E14" s="16">
        <f>ROUND(Capacity!$F14+Energy!E14,3)</f>
        <v>25.216999999999999</v>
      </c>
      <c r="F14" s="16">
        <f>ROUND(Capacity!$F14+Energy!F14,3)</f>
        <v>26.236999999999998</v>
      </c>
      <c r="G14" s="16">
        <f>ROUND(Capacity!$G14+Energy!G14,3)</f>
        <v>24.14</v>
      </c>
      <c r="I14" s="50"/>
      <c r="J14" s="60"/>
      <c r="K14" s="50"/>
      <c r="L14" s="50"/>
      <c r="M14" s="50"/>
      <c r="N14" s="50"/>
      <c r="O14" s="50"/>
    </row>
    <row r="15" spans="2:16" ht="15.75" x14ac:dyDescent="0.25">
      <c r="B15" s="3">
        <f t="shared" si="0"/>
        <v>2023</v>
      </c>
      <c r="C15" s="16">
        <f>ROUND(Capacity!$F15+Energy!C15,3)</f>
        <v>30.175999999999998</v>
      </c>
      <c r="D15" s="16">
        <f>ROUND(Capacity!$F15+Energy!D15,3)</f>
        <v>27.026</v>
      </c>
      <c r="E15" s="16">
        <f>ROUND(Capacity!$F15+Energy!E15,3)</f>
        <v>27.326000000000001</v>
      </c>
      <c r="F15" s="16">
        <f>ROUND(Capacity!$F15+Energy!F15,3)</f>
        <v>29.466000000000001</v>
      </c>
      <c r="G15" s="16">
        <f>ROUND(Capacity!$G15+Energy!G15,3)</f>
        <v>27.077999999999999</v>
      </c>
      <c r="I15" s="50"/>
      <c r="J15" s="60"/>
      <c r="K15" s="50"/>
      <c r="L15" s="50"/>
      <c r="M15" s="50"/>
      <c r="N15" s="50"/>
      <c r="O15" s="50"/>
    </row>
    <row r="16" spans="2:16" ht="15.75" x14ac:dyDescent="0.25">
      <c r="B16" s="3">
        <f t="shared" si="0"/>
        <v>2024</v>
      </c>
      <c r="C16" s="16">
        <f>ROUND(Capacity!$F16+Energy!C16,3)</f>
        <v>32.512</v>
      </c>
      <c r="D16" s="16">
        <f>ROUND(Capacity!$F16+Energy!D16,3)</f>
        <v>30.152000000000001</v>
      </c>
      <c r="E16" s="16">
        <f>ROUND(Capacity!$F16+Energy!E16,3)</f>
        <v>30.352</v>
      </c>
      <c r="F16" s="16">
        <f>ROUND(Capacity!$F16+Energy!F16,3)</f>
        <v>31.102</v>
      </c>
      <c r="G16" s="16">
        <f>ROUND(Capacity!$G16+Energy!G16,3)</f>
        <v>29.161000000000001</v>
      </c>
      <c r="I16" s="50"/>
      <c r="J16" s="60"/>
      <c r="K16" s="50"/>
      <c r="L16" s="50"/>
      <c r="M16" s="50"/>
      <c r="N16" s="50"/>
      <c r="O16" s="50"/>
    </row>
    <row r="17" spans="2:15" ht="15.75" x14ac:dyDescent="0.25">
      <c r="B17" s="3">
        <f t="shared" si="0"/>
        <v>2025</v>
      </c>
      <c r="C17" s="16">
        <f>ROUND(Capacity!$F17+Energy!C17,3)</f>
        <v>34.460999999999999</v>
      </c>
      <c r="D17" s="16">
        <f>ROUND(Capacity!$F17+Energy!D17,3)</f>
        <v>33.100999999999999</v>
      </c>
      <c r="E17" s="16">
        <f>ROUND(Capacity!$F17+Energy!E17,3)</f>
        <v>32.511000000000003</v>
      </c>
      <c r="F17" s="16">
        <f>ROUND(Capacity!$F17+Energy!F17,3)</f>
        <v>33.000999999999998</v>
      </c>
      <c r="G17" s="16">
        <f>ROUND(Capacity!$G17+Energy!G17,3)</f>
        <v>32.945</v>
      </c>
      <c r="I17" s="50"/>
      <c r="J17" s="60"/>
      <c r="K17" s="50"/>
      <c r="L17" s="50"/>
      <c r="M17" s="50"/>
      <c r="N17" s="50"/>
      <c r="O17" s="50"/>
    </row>
    <row r="18" spans="2:15" ht="15.75" x14ac:dyDescent="0.25">
      <c r="B18" s="3">
        <f t="shared" si="0"/>
        <v>2026</v>
      </c>
      <c r="C18" s="16">
        <f>ROUND(Capacity!$F18+Energy!C18,3)</f>
        <v>35.537999999999997</v>
      </c>
      <c r="D18" s="16">
        <f>ROUND(Capacity!$F18+Energy!D18,3)</f>
        <v>33.828000000000003</v>
      </c>
      <c r="E18" s="16">
        <f>ROUND(Capacity!$F18+Energy!E18,3)</f>
        <v>33.218000000000004</v>
      </c>
      <c r="F18" s="16">
        <f>ROUND(Capacity!$F18+Energy!F18,3)</f>
        <v>33.838000000000001</v>
      </c>
      <c r="G18" s="16">
        <f>ROUND(Capacity!$G18+Energy!G18,3)</f>
        <v>33.957000000000001</v>
      </c>
      <c r="I18" s="50"/>
      <c r="J18" s="60"/>
      <c r="K18" s="50"/>
      <c r="L18" s="50"/>
      <c r="M18" s="50"/>
      <c r="N18" s="50"/>
      <c r="O18" s="50"/>
    </row>
    <row r="19" spans="2:15" ht="15.75" x14ac:dyDescent="0.25">
      <c r="B19" s="3">
        <f t="shared" si="0"/>
        <v>2027</v>
      </c>
      <c r="C19" s="16">
        <f>ROUND(Capacity!$F19+Energy!C19,3)</f>
        <v>38.128</v>
      </c>
      <c r="D19" s="16">
        <f>ROUND(Capacity!$F19+Energy!D19,3)</f>
        <v>35.058</v>
      </c>
      <c r="E19" s="16">
        <f>ROUND(Capacity!$F19+Energy!E19,3)</f>
        <v>34.948</v>
      </c>
      <c r="F19" s="16">
        <f>ROUND(Capacity!$F19+Energy!F19,3)</f>
        <v>36.097999999999999</v>
      </c>
      <c r="G19" s="16">
        <f>ROUND(Capacity!$G19+Energy!G19,3)</f>
        <v>35.927999999999997</v>
      </c>
      <c r="I19" s="50"/>
      <c r="J19" s="60"/>
      <c r="K19" s="50"/>
      <c r="L19" s="50"/>
      <c r="M19" s="50"/>
      <c r="N19" s="50"/>
      <c r="O19" s="50"/>
    </row>
    <row r="20" spans="2:15" ht="15.75" x14ac:dyDescent="0.25">
      <c r="B20" s="3">
        <f t="shared" si="0"/>
        <v>2028</v>
      </c>
      <c r="C20" s="16">
        <f>ROUND(Capacity!$F20+Energy!C20,3)</f>
        <v>51.289000000000001</v>
      </c>
      <c r="D20" s="16">
        <f>ROUND(Capacity!$F20+Energy!D20,3)</f>
        <v>50.429000000000002</v>
      </c>
      <c r="E20" s="16">
        <f>ROUND(Capacity!$F20+Energy!E20,3)</f>
        <v>50.029000000000003</v>
      </c>
      <c r="F20" s="16">
        <f>ROUND(Capacity!$F20+Energy!F20,3)</f>
        <v>50.209000000000003</v>
      </c>
      <c r="G20" s="16">
        <f>ROUND(Capacity!$G20+Energy!G20,3)</f>
        <v>50.996000000000002</v>
      </c>
      <c r="I20" s="50"/>
      <c r="J20" s="60"/>
      <c r="K20" s="50"/>
      <c r="L20" s="50"/>
      <c r="M20" s="50"/>
      <c r="N20" s="50"/>
      <c r="O20" s="50"/>
    </row>
    <row r="21" spans="2:15" ht="15.75" x14ac:dyDescent="0.25">
      <c r="B21" s="3">
        <f t="shared" si="0"/>
        <v>2029</v>
      </c>
      <c r="C21" s="16">
        <f>ROUND(Capacity!$F21+Energy!C21,3)</f>
        <v>53.133000000000003</v>
      </c>
      <c r="D21" s="16">
        <f>ROUND(Capacity!$F21+Energy!D21,3)</f>
        <v>51.982999999999997</v>
      </c>
      <c r="E21" s="16">
        <f>ROUND(Capacity!$F21+Energy!E21,3)</f>
        <v>51.662999999999997</v>
      </c>
      <c r="F21" s="16">
        <f>ROUND(Capacity!$F21+Energy!F21,3)</f>
        <v>51.722999999999999</v>
      </c>
      <c r="G21" s="16">
        <f>ROUND(Capacity!$G21+Energy!G21,3)</f>
        <v>52.338999999999999</v>
      </c>
      <c r="I21" s="50"/>
      <c r="J21" s="60"/>
      <c r="K21" s="50"/>
      <c r="L21" s="50"/>
      <c r="M21" s="50"/>
      <c r="N21" s="50"/>
      <c r="O21" s="50"/>
    </row>
    <row r="22" spans="2:15" ht="15.75" x14ac:dyDescent="0.25">
      <c r="B22" s="3">
        <f t="shared" si="0"/>
        <v>2030</v>
      </c>
      <c r="C22" s="16">
        <f>ROUND(Capacity!$F22+Energy!C22,3)</f>
        <v>54.963000000000001</v>
      </c>
      <c r="D22" s="16">
        <f>ROUND(Capacity!$F22+Energy!D22,3)</f>
        <v>54.292999999999999</v>
      </c>
      <c r="E22" s="16">
        <f>ROUND(Capacity!$F22+Energy!E22,3)</f>
        <v>54.012999999999998</v>
      </c>
      <c r="F22" s="16">
        <f>ROUND(Capacity!$F22+Energy!F22,3)</f>
        <v>54.183</v>
      </c>
      <c r="G22" s="16">
        <f>ROUND(Capacity!$G22+Energy!G22,3)</f>
        <v>54.843000000000004</v>
      </c>
      <c r="I22" s="50"/>
      <c r="J22" s="60"/>
      <c r="K22" s="50"/>
      <c r="L22" s="50"/>
      <c r="M22" s="50"/>
      <c r="N22" s="50"/>
      <c r="O22" s="50"/>
    </row>
    <row r="23" spans="2:15" ht="15.75" x14ac:dyDescent="0.25">
      <c r="B23" s="3">
        <f t="shared" si="0"/>
        <v>2031</v>
      </c>
      <c r="C23" s="16">
        <f>ROUND(Capacity!$F23+Energy!C23,3)</f>
        <v>55.664000000000001</v>
      </c>
      <c r="D23" s="16">
        <f>ROUND(Capacity!$F23+Energy!D23,3)</f>
        <v>55.384</v>
      </c>
      <c r="E23" s="16">
        <f>ROUND(Capacity!$F23+Energy!E23,3)</f>
        <v>54.923999999999999</v>
      </c>
      <c r="F23" s="16">
        <f>ROUND(Capacity!$F23+Energy!F23,3)</f>
        <v>54.783999999999999</v>
      </c>
      <c r="G23" s="16">
        <f>ROUND(Capacity!$G23+Energy!G23,3)</f>
        <v>56.613999999999997</v>
      </c>
      <c r="I23" s="50"/>
      <c r="J23" s="60"/>
      <c r="K23" s="50"/>
      <c r="L23" s="50"/>
      <c r="M23" s="50"/>
      <c r="N23" s="50"/>
      <c r="O23" s="50"/>
    </row>
    <row r="24" spans="2:15" ht="15.75" x14ac:dyDescent="0.25">
      <c r="B24" s="3">
        <f t="shared" si="0"/>
        <v>2032</v>
      </c>
      <c r="C24" s="16">
        <f>ROUND(Capacity!$F24+Energy!C24,3)</f>
        <v>56.837000000000003</v>
      </c>
      <c r="D24" s="16">
        <f>ROUND(Capacity!$F24+Energy!D24,3)</f>
        <v>56.796999999999997</v>
      </c>
      <c r="E24" s="16">
        <f>ROUND(Capacity!$F24+Energy!E24,3)</f>
        <v>56.527000000000001</v>
      </c>
      <c r="F24" s="16">
        <f>ROUND(Capacity!$F24+Energy!F24,3)</f>
        <v>56.466999999999999</v>
      </c>
      <c r="G24" s="16">
        <f>ROUND(Capacity!$G24+Energy!G24,3)</f>
        <v>58.009</v>
      </c>
      <c r="I24" s="50"/>
      <c r="J24" s="60"/>
      <c r="K24" s="50"/>
      <c r="L24" s="50"/>
      <c r="M24" s="50"/>
      <c r="N24" s="50"/>
      <c r="O24" s="50"/>
    </row>
    <row r="25" spans="2:15" x14ac:dyDescent="0.2">
      <c r="C25" s="17"/>
      <c r="D25" s="17"/>
      <c r="E25" s="17"/>
      <c r="F25" s="17"/>
      <c r="G25" s="17"/>
      <c r="I25" s="50"/>
      <c r="J25" s="50"/>
    </row>
    <row r="26" spans="2:15" x14ac:dyDescent="0.2">
      <c r="B26" s="4" t="str">
        <f>"Nominal Levelized Payment at "&amp;TEXT(Discount_Rate,"0.000%")&amp;" Discount Rate (3)"</f>
        <v>Nominal Levelized Payment at 6.660% Discount Rate (3)</v>
      </c>
      <c r="C26" s="17"/>
      <c r="D26" s="17"/>
      <c r="E26" s="17"/>
      <c r="F26" s="17"/>
      <c r="G26" s="17"/>
      <c r="I26" s="50"/>
      <c r="J26" s="50"/>
    </row>
    <row r="27" spans="2:15" x14ac:dyDescent="0.2">
      <c r="B27" s="8" t="str">
        <f>B10&amp;" - "&amp;B24</f>
        <v>2018 - 2032</v>
      </c>
      <c r="C27" s="18">
        <f>ROUND(PMT(Discount_Rate,COUNT(C10:C24),-NPV(Discount_Rate,C10:C24)),2)</f>
        <v>34.42</v>
      </c>
      <c r="D27" s="18">
        <f>ROUND(PMT(Discount_Rate,COUNT(D10:D24),-NPV(Discount_Rate,D10:D24)),3)</f>
        <v>32.664000000000001</v>
      </c>
      <c r="E27" s="18">
        <f>ROUND(PMT(Discount_Rate,COUNT(E10:E24),-NPV(Discount_Rate,E10:E24)),3)</f>
        <v>32.612000000000002</v>
      </c>
      <c r="F27" s="18">
        <f>ROUND(PMT(Discount_Rate,COUNT(F10:F24),-NPV(Discount_Rate,F10:F24)),3)</f>
        <v>33.36</v>
      </c>
      <c r="G27" s="18">
        <f>ROUND(PMT(Discount_Rate,COUNT(G10:G24),-NPV(Discount_Rate,G10:G24)),2)</f>
        <v>32.83</v>
      </c>
      <c r="I27" s="50"/>
      <c r="J27" s="60"/>
    </row>
    <row r="28" spans="2:15" x14ac:dyDescent="0.2">
      <c r="D28" s="10"/>
      <c r="E28" s="10"/>
      <c r="F28" s="10"/>
      <c r="G28" s="10"/>
      <c r="I28" s="50"/>
      <c r="J28" s="50"/>
    </row>
    <row r="29" spans="2:15" x14ac:dyDescent="0.2">
      <c r="B29" s="8" t="s">
        <v>21</v>
      </c>
      <c r="I29" s="50"/>
      <c r="J29" s="50"/>
    </row>
    <row r="30" spans="2:15" x14ac:dyDescent="0.2">
      <c r="B30" s="1" t="str">
        <f>"(2)   Official Forward Price Curve Dated "&amp;TEXT(B39,"MMMM YYYY")</f>
        <v>(2)   Official Forward Price Curve Dated June 2016</v>
      </c>
      <c r="I30" s="50"/>
      <c r="J30" s="50"/>
    </row>
    <row r="31" spans="2:15" x14ac:dyDescent="0.2">
      <c r="B31" s="1" t="str">
        <f>"(3)   "&amp;B35</f>
        <v>(3)   Discount Rate - 2015 IRP Page 141</v>
      </c>
    </row>
    <row r="32" spans="2:15" x14ac:dyDescent="0.2">
      <c r="B32" s="1" t="s">
        <v>10</v>
      </c>
    </row>
    <row r="34" spans="2:7" x14ac:dyDescent="0.2">
      <c r="B34" s="24"/>
    </row>
    <row r="35" spans="2:7" hidden="1" x14ac:dyDescent="0.2">
      <c r="B35" s="24" t="s">
        <v>16</v>
      </c>
      <c r="E35" s="22"/>
      <c r="F35" s="22"/>
      <c r="G35" s="22"/>
    </row>
    <row r="36" spans="2:7" hidden="1" x14ac:dyDescent="0.2">
      <c r="B36" s="23">
        <v>6.6600000000000006E-2</v>
      </c>
      <c r="E36" s="22"/>
      <c r="F36" s="22"/>
      <c r="G36" s="22"/>
    </row>
    <row r="37" spans="2:7" hidden="1" x14ac:dyDescent="0.2">
      <c r="D37" s="22"/>
      <c r="E37" s="22"/>
      <c r="F37" s="22"/>
      <c r="G37" s="22"/>
    </row>
    <row r="38" spans="2:7" hidden="1" x14ac:dyDescent="0.2">
      <c r="B38" s="1" t="s">
        <v>13</v>
      </c>
    </row>
    <row r="39" spans="2:7" hidden="1" x14ac:dyDescent="0.2">
      <c r="B39" s="25">
        <v>42551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G38"/>
  <sheetViews>
    <sheetView zoomScale="70" zoomScaleNormal="7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F41" sqref="F41"/>
    </sheetView>
  </sheetViews>
  <sheetFormatPr defaultRowHeight="15" x14ac:dyDescent="0.2"/>
  <cols>
    <col min="1" max="1" width="1.85546875" style="28" customWidth="1"/>
    <col min="2" max="2" width="13.7109375" style="28" customWidth="1"/>
    <col min="3" max="7" width="17.7109375" style="28" customWidth="1"/>
    <col min="8" max="8" width="2.28515625" style="28" customWidth="1"/>
    <col min="9" max="16384" width="9.140625" style="28"/>
  </cols>
  <sheetData>
    <row r="1" spans="2:7" ht="15.75" x14ac:dyDescent="0.25">
      <c r="B1" s="26" t="str">
        <f>Total!B1</f>
        <v>Appendix C</v>
      </c>
      <c r="C1" s="26"/>
      <c r="D1" s="26"/>
      <c r="E1" s="26"/>
      <c r="F1" s="26"/>
      <c r="G1" s="26"/>
    </row>
    <row r="2" spans="2:7" ht="8.25" customHeight="1" x14ac:dyDescent="0.25">
      <c r="B2" s="26"/>
      <c r="C2" s="26"/>
      <c r="D2" s="26"/>
      <c r="E2" s="26"/>
      <c r="F2" s="26"/>
      <c r="G2" s="26"/>
    </row>
    <row r="3" spans="2:7" ht="15.75" x14ac:dyDescent="0.25">
      <c r="B3" s="26" t="str">
        <f>Total!B3</f>
        <v>Utah Quarterly Compliance Filing</v>
      </c>
      <c r="C3" s="26"/>
      <c r="D3" s="26"/>
      <c r="E3" s="26"/>
      <c r="F3" s="26"/>
      <c r="G3" s="26"/>
    </row>
    <row r="4" spans="2:7" ht="15.75" x14ac:dyDescent="0.25">
      <c r="B4" s="26" t="str">
        <f>Capacity!$B$4</f>
        <v>Step Study between 2016.Q2 and 2016.Q1 Compliance Filing</v>
      </c>
      <c r="C4" s="26"/>
      <c r="D4" s="26"/>
      <c r="E4" s="26"/>
      <c r="F4" s="26"/>
      <c r="G4" s="26"/>
    </row>
    <row r="5" spans="2:7" ht="15.75" x14ac:dyDescent="0.25">
      <c r="B5" s="26" t="s">
        <v>6</v>
      </c>
      <c r="C5" s="26"/>
      <c r="D5" s="26"/>
      <c r="E5" s="26"/>
      <c r="F5" s="26"/>
      <c r="G5" s="26"/>
    </row>
    <row r="6" spans="2:7" ht="15.75" x14ac:dyDescent="0.25">
      <c r="B6" s="26"/>
      <c r="C6" s="53"/>
      <c r="D6" s="53"/>
      <c r="E6" s="53"/>
      <c r="F6" s="53"/>
      <c r="G6" s="53"/>
    </row>
    <row r="7" spans="2:7" ht="15.75" x14ac:dyDescent="0.25">
      <c r="B7" s="29"/>
      <c r="C7" s="46" t="str">
        <f>Capacity!I7</f>
        <v>2016.Q1</v>
      </c>
      <c r="D7" s="61" t="s">
        <v>23</v>
      </c>
      <c r="E7" s="52" t="s">
        <v>25</v>
      </c>
      <c r="F7" s="52" t="s">
        <v>15</v>
      </c>
      <c r="G7" s="52" t="s">
        <v>18</v>
      </c>
    </row>
    <row r="8" spans="2:7" ht="15.75" x14ac:dyDescent="0.25">
      <c r="B8" s="31" t="s">
        <v>0</v>
      </c>
      <c r="C8" s="45" t="s">
        <v>7</v>
      </c>
      <c r="D8" s="12" t="s">
        <v>24</v>
      </c>
      <c r="E8" s="45" t="s">
        <v>28</v>
      </c>
      <c r="F8" s="51" t="s">
        <v>14</v>
      </c>
      <c r="G8" s="51" t="s">
        <v>19</v>
      </c>
    </row>
    <row r="9" spans="2:7" ht="4.5" customHeight="1" x14ac:dyDescent="0.2"/>
    <row r="10" spans="2:7" ht="15.75" x14ac:dyDescent="0.25">
      <c r="B10" s="33">
        <f>Total!B10</f>
        <v>2018</v>
      </c>
      <c r="C10" s="44">
        <v>21.503</v>
      </c>
      <c r="D10" s="44">
        <v>19.663</v>
      </c>
      <c r="E10" s="44">
        <v>20.863</v>
      </c>
      <c r="F10" s="44">
        <v>21.652999999999999</v>
      </c>
      <c r="G10" s="44">
        <v>22.006</v>
      </c>
    </row>
    <row r="11" spans="2:7" ht="15.75" x14ac:dyDescent="0.25">
      <c r="B11" s="33">
        <f t="shared" ref="B11:B24" si="0">B10+1</f>
        <v>2019</v>
      </c>
      <c r="C11" s="44">
        <v>23.565999999999999</v>
      </c>
      <c r="D11" s="44">
        <v>21.936</v>
      </c>
      <c r="E11" s="44">
        <v>22.155999999999999</v>
      </c>
      <c r="F11" s="44">
        <v>23.265999999999998</v>
      </c>
      <c r="G11" s="44">
        <v>21.89</v>
      </c>
    </row>
    <row r="12" spans="2:7" ht="15.75" x14ac:dyDescent="0.25">
      <c r="B12" s="33">
        <f t="shared" si="0"/>
        <v>2020</v>
      </c>
      <c r="C12" s="44">
        <v>23.928000000000001</v>
      </c>
      <c r="D12" s="44">
        <v>21.478000000000002</v>
      </c>
      <c r="E12" s="44">
        <v>21.898000000000003</v>
      </c>
      <c r="F12" s="44">
        <v>22.528000000000002</v>
      </c>
      <c r="G12" s="44">
        <v>22.518999999999998</v>
      </c>
    </row>
    <row r="13" spans="2:7" ht="15.75" x14ac:dyDescent="0.25">
      <c r="B13" s="33">
        <f t="shared" si="0"/>
        <v>2021</v>
      </c>
      <c r="C13" s="44">
        <v>26.021000000000001</v>
      </c>
      <c r="D13" s="44">
        <v>24.251000000000001</v>
      </c>
      <c r="E13" s="44">
        <v>23.771000000000001</v>
      </c>
      <c r="F13" s="44">
        <v>24.681000000000001</v>
      </c>
      <c r="G13" s="44">
        <v>22.27</v>
      </c>
    </row>
    <row r="14" spans="2:7" ht="15.75" x14ac:dyDescent="0.25">
      <c r="B14" s="33">
        <f t="shared" si="0"/>
        <v>2022</v>
      </c>
      <c r="C14" s="44">
        <v>27.957000000000001</v>
      </c>
      <c r="D14" s="44">
        <v>26.047000000000001</v>
      </c>
      <c r="E14" s="44">
        <v>25.217000000000002</v>
      </c>
      <c r="F14" s="44">
        <v>26.237000000000002</v>
      </c>
      <c r="G14" s="44">
        <v>24.14</v>
      </c>
    </row>
    <row r="15" spans="2:7" ht="15.75" x14ac:dyDescent="0.25">
      <c r="B15" s="33">
        <f t="shared" si="0"/>
        <v>2023</v>
      </c>
      <c r="C15" s="44">
        <v>30.175999999999998</v>
      </c>
      <c r="D15" s="44">
        <v>27.026</v>
      </c>
      <c r="E15" s="44">
        <v>27.326000000000001</v>
      </c>
      <c r="F15" s="44">
        <v>29.466000000000001</v>
      </c>
      <c r="G15" s="44">
        <v>27.077999999999999</v>
      </c>
    </row>
    <row r="16" spans="2:7" ht="15.75" x14ac:dyDescent="0.25">
      <c r="B16" s="33">
        <f t="shared" si="0"/>
        <v>2024</v>
      </c>
      <c r="C16" s="44">
        <v>32.512</v>
      </c>
      <c r="D16" s="44">
        <v>30.152000000000001</v>
      </c>
      <c r="E16" s="44">
        <v>30.352</v>
      </c>
      <c r="F16" s="44">
        <v>31.102</v>
      </c>
      <c r="G16" s="44">
        <v>29.161000000000001</v>
      </c>
    </row>
    <row r="17" spans="2:7" ht="15.75" x14ac:dyDescent="0.25">
      <c r="B17" s="33">
        <f t="shared" si="0"/>
        <v>2025</v>
      </c>
      <c r="C17" s="44">
        <v>34.460999999999999</v>
      </c>
      <c r="D17" s="44">
        <v>33.100999999999999</v>
      </c>
      <c r="E17" s="44">
        <v>32.510999999999996</v>
      </c>
      <c r="F17" s="44">
        <v>33.000999999999998</v>
      </c>
      <c r="G17" s="44">
        <v>32.945</v>
      </c>
    </row>
    <row r="18" spans="2:7" ht="15.75" x14ac:dyDescent="0.25">
      <c r="B18" s="33">
        <f t="shared" si="0"/>
        <v>2026</v>
      </c>
      <c r="C18" s="44">
        <v>35.537999999999997</v>
      </c>
      <c r="D18" s="44">
        <v>33.827999999999996</v>
      </c>
      <c r="E18" s="44">
        <v>33.217999999999996</v>
      </c>
      <c r="F18" s="44">
        <v>33.837999999999994</v>
      </c>
      <c r="G18" s="44">
        <v>33.957000000000001</v>
      </c>
    </row>
    <row r="19" spans="2:7" ht="15.75" x14ac:dyDescent="0.25">
      <c r="B19" s="33">
        <f t="shared" si="0"/>
        <v>2027</v>
      </c>
      <c r="C19" s="44">
        <v>38.128</v>
      </c>
      <c r="D19" s="44">
        <v>35.058</v>
      </c>
      <c r="E19" s="44">
        <v>34.948</v>
      </c>
      <c r="F19" s="44">
        <v>36.097999999999999</v>
      </c>
      <c r="G19" s="44">
        <v>35.927999999999997</v>
      </c>
    </row>
    <row r="20" spans="2:7" ht="15.75" x14ac:dyDescent="0.25">
      <c r="B20" s="33">
        <f t="shared" si="0"/>
        <v>2028</v>
      </c>
      <c r="C20" s="44">
        <v>32.857999999999997</v>
      </c>
      <c r="D20" s="44">
        <v>31.997999999999998</v>
      </c>
      <c r="E20" s="44">
        <v>31.597999999999999</v>
      </c>
      <c r="F20" s="44">
        <v>31.777999999999999</v>
      </c>
      <c r="G20" s="44">
        <v>31.033000000000001</v>
      </c>
    </row>
    <row r="21" spans="2:7" ht="15.75" x14ac:dyDescent="0.25">
      <c r="B21" s="33">
        <f t="shared" si="0"/>
        <v>2029</v>
      </c>
      <c r="C21" s="44">
        <v>34.265999999999998</v>
      </c>
      <c r="D21" s="44">
        <v>33.116</v>
      </c>
      <c r="E21" s="44">
        <v>32.795999999999999</v>
      </c>
      <c r="F21" s="44">
        <v>32.856000000000002</v>
      </c>
      <c r="G21" s="44">
        <v>31.902999999999999</v>
      </c>
    </row>
    <row r="22" spans="2:7" ht="15.75" x14ac:dyDescent="0.25">
      <c r="B22" s="33">
        <f t="shared" si="0"/>
        <v>2030</v>
      </c>
      <c r="C22" s="44">
        <v>35.677</v>
      </c>
      <c r="D22" s="44">
        <v>35.006999999999998</v>
      </c>
      <c r="E22" s="44">
        <v>34.726999999999997</v>
      </c>
      <c r="F22" s="44">
        <v>34.896999999999998</v>
      </c>
      <c r="G22" s="44">
        <v>33.953000000000003</v>
      </c>
    </row>
    <row r="23" spans="2:7" ht="15.75" x14ac:dyDescent="0.25">
      <c r="B23" s="33">
        <f t="shared" si="0"/>
        <v>2031</v>
      </c>
      <c r="C23" s="44">
        <v>35.953000000000003</v>
      </c>
      <c r="D23" s="44">
        <v>35.673000000000002</v>
      </c>
      <c r="E23" s="44">
        <v>35.213000000000001</v>
      </c>
      <c r="F23" s="44">
        <v>35.073</v>
      </c>
      <c r="G23" s="44">
        <v>35.262999999999998</v>
      </c>
    </row>
    <row r="24" spans="2:7" ht="15.75" x14ac:dyDescent="0.25">
      <c r="B24" s="33">
        <f t="shared" si="0"/>
        <v>2032</v>
      </c>
      <c r="C24" s="64">
        <f>ROUND(C23*1.022,3)</f>
        <v>36.744</v>
      </c>
      <c r="D24" s="44">
        <v>36.704000000000001</v>
      </c>
      <c r="E24" s="44">
        <v>36.433999999999997</v>
      </c>
      <c r="F24" s="44">
        <v>36.373999999999995</v>
      </c>
      <c r="G24" s="44">
        <v>36.247999999999998</v>
      </c>
    </row>
    <row r="25" spans="2:7" x14ac:dyDescent="0.2">
      <c r="C25" s="43"/>
      <c r="D25" s="43"/>
      <c r="E25" s="43"/>
      <c r="F25" s="43"/>
      <c r="G25" s="43"/>
    </row>
    <row r="26" spans="2:7" x14ac:dyDescent="0.2">
      <c r="B26" s="36" t="str">
        <f>"Nominal Levelized Payment at "&amp;TEXT($B$35,"0.00%")&amp;" Discount Rate (3) (4)"</f>
        <v>Nominal Levelized Payment at 6.66% Discount Rate (3) (4)</v>
      </c>
      <c r="C26" s="43"/>
      <c r="D26" s="43"/>
      <c r="E26" s="43"/>
      <c r="F26" s="43"/>
      <c r="G26" s="43"/>
    </row>
    <row r="27" spans="2:7" x14ac:dyDescent="0.2">
      <c r="B27" s="37" t="str">
        <f>B10&amp;" - "&amp;B24</f>
        <v>2018 - 2032</v>
      </c>
      <c r="C27" s="42">
        <f>ROUND(PMT($B$35,COUNT(C10:C24),-NPV($B$35,C10:C24)),3)</f>
        <v>29.933</v>
      </c>
      <c r="D27" s="42">
        <f>ROUND(PMT($B$35,COUNT(D10:D24),-NPV($B$35,D10:D24)),3)</f>
        <v>28.178999999999998</v>
      </c>
      <c r="E27" s="42">
        <f>ROUND(PMT($B$35,COUNT(E10:E24),-NPV($B$35,E10:E24)),3)</f>
        <v>28.126999999999999</v>
      </c>
      <c r="F27" s="42">
        <f>ROUND(PMT($B$35,COUNT(F10:F24),-NPV($B$35,F10:F24)),3)</f>
        <v>28.875</v>
      </c>
      <c r="G27" s="42">
        <f>ROUND(PMT($B$35,COUNT(G10:G24),-NPV($B$35,G10:G24)),3)</f>
        <v>27.975999999999999</v>
      </c>
    </row>
    <row r="28" spans="2:7" x14ac:dyDescent="0.2">
      <c r="B28" s="37"/>
      <c r="C28" s="35"/>
      <c r="D28" s="35"/>
      <c r="E28" s="35"/>
      <c r="F28" s="35"/>
      <c r="G28" s="35"/>
    </row>
    <row r="29" spans="2:7" x14ac:dyDescent="0.2">
      <c r="B29" s="37" t="str">
        <f>Total!B29</f>
        <v>(1)   Studies are sequential.  The order of the studies would affect the price impact.</v>
      </c>
    </row>
    <row r="30" spans="2:7" x14ac:dyDescent="0.2">
      <c r="B30" s="37" t="str">
        <f>Total!B30</f>
        <v>(2)   Official Forward Price Curve Dated June 2016</v>
      </c>
    </row>
    <row r="31" spans="2:7" x14ac:dyDescent="0.2">
      <c r="B31" s="37" t="str">
        <f>Total!B31</f>
        <v>(3)   Discount Rate - 2015 IRP Page 141</v>
      </c>
    </row>
    <row r="32" spans="2:7" x14ac:dyDescent="0.2">
      <c r="B32" s="28" t="s">
        <v>26</v>
      </c>
    </row>
    <row r="33" spans="2:7" x14ac:dyDescent="0.2">
      <c r="B33" s="28" t="s">
        <v>27</v>
      </c>
    </row>
    <row r="34" spans="2:7" hidden="1" x14ac:dyDescent="0.2">
      <c r="B34" s="24" t="s">
        <v>16</v>
      </c>
    </row>
    <row r="35" spans="2:7" hidden="1" x14ac:dyDescent="0.2">
      <c r="B35" s="41">
        <f>Discount_Rate</f>
        <v>6.6600000000000006E-2</v>
      </c>
    </row>
    <row r="37" spans="2:7" ht="15.75" hidden="1" x14ac:dyDescent="0.25">
      <c r="F37" s="62"/>
      <c r="G37" s="62"/>
    </row>
    <row r="38" spans="2:7" hidden="1" x14ac:dyDescent="0.2">
      <c r="B38" s="63">
        <f t="shared" ref="B38:E38" si="1">IF(OR(B7="not used",B8="not used"),0,1)</f>
        <v>1</v>
      </c>
      <c r="C38" s="63">
        <f t="shared" si="1"/>
        <v>1</v>
      </c>
      <c r="D38" s="63">
        <f t="shared" si="1"/>
        <v>1</v>
      </c>
      <c r="E38" s="63">
        <f t="shared" si="1"/>
        <v>1</v>
      </c>
      <c r="F38" s="63">
        <f>IF(OR(F7="not used",F8="not used"),0,1)</f>
        <v>1</v>
      </c>
      <c r="G38" s="63">
        <f t="shared" ref="G38" si="2">IF(OR(G7="not used",G8="not used"),0,1)</f>
        <v>1</v>
      </c>
    </row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I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N17" sqref="N17"/>
    </sheetView>
  </sheetViews>
  <sheetFormatPr defaultRowHeight="15" x14ac:dyDescent="0.2"/>
  <cols>
    <col min="1" max="1" width="1.85546875" style="28" customWidth="1"/>
    <col min="2" max="2" width="15.28515625" style="28" customWidth="1"/>
    <col min="3" max="3" width="21.140625" style="28" customWidth="1"/>
    <col min="4" max="4" width="16.28515625" style="28" customWidth="1"/>
    <col min="5" max="5" width="1.140625" style="28" customWidth="1"/>
    <col min="6" max="7" width="16.28515625" style="28" customWidth="1"/>
    <col min="8" max="8" width="1.5703125" style="28" customWidth="1"/>
    <col min="9" max="9" width="9.140625" style="28" customWidth="1"/>
    <col min="10" max="16384" width="9.140625" style="28"/>
  </cols>
  <sheetData>
    <row r="1" spans="2:9" ht="15.75" x14ac:dyDescent="0.25">
      <c r="B1" s="26" t="s">
        <v>4</v>
      </c>
      <c r="C1" s="26"/>
      <c r="D1" s="26"/>
      <c r="E1" s="27"/>
      <c r="F1" s="26"/>
      <c r="G1" s="26"/>
      <c r="H1" s="27"/>
    </row>
    <row r="2" spans="2:9" ht="8.25" customHeight="1" x14ac:dyDescent="0.25">
      <c r="B2" s="26"/>
      <c r="C2" s="26"/>
      <c r="D2" s="26"/>
      <c r="E2" s="27"/>
      <c r="F2" s="26"/>
      <c r="G2" s="26"/>
      <c r="H2" s="27"/>
    </row>
    <row r="3" spans="2:9" ht="15.75" x14ac:dyDescent="0.25">
      <c r="B3" s="26" t="s">
        <v>1</v>
      </c>
      <c r="C3" s="26"/>
      <c r="D3" s="26"/>
      <c r="E3" s="27"/>
      <c r="F3" s="26"/>
      <c r="G3" s="26"/>
      <c r="H3" s="27"/>
    </row>
    <row r="4" spans="2:9" ht="15.75" x14ac:dyDescent="0.25">
      <c r="B4" s="26" t="str">
        <f>"Step Study between "&amp;I8&amp;" and "&amp;I7&amp;" Compliance Filing"</f>
        <v>Step Study between 2016.Q2 and 2016.Q1 Compliance Filing</v>
      </c>
      <c r="C4" s="26"/>
      <c r="D4" s="26"/>
      <c r="E4" s="27"/>
      <c r="F4" s="26"/>
      <c r="G4" s="26"/>
      <c r="H4" s="27"/>
    </row>
    <row r="5" spans="2:9" ht="15.75" x14ac:dyDescent="0.25">
      <c r="B5" s="26" t="s">
        <v>9</v>
      </c>
      <c r="C5" s="26"/>
      <c r="D5" s="26"/>
      <c r="E5" s="27"/>
      <c r="F5" s="26"/>
      <c r="G5" s="26"/>
      <c r="H5" s="27"/>
    </row>
    <row r="6" spans="2:9" ht="15.75" x14ac:dyDescent="0.25">
      <c r="B6" s="26"/>
      <c r="C6" s="26"/>
      <c r="D6" s="26"/>
      <c r="F6" s="26"/>
      <c r="G6" s="26"/>
    </row>
    <row r="7" spans="2:9" ht="15.75" x14ac:dyDescent="0.25">
      <c r="B7" s="29"/>
      <c r="C7" s="30" t="s">
        <v>2</v>
      </c>
      <c r="D7" s="30"/>
      <c r="F7" s="30" t="s">
        <v>8</v>
      </c>
      <c r="G7" s="47"/>
      <c r="I7" s="32" t="s">
        <v>20</v>
      </c>
    </row>
    <row r="8" spans="2:9" ht="30.75" customHeight="1" x14ac:dyDescent="0.25">
      <c r="B8" s="31" t="s">
        <v>0</v>
      </c>
      <c r="C8" s="58" t="s">
        <v>29</v>
      </c>
      <c r="D8" s="58" t="str">
        <f>I8&amp;" (4)"</f>
        <v>2016.Q2 (4)</v>
      </c>
      <c r="F8" s="32" t="str">
        <f>C8</f>
        <v>2016.Q1 (3)</v>
      </c>
      <c r="G8" s="58" t="str">
        <f>D8</f>
        <v>2016.Q2 (4)</v>
      </c>
      <c r="I8" s="32" t="s">
        <v>22</v>
      </c>
    </row>
    <row r="9" spans="2:9" ht="4.5" customHeight="1" x14ac:dyDescent="0.2"/>
    <row r="10" spans="2:9" ht="15.75" x14ac:dyDescent="0.25">
      <c r="B10" s="33">
        <v>2018</v>
      </c>
      <c r="C10" s="34">
        <v>0</v>
      </c>
      <c r="D10" s="34">
        <v>0</v>
      </c>
      <c r="F10" s="34">
        <f t="shared" ref="F10:F24" si="0">C10*1000/(IF(MOD($B10,4)=0,8784,8760)*0.85)</f>
        <v>0</v>
      </c>
      <c r="G10" s="34">
        <f t="shared" ref="G10:G24" si="1">D10*1000/(IF(MOD($B10,4)=0,8784,8760)*0.85)</f>
        <v>0</v>
      </c>
    </row>
    <row r="11" spans="2:9" ht="15.75" x14ac:dyDescent="0.25">
      <c r="B11" s="33">
        <f t="shared" ref="B11:B24" si="2">B10+1</f>
        <v>2019</v>
      </c>
      <c r="C11" s="34">
        <v>0</v>
      </c>
      <c r="D11" s="34">
        <v>0</v>
      </c>
      <c r="F11" s="34">
        <f t="shared" si="0"/>
        <v>0</v>
      </c>
      <c r="G11" s="34">
        <f t="shared" si="1"/>
        <v>0</v>
      </c>
    </row>
    <row r="12" spans="2:9" ht="15.75" x14ac:dyDescent="0.25">
      <c r="B12" s="33">
        <f t="shared" si="2"/>
        <v>2020</v>
      </c>
      <c r="C12" s="34">
        <v>0</v>
      </c>
      <c r="D12" s="34">
        <v>0</v>
      </c>
      <c r="F12" s="34">
        <f t="shared" si="0"/>
        <v>0</v>
      </c>
      <c r="G12" s="34">
        <f t="shared" si="1"/>
        <v>0</v>
      </c>
    </row>
    <row r="13" spans="2:9" ht="15.75" x14ac:dyDescent="0.25">
      <c r="B13" s="33">
        <f t="shared" si="2"/>
        <v>2021</v>
      </c>
      <c r="C13" s="34">
        <v>0</v>
      </c>
      <c r="D13" s="34">
        <v>0</v>
      </c>
      <c r="F13" s="34">
        <f t="shared" si="0"/>
        <v>0</v>
      </c>
      <c r="G13" s="34">
        <f t="shared" si="1"/>
        <v>0</v>
      </c>
    </row>
    <row r="14" spans="2:9" ht="15.75" x14ac:dyDescent="0.25">
      <c r="B14" s="33">
        <f t="shared" si="2"/>
        <v>2022</v>
      </c>
      <c r="C14" s="34">
        <v>0</v>
      </c>
      <c r="D14" s="34">
        <v>0</v>
      </c>
      <c r="F14" s="34">
        <f t="shared" si="0"/>
        <v>0</v>
      </c>
      <c r="G14" s="34">
        <f t="shared" si="1"/>
        <v>0</v>
      </c>
    </row>
    <row r="15" spans="2:9" ht="15.75" x14ac:dyDescent="0.25">
      <c r="B15" s="33">
        <f t="shared" si="2"/>
        <v>2023</v>
      </c>
      <c r="C15" s="34">
        <v>0</v>
      </c>
      <c r="D15" s="34">
        <v>0</v>
      </c>
      <c r="F15" s="34">
        <f t="shared" si="0"/>
        <v>0</v>
      </c>
      <c r="G15" s="34">
        <f t="shared" si="1"/>
        <v>0</v>
      </c>
    </row>
    <row r="16" spans="2:9" ht="15.75" x14ac:dyDescent="0.25">
      <c r="B16" s="33">
        <f t="shared" si="2"/>
        <v>2024</v>
      </c>
      <c r="C16" s="34">
        <v>0</v>
      </c>
      <c r="D16" s="34">
        <v>0</v>
      </c>
      <c r="F16" s="34">
        <f t="shared" si="0"/>
        <v>0</v>
      </c>
      <c r="G16" s="34">
        <f t="shared" si="1"/>
        <v>0</v>
      </c>
    </row>
    <row r="17" spans="2:7" ht="15.75" x14ac:dyDescent="0.25">
      <c r="B17" s="33">
        <f t="shared" si="2"/>
        <v>2025</v>
      </c>
      <c r="C17" s="34">
        <v>0</v>
      </c>
      <c r="D17" s="34">
        <v>0</v>
      </c>
      <c r="F17" s="34">
        <f t="shared" si="0"/>
        <v>0</v>
      </c>
      <c r="G17" s="34">
        <f t="shared" si="1"/>
        <v>0</v>
      </c>
    </row>
    <row r="18" spans="2:7" ht="15.75" x14ac:dyDescent="0.25">
      <c r="B18" s="33">
        <f t="shared" si="2"/>
        <v>2026</v>
      </c>
      <c r="C18" s="34">
        <v>0</v>
      </c>
      <c r="D18" s="34">
        <v>0</v>
      </c>
      <c r="F18" s="34">
        <f t="shared" si="0"/>
        <v>0</v>
      </c>
      <c r="G18" s="34">
        <f t="shared" si="1"/>
        <v>0</v>
      </c>
    </row>
    <row r="19" spans="2:7" ht="15.75" x14ac:dyDescent="0.25">
      <c r="B19" s="33">
        <f t="shared" si="2"/>
        <v>2027</v>
      </c>
      <c r="C19" s="34">
        <v>0</v>
      </c>
      <c r="D19" s="34">
        <v>0</v>
      </c>
      <c r="F19" s="34">
        <f t="shared" si="0"/>
        <v>0</v>
      </c>
      <c r="G19" s="34">
        <f t="shared" si="1"/>
        <v>0</v>
      </c>
    </row>
    <row r="20" spans="2:7" ht="15.75" x14ac:dyDescent="0.25">
      <c r="B20" s="33">
        <f t="shared" si="2"/>
        <v>2028</v>
      </c>
      <c r="C20" s="34">
        <v>137.61000000000001</v>
      </c>
      <c r="D20" s="34">
        <v>149.05000000000001</v>
      </c>
      <c r="F20" s="34">
        <f t="shared" si="0"/>
        <v>18.430568948891032</v>
      </c>
      <c r="G20" s="34">
        <f t="shared" si="1"/>
        <v>19.96276652737598</v>
      </c>
    </row>
    <row r="21" spans="2:7" ht="15.75" x14ac:dyDescent="0.25">
      <c r="B21" s="33">
        <f t="shared" si="2"/>
        <v>2029</v>
      </c>
      <c r="C21" s="34">
        <v>140.47999999999999</v>
      </c>
      <c r="D21" s="34">
        <v>152.16999999999999</v>
      </c>
      <c r="F21" s="34">
        <f t="shared" si="0"/>
        <v>18.866505506312112</v>
      </c>
      <c r="G21" s="34">
        <f t="shared" si="1"/>
        <v>20.436475960247112</v>
      </c>
    </row>
    <row r="22" spans="2:7" ht="15.75" x14ac:dyDescent="0.25">
      <c r="B22" s="33">
        <f t="shared" si="2"/>
        <v>2030</v>
      </c>
      <c r="C22" s="34">
        <v>143.6</v>
      </c>
      <c r="D22" s="34">
        <v>155.55000000000001</v>
      </c>
      <c r="F22" s="34">
        <f t="shared" si="0"/>
        <v>19.285522428149342</v>
      </c>
      <c r="G22" s="34">
        <f t="shared" si="1"/>
        <v>20.890410958904109</v>
      </c>
    </row>
    <row r="23" spans="2:7" ht="15.75" x14ac:dyDescent="0.25">
      <c r="B23" s="33">
        <f t="shared" si="2"/>
        <v>2031</v>
      </c>
      <c r="C23" s="34">
        <v>146.77000000000001</v>
      </c>
      <c r="D23" s="34">
        <v>158.97999999999999</v>
      </c>
      <c r="F23" s="34">
        <f t="shared" si="0"/>
        <v>19.711254364759604</v>
      </c>
      <c r="G23" s="34">
        <f t="shared" si="1"/>
        <v>21.351060972334139</v>
      </c>
    </row>
    <row r="24" spans="2:7" ht="15.75" x14ac:dyDescent="0.25">
      <c r="B24" s="33">
        <f t="shared" si="2"/>
        <v>2032</v>
      </c>
      <c r="C24" s="34">
        <v>150.02000000000001</v>
      </c>
      <c r="D24" s="34">
        <v>162.47999999999999</v>
      </c>
      <c r="F24" s="34">
        <f t="shared" si="0"/>
        <v>20.092681881495768</v>
      </c>
      <c r="G24" s="34">
        <f t="shared" si="1"/>
        <v>21.76149148183864</v>
      </c>
    </row>
    <row r="25" spans="2:7" ht="15.75" x14ac:dyDescent="0.25">
      <c r="B25" s="33"/>
      <c r="C25" s="35"/>
      <c r="D25" s="35"/>
      <c r="F25" s="35"/>
    </row>
    <row r="26" spans="2:7" x14ac:dyDescent="0.2">
      <c r="B26" s="36" t="str">
        <f>"Nominal Levelized Payment at "&amp;TEXT($B$39,"0.000%")&amp;" Discount Rate (2)"</f>
        <v>Nominal Levelized Payment at 6.660% Discount Rate (2)</v>
      </c>
    </row>
    <row r="27" spans="2:7" x14ac:dyDescent="0.2">
      <c r="B27" s="37" t="str">
        <f>$B$10&amp;" - "&amp;B24</f>
        <v>2018 - 2032</v>
      </c>
      <c r="C27" s="38">
        <f>PMT($B$39,COUNT(C10:C24),-NPV($B$39,C10:C24))</f>
        <v>33.433951387063971</v>
      </c>
      <c r="D27" s="38">
        <v>36.214449841425342</v>
      </c>
      <c r="F27" s="38">
        <f>PMT($B$39,COUNT(F10:F24),-NPV($B$39,F10:F24))</f>
        <v>4.4852714031818666</v>
      </c>
      <c r="G27" s="38">
        <f>PMT($B$39,COUNT(G10:G24),-NPV($B$39,G10:G24))</f>
        <v>4.858284479601652</v>
      </c>
    </row>
    <row r="29" spans="2:7" x14ac:dyDescent="0.2">
      <c r="B29" s="28" t="s">
        <v>3</v>
      </c>
    </row>
    <row r="30" spans="2:7" s="1" customFormat="1" x14ac:dyDescent="0.2">
      <c r="B30" s="28" t="str">
        <f>"(2)   "&amp;B38</f>
        <v>(2)   Discount Rate - 2015 IRP Page 141</v>
      </c>
      <c r="C30" s="28"/>
      <c r="D30" s="28"/>
      <c r="E30" s="28"/>
      <c r="F30" s="28"/>
    </row>
    <row r="31" spans="2:7" x14ac:dyDescent="0.2">
      <c r="B31" s="28" t="s">
        <v>30</v>
      </c>
    </row>
    <row r="32" spans="2:7" hidden="1" x14ac:dyDescent="0.2">
      <c r="B32" s="28" t="s">
        <v>31</v>
      </c>
    </row>
    <row r="33" spans="2:2" x14ac:dyDescent="0.2">
      <c r="B33" s="28" t="s">
        <v>32</v>
      </c>
    </row>
    <row r="34" spans="2:2" hidden="1" x14ac:dyDescent="0.2">
      <c r="B34" s="28" t="s">
        <v>33</v>
      </c>
    </row>
    <row r="38" spans="2:2" x14ac:dyDescent="0.2">
      <c r="B38" s="24" t="s">
        <v>16</v>
      </c>
    </row>
    <row r="39" spans="2:2" x14ac:dyDescent="0.2">
      <c r="B39" s="39">
        <f>Discount_Rate</f>
        <v>6.6600000000000006E-2</v>
      </c>
    </row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2016-09-23T16:07:24Z</dcterms:created>
  <dcterms:modified xsi:type="dcterms:W3CDTF">2016-09-26T16:11:02Z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