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4370" windowHeight="12720"/>
  </bookViews>
  <sheets>
    <sheet name="Incremental" sheetId="6" r:id="rId1"/>
    <sheet name="Total" sheetId="5" r:id="rId2"/>
    <sheet name="Energy" sheetId="12" r:id="rId3"/>
    <sheet name="Capacity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Order2" hidden="1">0</definedName>
    <definedName name="Discount_Rate">Total!$B$36</definedName>
    <definedName name="_xlnm.Print_Area" localSheetId="3">Capacity!$A$1:$J$33</definedName>
    <definedName name="_xlnm.Print_Area" localSheetId="2">Energy!$A$1:$H$32</definedName>
    <definedName name="_xlnm.Print_Area" localSheetId="0">Incremental!$A$1:$H$32</definedName>
    <definedName name="_xlnm.Print_Area" localSheetId="1">Total!$A$1:$H$32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B39" i="10" l="1"/>
  <c r="B38" i="10"/>
  <c r="B34" i="10"/>
  <c r="B33" i="10"/>
  <c r="B32" i="10"/>
  <c r="B31" i="10"/>
  <c r="B30" i="10"/>
  <c r="B26" i="10"/>
  <c r="D10" i="10"/>
  <c r="B10" i="10"/>
  <c r="H8" i="10"/>
  <c r="E8" i="10"/>
  <c r="I8" i="10" s="1"/>
  <c r="C8" i="10"/>
  <c r="G8" i="10" s="1"/>
  <c r="B4" i="10"/>
  <c r="B3" i="10"/>
  <c r="B1" i="10"/>
  <c r="C10" i="10" l="1"/>
  <c r="B11" i="10"/>
  <c r="H10" i="10"/>
  <c r="C11" i="10" l="1"/>
  <c r="G11" i="10" s="1"/>
  <c r="D11" i="10"/>
  <c r="B12" i="10"/>
  <c r="G10" i="10"/>
  <c r="H11" i="10" l="1"/>
  <c r="C12" i="10"/>
  <c r="B13" i="10"/>
  <c r="D12" i="10"/>
  <c r="H12" i="10" s="1"/>
  <c r="G12" i="10" l="1"/>
  <c r="C13" i="10"/>
  <c r="G13" i="10" s="1"/>
  <c r="D13" i="10"/>
  <c r="H13" i="10" s="1"/>
  <c r="B14" i="10"/>
  <c r="C14" i="10" l="1"/>
  <c r="G14" i="10" s="1"/>
  <c r="D14" i="10"/>
  <c r="B15" i="10"/>
  <c r="C15" i="10" l="1"/>
  <c r="D15" i="10"/>
  <c r="H15" i="10" s="1"/>
  <c r="B16" i="10"/>
  <c r="H14" i="10"/>
  <c r="C16" i="10" l="1"/>
  <c r="G16" i="10" s="1"/>
  <c r="D16" i="10"/>
  <c r="B17" i="10"/>
  <c r="G15" i="10"/>
  <c r="C17" i="10" l="1"/>
  <c r="D17" i="10"/>
  <c r="H17" i="10" s="1"/>
  <c r="B18" i="10"/>
  <c r="H16" i="10"/>
  <c r="C18" i="10" l="1"/>
  <c r="G18" i="10" s="1"/>
  <c r="B19" i="10"/>
  <c r="D18" i="10"/>
  <c r="H18" i="10" s="1"/>
  <c r="G17" i="10"/>
  <c r="C19" i="10" l="1"/>
  <c r="G19" i="10" s="1"/>
  <c r="B20" i="10"/>
  <c r="D19" i="10"/>
  <c r="H19" i="10" s="1"/>
  <c r="C20" i="10" l="1"/>
  <c r="G20" i="10" s="1"/>
  <c r="D20" i="10"/>
  <c r="H20" i="10" s="1"/>
  <c r="B21" i="10"/>
  <c r="C21" i="10" l="1"/>
  <c r="G21" i="10" s="1"/>
  <c r="D21" i="10"/>
  <c r="H21" i="10" s="1"/>
  <c r="B22" i="10"/>
  <c r="C22" i="10" l="1"/>
  <c r="G22" i="10" s="1"/>
  <c r="D22" i="10"/>
  <c r="H22" i="10" s="1"/>
  <c r="B23" i="10"/>
  <c r="C23" i="10" l="1"/>
  <c r="G23" i="10" s="1"/>
  <c r="B24" i="10"/>
  <c r="D23" i="10"/>
  <c r="H23" i="10" s="1"/>
  <c r="C24" i="10" l="1"/>
  <c r="D24" i="10"/>
  <c r="B27" i="10"/>
  <c r="G24" i="10" l="1"/>
  <c r="C27" i="10"/>
  <c r="H24" i="10"/>
  <c r="D27" i="10"/>
  <c r="H27" i="10" l="1"/>
  <c r="G27" i="10"/>
  <c r="E38" i="12" l="1"/>
  <c r="D38" i="12"/>
  <c r="B38" i="12"/>
  <c r="G38" i="12"/>
  <c r="F38" i="12"/>
  <c r="B39" i="5" l="1"/>
  <c r="C8" i="6" l="1"/>
  <c r="C7" i="6"/>
  <c r="C7" i="12"/>
  <c r="C38" i="12" s="1"/>
  <c r="D8" i="5" l="1"/>
  <c r="C8" i="5"/>
  <c r="D7" i="5"/>
  <c r="C7" i="5"/>
  <c r="D8" i="6"/>
  <c r="D7" i="6"/>
  <c r="E8" i="6" l="1"/>
  <c r="E7" i="6"/>
  <c r="G8" i="5" l="1"/>
  <c r="F8" i="5"/>
  <c r="G7" i="5"/>
  <c r="F7" i="5"/>
  <c r="B1" i="12" l="1"/>
  <c r="B3" i="12"/>
  <c r="B10" i="12"/>
  <c r="B29" i="12"/>
  <c r="B35" i="12"/>
  <c r="B26" i="12" s="1"/>
  <c r="D10" i="12" l="1"/>
  <c r="D10" i="5" s="1"/>
  <c r="E10" i="12"/>
  <c r="E10" i="5" s="1"/>
  <c r="D10" i="6" s="1"/>
  <c r="C10" i="12"/>
  <c r="C10" i="5" s="1"/>
  <c r="F10" i="12"/>
  <c r="G10" i="12"/>
  <c r="B11" i="12"/>
  <c r="C11" i="12" l="1"/>
  <c r="C11" i="5" s="1"/>
  <c r="D11" i="12"/>
  <c r="D11" i="5" s="1"/>
  <c r="C11" i="6" s="1"/>
  <c r="E11" i="12"/>
  <c r="E11" i="5" s="1"/>
  <c r="D11" i="6" s="1"/>
  <c r="F11" i="12"/>
  <c r="G11" i="12"/>
  <c r="C10" i="6"/>
  <c r="B12" i="12"/>
  <c r="D12" i="12" l="1"/>
  <c r="D12" i="5" s="1"/>
  <c r="C12" i="12"/>
  <c r="C12" i="5" s="1"/>
  <c r="E12" i="12"/>
  <c r="E12" i="5" s="1"/>
  <c r="D12" i="6" s="1"/>
  <c r="G12" i="12"/>
  <c r="F12" i="12"/>
  <c r="B13" i="12"/>
  <c r="E13" i="12" l="1"/>
  <c r="E13" i="5" s="1"/>
  <c r="C13" i="12"/>
  <c r="C13" i="5" s="1"/>
  <c r="D13" i="12"/>
  <c r="D13" i="5" s="1"/>
  <c r="C13" i="6" s="1"/>
  <c r="F13" i="12"/>
  <c r="G13" i="12"/>
  <c r="C12" i="6"/>
  <c r="B14" i="12"/>
  <c r="D14" i="12" l="1"/>
  <c r="D14" i="5" s="1"/>
  <c r="C14" i="6" s="1"/>
  <c r="E14" i="12"/>
  <c r="E14" i="5" s="1"/>
  <c r="C14" i="12"/>
  <c r="C14" i="5" s="1"/>
  <c r="G14" i="12"/>
  <c r="F14" i="12"/>
  <c r="D13" i="6"/>
  <c r="B15" i="12"/>
  <c r="C15" i="12" l="1"/>
  <c r="C15" i="5" s="1"/>
  <c r="D15" i="12"/>
  <c r="D15" i="5" s="1"/>
  <c r="C15" i="6" s="1"/>
  <c r="E15" i="12"/>
  <c r="E15" i="5" s="1"/>
  <c r="D15" i="6" s="1"/>
  <c r="G15" i="12"/>
  <c r="F15" i="12"/>
  <c r="D14" i="6"/>
  <c r="B16" i="12"/>
  <c r="D16" i="12" l="1"/>
  <c r="D16" i="5" s="1"/>
  <c r="C16" i="6" s="1"/>
  <c r="C16" i="12"/>
  <c r="C16" i="5" s="1"/>
  <c r="E16" i="12"/>
  <c r="E16" i="5" s="1"/>
  <c r="G16" i="12"/>
  <c r="F16" i="12"/>
  <c r="B17" i="12"/>
  <c r="D16" i="6" l="1"/>
  <c r="E17" i="12"/>
  <c r="E17" i="5" s="1"/>
  <c r="D17" i="6" s="1"/>
  <c r="C17" i="12"/>
  <c r="C17" i="5" s="1"/>
  <c r="D17" i="12"/>
  <c r="D17" i="5" s="1"/>
  <c r="F17" i="12"/>
  <c r="G17" i="12"/>
  <c r="B18" i="12"/>
  <c r="C17" i="6" l="1"/>
  <c r="E18" i="12"/>
  <c r="E18" i="5" s="1"/>
  <c r="D18" i="6" s="1"/>
  <c r="C18" i="12"/>
  <c r="C18" i="5" s="1"/>
  <c r="D18" i="12"/>
  <c r="D18" i="5" s="1"/>
  <c r="F18" i="12"/>
  <c r="G18" i="12"/>
  <c r="B19" i="12"/>
  <c r="C19" i="12" l="1"/>
  <c r="C19" i="5" s="1"/>
  <c r="E19" i="12"/>
  <c r="E19" i="5" s="1"/>
  <c r="D19" i="6" s="1"/>
  <c r="D19" i="12"/>
  <c r="D19" i="5" s="1"/>
  <c r="F19" i="12"/>
  <c r="G19" i="12"/>
  <c r="C18" i="6"/>
  <c r="B20" i="12"/>
  <c r="B31" i="5"/>
  <c r="D20" i="12" l="1"/>
  <c r="D20" i="5" s="1"/>
  <c r="C20" i="12"/>
  <c r="C20" i="5" s="1"/>
  <c r="E20" i="12"/>
  <c r="E20" i="5" s="1"/>
  <c r="F20" i="12"/>
  <c r="G20" i="12"/>
  <c r="C19" i="6"/>
  <c r="B31" i="12"/>
  <c r="B21" i="12"/>
  <c r="C20" i="6" l="1"/>
  <c r="E21" i="12"/>
  <c r="E21" i="5" s="1"/>
  <c r="D21" i="12"/>
  <c r="D21" i="5" s="1"/>
  <c r="C21" i="6" s="1"/>
  <c r="C21" i="12"/>
  <c r="C21" i="5" s="1"/>
  <c r="F21" i="12"/>
  <c r="G21" i="12"/>
  <c r="D20" i="6"/>
  <c r="B22" i="12"/>
  <c r="D22" i="12" l="1"/>
  <c r="D22" i="5" s="1"/>
  <c r="E22" i="12"/>
  <c r="E22" i="5" s="1"/>
  <c r="D22" i="6" s="1"/>
  <c r="C22" i="12"/>
  <c r="C22" i="5" s="1"/>
  <c r="G22" i="12"/>
  <c r="F22" i="12"/>
  <c r="D21" i="6"/>
  <c r="B23" i="12"/>
  <c r="C23" i="12" l="1"/>
  <c r="C23" i="5" s="1"/>
  <c r="D23" i="12"/>
  <c r="D23" i="5" s="1"/>
  <c r="E23" i="12"/>
  <c r="E23" i="5" s="1"/>
  <c r="G23" i="12"/>
  <c r="F23" i="12"/>
  <c r="C22" i="6"/>
  <c r="B24" i="12"/>
  <c r="C23" i="6" l="1"/>
  <c r="D24" i="12"/>
  <c r="D24" i="5" s="1"/>
  <c r="C24" i="12"/>
  <c r="C24" i="5" s="1"/>
  <c r="C27" i="5" s="1"/>
  <c r="E24" i="12"/>
  <c r="E24" i="5" s="1"/>
  <c r="D24" i="6" s="1"/>
  <c r="G24" i="12"/>
  <c r="F24" i="12"/>
  <c r="D23" i="6"/>
  <c r="E27" i="5"/>
  <c r="B27" i="12"/>
  <c r="C24" i="6" l="1"/>
  <c r="D27" i="5"/>
  <c r="C27" i="6" s="1"/>
  <c r="C27" i="12"/>
  <c r="B26" i="5"/>
  <c r="D27" i="6" l="1"/>
  <c r="B31" i="6"/>
  <c r="B32" i="6"/>
  <c r="B29" i="6"/>
  <c r="E8" i="5" l="1"/>
  <c r="E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D27" i="12" l="1"/>
  <c r="E27" i="12" l="1"/>
  <c r="G27" i="12" l="1"/>
  <c r="F27" i="12" l="1"/>
  <c r="E14" i="10" l="1"/>
  <c r="I14" i="10" s="1"/>
  <c r="E16" i="10"/>
  <c r="I16" i="10" s="1"/>
  <c r="E17" i="10"/>
  <c r="I17" i="10" s="1"/>
  <c r="E18" i="10"/>
  <c r="I18" i="10" s="1"/>
  <c r="E15" i="10"/>
  <c r="I15" i="10" s="1"/>
  <c r="E19" i="10"/>
  <c r="I19" i="10" s="1"/>
  <c r="G19" i="5" l="1"/>
  <c r="F19" i="6" s="1"/>
  <c r="F19" i="5"/>
  <c r="E19" i="6" s="1"/>
  <c r="G19" i="6" s="1"/>
  <c r="G18" i="5"/>
  <c r="F18" i="5"/>
  <c r="E18" i="6" s="1"/>
  <c r="F16" i="5"/>
  <c r="E16" i="6" s="1"/>
  <c r="G16" i="5"/>
  <c r="F16" i="6" s="1"/>
  <c r="G15" i="5"/>
  <c r="F15" i="5"/>
  <c r="E15" i="6" s="1"/>
  <c r="G17" i="5"/>
  <c r="F17" i="5"/>
  <c r="E17" i="6" s="1"/>
  <c r="G14" i="5"/>
  <c r="F14" i="5"/>
  <c r="E14" i="6" s="1"/>
  <c r="F15" i="6" l="1"/>
  <c r="G15" i="6" s="1"/>
  <c r="F14" i="6"/>
  <c r="G14" i="6" s="1"/>
  <c r="F18" i="6"/>
  <c r="G18" i="6" s="1"/>
  <c r="F17" i="6"/>
  <c r="G17" i="6" s="1"/>
  <c r="G16" i="6"/>
  <c r="E13" i="10" l="1"/>
  <c r="I13" i="10" s="1"/>
  <c r="F13" i="5" l="1"/>
  <c r="E13" i="6" s="1"/>
  <c r="G13" i="5"/>
  <c r="F13" i="6" s="1"/>
  <c r="G13" i="6" l="1"/>
  <c r="E11" i="10" l="1"/>
  <c r="I11" i="10" s="1"/>
  <c r="G11" i="5" l="1"/>
  <c r="F11" i="5"/>
  <c r="E11" i="6" s="1"/>
  <c r="F11" i="6" l="1"/>
  <c r="G11" i="6" s="1"/>
  <c r="E10" i="10" l="1"/>
  <c r="E12" i="10"/>
  <c r="I12" i="10" s="1"/>
  <c r="G12" i="5" l="1"/>
  <c r="F12" i="6" s="1"/>
  <c r="F12" i="5"/>
  <c r="E12" i="6" s="1"/>
  <c r="I10" i="10"/>
  <c r="F10" i="5" l="1"/>
  <c r="G10" i="5"/>
  <c r="G12" i="6"/>
  <c r="F10" i="6" l="1"/>
  <c r="E10" i="6"/>
  <c r="G10" i="6" s="1"/>
  <c r="B36" i="10" l="1"/>
  <c r="B35" i="10"/>
  <c r="E20" i="10" l="1"/>
  <c r="I20" i="10" l="1"/>
  <c r="E21" i="10"/>
  <c r="I21" i="10" s="1"/>
  <c r="G21" i="5" l="1"/>
  <c r="F21" i="6" s="1"/>
  <c r="F21" i="5"/>
  <c r="E21" i="6" s="1"/>
  <c r="G21" i="6" s="1"/>
  <c r="G20" i="5"/>
  <c r="F20" i="5"/>
  <c r="F20" i="6" l="1"/>
  <c r="E20" i="6"/>
  <c r="G20" i="6" s="1"/>
  <c r="E23" i="10"/>
  <c r="I23" i="10" s="1"/>
  <c r="E22" i="10"/>
  <c r="G23" i="5" l="1"/>
  <c r="F23" i="5"/>
  <c r="E23" i="6" s="1"/>
  <c r="I22" i="10"/>
  <c r="G22" i="5" l="1"/>
  <c r="F22" i="5"/>
  <c r="G23" i="6"/>
  <c r="F23" i="6"/>
  <c r="E24" i="10" l="1"/>
  <c r="E22" i="6"/>
  <c r="F22" i="6"/>
  <c r="G22" i="6" l="1"/>
  <c r="I24" i="10"/>
  <c r="E27" i="10"/>
  <c r="F24" i="5" l="1"/>
  <c r="G24" i="5"/>
  <c r="I27" i="10"/>
  <c r="F24" i="6" l="1"/>
  <c r="G27" i="5"/>
  <c r="E24" i="6"/>
  <c r="G24" i="6" s="1"/>
  <c r="F27" i="5"/>
  <c r="E27" i="6" s="1"/>
  <c r="F27" i="6" l="1"/>
  <c r="G27" i="6" s="1"/>
</calcChain>
</file>

<file path=xl/sharedStrings.xml><?xml version="1.0" encoding="utf-8"?>
<sst xmlns="http://schemas.openxmlformats.org/spreadsheetml/2006/main" count="37" uniqueCount="31">
  <si>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</si>
  <si>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</si>
  <si>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</si>
  <si>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</si>
  <si>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</si>
  <si>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</si>
  <si>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</si>
  <si>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</si>
  <si>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</si>
  <si>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</si>
  <si>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</si>
  <si>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</si>
  <si>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</si>
  <si>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</si>
  <si>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</si>
  <si>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Generic</t>
  </si>
  <si>
    <t>Discount Rate - 2015 IRP Page 141</t>
  </si>
  <si>
    <t>Impact</t>
  </si>
  <si>
    <t>QF</t>
  </si>
  <si>
    <t>Queue</t>
  </si>
  <si>
    <t>(1)   Studies are sequential.  The order of the studies would affect the price impact.</t>
  </si>
  <si>
    <t>2016.Q2</t>
  </si>
  <si>
    <t>(4)  15-Year Nominal Levelized Payment (2018-2032)</t>
  </si>
  <si>
    <t>(x)   Escalated by 2.2% from prior year</t>
  </si>
  <si>
    <t>2016.Q3</t>
  </si>
  <si>
    <t>161012 OFPC (4)</t>
  </si>
  <si>
    <t>161012</t>
  </si>
  <si>
    <t>Wind</t>
  </si>
  <si>
    <t>OFPC</t>
  </si>
  <si>
    <t>Hourly</t>
  </si>
  <si>
    <t>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</si>
</sst>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7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3" fillId="0" borderId="5" xfId="0" quotePrefix="1" applyFont="1" applyFill="1" applyBorder="1" applyAlignment="1">
      <alignment horizontal="center"/>
    </xf>
    <xf numFmtId="165" fontId="3" fillId="0" borderId="9" xfId="4" applyFont="1" applyBorder="1" applyAlignment="1">
      <alignment horizontal="centerContinuous"/>
    </xf>
    <xf numFmtId="0" fontId="4" fillId="0" borderId="2" xfId="4" applyNumberFormat="1" applyFont="1" applyBorder="1" applyAlignment="1">
      <alignment horizontal="center"/>
    </xf>
    <xf numFmtId="165" fontId="3" fillId="0" borderId="2" xfId="4" quotePrefix="1" applyFont="1" applyBorder="1" applyAlignment="1">
      <alignment horizontal="center" wrapText="1"/>
    </xf>
    <xf numFmtId="165" fontId="4" fillId="0" borderId="0" xfId="4" applyFont="1" applyAlignment="1"/>
    <xf numFmtId="165" fontId="0" fillId="0" borderId="0" xfId="0" applyAlignment="1"/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Source%20Files\_All%20Data%20Series%20Files%20_2016%2007%2001%20(1606%20OFPC)\_GNw_Market%20Price%20Index%20(1606)%20CON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142%20-%20UT%202016.Q3%20-11b%20-%20GRID%20AC%20Study%20CONF%20_2016%2012%2016%20(Wind%2012x24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cenario\142%20-%20UT%202016.Q3%20-%201b%20-%20GRID%20AC%20Study%20CONF%20_2016%2012%2015%20(GOLD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_UT%202016.Q3%20-%20Step%20Study%20_2016%2012%2016%20(Detailed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01---%20Avoided%20Cost%20Study%20_2016%2009%2014%20(GOL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31---%20Avoided%20Cost%20Study%20_2016%2009%2014%20(161012%20OFPC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T\2003%20Dockets\UT%2003-035-14%20Application%20IRP-Based%20Avoided%20Cost\03-035-14%20Quarterly%20Compliance%20Filings\2016\2016%20Q3%20(12-30-16)\Working%20Docs\Appendix%20B%20-%20UT%202016.Q3%20-%20AC%20Study%20(w%20link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01a%20-%20GRID%20AC%20Study%20CONF%20_2016%2009%2014%20(GOLD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21a%20-%20GRID%20AC%20Study%20CONF%20_2016%2009%2020%20(Generic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31a%20-%20GRID%20AC%20Study%20CONF%20_2016%2010%2020%20(161012%20OFPC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142%20-%20UT%202016.Q3%20-11a%20-%20GRID%20AC%20Study%20CONF%20_2016%2012%2016%20(Wind%2012x24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cenario\142%20-%20UT%202016.Q3%20-%201a%20-%20GRID%20AC%20Study%20CONF%20_2016%2012%2015%20(GOLD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01b%20-%20GRID%20AC%20Study%20CONF%20_2016%2009%2014%20(GOLD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21b%20-%20GRID%20AC%20Study%20CONF%20_2016%2009%2020%20(Generic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142%20-%20UT%20Compliance%20Filing%202016.Q3%20-%202016%20Dec\Sent%20Out%202016%2012%20xx%20(Filing%20Date)\Scenario\69%20-%20UT%202016.Q2%20-%2031b%20-%20GRID%20AC%20Study%20CONF%20_2016%2010%2020%20(161012%20OFPC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_GNw_Market Price Index (1606) "/>
    </sheetNames>
    <sheetDataSet>
      <sheetData sheetId="0" refreshError="1"/>
      <sheetData sheetId="1">
        <row r="1">
          <cell r="N1" t="str">
            <v>_GNw_Market Price Index (1606) CONF</v>
          </cell>
        </row>
      </sheetData>
      <sheetData sheetId="2">
        <row r="2">
          <cell r="F2" t="str">
            <v>OFPC Dated</v>
          </cell>
          <cell r="G2">
            <v>42551</v>
          </cell>
        </row>
      </sheetData>
      <sheetData sheetId="3">
        <row r="5">
          <cell r="B5" t="str">
            <v>Calendar Year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54040.263276278973</v>
          </cell>
          <cell r="D7">
            <v>2336041.3309655786</v>
          </cell>
          <cell r="E7">
            <v>499234.57991528511</v>
          </cell>
          <cell r="F7">
            <v>679511.98189294338</v>
          </cell>
          <cell r="G7">
            <v>712031.71550554037</v>
          </cell>
          <cell r="H7">
            <v>363138739.38641167</v>
          </cell>
          <cell r="I7">
            <v>349390912.572698</v>
          </cell>
          <cell r="J7">
            <v>328711859.49861032</v>
          </cell>
          <cell r="K7">
            <v>311813479.9162885</v>
          </cell>
          <cell r="L7">
            <v>289861371.16882116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-7911810.1369640008</v>
          </cell>
          <cell r="D9">
            <v>-7870883.7241699994</v>
          </cell>
          <cell r="E9">
            <v>-20691089.712580014</v>
          </cell>
          <cell r="F9">
            <v>-20092551.960800029</v>
          </cell>
          <cell r="G9">
            <v>-20783573.926260021</v>
          </cell>
          <cell r="H9">
            <v>244461735.64105999</v>
          </cell>
          <cell r="I9">
            <v>256941748.56693</v>
          </cell>
          <cell r="J9">
            <v>267018815.77742001</v>
          </cell>
          <cell r="K9">
            <v>280126267.15083998</v>
          </cell>
          <cell r="L9">
            <v>286924503.77768004</v>
          </cell>
        </row>
        <row r="10">
          <cell r="C10">
            <v>223118.60302036256</v>
          </cell>
          <cell r="D10">
            <v>294511.54678160325</v>
          </cell>
          <cell r="E10">
            <v>221497.21578655019</v>
          </cell>
          <cell r="F10">
            <v>35776.121598623693</v>
          </cell>
          <cell r="G10">
            <v>57070.624240845442</v>
          </cell>
          <cell r="H10">
            <v>22777316.473874707</v>
          </cell>
          <cell r="I10">
            <v>15265353.020598581</v>
          </cell>
          <cell r="J10">
            <v>8989153.2128948476</v>
          </cell>
          <cell r="K10">
            <v>8403046.5290898178</v>
          </cell>
          <cell r="L10">
            <v>7128753.3110595718</v>
          </cell>
        </row>
        <row r="11">
          <cell r="C11">
            <v>-7159738.6489001513</v>
          </cell>
          <cell r="D11">
            <v>-8480203.2068599463</v>
          </cell>
          <cell r="E11">
            <v>-615198.83249986172</v>
          </cell>
          <cell r="F11">
            <v>-956183.06590020657</v>
          </cell>
          <cell r="G11">
            <v>-872998.90015006065</v>
          </cell>
          <cell r="H11">
            <v>882965811.7296958</v>
          </cell>
          <cell r="I11">
            <v>735680740.55547094</v>
          </cell>
          <cell r="J11">
            <v>662512791.04165208</v>
          </cell>
          <cell r="K11">
            <v>661321296.99911499</v>
          </cell>
          <cell r="L11">
            <v>614755005.8338201</v>
          </cell>
        </row>
        <row r="12">
          <cell r="C12">
            <v>-4032.91400000453</v>
          </cell>
          <cell r="D12">
            <v>7095.8509999811649</v>
          </cell>
          <cell r="E12">
            <v>-3411.0890000164509</v>
          </cell>
          <cell r="F12">
            <v>-5065.9072999954224</v>
          </cell>
          <cell r="G12">
            <v>-5162.3590000271797</v>
          </cell>
          <cell r="H12">
            <v>148491840.81500003</v>
          </cell>
          <cell r="I12">
            <v>148519282.81500003</v>
          </cell>
          <cell r="J12">
            <v>148535022.37050003</v>
          </cell>
          <cell r="K12">
            <v>148556302.03700003</v>
          </cell>
          <cell r="L12">
            <v>148346267.66700003</v>
          </cell>
        </row>
        <row r="13">
          <cell r="C13">
            <v>-6582963.3968242407</v>
          </cell>
          <cell r="D13">
            <v>-6985035.9420112371</v>
          </cell>
          <cell r="E13">
            <v>-1760909.5986620188</v>
          </cell>
          <cell r="F13">
            <v>-2183902.1161391735</v>
          </cell>
          <cell r="G13">
            <v>-2105403.6504048109</v>
          </cell>
          <cell r="H13">
            <v>655651954.79628003</v>
          </cell>
          <cell r="I13">
            <v>705491071.26156199</v>
          </cell>
          <cell r="J13">
            <v>748871928.93861282</v>
          </cell>
          <cell r="K13">
            <v>781342045.96060419</v>
          </cell>
          <cell r="L13">
            <v>808917185.37065494</v>
          </cell>
        </row>
        <row r="14">
          <cell r="C14">
            <v>-4915171.7870399952</v>
          </cell>
          <cell r="D14">
            <v>-3301187.436029911</v>
          </cell>
          <cell r="E14">
            <v>-2170333.7665700912</v>
          </cell>
          <cell r="F14">
            <v>-1928578.2840999365</v>
          </cell>
          <cell r="G14">
            <v>-2131751.8811000586</v>
          </cell>
          <cell r="H14">
            <v>536032960.60807014</v>
          </cell>
          <cell r="I14">
            <v>596433046.86118996</v>
          </cell>
          <cell r="J14">
            <v>620835102.64498997</v>
          </cell>
          <cell r="K14">
            <v>631349340.34810996</v>
          </cell>
          <cell r="L14">
            <v>677307273.83750987</v>
          </cell>
        </row>
        <row r="15">
          <cell r="C15">
            <v>-7.4505805969238281E-9</v>
          </cell>
          <cell r="D15">
            <v>1.4901161193847656E-8</v>
          </cell>
          <cell r="E15">
            <v>0</v>
          </cell>
          <cell r="F15">
            <v>-470749.82339998335</v>
          </cell>
          <cell r="G15">
            <v>-475009.07576004043</v>
          </cell>
          <cell r="H15">
            <v>208610538.61354005</v>
          </cell>
          <cell r="I15">
            <v>220839333.56030005</v>
          </cell>
          <cell r="J15">
            <v>229867282.50960997</v>
          </cell>
          <cell r="K15">
            <v>241408276.77299005</v>
          </cell>
          <cell r="L15">
            <v>251707696.60404992</v>
          </cell>
        </row>
        <row r="16">
          <cell r="C16">
            <v>-36102.624940000009</v>
          </cell>
          <cell r="D16">
            <v>-60472.150059999898</v>
          </cell>
          <cell r="E16">
            <v>-24150.007799999788</v>
          </cell>
          <cell r="F16">
            <v>-214671.05159999966</v>
          </cell>
          <cell r="G16">
            <v>-221936.60654000007</v>
          </cell>
          <cell r="H16">
            <v>1222575.3697999998</v>
          </cell>
          <cell r="I16">
            <v>2139075.4531100001</v>
          </cell>
          <cell r="J16">
            <v>5190895.1649199985</v>
          </cell>
          <cell r="K16">
            <v>6475534.2677200008</v>
          </cell>
          <cell r="L16">
            <v>21417246.178099994</v>
          </cell>
        </row>
        <row r="17">
          <cell r="C17">
            <v>-26440741.168924317</v>
          </cell>
          <cell r="D17">
            <v>-28732216.392315075</v>
          </cell>
          <cell r="E17">
            <v>-25542830.371240735</v>
          </cell>
          <cell r="F17">
            <v>-26495438.069533642</v>
          </cell>
          <cell r="G17">
            <v>-27250797.490479715</v>
          </cell>
          <cell r="H17">
            <v>2337075994.6609092</v>
          </cell>
          <cell r="I17">
            <v>2331918739.5214634</v>
          </cell>
          <cell r="J17">
            <v>2363109132.1619897</v>
          </cell>
          <cell r="K17">
            <v>2447168630.1491814</v>
          </cell>
          <cell r="L17">
            <v>2526642561.4110532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>ERROR</v>
          </cell>
          <cell r="I18" t="str">
            <v>ERROR</v>
          </cell>
          <cell r="J18" t="str">
            <v>ERROR</v>
          </cell>
          <cell r="K18" t="str">
            <v>ERROR</v>
          </cell>
          <cell r="L18" t="str">
            <v>ERROR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-4939925.4152092934</v>
          </cell>
          <cell r="I19">
            <v>-4980100.28166008</v>
          </cell>
          <cell r="J19">
            <v>-5121752.6141996384</v>
          </cell>
          <cell r="K19">
            <v>-5311769.0720491409</v>
          </cell>
          <cell r="L19">
            <v>-5502890.6782803535</v>
          </cell>
        </row>
        <row r="20">
          <cell r="C20">
            <v>13828.18343000114</v>
          </cell>
          <cell r="D20">
            <v>57813.565325000323</v>
          </cell>
          <cell r="E20">
            <v>12432.260203000158</v>
          </cell>
          <cell r="F20">
            <v>16063.534999999218</v>
          </cell>
          <cell r="G20">
            <v>16228.603623000905</v>
          </cell>
          <cell r="H20">
            <v>6386499.2585459994</v>
          </cell>
          <cell r="I20">
            <v>6004651.1131559992</v>
          </cell>
          <cell r="J20">
            <v>5506464.7174172997</v>
          </cell>
          <cell r="K20">
            <v>5026839.974234201</v>
          </cell>
          <cell r="L20">
            <v>4526938.921000001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-159851.98361560021</v>
          </cell>
          <cell r="D22">
            <v>-154580.59883029989</v>
          </cell>
          <cell r="E22">
            <v>-577118.74378709961</v>
          </cell>
          <cell r="F22">
            <v>-542279.70099609892</v>
          </cell>
          <cell r="G22">
            <v>-547287.35048299888</v>
          </cell>
          <cell r="H22">
            <v>5136401.7905224999</v>
          </cell>
          <cell r="I22">
            <v>5386923.3096420011</v>
          </cell>
          <cell r="J22">
            <v>5427974.710465</v>
          </cell>
          <cell r="K22">
            <v>5533984.3468190003</v>
          </cell>
          <cell r="L22">
            <v>5435859.138398</v>
          </cell>
        </row>
        <row r="23">
          <cell r="C23">
            <v>-160433.58725399524</v>
          </cell>
          <cell r="D23">
            <v>-181158.92978759855</v>
          </cell>
          <cell r="E23">
            <v>-15782.872131999582</v>
          </cell>
          <cell r="F23">
            <v>-22763.153748996556</v>
          </cell>
          <cell r="G23">
            <v>-20222.541113996878</v>
          </cell>
          <cell r="H23">
            <v>15091957.507931866</v>
          </cell>
          <cell r="I23">
            <v>12405983.564458992</v>
          </cell>
          <cell r="J23">
            <v>11251987.356862202</v>
          </cell>
          <cell r="K23">
            <v>10917203.794448648</v>
          </cell>
          <cell r="L23">
            <v>9652633.232221555</v>
          </cell>
        </row>
        <row r="24">
          <cell r="C24">
            <v>-260019.28096999601</v>
          </cell>
          <cell r="D24">
            <v>-245792.00006899983</v>
          </cell>
          <cell r="E24">
            <v>-66152.649540003389</v>
          </cell>
          <cell r="F24">
            <v>-78733.023016005754</v>
          </cell>
          <cell r="G24">
            <v>-73645.030102003366</v>
          </cell>
          <cell r="H24">
            <v>22277260.705943502</v>
          </cell>
          <cell r="I24">
            <v>23224348.053466499</v>
          </cell>
          <cell r="J24">
            <v>23946584.021752503</v>
          </cell>
          <cell r="K24">
            <v>24332548.193340503</v>
          </cell>
          <cell r="L24">
            <v>24539017.952332504</v>
          </cell>
        </row>
        <row r="25">
          <cell r="C25">
            <v>-151722.07125700079</v>
          </cell>
          <cell r="D25">
            <v>-103823.70212149806</v>
          </cell>
          <cell r="E25">
            <v>-72502.608978502452</v>
          </cell>
          <cell r="F25">
            <v>-64547.495228499174</v>
          </cell>
          <cell r="G25">
            <v>-69299.524007499218</v>
          </cell>
          <cell r="H25">
            <v>12455711.759194901</v>
          </cell>
          <cell r="I25">
            <v>13656441.859725598</v>
          </cell>
          <cell r="J25">
            <v>13883913.263294701</v>
          </cell>
          <cell r="K25">
            <v>13617446.796324302</v>
          </cell>
          <cell r="L25">
            <v>14325665.9205273</v>
          </cell>
        </row>
        <row r="26">
          <cell r="C26">
            <v>0</v>
          </cell>
          <cell r="D26">
            <v>0</v>
          </cell>
          <cell r="E26">
            <v>-9.3132257461547852E-10</v>
          </cell>
          <cell r="F26">
            <v>-15337.867918601376</v>
          </cell>
          <cell r="G26">
            <v>-15012.091046399903</v>
          </cell>
          <cell r="H26">
            <v>5360516.7856755005</v>
          </cell>
          <cell r="I26">
            <v>5571096.9401574982</v>
          </cell>
          <cell r="J26">
            <v>5624414.2536664018</v>
          </cell>
          <cell r="K26">
            <v>5708180.6610748991</v>
          </cell>
          <cell r="L26">
            <v>5776483.5561035974</v>
          </cell>
        </row>
        <row r="27">
          <cell r="C27">
            <v>-744.29683199999977</v>
          </cell>
          <cell r="D27">
            <v>-1357.2144830000016</v>
          </cell>
          <cell r="E27">
            <v>-678.5727939999997</v>
          </cell>
          <cell r="F27">
            <v>-4893.7476649999953</v>
          </cell>
          <cell r="G27">
            <v>-4902.3286499999995</v>
          </cell>
          <cell r="H27">
            <v>22587.584135999994</v>
          </cell>
          <cell r="I27">
            <v>40079.433429100005</v>
          </cell>
          <cell r="J27">
            <v>92421.270304400008</v>
          </cell>
          <cell r="K27">
            <v>106743.8022122</v>
          </cell>
          <cell r="L27">
            <v>302562.44917999994</v>
          </cell>
        </row>
        <row r="28">
          <cell r="C28">
            <v>-746599.40335859347</v>
          </cell>
          <cell r="D28">
            <v>-744526.01061639667</v>
          </cell>
          <cell r="E28">
            <v>-744667.70743460616</v>
          </cell>
          <cell r="F28">
            <v>-744618.52357320103</v>
          </cell>
          <cell r="G28">
            <v>-746597.46902589919</v>
          </cell>
          <cell r="H28">
            <v>53957936.874858275</v>
          </cell>
          <cell r="I28">
            <v>54280222.047723681</v>
          </cell>
          <cell r="J28">
            <v>54720830.158927903</v>
          </cell>
          <cell r="K28">
            <v>55189267.619985357</v>
          </cell>
          <cell r="L28">
            <v>55505283.327762954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>ERROR</v>
          </cell>
          <cell r="I29" t="str">
            <v>ERROR</v>
          </cell>
          <cell r="J29" t="str">
            <v>ERROR</v>
          </cell>
          <cell r="K29" t="str">
            <v>ERROR</v>
          </cell>
          <cell r="L29" t="str">
            <v>ERROR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>
            <v>54702536.874858275</v>
          </cell>
          <cell r="I30">
            <v>55024822.047723681</v>
          </cell>
          <cell r="J30">
            <v>55465430.158927903</v>
          </cell>
          <cell r="K30">
            <v>55935907.619985357</v>
          </cell>
          <cell r="L30">
            <v>56249883.327762954</v>
          </cell>
        </row>
        <row r="31">
          <cell r="C31">
            <v>3.9079799273587246</v>
          </cell>
          <cell r="D31">
            <v>40.406456820877018</v>
          </cell>
          <cell r="E31">
            <v>40.156381202093051</v>
          </cell>
          <cell r="F31">
            <v>42.301522167628512</v>
          </cell>
          <cell r="G31">
            <v>43.875106697188244</v>
          </cell>
          <cell r="H31">
            <v>56.860374468920973</v>
          </cell>
          <cell r="I31">
            <v>58.186713264188427</v>
          </cell>
          <cell r="J31">
            <v>59.695626208023036</v>
          </cell>
          <cell r="K31">
            <v>62.029720761857114</v>
          </cell>
          <cell r="L31">
            <v>64.03032517717088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49.494600930256297</v>
          </cell>
          <cell r="D33">
            <v>50.917668735458406</v>
          </cell>
          <cell r="E33">
            <v>35.852395950274321</v>
          </cell>
          <cell r="F33">
            <v>37.052008260483589</v>
          </cell>
          <cell r="G33">
            <v>37.975615383614915</v>
          </cell>
          <cell r="H33">
            <v>47.59396667373877</v>
          </cell>
          <cell r="I33">
            <v>47.697309539757597</v>
          </cell>
          <cell r="J33">
            <v>49.193083980773601</v>
          </cell>
          <cell r="K33">
            <v>50.619273491776298</v>
          </cell>
          <cell r="L33">
            <v>52.783653231720692</v>
          </cell>
        </row>
        <row r="34">
          <cell r="C34">
            <v>0.2988464791381546</v>
          </cell>
          <cell r="D34">
            <v>0.39556918439662803</v>
          </cell>
          <cell r="E34">
            <v>0.29744436823991222</v>
          </cell>
          <cell r="F34">
            <v>4.8046241754697176E-2</v>
          </cell>
          <cell r="G34">
            <v>7.6440955948198747E-2</v>
          </cell>
          <cell r="H34">
            <v>-0.42213097447926717</v>
          </cell>
          <cell r="I34">
            <v>-0.28123232449523033</v>
          </cell>
          <cell r="J34">
            <v>-0.16427296857133361</v>
          </cell>
          <cell r="K34">
            <v>-0.15225870701800856</v>
          </cell>
          <cell r="L34">
            <v>-0.12843377933887368</v>
          </cell>
        </row>
        <row r="35">
          <cell r="C35">
            <v>44.627429776066755</v>
          </cell>
          <cell r="D35">
            <v>46.810848445630796</v>
          </cell>
          <cell r="E35">
            <v>38.978889732785298</v>
          </cell>
          <cell r="F35">
            <v>42.005737712963302</v>
          </cell>
          <cell r="G35">
            <v>43.169594524687163</v>
          </cell>
          <cell r="H35">
            <v>58.50571811281845</v>
          </cell>
          <cell r="I35">
            <v>59.30047680081325</v>
          </cell>
          <cell r="J35">
            <v>58.879624552511444</v>
          </cell>
          <cell r="K35">
            <v>60.576069610003444</v>
          </cell>
          <cell r="L35">
            <v>63.687803218473071</v>
          </cell>
        </row>
        <row r="36">
          <cell r="C36">
            <v>25.317212524650657</v>
          </cell>
          <cell r="D36">
            <v>28.418483677460483</v>
          </cell>
          <cell r="E36">
            <v>26.618882401636434</v>
          </cell>
          <cell r="F36">
            <v>27.738070157616136</v>
          </cell>
          <cell r="G36">
            <v>28.588536761933344</v>
          </cell>
          <cell r="H36">
            <v>29.431444173086962</v>
          </cell>
          <cell r="I36">
            <v>30.377217463215697</v>
          </cell>
          <cell r="J36">
            <v>31.272599392813419</v>
          </cell>
          <cell r="K36">
            <v>32.110983188125246</v>
          </cell>
          <cell r="L36">
            <v>32.964529670339353</v>
          </cell>
        </row>
        <row r="37">
          <cell r="C37">
            <v>32.395891687467312</v>
          </cell>
          <cell r="D37">
            <v>31.79608671791291</v>
          </cell>
          <cell r="E37">
            <v>29.934560937160356</v>
          </cell>
          <cell r="F37">
            <v>29.878437223206543</v>
          </cell>
          <cell r="G37">
            <v>30.761421692728682</v>
          </cell>
          <cell r="H37">
            <v>43.035112803759809</v>
          </cell>
          <cell r="I37">
            <v>43.67411753277689</v>
          </cell>
          <cell r="J37">
            <v>44.716146728336994</v>
          </cell>
          <cell r="K37">
            <v>46.363268371169795</v>
          </cell>
          <cell r="L37">
            <v>47.279287231387528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30.691998777031451</v>
          </cell>
          <cell r="G38">
            <v>31.641766246412011</v>
          </cell>
          <cell r="H38">
            <v>38.916124499599377</v>
          </cell>
          <cell r="I38">
            <v>39.640188625771209</v>
          </cell>
          <cell r="J38">
            <v>40.869550524264064</v>
          </cell>
          <cell r="K38">
            <v>42.291632151588352</v>
          </cell>
          <cell r="L38">
            <v>43.574554339047396</v>
          </cell>
        </row>
        <row r="39">
          <cell r="C39">
            <v>48.505681319358374</v>
          </cell>
          <cell r="D39">
            <v>44.556074826383821</v>
          </cell>
          <cell r="E39">
            <v>35.589413565554473</v>
          </cell>
          <cell r="F39">
            <v>43.866391627693346</v>
          </cell>
          <cell r="G39">
            <v>45.271670339768036</v>
          </cell>
          <cell r="H39">
            <v>54.125990740703621</v>
          </cell>
          <cell r="I39">
            <v>53.37090048675455</v>
          </cell>
          <cell r="J39">
            <v>56.165589888812313</v>
          </cell>
          <cell r="K39">
            <v>60.664264655357172</v>
          </cell>
          <cell r="L39">
            <v>70.7862004559544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35.414897266164523</v>
          </cell>
          <cell r="D41">
            <v>38.591286244690814</v>
          </cell>
          <cell r="E41">
            <v>34.300977625626139</v>
          </cell>
          <cell r="F41">
            <v>35.58256641587424</v>
          </cell>
          <cell r="G41">
            <v>36.499986433163755</v>
          </cell>
          <cell r="H41">
            <v>43.31292354785846</v>
          </cell>
          <cell r="I41">
            <v>42.960744292298926</v>
          </cell>
          <cell r="J41">
            <v>43.184818748157092</v>
          </cell>
          <cell r="K41">
            <v>44.341386209354276</v>
          </cell>
          <cell r="L41">
            <v>45.520757843735979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N1" t="str">
            <v>142 - UT 2016.Q3 - 1b - GRID AC Study CONF _2016 12 15 (GOLD)</v>
          </cell>
        </row>
      </sheetData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565583.27344435453</v>
          </cell>
          <cell r="D7">
            <v>2831498.2215119004</v>
          </cell>
          <cell r="E7">
            <v>548606.35654348135</v>
          </cell>
          <cell r="F7">
            <v>902832.68976551294</v>
          </cell>
          <cell r="G7">
            <v>932759.64616966248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-7921199.991986</v>
          </cell>
          <cell r="D9">
            <v>-7876534.7737099994</v>
          </cell>
          <cell r="E9">
            <v>-20617556.823829997</v>
          </cell>
          <cell r="F9">
            <v>-19990659.687449992</v>
          </cell>
          <cell r="G9">
            <v>-20751025.422320027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293592.01025312021</v>
          </cell>
          <cell r="D10">
            <v>292877.88008148968</v>
          </cell>
          <cell r="E10">
            <v>229952.03305375949</v>
          </cell>
          <cell r="F10">
            <v>92953.004370570183</v>
          </cell>
          <cell r="G10">
            <v>81535.704628050327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-8011345.507799983</v>
          </cell>
          <cell r="D11">
            <v>-8792620.5338001251</v>
          </cell>
          <cell r="E11">
            <v>-725229.03940010071</v>
          </cell>
          <cell r="F11">
            <v>-1200330.6027997732</v>
          </cell>
          <cell r="G11">
            <v>-1224000.4802702665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-4672.7400000095367</v>
          </cell>
          <cell r="D12">
            <v>6014.2870000004768</v>
          </cell>
          <cell r="E12">
            <v>-4876.0330000221729</v>
          </cell>
          <cell r="F12">
            <v>-5845.2224000096321</v>
          </cell>
          <cell r="G12">
            <v>-4135.9780000150204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-6843496.3044039607</v>
          </cell>
          <cell r="D13">
            <v>-6890408.2546421885</v>
          </cell>
          <cell r="E13">
            <v>-1853485.3928627372</v>
          </cell>
          <cell r="F13">
            <v>-2341855.5367512703</v>
          </cell>
          <cell r="G13">
            <v>-2070760.8612847328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-3485872.6784799099</v>
          </cell>
          <cell r="D14">
            <v>-2754997.8579199314</v>
          </cell>
          <cell r="E14">
            <v>-1865403.1887999773</v>
          </cell>
          <cell r="F14">
            <v>-1448376.30437994</v>
          </cell>
          <cell r="G14">
            <v>-1839214.3098701239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8.3819031715393066E-9</v>
          </cell>
          <cell r="D15">
            <v>1.6763806343078613E-8</v>
          </cell>
          <cell r="E15">
            <v>0</v>
          </cell>
          <cell r="F15">
            <v>-486295.57072001696</v>
          </cell>
          <cell r="G15">
            <v>-429221.11621997878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-71251.216300000029</v>
          </cell>
          <cell r="D16">
            <v>-130961.8496800001</v>
          </cell>
          <cell r="E16">
            <v>-55192.012820000178</v>
          </cell>
          <cell r="F16">
            <v>-274836.01990000019</v>
          </cell>
          <cell r="G16">
            <v>-284986.26500000013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-26609829.702161089</v>
          </cell>
          <cell r="D17">
            <v>-28978129.324182637</v>
          </cell>
          <cell r="E17">
            <v>-25440396.814202558</v>
          </cell>
          <cell r="F17">
            <v>-26558078.629795946</v>
          </cell>
          <cell r="G17">
            <v>-27454568.374506757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25979.631480000913</v>
          </cell>
          <cell r="D20">
            <v>69938.637442400679</v>
          </cell>
          <cell r="E20">
            <v>14926.886056000367</v>
          </cell>
          <cell r="F20">
            <v>20918.393071001396</v>
          </cell>
          <cell r="G20">
            <v>20845.244319001213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-160203.7940429002</v>
          </cell>
          <cell r="D22">
            <v>-154792.2539004999</v>
          </cell>
          <cell r="E22">
            <v>-574725.94719690038</v>
          </cell>
          <cell r="F22">
            <v>-539333.99207689974</v>
          </cell>
          <cell r="G22">
            <v>-546276.67752069968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-177438.88310229778</v>
          </cell>
          <cell r="D23">
            <v>-187050.743437998</v>
          </cell>
          <cell r="E23">
            <v>-18618.863873999566</v>
          </cell>
          <cell r="F23">
            <v>-27543.056748000905</v>
          </cell>
          <cell r="G23">
            <v>-26868.064743999392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-269116.14844800159</v>
          </cell>
          <cell r="D24">
            <v>-243162.41067800298</v>
          </cell>
          <cell r="E24">
            <v>-70003.322602000087</v>
          </cell>
          <cell r="F24">
            <v>-83746.15439100191</v>
          </cell>
          <cell r="G24">
            <v>-72420.063996005803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-112390.10641449876</v>
          </cell>
          <cell r="D25">
            <v>-86772.191478997469</v>
          </cell>
          <cell r="E25">
            <v>-64951.457396000624</v>
          </cell>
          <cell r="F25">
            <v>-51126.585743002594</v>
          </cell>
          <cell r="G25">
            <v>-60560.234311999753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-15753.07089369942</v>
          </cell>
          <cell r="G26">
            <v>-13514.517522599665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-1511.7617069999997</v>
          </cell>
          <cell r="D27">
            <v>-2883.3913476000034</v>
          </cell>
          <cell r="E27">
            <v>-1373.3330967000038</v>
          </cell>
          <cell r="F27">
            <v>-6178.4620799999975</v>
          </cell>
          <cell r="G27">
            <v>-6155.4899670000013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-746640.32519469922</v>
          </cell>
          <cell r="D28">
            <v>-744599.62828549906</v>
          </cell>
          <cell r="E28">
            <v>-744599.81022160104</v>
          </cell>
          <cell r="F28">
            <v>-744599.71500360593</v>
          </cell>
          <cell r="G28">
            <v>-746640.29238130548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21.770257745177787</v>
          </cell>
          <cell r="D31">
            <v>40.485464473680025</v>
          </cell>
          <cell r="E31">
            <v>36.75290040302481</v>
          </cell>
          <cell r="F31">
            <v>43.159753557604077</v>
          </cell>
          <cell r="G31">
            <v>44.746880002716857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49.444521831142275</v>
          </cell>
          <cell r="D33">
            <v>50.884553814773042</v>
          </cell>
          <cell r="E33">
            <v>35.873718464230826</v>
          </cell>
          <cell r="F33">
            <v>37.065454766662782</v>
          </cell>
          <cell r="G33">
            <v>37.986292068150249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0.39321745738359509</v>
          </cell>
          <cell r="D34">
            <v>0.39333605464706545</v>
          </cell>
          <cell r="E34">
            <v>0.30882633852045066</v>
          </cell>
          <cell r="F34">
            <v>0.12483620729040976</v>
          </cell>
          <cell r="G34">
            <v>0.10920346177408069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45.149886922931373</v>
          </cell>
          <cell r="D35">
            <v>47.006605652517116</v>
          </cell>
          <cell r="E35">
            <v>38.951304671863006</v>
          </cell>
          <cell r="F35">
            <v>43.580152115356405</v>
          </cell>
          <cell r="G35">
            <v>45.555959907519203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25.429526781913854</v>
          </cell>
          <cell r="D36">
            <v>28.336650535047152</v>
          </cell>
          <cell r="E36">
            <v>26.477105999676944</v>
          </cell>
          <cell r="F36">
            <v>27.963738201247967</v>
          </cell>
          <cell r="G36">
            <v>28.593745255443878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31.015832173197577</v>
          </cell>
          <cell r="D37">
            <v>31.749778482738414</v>
          </cell>
          <cell r="E37">
            <v>28.719958929125418</v>
          </cell>
          <cell r="F37">
            <v>28.329220176377046</v>
          </cell>
          <cell r="G37">
            <v>30.369999897865181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30.869890321798476</v>
          </cell>
          <cell r="G38">
            <v>31.760002937745529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47.131248245064889</v>
          </cell>
          <cell r="D39">
            <v>45.419380823559194</v>
          </cell>
          <cell r="E39">
            <v>40.188365774204108</v>
          </cell>
          <cell r="F39">
            <v>44.482917648658663</v>
          </cell>
          <cell r="G39">
            <v>46.297900983972163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35.639422094195247</v>
          </cell>
          <cell r="D41">
            <v>38.917732729610847</v>
          </cell>
          <cell r="E41">
            <v>34.166536795961868</v>
          </cell>
          <cell r="F41">
            <v>35.667591720294077</v>
          </cell>
          <cell r="G41">
            <v>36.770810060282479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</sheetData>
      <sheetData sheetId="3"/>
      <sheetData sheetId="4"/>
      <sheetData sheetId="5"/>
      <sheetData sheetId="6">
        <row r="3">
          <cell r="E3">
            <v>2028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ncremental"/>
      <sheetName val="Total"/>
      <sheetName val="Energy"/>
      <sheetName val="Capacity"/>
    </sheetNames>
    <sheetDataSet>
      <sheetData sheetId="0"/>
      <sheetData sheetId="1"/>
      <sheetData sheetId="2">
        <row r="1">
          <cell r="B1" t="str">
            <v>Appendix C</v>
          </cell>
        </row>
        <row r="3">
          <cell r="B3" t="str">
            <v>Utah Quarterly Compliance Filing</v>
          </cell>
        </row>
        <row r="10">
          <cell r="B10">
            <v>2018</v>
          </cell>
        </row>
        <row r="35">
          <cell r="B35" t="str">
            <v>Discount Rate - 2015 IRP Page 141</v>
          </cell>
        </row>
      </sheetData>
      <sheetData sheetId="3">
        <row r="7">
          <cell r="C7" t="str">
            <v>2016.Q2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149.05000000000001</v>
          </cell>
        </row>
        <row r="24">
          <cell r="B24">
            <v>2029</v>
          </cell>
          <cell r="C24">
            <v>152.16999999999999</v>
          </cell>
        </row>
        <row r="25">
          <cell r="B25">
            <v>2030</v>
          </cell>
          <cell r="C25">
            <v>155.55000000000001</v>
          </cell>
        </row>
        <row r="26">
          <cell r="B26">
            <v>2031</v>
          </cell>
          <cell r="C26">
            <v>158.97999999999999</v>
          </cell>
        </row>
        <row r="27">
          <cell r="B27">
            <v>2032</v>
          </cell>
          <cell r="C27">
            <v>162.47999999999999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2028 - West M - 477 MW - CCCT Dry "J", Adv 1x1 - West Side Resource (1,500')   ( 100.0%)</v>
          </cell>
        </row>
        <row r="46">
          <cell r="B46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148.02000000000001</v>
          </cell>
        </row>
        <row r="24">
          <cell r="B24">
            <v>2029</v>
          </cell>
          <cell r="C24">
            <v>151.30000000000001</v>
          </cell>
        </row>
        <row r="25">
          <cell r="B25">
            <v>2030</v>
          </cell>
          <cell r="C25">
            <v>154.65</v>
          </cell>
        </row>
        <row r="26">
          <cell r="B26">
            <v>2031</v>
          </cell>
          <cell r="C26">
            <v>158.06</v>
          </cell>
        </row>
        <row r="27">
          <cell r="B27">
            <v>2032</v>
          </cell>
          <cell r="C27">
            <v>161.55000000000001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2028 - West M - 477 MW - CCCT Dry "J", Adv 1x1 - West Side Resource (1,500')   ( 100.0%)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13.768309627245415</v>
          </cell>
        </row>
        <row r="24">
          <cell r="B24">
            <v>2029</v>
          </cell>
          <cell r="C24">
            <v>14.073403908946299</v>
          </cell>
        </row>
        <row r="25">
          <cell r="B25">
            <v>2030</v>
          </cell>
          <cell r="C25">
            <v>144.60969320074051</v>
          </cell>
        </row>
        <row r="26">
          <cell r="B26">
            <v>2031</v>
          </cell>
          <cell r="C26">
            <v>147.80201717257225</v>
          </cell>
        </row>
        <row r="27">
          <cell r="B27">
            <v>2032</v>
          </cell>
          <cell r="C27">
            <v>151.07434114440403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2028 - West M - 477 MW - CCCT Dry "J", Adv 1x1 - West Side Resource (1,500')   ( 9.3%)</v>
          </cell>
        </row>
        <row r="46">
          <cell r="B46" t="str">
            <v xml:space="preserve">       2030 - WYNE  DJohns - 665 MW - CCCT Dry "JF, 2x1 - East Side Resource (5,050')   ( 90.7%)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N1" t="str">
            <v>69 - UT 2016.Q2 - 01a - GRID AC Study CONF _2016 09 14 (GOLD)</v>
          </cell>
        </row>
      </sheetData>
      <sheetData sheetId="1">
        <row r="1">
          <cell r="K1" t="str">
            <v>69 - UT 2016.Q2 - 01a - GRID AC Study CONF _2016 09 14 (GOLD)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-525073.65679997206</v>
          </cell>
          <cell r="D7">
            <v>-1544468.8081325293</v>
          </cell>
          <cell r="E7">
            <v>-1944970.7824798226</v>
          </cell>
          <cell r="F7">
            <v>-2124148.4660102725</v>
          </cell>
          <cell r="G7">
            <v>-2000083.3584100008</v>
          </cell>
          <cell r="H7">
            <v>-1326950.5831999779</v>
          </cell>
          <cell r="I7">
            <v>-513063.88347995281</v>
          </cell>
          <cell r="J7">
            <v>2414292.4914700389</v>
          </cell>
          <cell r="K7">
            <v>2834307.6939201355</v>
          </cell>
          <cell r="L7">
            <v>2885615.3880000114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-4213398.5</v>
          </cell>
          <cell r="D9">
            <v>-4398244.5999999978</v>
          </cell>
          <cell r="E9">
            <v>-4565453.200000003</v>
          </cell>
          <cell r="F9">
            <v>-4348915.6000000006</v>
          </cell>
          <cell r="G9">
            <v>-4591658.6000000015</v>
          </cell>
          <cell r="H9">
            <v>-4908323.9999999991</v>
          </cell>
          <cell r="I9">
            <v>-5275389.1999999974</v>
          </cell>
          <cell r="J9">
            <v>-6002480.200000003</v>
          </cell>
          <cell r="K9">
            <v>-6177844</v>
          </cell>
          <cell r="L9">
            <v>-6383087</v>
          </cell>
        </row>
        <row r="10">
          <cell r="C10">
            <v>4577.9975882992148</v>
          </cell>
          <cell r="D10">
            <v>27960.172097235918</v>
          </cell>
          <cell r="E10">
            <v>437.79787230119109</v>
          </cell>
          <cell r="F10">
            <v>21976.770118303597</v>
          </cell>
          <cell r="G10">
            <v>47593.690910350531</v>
          </cell>
          <cell r="H10">
            <v>35951.767375145108</v>
          </cell>
          <cell r="I10">
            <v>154440.73307191581</v>
          </cell>
          <cell r="J10">
            <v>119460.16387183592</v>
          </cell>
          <cell r="K10">
            <v>93677.676438435912</v>
          </cell>
          <cell r="L10">
            <v>94881.045137561858</v>
          </cell>
        </row>
        <row r="11">
          <cell r="C11">
            <v>-3173663.0583101511</v>
          </cell>
          <cell r="D11">
            <v>-3118093.4298801422</v>
          </cell>
          <cell r="E11">
            <v>-2420621.0637098551</v>
          </cell>
          <cell r="F11">
            <v>-2248497.5415300131</v>
          </cell>
          <cell r="G11">
            <v>-4028712.6186001301</v>
          </cell>
          <cell r="H11">
            <v>-5439041.7890098095</v>
          </cell>
          <cell r="I11">
            <v>-5493665.3586299419</v>
          </cell>
          <cell r="J11">
            <v>-6867141.4274898767</v>
          </cell>
          <cell r="K11">
            <v>-7048183.11398983</v>
          </cell>
          <cell r="L11">
            <v>-8053167.0732899904</v>
          </cell>
        </row>
        <row r="12">
          <cell r="C12">
            <v>-231.91786199808121</v>
          </cell>
          <cell r="D12">
            <v>-26.944999992847443</v>
          </cell>
          <cell r="E12">
            <v>-37.66991999745369</v>
          </cell>
          <cell r="F12">
            <v>-227.09324100613594</v>
          </cell>
          <cell r="G12">
            <v>-4369.7803099751472</v>
          </cell>
          <cell r="H12">
            <v>-12768.557500004768</v>
          </cell>
          <cell r="I12">
            <v>-8355.7739999890327</v>
          </cell>
          <cell r="J12">
            <v>-4975.4769999980927</v>
          </cell>
          <cell r="K12">
            <v>-4769.8249999880791</v>
          </cell>
          <cell r="L12">
            <v>-3288.41400000453</v>
          </cell>
        </row>
        <row r="13">
          <cell r="C13">
            <v>-5192005.4876229763</v>
          </cell>
          <cell r="D13">
            <v>-5761022.1337308884</v>
          </cell>
          <cell r="E13">
            <v>-5790288.6523262262</v>
          </cell>
          <cell r="F13">
            <v>-5862787.3410702944</v>
          </cell>
          <cell r="G13">
            <v>-7239030.5316271782</v>
          </cell>
          <cell r="H13">
            <v>-6483911.3304468393</v>
          </cell>
          <cell r="I13">
            <v>-7155828.8413350582</v>
          </cell>
          <cell r="J13">
            <v>-6115134.1683028936</v>
          </cell>
          <cell r="K13">
            <v>-6360395.3109600544</v>
          </cell>
          <cell r="L13">
            <v>-6246041.276782155</v>
          </cell>
        </row>
        <row r="14">
          <cell r="C14">
            <v>-4336146.8730435669</v>
          </cell>
          <cell r="D14">
            <v>-4594424.2356133461</v>
          </cell>
          <cell r="E14">
            <v>-5982463.6765615642</v>
          </cell>
          <cell r="F14">
            <v>-6267578.2621449828</v>
          </cell>
          <cell r="G14">
            <v>-4158877.4194200635</v>
          </cell>
          <cell r="H14">
            <v>-4680817.5717666149</v>
          </cell>
          <cell r="I14">
            <v>-4506680.6708899736</v>
          </cell>
          <cell r="J14">
            <v>-3246048.0132499933</v>
          </cell>
          <cell r="K14">
            <v>-2952699.7954399586</v>
          </cell>
          <cell r="L14">
            <v>-3275901.9236400127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-16385794.182450421</v>
          </cell>
          <cell r="D17">
            <v>-16299382.363994602</v>
          </cell>
          <cell r="E17">
            <v>-16813455.682165522</v>
          </cell>
          <cell r="F17">
            <v>-16581880.601857722</v>
          </cell>
          <cell r="G17">
            <v>-17974971.900636997</v>
          </cell>
          <cell r="H17">
            <v>-20161960.898148146</v>
          </cell>
          <cell r="I17">
            <v>-21772415.22830309</v>
          </cell>
          <cell r="J17">
            <v>-24530611.613640968</v>
          </cell>
          <cell r="K17">
            <v>-25284522.062871531</v>
          </cell>
          <cell r="L17">
            <v>-26752220.030574612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-6694.3499999996275</v>
          </cell>
          <cell r="D20">
            <v>-38810.97500000149</v>
          </cell>
          <cell r="E20">
            <v>-52286.428929997608</v>
          </cell>
          <cell r="F20">
            <v>-52640.564738003537</v>
          </cell>
          <cell r="G20">
            <v>-44955.905000001192</v>
          </cell>
          <cell r="H20">
            <v>-21138.193999998271</v>
          </cell>
          <cell r="I20">
            <v>10164.009999998845</v>
          </cell>
          <cell r="J20">
            <v>74957.39100000076</v>
          </cell>
          <cell r="K20">
            <v>82197.53500000108</v>
          </cell>
          <cell r="L20">
            <v>78487.754000000656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-123200</v>
          </cell>
          <cell r="E22">
            <v>-123200.01231999998</v>
          </cell>
          <cell r="F22">
            <v>-123199.97536000001</v>
          </cell>
          <cell r="G22">
            <v>-123200.00000000006</v>
          </cell>
          <cell r="H22">
            <v>-123200.01231999998</v>
          </cell>
          <cell r="I22">
            <v>-123200.01232000001</v>
          </cell>
          <cell r="J22">
            <v>-123200.00000000012</v>
          </cell>
          <cell r="K22">
            <v>-123200</v>
          </cell>
          <cell r="L22">
            <v>-123199.98768000014</v>
          </cell>
        </row>
        <row r="23">
          <cell r="C23">
            <v>-131935.27921199799</v>
          </cell>
          <cell r="D23">
            <v>-119789.12186799943</v>
          </cell>
          <cell r="E23">
            <v>-91559.327818002552</v>
          </cell>
          <cell r="F23">
            <v>-82849.496215999126</v>
          </cell>
          <cell r="G23">
            <v>-133894.80903400108</v>
          </cell>
          <cell r="H23">
            <v>-160735.50193339773</v>
          </cell>
          <cell r="I23">
            <v>-157438.23151700199</v>
          </cell>
          <cell r="J23">
            <v>-185006.36774299853</v>
          </cell>
          <cell r="K23">
            <v>-185193.98912330158</v>
          </cell>
          <cell r="L23">
            <v>-199381.45877540112</v>
          </cell>
        </row>
        <row r="24">
          <cell r="C24">
            <v>-300002.39005299658</v>
          </cell>
          <cell r="D24">
            <v>-334881.62506300211</v>
          </cell>
          <cell r="E24">
            <v>-334616.40383000672</v>
          </cell>
          <cell r="F24">
            <v>-320005.33004899323</v>
          </cell>
          <cell r="G24">
            <v>-358894.82841299474</v>
          </cell>
          <cell r="H24">
            <v>-302726.38831599802</v>
          </cell>
          <cell r="I24">
            <v>-297750.17172100395</v>
          </cell>
          <cell r="J24">
            <v>-249017.94948399812</v>
          </cell>
          <cell r="K24">
            <v>-251863.58195399493</v>
          </cell>
          <cell r="L24">
            <v>-238892.03767700493</v>
          </cell>
        </row>
        <row r="25">
          <cell r="C25">
            <v>-197756.54482500069</v>
          </cell>
          <cell r="D25">
            <v>-205540.02600700036</v>
          </cell>
          <cell r="E25">
            <v>-249550.99458500184</v>
          </cell>
          <cell r="F25">
            <v>-271185.8523770012</v>
          </cell>
          <cell r="G25">
            <v>-173566.49952299707</v>
          </cell>
          <cell r="H25">
            <v>-179076.43769499846</v>
          </cell>
          <cell r="I25">
            <v>-158087.84751200117</v>
          </cell>
          <cell r="J25">
            <v>-112418.10085799918</v>
          </cell>
          <cell r="K25">
            <v>-102145.30547800288</v>
          </cell>
          <cell r="L25">
            <v>-104638.97829599865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-744599.86408999562</v>
          </cell>
          <cell r="D28">
            <v>-744599.79793800041</v>
          </cell>
          <cell r="E28">
            <v>-746640.30962301348</v>
          </cell>
          <cell r="F28">
            <v>-744600.08926399006</v>
          </cell>
          <cell r="G28">
            <v>-744600.2319699917</v>
          </cell>
          <cell r="H28">
            <v>-744600.14626439591</v>
          </cell>
          <cell r="I28">
            <v>-746640.27307000593</v>
          </cell>
          <cell r="J28">
            <v>-744599.8090849967</v>
          </cell>
          <cell r="K28">
            <v>-744600.41155530047</v>
          </cell>
          <cell r="L28">
            <v>-744600.21642840549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78.435345746786666</v>
          </cell>
          <cell r="D31">
            <v>39.794640771907169</v>
          </cell>
          <cell r="E31">
            <v>37.198386317103406</v>
          </cell>
          <cell r="F31">
            <v>40.351931568028114</v>
          </cell>
          <cell r="G31">
            <v>44.489892004397369</v>
          </cell>
          <cell r="H31">
            <v>62.77502151792563</v>
          </cell>
          <cell r="I31">
            <v>-50.478490623288558</v>
          </cell>
          <cell r="J31">
            <v>32.208865053347637</v>
          </cell>
          <cell r="K31">
            <v>34.481662910208904</v>
          </cell>
          <cell r="L31">
            <v>36.765167060328764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34.649658717105261</v>
          </cell>
          <cell r="D33">
            <v>35.700037337662323</v>
          </cell>
          <cell r="E33">
            <v>37.057246294275402</v>
          </cell>
          <cell r="F33">
            <v>35.299646670318943</v>
          </cell>
          <cell r="G33">
            <v>37.269956168831165</v>
          </cell>
          <cell r="H33">
            <v>39.840288223763388</v>
          </cell>
          <cell r="I33">
            <v>42.819713250496186</v>
          </cell>
          <cell r="J33">
            <v>48.721430194805173</v>
          </cell>
          <cell r="K33">
            <v>50.144837662337665</v>
          </cell>
          <cell r="L33">
            <v>51.810776284973677</v>
          </cell>
        </row>
        <row r="34">
          <cell r="C34">
            <v>6.1482654094950221E-3</v>
          </cell>
          <cell r="D34">
            <v>3.7550603927996286E-2</v>
          </cell>
          <cell r="E34">
            <v>5.8635713429702155E-4</v>
          </cell>
          <cell r="F34">
            <v>2.9514863663294522E-2</v>
          </cell>
          <cell r="G34">
            <v>6.3918447600307238E-2</v>
          </cell>
          <cell r="H34">
            <v>4.8283320323683092E-2</v>
          </cell>
          <cell r="I34">
            <v>0.20684757927253578</v>
          </cell>
          <cell r="J34">
            <v>0.1604353941731933</v>
          </cell>
          <cell r="K34">
            <v>0.12580932670016204</v>
          </cell>
          <cell r="L34">
            <v>0.12742548691789807</v>
          </cell>
        </row>
        <row r="35">
          <cell r="C35">
            <v>24.05469619093013</v>
          </cell>
          <cell r="D35">
            <v>26.029854641693575</v>
          </cell>
          <cell r="E35">
            <v>26.437733013084753</v>
          </cell>
          <cell r="F35">
            <v>27.139543922728212</v>
          </cell>
          <cell r="G35">
            <v>30.088639340581782</v>
          </cell>
          <cell r="H35">
            <v>33.838459603426799</v>
          </cell>
          <cell r="I35">
            <v>34.894099772942845</v>
          </cell>
          <cell r="J35">
            <v>37.11840576768342</v>
          </cell>
          <cell r="K35">
            <v>38.058379472009598</v>
          </cell>
          <cell r="L35">
            <v>40.390752092759577</v>
          </cell>
        </row>
        <row r="36">
          <cell r="C36">
            <v>17.306547080194225</v>
          </cell>
          <cell r="D36">
            <v>17.20315987073657</v>
          </cell>
          <cell r="E36">
            <v>17.304258207460247</v>
          </cell>
          <cell r="F36">
            <v>18.320905280461091</v>
          </cell>
          <cell r="G36">
            <v>20.17033949371077</v>
          </cell>
          <cell r="H36">
            <v>21.418388289555619</v>
          </cell>
          <cell r="I36">
            <v>24.032996521796029</v>
          </cell>
          <cell r="J36">
            <v>24.557001537336376</v>
          </cell>
          <cell r="K36">
            <v>25.253334609216491</v>
          </cell>
          <cell r="L36">
            <v>26.145874670076463</v>
          </cell>
        </row>
        <row r="37">
          <cell r="C37">
            <v>21.926692119751198</v>
          </cell>
          <cell r="D37">
            <v>22.352941783985507</v>
          </cell>
          <cell r="E37">
            <v>23.972910572888232</v>
          </cell>
          <cell r="F37">
            <v>23.111744979350277</v>
          </cell>
          <cell r="G37">
            <v>23.96129109505388</v>
          </cell>
          <cell r="H37">
            <v>26.138656944577743</v>
          </cell>
          <cell r="I37">
            <v>28.507445333822076</v>
          </cell>
          <cell r="J37">
            <v>28.87478073793682</v>
          </cell>
          <cell r="K37">
            <v>28.906857555737854</v>
          </cell>
          <cell r="L37">
            <v>31.306707853867511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22.006174017337671</v>
          </cell>
          <cell r="D41">
            <v>21.890124613425936</v>
          </cell>
          <cell r="E41">
            <v>22.518815908365319</v>
          </cell>
          <cell r="F41">
            <v>22.269511971517897</v>
          </cell>
          <cell r="G41">
            <v>24.140432850901139</v>
          </cell>
          <cell r="H41">
            <v>27.077567737931854</v>
          </cell>
          <cell r="I41">
            <v>29.160515463196401</v>
          </cell>
          <cell r="J41">
            <v>32.944692322424139</v>
          </cell>
          <cell r="K41">
            <v>33.957169067443743</v>
          </cell>
          <cell r="L41">
            <v>35.928300100281909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1">
          <cell r="A1" t="str">
            <v>PacifiCorp</v>
          </cell>
        </row>
      </sheetData>
      <sheetData sheetId="9">
        <row r="981">
          <cell r="A981" t="str">
            <v>Thermal Resources</v>
          </cell>
        </row>
      </sheetData>
      <sheetData sheetId="10">
        <row r="264">
          <cell r="M264" t="str">
            <v>APS Exchange</v>
          </cell>
        </row>
      </sheetData>
      <sheetData sheetId="11"/>
      <sheetData sheetId="12">
        <row r="89">
          <cell r="H89">
            <v>2.2800612406577598</v>
          </cell>
        </row>
      </sheetData>
      <sheetData sheetId="13">
        <row r="8">
          <cell r="C8" t="str">
            <v>Inter-hour Wind Integration Costs</v>
          </cell>
        </row>
      </sheetData>
      <sheetData sheetId="14">
        <row r="3">
          <cell r="A3" t="str">
            <v>Avoided Cost Study</v>
          </cell>
        </row>
      </sheetData>
      <sheetData sheetId="15"/>
      <sheetData sheetId="16"/>
      <sheetData sheetId="17"/>
      <sheetData sheetId="18">
        <row r="1">
          <cell r="A1" t="str">
            <v>Transmission Area</v>
          </cell>
        </row>
      </sheetData>
      <sheetData sheetId="19">
        <row r="1">
          <cell r="A1" t="str">
            <v>Transmission Area</v>
          </cell>
        </row>
      </sheetData>
      <sheetData sheetId="20"/>
      <sheetData sheetId="21"/>
      <sheetData sheetId="22">
        <row r="1">
          <cell r="A1" t="str">
            <v>Facility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East</v>
          </cell>
        </row>
      </sheetData>
      <sheetData sheetId="37"/>
      <sheetData sheetId="38">
        <row r="58">
          <cell r="B58" t="str">
            <v>2013 11 04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-431281.60583996773</v>
          </cell>
          <cell r="D7">
            <v>-1742022.694660008</v>
          </cell>
          <cell r="E7">
            <v>-2644684.2801600099</v>
          </cell>
          <cell r="F7">
            <v>-1921125.5104799867</v>
          </cell>
          <cell r="G7">
            <v>-1977101.1131799817</v>
          </cell>
          <cell r="H7">
            <v>-1268400.5303500295</v>
          </cell>
          <cell r="I7">
            <v>-956443.36277002096</v>
          </cell>
          <cell r="J7">
            <v>2095157.1035200059</v>
          </cell>
          <cell r="K7">
            <v>2544067.7879399657</v>
          </cell>
          <cell r="L7">
            <v>2741298.3706700206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-4213398.5</v>
          </cell>
          <cell r="D9">
            <v>-4398244.5999999978</v>
          </cell>
          <cell r="E9">
            <v>-4565453.200000003</v>
          </cell>
          <cell r="F9">
            <v>-4348915.6000000006</v>
          </cell>
          <cell r="G9">
            <v>-4591658.6000000015</v>
          </cell>
          <cell r="H9">
            <v>-4908323.9999999991</v>
          </cell>
          <cell r="I9">
            <v>-5275389.1999999974</v>
          </cell>
          <cell r="J9">
            <v>-6002480.200000003</v>
          </cell>
          <cell r="K9">
            <v>-6177844</v>
          </cell>
          <cell r="L9">
            <v>-6383087</v>
          </cell>
        </row>
        <row r="10">
          <cell r="C10">
            <v>6989.2437285911292</v>
          </cell>
          <cell r="D10">
            <v>437.13059748522937</v>
          </cell>
          <cell r="E10">
            <v>-3059.5950792338699</v>
          </cell>
          <cell r="F10">
            <v>5311.0365476123989</v>
          </cell>
          <cell r="G10">
            <v>20072.694840664044</v>
          </cell>
          <cell r="H10">
            <v>53110.578820725903</v>
          </cell>
          <cell r="I10">
            <v>73359.653767269105</v>
          </cell>
          <cell r="J10">
            <v>116434.53224340454</v>
          </cell>
          <cell r="K10">
            <v>76567.887320045382</v>
          </cell>
          <cell r="L10">
            <v>53348.257072627544</v>
          </cell>
        </row>
        <row r="11">
          <cell r="C11">
            <v>-4439892.3334299326</v>
          </cell>
          <cell r="D11">
            <v>-3231872.1084599495</v>
          </cell>
          <cell r="E11">
            <v>-2655881.5779700279</v>
          </cell>
          <cell r="F11">
            <v>-2610223.2021100521</v>
          </cell>
          <cell r="G11">
            <v>-4024318.8218201399</v>
          </cell>
          <cell r="H11">
            <v>-5004457.6648099422</v>
          </cell>
          <cell r="I11">
            <v>-4925804.0936100483</v>
          </cell>
          <cell r="J11">
            <v>-7752378.4350298643</v>
          </cell>
          <cell r="K11">
            <v>-7594450.8373999596</v>
          </cell>
          <cell r="L11">
            <v>-8884293.0490101576</v>
          </cell>
        </row>
        <row r="12">
          <cell r="C12">
            <v>-295.4156199991703</v>
          </cell>
          <cell r="D12">
            <v>-487.64113602042198</v>
          </cell>
          <cell r="E12">
            <v>-53.114611387252808</v>
          </cell>
          <cell r="F12">
            <v>-86.451059877872467</v>
          </cell>
          <cell r="G12">
            <v>-3940.6130799949169</v>
          </cell>
          <cell r="H12">
            <v>-15129.831399977207</v>
          </cell>
          <cell r="I12">
            <v>-9027.3950000107288</v>
          </cell>
          <cell r="J12">
            <v>-7554.5839999914169</v>
          </cell>
          <cell r="K12">
            <v>-6476.33599999547</v>
          </cell>
          <cell r="L12">
            <v>-3750.8350000083447</v>
          </cell>
        </row>
        <row r="13">
          <cell r="C13">
            <v>-5357145.605563879</v>
          </cell>
          <cell r="D13">
            <v>-5590690.607648015</v>
          </cell>
          <cell r="E13">
            <v>-6419085.0178999901</v>
          </cell>
          <cell r="F13">
            <v>-6046993.6313869953</v>
          </cell>
          <cell r="G13">
            <v>-6600259.764570117</v>
          </cell>
          <cell r="H13">
            <v>-6906646.0186122656</v>
          </cell>
          <cell r="I13">
            <v>-7129782.1029810905</v>
          </cell>
          <cell r="J13">
            <v>-5809074.4275071621</v>
          </cell>
          <cell r="K13">
            <v>-6379171.5746277571</v>
          </cell>
          <cell r="L13">
            <v>-6538214.651728034</v>
          </cell>
        </row>
        <row r="14">
          <cell r="C14">
            <v>-2304099.1607050896</v>
          </cell>
          <cell r="D14">
            <v>-4515231.0958360732</v>
          </cell>
          <cell r="E14">
            <v>-4717456.4143497646</v>
          </cell>
          <cell r="F14">
            <v>-5246258.3819717765</v>
          </cell>
          <cell r="G14">
            <v>-4295669.7776348591</v>
          </cell>
          <cell r="H14">
            <v>-4406828.829212606</v>
          </cell>
          <cell r="I14">
            <v>-5428071.1183700562</v>
          </cell>
          <cell r="J14">
            <v>-3081615.8550800085</v>
          </cell>
          <cell r="K14">
            <v>-2804118.3595099449</v>
          </cell>
          <cell r="L14">
            <v>-2294366.6441799998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-16279.804760000203</v>
          </cell>
          <cell r="D16">
            <v>-5235.8502599999774</v>
          </cell>
          <cell r="E16">
            <v>0</v>
          </cell>
          <cell r="F16">
            <v>0</v>
          </cell>
          <cell r="G16">
            <v>0</v>
          </cell>
          <cell r="H16">
            <v>-8020.8315000000002</v>
          </cell>
          <cell r="I16">
            <v>-33985.440999999992</v>
          </cell>
          <cell r="J16">
            <v>-22451.136259999985</v>
          </cell>
          <cell r="K16">
            <v>0</v>
          </cell>
          <cell r="L16">
            <v>-15696.524000000005</v>
          </cell>
        </row>
        <row r="17">
          <cell r="C17">
            <v>-15892839.970510341</v>
          </cell>
          <cell r="D17">
            <v>-15999302.078082563</v>
          </cell>
          <cell r="E17">
            <v>-15716304.639750397</v>
          </cell>
          <cell r="F17">
            <v>-16326040.719501104</v>
          </cell>
          <cell r="G17">
            <v>-17518673.769084468</v>
          </cell>
          <cell r="H17">
            <v>-19927896.066364035</v>
          </cell>
          <cell r="I17">
            <v>-21772256.334423915</v>
          </cell>
          <cell r="J17">
            <v>-24654277.20915363</v>
          </cell>
          <cell r="K17">
            <v>-25429561.008157577</v>
          </cell>
          <cell r="L17">
            <v>-26807358.817515593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-2360.537100000307</v>
          </cell>
          <cell r="D20">
            <v>-46675.503600001335</v>
          </cell>
          <cell r="E20">
            <v>-73018.279099998996</v>
          </cell>
          <cell r="F20">
            <v>-46533.172699999064</v>
          </cell>
          <cell r="G20">
            <v>-44567.023000000045</v>
          </cell>
          <cell r="H20">
            <v>-19497.058999999426</v>
          </cell>
          <cell r="I20">
            <v>-3872.0609999997541</v>
          </cell>
          <cell r="J20">
            <v>66212.451999999583</v>
          </cell>
          <cell r="K20">
            <v>74083.840399999171</v>
          </cell>
          <cell r="L20">
            <v>75064.992000000551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-123200</v>
          </cell>
          <cell r="E22">
            <v>-123200.01231999998</v>
          </cell>
          <cell r="F22">
            <v>-123199.97536000001</v>
          </cell>
          <cell r="G22">
            <v>-123200.00000000006</v>
          </cell>
          <cell r="H22">
            <v>-123200.01231999998</v>
          </cell>
          <cell r="I22">
            <v>-123200.01232000001</v>
          </cell>
          <cell r="J22">
            <v>-123200.00000000012</v>
          </cell>
          <cell r="K22">
            <v>-123200</v>
          </cell>
          <cell r="L22">
            <v>-123199.98768000014</v>
          </cell>
        </row>
        <row r="23">
          <cell r="C23">
            <v>-169646.75112859905</v>
          </cell>
          <cell r="D23">
            <v>-124026.2199549973</v>
          </cell>
          <cell r="E23">
            <v>-97067.936834702268</v>
          </cell>
          <cell r="F23">
            <v>-96362.756261998788</v>
          </cell>
          <cell r="G23">
            <v>-134389.05548899807</v>
          </cell>
          <cell r="H23">
            <v>-151266.91464720108</v>
          </cell>
          <cell r="I23">
            <v>-140723.15768300183</v>
          </cell>
          <cell r="J23">
            <v>-210569.34387400188</v>
          </cell>
          <cell r="K23">
            <v>-200337.18245699815</v>
          </cell>
          <cell r="L23">
            <v>-220713.34569399804</v>
          </cell>
        </row>
        <row r="24">
          <cell r="C24">
            <v>-341946.542159006</v>
          </cell>
          <cell r="D24">
            <v>-340763.72028700262</v>
          </cell>
          <cell r="E24">
            <v>-386122.9723380059</v>
          </cell>
          <cell r="F24">
            <v>-343206.15676400065</v>
          </cell>
          <cell r="G24">
            <v>-352410.83373499662</v>
          </cell>
          <cell r="H24">
            <v>-317674.49130599946</v>
          </cell>
          <cell r="I24">
            <v>-294303.91430800408</v>
          </cell>
          <cell r="J24">
            <v>-235852.47154199332</v>
          </cell>
          <cell r="K24">
            <v>-250113.87133699656</v>
          </cell>
          <cell r="L24">
            <v>-248046.97382500023</v>
          </cell>
        </row>
        <row r="25">
          <cell r="C25">
            <v>-113001.67289800197</v>
          </cell>
          <cell r="D25">
            <v>-203013.11999399774</v>
          </cell>
          <cell r="E25">
            <v>-213267.12961499952</v>
          </cell>
          <cell r="F25">
            <v>-228364.38428100012</v>
          </cell>
          <cell r="G25">
            <v>-179166.74388800003</v>
          </cell>
          <cell r="H25">
            <v>-171729.05704999901</v>
          </cell>
          <cell r="I25">
            <v>-191325.89657500014</v>
          </cell>
          <cell r="J25">
            <v>-108157.27341599762</v>
          </cell>
          <cell r="K25">
            <v>-96865.157530000433</v>
          </cell>
          <cell r="L25">
            <v>-77157.899209002033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-765.06492299999809</v>
          </cell>
          <cell r="D27">
            <v>-272.40276100000483</v>
          </cell>
          <cell r="E27">
            <v>0</v>
          </cell>
          <cell r="F27">
            <v>0</v>
          </cell>
          <cell r="G27">
            <v>0</v>
          </cell>
          <cell r="H27">
            <v>-226.09173999999985</v>
          </cell>
          <cell r="I27">
            <v>-959.33315200000106</v>
          </cell>
          <cell r="J27">
            <v>-608.56347899999946</v>
          </cell>
          <cell r="K27">
            <v>0</v>
          </cell>
          <cell r="L27">
            <v>-417.42870000000039</v>
          </cell>
        </row>
        <row r="28">
          <cell r="C28">
            <v>-744599.49400860677</v>
          </cell>
          <cell r="D28">
            <v>-744599.9593969963</v>
          </cell>
          <cell r="E28">
            <v>-746639.77200770867</v>
          </cell>
          <cell r="F28">
            <v>-744600.09996700054</v>
          </cell>
          <cell r="G28">
            <v>-744599.61011199467</v>
          </cell>
          <cell r="H28">
            <v>-744599.50806320005</v>
          </cell>
          <cell r="I28">
            <v>-746640.25303800625</v>
          </cell>
          <cell r="J28">
            <v>-744600.10431099252</v>
          </cell>
          <cell r="K28">
            <v>-744600.05172399431</v>
          </cell>
          <cell r="L28">
            <v>-744600.62710800103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182.70486231286586</v>
          </cell>
          <cell r="D31">
            <v>37.321990343987594</v>
          </cell>
          <cell r="E31">
            <v>36.219482474218516</v>
          </cell>
          <cell r="F31">
            <v>41.28507468995393</v>
          </cell>
          <cell r="G31">
            <v>44.362422708377444</v>
          </cell>
          <cell r="H31">
            <v>65.0559928217926</v>
          </cell>
          <cell r="I31">
            <v>247.01143984304011</v>
          </cell>
          <cell r="J31">
            <v>31.642946911557047</v>
          </cell>
          <cell r="K31">
            <v>34.340387515061842</v>
          </cell>
          <cell r="L31">
            <v>36.518999038459903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34.649658717105261</v>
          </cell>
          <cell r="D33">
            <v>35.700037337662323</v>
          </cell>
          <cell r="E33">
            <v>37.057246294275402</v>
          </cell>
          <cell r="F33">
            <v>35.299646670318943</v>
          </cell>
          <cell r="G33">
            <v>37.269956168831165</v>
          </cell>
          <cell r="H33">
            <v>39.840288223763388</v>
          </cell>
          <cell r="I33">
            <v>42.819713250496186</v>
          </cell>
          <cell r="J33">
            <v>48.721430194805173</v>
          </cell>
          <cell r="K33">
            <v>50.144837662337665</v>
          </cell>
          <cell r="L33">
            <v>51.810776284973677</v>
          </cell>
        </row>
        <row r="34">
          <cell r="C34">
            <v>9.3865813565948263E-3</v>
          </cell>
          <cell r="D34">
            <v>5.8706771598434325E-4</v>
          </cell>
          <cell r="E34">
            <v>-4.0978195830723586E-3</v>
          </cell>
          <cell r="F34">
            <v>7.1327368178540065E-3</v>
          </cell>
          <cell r="G34">
            <v>2.6957702593538729E-2</v>
          </cell>
          <cell r="H34">
            <v>7.1327711401359115E-2</v>
          </cell>
          <cell r="I34">
            <v>9.8253012034612175E-2</v>
          </cell>
          <cell r="J34">
            <v>0.15637189891498329</v>
          </cell>
          <cell r="K34">
            <v>0.10283089175560156</v>
          </cell>
          <cell r="L34">
            <v>7.1646806530139565E-2</v>
          </cell>
        </row>
        <row r="35">
          <cell r="C35">
            <v>26.171396174067112</v>
          </cell>
          <cell r="D35">
            <v>26.057974754311054</v>
          </cell>
          <cell r="E35">
            <v>27.361059321707319</v>
          </cell>
          <cell r="F35">
            <v>27.087469302073178</v>
          </cell>
          <cell r="G35">
            <v>29.945286892425521</v>
          </cell>
          <cell r="H35">
            <v>33.08362358339766</v>
          </cell>
          <cell r="I35">
            <v>35.00350741635642</v>
          </cell>
          <cell r="J35">
            <v>36.816272931299274</v>
          </cell>
          <cell r="K35">
            <v>37.908344044072237</v>
          </cell>
          <cell r="L35">
            <v>40.252631851847973</v>
          </cell>
        </row>
        <row r="36">
          <cell r="C36">
            <v>15.666617278067964</v>
          </cell>
          <cell r="D36">
            <v>16.406355121781591</v>
          </cell>
          <cell r="E36">
            <v>16.624457692925933</v>
          </cell>
          <cell r="F36">
            <v>17.619129238247023</v>
          </cell>
          <cell r="G36">
            <v>18.728878719810677</v>
          </cell>
          <cell r="H36">
            <v>21.741267264545485</v>
          </cell>
          <cell r="I36">
            <v>24.225916667623419</v>
          </cell>
          <cell r="J36">
            <v>24.630118944811912</v>
          </cell>
          <cell r="K36">
            <v>25.505069113230576</v>
          </cell>
          <cell r="L36">
            <v>26.358776125770493</v>
          </cell>
        </row>
        <row r="37">
          <cell r="C37">
            <v>20.389956198124828</v>
          </cell>
          <cell r="D37">
            <v>22.241080261066724</v>
          </cell>
          <cell r="E37">
            <v>22.119941422130793</v>
          </cell>
          <cell r="F37">
            <v>22.973189967820495</v>
          </cell>
          <cell r="G37">
            <v>23.975820983386015</v>
          </cell>
          <cell r="H37">
            <v>25.661521147988108</v>
          </cell>
          <cell r="I37">
            <v>28.370812396753834</v>
          </cell>
          <cell r="J37">
            <v>28.491989098388313</v>
          </cell>
          <cell r="K37">
            <v>28.948679081448578</v>
          </cell>
          <cell r="L37">
            <v>29.735991618500616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21.278984659449932</v>
          </cell>
          <cell r="D39">
            <v>19.220988218984626</v>
          </cell>
          <cell r="E39">
            <v>0</v>
          </cell>
          <cell r="F39">
            <v>0</v>
          </cell>
          <cell r="G39">
            <v>0</v>
          </cell>
          <cell r="H39">
            <v>35.476004121158986</v>
          </cell>
          <cell r="I39">
            <v>35.426109197985845</v>
          </cell>
          <cell r="J39">
            <v>36.892020363910149</v>
          </cell>
          <cell r="K39">
            <v>0</v>
          </cell>
          <cell r="L39">
            <v>37.602886433060284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21.34414554185372</v>
          </cell>
          <cell r="D41">
            <v>21.487111134197981</v>
          </cell>
          <cell r="E41">
            <v>21.049380476329802</v>
          </cell>
          <cell r="F41">
            <v>21.925917979630473</v>
          </cell>
          <cell r="G41">
            <v>23.527642952229719</v>
          </cell>
          <cell r="H41">
            <v>26.763240977957505</v>
          </cell>
          <cell r="I41">
            <v>29.160303433728266</v>
          </cell>
          <cell r="J41">
            <v>33.110762497095259</v>
          </cell>
          <cell r="K41">
            <v>34.151973195918764</v>
          </cell>
          <cell r="L41">
            <v>36.002331775671877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-393749.11285340786</v>
          </cell>
          <cell r="D7">
            <v>-1850483.5635118484</v>
          </cell>
          <cell r="E7">
            <v>-2030138.3723862171</v>
          </cell>
          <cell r="F7">
            <v>-2264757.6671570539</v>
          </cell>
          <cell r="G7">
            <v>-2301457.1766984463</v>
          </cell>
          <cell r="H7">
            <v>-2115613.26385957</v>
          </cell>
          <cell r="I7">
            <v>-2225332.5276893973</v>
          </cell>
          <cell r="J7">
            <v>486243.86664772034</v>
          </cell>
          <cell r="K7">
            <v>1020040.9860460758</v>
          </cell>
          <cell r="L7">
            <v>1929652.3544092178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-4213398.5</v>
          </cell>
          <cell r="D9">
            <v>-4398244.5999999978</v>
          </cell>
          <cell r="E9">
            <v>-4565453.200000003</v>
          </cell>
          <cell r="F9">
            <v>-4348915.6000000006</v>
          </cell>
          <cell r="G9">
            <v>-4591658.6000000015</v>
          </cell>
          <cell r="H9">
            <v>-4908323.9999999991</v>
          </cell>
          <cell r="I9">
            <v>-5275389.1999999974</v>
          </cell>
          <cell r="J9">
            <v>-6002480.200000003</v>
          </cell>
          <cell r="K9">
            <v>-6177844</v>
          </cell>
          <cell r="L9">
            <v>-6383087</v>
          </cell>
        </row>
        <row r="10">
          <cell r="C10">
            <v>4777.8701716028154</v>
          </cell>
          <cell r="D10">
            <v>15990.443772735074</v>
          </cell>
          <cell r="E10">
            <v>-2720.6341515202075</v>
          </cell>
          <cell r="F10">
            <v>8415.8971512224525</v>
          </cell>
          <cell r="G10">
            <v>638.56650800816715</v>
          </cell>
          <cell r="H10">
            <v>27346.783997768536</v>
          </cell>
          <cell r="I10">
            <v>18518.994267266244</v>
          </cell>
          <cell r="J10">
            <v>55267.553263742477</v>
          </cell>
          <cell r="K10">
            <v>28929.8355939053</v>
          </cell>
          <cell r="L10">
            <v>19854.522862792015</v>
          </cell>
        </row>
        <row r="11">
          <cell r="C11">
            <v>-4007462.6291799545</v>
          </cell>
          <cell r="D11">
            <v>-2331716.5276800394</v>
          </cell>
          <cell r="E11">
            <v>-2772871.2619999647</v>
          </cell>
          <cell r="F11">
            <v>-2522185.075600028</v>
          </cell>
          <cell r="G11">
            <v>-3342837.9933398962</v>
          </cell>
          <cell r="H11">
            <v>-3970020.9612299204</v>
          </cell>
          <cell r="I11">
            <v>-4351033.8478000164</v>
          </cell>
          <cell r="J11">
            <v>-4852695.2532300949</v>
          </cell>
          <cell r="K11">
            <v>-4845179.2383198738</v>
          </cell>
          <cell r="L11">
            <v>-7090937.8642001152</v>
          </cell>
        </row>
        <row r="12">
          <cell r="C12">
            <v>-352.54179933667183</v>
          </cell>
          <cell r="D12">
            <v>-210.88920998573303</v>
          </cell>
          <cell r="E12">
            <v>-27.896735787391663</v>
          </cell>
          <cell r="F12">
            <v>-110.64991649985313</v>
          </cell>
          <cell r="G12">
            <v>-2418.1004799902439</v>
          </cell>
          <cell r="H12">
            <v>-15376.236000001431</v>
          </cell>
          <cell r="I12">
            <v>-11565.759000003338</v>
          </cell>
          <cell r="J12">
            <v>-10683.434000015259</v>
          </cell>
          <cell r="K12">
            <v>-10786.097000002861</v>
          </cell>
          <cell r="L12">
            <v>-3648.6789999902248</v>
          </cell>
        </row>
        <row r="13">
          <cell r="C13">
            <v>-5015349.8746759892</v>
          </cell>
          <cell r="D13">
            <v>-5762915.0639829636</v>
          </cell>
          <cell r="E13">
            <v>-5959127.2598881721</v>
          </cell>
          <cell r="F13">
            <v>-6154739.4567849636</v>
          </cell>
          <cell r="G13">
            <v>-7019606.7822760344</v>
          </cell>
          <cell r="H13">
            <v>-7898461.2187811136</v>
          </cell>
          <cell r="I13">
            <v>-8613598.1204903126</v>
          </cell>
          <cell r="J13">
            <v>-6578902.0121669769</v>
          </cell>
          <cell r="K13">
            <v>-6749984.6087501049</v>
          </cell>
          <cell r="L13">
            <v>-7071219.2249702215</v>
          </cell>
        </row>
        <row r="14">
          <cell r="C14">
            <v>-3018078.9565263689</v>
          </cell>
          <cell r="D14">
            <v>-3977646.3559499979</v>
          </cell>
          <cell r="E14">
            <v>-3755842.635756582</v>
          </cell>
          <cell r="F14">
            <v>-4317165.8199046254</v>
          </cell>
          <cell r="G14">
            <v>-3833787.2918721437</v>
          </cell>
          <cell r="H14">
            <v>-4595767.9689921141</v>
          </cell>
          <cell r="I14">
            <v>-5350562.5109499693</v>
          </cell>
          <cell r="J14">
            <v>-6411359.6328101158</v>
          </cell>
          <cell r="K14">
            <v>-6053079.6547701359</v>
          </cell>
          <cell r="L14">
            <v>-4147214.5376399755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-20346.36446000007</v>
          </cell>
          <cell r="D16">
            <v>-4979.0514999999432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-10111.978999999992</v>
          </cell>
          <cell r="J16">
            <v>-11551.318200000009</v>
          </cell>
          <cell r="K16">
            <v>0</v>
          </cell>
          <cell r="L16">
            <v>-3513.8969999999972</v>
          </cell>
        </row>
        <row r="17">
          <cell r="C17">
            <v>-15876461.883616639</v>
          </cell>
          <cell r="D17">
            <v>-14609238.481038401</v>
          </cell>
          <cell r="E17">
            <v>-15025904.516145812</v>
          </cell>
          <cell r="F17">
            <v>-15069943.03789784</v>
          </cell>
          <cell r="G17">
            <v>-16488213.024761612</v>
          </cell>
          <cell r="H17">
            <v>-19244990.337145809</v>
          </cell>
          <cell r="I17">
            <v>-21368409.895283636</v>
          </cell>
          <cell r="J17">
            <v>-24298648.163791183</v>
          </cell>
          <cell r="K17">
            <v>-24827984.749292288</v>
          </cell>
          <cell r="L17">
            <v>-26609419.034356728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-2132.8903999999166</v>
          </cell>
          <cell r="D20">
            <v>-49158.192849999294</v>
          </cell>
          <cell r="E20">
            <v>-52030.722000000998</v>
          </cell>
          <cell r="F20">
            <v>-54692.799929998815</v>
          </cell>
          <cell r="G20">
            <v>-56443.119000000879</v>
          </cell>
          <cell r="H20">
            <v>-43546.059000000358</v>
          </cell>
          <cell r="I20">
            <v>-39389.509999999776</v>
          </cell>
          <cell r="J20">
            <v>19869.163999998942</v>
          </cell>
          <cell r="K20">
            <v>30859.804999999702</v>
          </cell>
          <cell r="L20">
            <v>50044.918000000529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-123200</v>
          </cell>
          <cell r="E22">
            <v>-123200.01231999998</v>
          </cell>
          <cell r="F22">
            <v>-123199.97536000001</v>
          </cell>
          <cell r="G22">
            <v>-123200.00000000006</v>
          </cell>
          <cell r="H22">
            <v>-123200.01231999998</v>
          </cell>
          <cell r="I22">
            <v>-123200.01232000001</v>
          </cell>
          <cell r="J22">
            <v>-123200.00000000012</v>
          </cell>
          <cell r="K22">
            <v>-123200</v>
          </cell>
          <cell r="L22">
            <v>-123199.98768000014</v>
          </cell>
        </row>
        <row r="23">
          <cell r="C23">
            <v>-165981.95052400045</v>
          </cell>
          <cell r="D23">
            <v>-102772.24901100062</v>
          </cell>
          <cell r="E23">
            <v>-108924.03059999645</v>
          </cell>
          <cell r="F23">
            <v>-101903.59957600385</v>
          </cell>
          <cell r="G23">
            <v>-118626.29131600074</v>
          </cell>
          <cell r="H23">
            <v>-115486.87326150388</v>
          </cell>
          <cell r="I23">
            <v>-113533.74818399921</v>
          </cell>
          <cell r="J23">
            <v>-122017.44338200055</v>
          </cell>
          <cell r="K23">
            <v>-121030.60516990535</v>
          </cell>
          <cell r="L23">
            <v>-167288.28446900472</v>
          </cell>
        </row>
        <row r="24">
          <cell r="C24">
            <v>-324433.17643199116</v>
          </cell>
          <cell r="D24">
            <v>-384611.63378300518</v>
          </cell>
          <cell r="E24">
            <v>-397563.58345399424</v>
          </cell>
          <cell r="F24">
            <v>-375156.89086000621</v>
          </cell>
          <cell r="G24">
            <v>-387279.14831700176</v>
          </cell>
          <cell r="H24">
            <v>-365012.53145499527</v>
          </cell>
          <cell r="I24">
            <v>-353964.21461199969</v>
          </cell>
          <cell r="J24">
            <v>-266449.43797900528</v>
          </cell>
          <cell r="K24">
            <v>-266949.40324198827</v>
          </cell>
          <cell r="L24">
            <v>-268931.4964639917</v>
          </cell>
        </row>
        <row r="25">
          <cell r="C25">
            <v>-133873.65920700133</v>
          </cell>
          <cell r="D25">
            <v>-182875.71880000085</v>
          </cell>
          <cell r="E25">
            <v>-168982.93243299983</v>
          </cell>
          <cell r="F25">
            <v>-199032.2729860004</v>
          </cell>
          <cell r="G25">
            <v>-171937.41551649943</v>
          </cell>
          <cell r="H25">
            <v>-184446.89613699913</v>
          </cell>
          <cell r="I25">
            <v>-195084.11026100069</v>
          </cell>
          <cell r="J25">
            <v>-212799.71737300046</v>
          </cell>
          <cell r="K25">
            <v>-202560.25515699945</v>
          </cell>
          <cell r="L25">
            <v>-135050.57817399688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-844.37001199999941</v>
          </cell>
          <cell r="D27">
            <v>-298.4351500000048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-247.57950999999957</v>
          </cell>
          <cell r="J27">
            <v>-264.09021899999971</v>
          </cell>
          <cell r="K27">
            <v>0</v>
          </cell>
          <cell r="L27">
            <v>-85</v>
          </cell>
        </row>
        <row r="28">
          <cell r="C28">
            <v>-744600.26577499299</v>
          </cell>
          <cell r="D28">
            <v>-744599.84389400738</v>
          </cell>
          <cell r="E28">
            <v>-746639.83680698951</v>
          </cell>
          <cell r="F28">
            <v>-744599.93885201169</v>
          </cell>
          <cell r="G28">
            <v>-744599.73614950106</v>
          </cell>
          <cell r="H28">
            <v>-744600.2541734979</v>
          </cell>
          <cell r="I28">
            <v>-746640.15488699975</v>
          </cell>
          <cell r="J28">
            <v>-744599.85295300535</v>
          </cell>
          <cell r="K28">
            <v>-744600.06856889278</v>
          </cell>
          <cell r="L28">
            <v>-744600.26478699397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184.60822593295148</v>
          </cell>
          <cell r="D31">
            <v>37.643441636644198</v>
          </cell>
          <cell r="E31">
            <v>39.018070369774577</v>
          </cell>
          <cell r="F31">
            <v>41.408698586572854</v>
          </cell>
          <cell r="G31">
            <v>40.774805104204297</v>
          </cell>
          <cell r="H31">
            <v>48.583346287652638</v>
          </cell>
          <cell r="I31">
            <v>56.495562592411275</v>
          </cell>
          <cell r="J31">
            <v>24.472286133817519</v>
          </cell>
          <cell r="K31">
            <v>33.054032131638088</v>
          </cell>
          <cell r="L31">
            <v>38.558407756991379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34.649658717105261</v>
          </cell>
          <cell r="D33">
            <v>35.700037337662323</v>
          </cell>
          <cell r="E33">
            <v>37.057246294275402</v>
          </cell>
          <cell r="F33">
            <v>35.299646670318943</v>
          </cell>
          <cell r="G33">
            <v>37.269956168831165</v>
          </cell>
          <cell r="H33">
            <v>39.840288223763388</v>
          </cell>
          <cell r="I33">
            <v>42.819713250496186</v>
          </cell>
          <cell r="J33">
            <v>48.721430194805173</v>
          </cell>
          <cell r="K33">
            <v>50.144837662337665</v>
          </cell>
          <cell r="L33">
            <v>51.810776284973677</v>
          </cell>
        </row>
        <row r="34">
          <cell r="C34">
            <v>6.4166914668368057E-3</v>
          </cell>
          <cell r="D34">
            <v>2.1475217734549093E-2</v>
          </cell>
          <cell r="E34">
            <v>-3.6438373863829964E-3</v>
          </cell>
          <cell r="F34">
            <v>1.1302575667945498E-2</v>
          </cell>
          <cell r="G34">
            <v>8.5759701085893949E-4</v>
          </cell>
          <cell r="H34">
            <v>3.6726799171084505E-2</v>
          </cell>
          <cell r="I34">
            <v>2.4803105145167287E-2</v>
          </cell>
          <cell r="J34">
            <v>7.4224501985270516E-2</v>
          </cell>
          <cell r="K34">
            <v>3.8852851101004997E-2</v>
          </cell>
          <cell r="L34">
            <v>2.6664673384815075E-2</v>
          </cell>
        </row>
        <row r="35">
          <cell r="C35">
            <v>24.14396635615201</v>
          </cell>
          <cell r="D35">
            <v>22.688192095810372</v>
          </cell>
          <cell r="E35">
            <v>25.456928528313707</v>
          </cell>
          <cell r="F35">
            <v>24.750696600455999</v>
          </cell>
          <cell r="G35">
            <v>28.179570955608238</v>
          </cell>
          <cell r="H35">
            <v>34.376382779368896</v>
          </cell>
          <cell r="I35">
            <v>38.323704778498858</v>
          </cell>
          <cell r="J35">
            <v>39.770504271571568</v>
          </cell>
          <cell r="K35">
            <v>40.032677945533756</v>
          </cell>
          <cell r="L35">
            <v>42.38753411039928</v>
          </cell>
        </row>
        <row r="36">
          <cell r="C36">
            <v>15.458807048752378</v>
          </cell>
          <cell r="D36">
            <v>14.983725290104861</v>
          </cell>
          <cell r="E36">
            <v>14.989117484342621</v>
          </cell>
          <cell r="F36">
            <v>16.405774775123803</v>
          </cell>
          <cell r="G36">
            <v>18.125444689653769</v>
          </cell>
          <cell r="H36">
            <v>21.638876855259326</v>
          </cell>
          <cell r="I36">
            <v>24.334658038616045</v>
          </cell>
          <cell r="J36">
            <v>24.690996018108912</v>
          </cell>
          <cell r="K36">
            <v>25.285632883139574</v>
          </cell>
          <cell r="L36">
            <v>26.293756283459402</v>
          </cell>
        </row>
        <row r="37">
          <cell r="C37">
            <v>22.544232931286974</v>
          </cell>
          <cell r="D37">
            <v>21.750543932516752</v>
          </cell>
          <cell r="E37">
            <v>22.226165575897664</v>
          </cell>
          <cell r="F37">
            <v>21.690782882273005</v>
          </cell>
          <cell r="G37">
            <v>22.297574267680243</v>
          </cell>
          <cell r="H37">
            <v>24.916483092123045</v>
          </cell>
          <cell r="I37">
            <v>27.426951912134289</v>
          </cell>
          <cell r="J37">
            <v>30.128609717897938</v>
          </cell>
          <cell r="K37">
            <v>29.882859547538303</v>
          </cell>
          <cell r="L37">
            <v>30.708602611806477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24.09650292033356</v>
          </cell>
          <cell r="D39">
            <v>16.683864149380067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40.843359775613131</v>
          </cell>
          <cell r="J39">
            <v>43.740045518308357</v>
          </cell>
          <cell r="K39">
            <v>0</v>
          </cell>
          <cell r="L39">
            <v>41.339964705882323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21.322127607746875</v>
          </cell>
          <cell r="D41">
            <v>19.620254557987799</v>
          </cell>
          <cell r="E41">
            <v>20.124702400563301</v>
          </cell>
          <cell r="F41">
            <v>20.238979687712508</v>
          </cell>
          <cell r="G41">
            <v>22.143726655110044</v>
          </cell>
          <cell r="H41">
            <v>25.846070061455514</v>
          </cell>
          <cell r="I41">
            <v>28.619422295225519</v>
          </cell>
          <cell r="J41">
            <v>32.633162721460771</v>
          </cell>
          <cell r="K41">
            <v>33.344053804629922</v>
          </cell>
          <cell r="L41">
            <v>35.736515675251368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-200145.56864994764</v>
          </cell>
          <cell r="D7">
            <v>-2071017.0306901932</v>
          </cell>
          <cell r="E7">
            <v>-491255.96198070049</v>
          </cell>
          <cell r="F7">
            <v>1057534.3987981081</v>
          </cell>
          <cell r="G7">
            <v>1093316.999158442</v>
          </cell>
          <cell r="H7">
            <v>1613831.4260267615</v>
          </cell>
          <cell r="I7">
            <v>2051580.4924165606</v>
          </cell>
          <cell r="J7">
            <v>-726204.11120641232</v>
          </cell>
          <cell r="K7">
            <v>-743782.74733841419</v>
          </cell>
          <cell r="L7">
            <v>-804159.37774199247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-4213434.900000006</v>
          </cell>
          <cell r="D9">
            <v>-4095504.09</v>
          </cell>
          <cell r="E9">
            <v>-2624780.5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-5565166.299999997</v>
          </cell>
          <cell r="K9">
            <v>-5722941.1000000015</v>
          </cell>
          <cell r="L9">
            <v>-5899512.1000000015</v>
          </cell>
        </row>
        <row r="10">
          <cell r="C10">
            <v>-2431.2021289942786</v>
          </cell>
          <cell r="D10">
            <v>-13475.075073737651</v>
          </cell>
          <cell r="E10">
            <v>-2827.8541325163096</v>
          </cell>
          <cell r="F10">
            <v>18375.052604671568</v>
          </cell>
          <cell r="G10">
            <v>-15114.423347201198</v>
          </cell>
          <cell r="H10">
            <v>46230.963554177433</v>
          </cell>
          <cell r="I10">
            <v>46515.246669143438</v>
          </cell>
          <cell r="J10">
            <v>55339.173024050891</v>
          </cell>
          <cell r="K10">
            <v>33143.90467634052</v>
          </cell>
          <cell r="L10">
            <v>51598.415454313159</v>
          </cell>
        </row>
        <row r="11">
          <cell r="C11">
            <v>-4652104.6718900204</v>
          </cell>
          <cell r="D11">
            <v>-2680864.6356898546</v>
          </cell>
          <cell r="E11">
            <v>-2042459.0230001211</v>
          </cell>
          <cell r="F11">
            <v>-4288883.0905299187</v>
          </cell>
          <cell r="G11">
            <v>-4034919.9149000645</v>
          </cell>
          <cell r="H11">
            <v>-4788476.4657599926</v>
          </cell>
          <cell r="I11">
            <v>-6846379.8421299458</v>
          </cell>
          <cell r="J11">
            <v>-4326327.7636598349</v>
          </cell>
          <cell r="K11">
            <v>-5297472.4847198725</v>
          </cell>
          <cell r="L11">
            <v>-6010238.8546999693</v>
          </cell>
        </row>
        <row r="12">
          <cell r="C12">
            <v>-275.47716128826141</v>
          </cell>
          <cell r="D12">
            <v>-126.70267650485039</v>
          </cell>
          <cell r="E12">
            <v>-71.751721024513245</v>
          </cell>
          <cell r="F12">
            <v>4.1627750098705292</v>
          </cell>
          <cell r="G12">
            <v>5.1276879906654358</v>
          </cell>
          <cell r="H12">
            <v>-2356.5095000267029</v>
          </cell>
          <cell r="I12">
            <v>-2376.6990000009537</v>
          </cell>
          <cell r="J12">
            <v>-2323.4500000178814</v>
          </cell>
          <cell r="K12">
            <v>-3784.2599999904633</v>
          </cell>
          <cell r="L12">
            <v>-4498.619999974966</v>
          </cell>
        </row>
        <row r="13">
          <cell r="C13">
            <v>-5151725.7871541977</v>
          </cell>
          <cell r="D13">
            <v>-6765532.249861002</v>
          </cell>
          <cell r="E13">
            <v>-5647910.7395410538</v>
          </cell>
          <cell r="F13">
            <v>-5752615.840939045</v>
          </cell>
          <cell r="G13">
            <v>-6965516.2601306438</v>
          </cell>
          <cell r="H13">
            <v>-6273271.1453728676</v>
          </cell>
          <cell r="I13">
            <v>-5924226.7233960629</v>
          </cell>
          <cell r="J13">
            <v>-5694154.6878072023</v>
          </cell>
          <cell r="K13">
            <v>-6838404.1795600653</v>
          </cell>
          <cell r="L13">
            <v>-7373446.4637773037</v>
          </cell>
        </row>
        <row r="14">
          <cell r="C14">
            <v>-2256156.5784324408</v>
          </cell>
          <cell r="D14">
            <v>-3299073.8986946344</v>
          </cell>
          <cell r="E14">
            <v>-4338871.7497437</v>
          </cell>
          <cell r="F14">
            <v>-3131550.9225959778</v>
          </cell>
          <cell r="G14">
            <v>-3807572.2598454952</v>
          </cell>
          <cell r="H14">
            <v>-5315972.0315431356</v>
          </cell>
          <cell r="I14">
            <v>-5186162.7146600485</v>
          </cell>
          <cell r="J14">
            <v>-6687689.3637299538</v>
          </cell>
          <cell r="K14">
            <v>-5199769.1107600927</v>
          </cell>
          <cell r="L14">
            <v>-5253357.0783399343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-22602.910559999989</v>
          </cell>
          <cell r="D16">
            <v>-5137.7476000000024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-10209.058000000019</v>
          </cell>
          <cell r="J16">
            <v>-1281.2211700000043</v>
          </cell>
          <cell r="K16">
            <v>0</v>
          </cell>
          <cell r="L16">
            <v>-1473.2912999999971</v>
          </cell>
        </row>
        <row r="17">
          <cell r="C17">
            <v>-16098585.958677001</v>
          </cell>
          <cell r="D17">
            <v>-14788697.368905541</v>
          </cell>
          <cell r="E17">
            <v>-14165665.656157715</v>
          </cell>
          <cell r="F17">
            <v>-14212205.037483368</v>
          </cell>
          <cell r="G17">
            <v>-15916434.729693856</v>
          </cell>
          <cell r="H17">
            <v>-17947676.614648607</v>
          </cell>
          <cell r="I17">
            <v>-19974420.282933474</v>
          </cell>
          <cell r="J17">
            <v>-21495399.502136543</v>
          </cell>
          <cell r="K17">
            <v>-22285444.483025268</v>
          </cell>
          <cell r="L17">
            <v>-23686768.614920877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4516.7101000025868</v>
          </cell>
          <cell r="D20">
            <v>-52794.635707603768</v>
          </cell>
          <cell r="E20">
            <v>4487.8107485994697</v>
          </cell>
          <cell r="F20">
            <v>47688.303515002131</v>
          </cell>
          <cell r="G20">
            <v>46431.023481698707</v>
          </cell>
          <cell r="H20">
            <v>46883.120195502415</v>
          </cell>
          <cell r="I20">
            <v>52932.006076498888</v>
          </cell>
          <cell r="J20">
            <v>-5333.6661749994382</v>
          </cell>
          <cell r="K20">
            <v>-5218.5271999994293</v>
          </cell>
          <cell r="L20">
            <v>-4915.823718002066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-123199.97905599995</v>
          </cell>
          <cell r="E22">
            <v>-77656.426848000003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-123200.00862399995</v>
          </cell>
          <cell r="K22">
            <v>-123200.00615999999</v>
          </cell>
          <cell r="L22">
            <v>-123200.01232000004</v>
          </cell>
        </row>
        <row r="23">
          <cell r="C23">
            <v>-190305.30117199756</v>
          </cell>
          <cell r="D23">
            <v>-119321.36472199671</v>
          </cell>
          <cell r="E23">
            <v>-89218.810917999595</v>
          </cell>
          <cell r="F23">
            <v>-154616.63920779899</v>
          </cell>
          <cell r="G23">
            <v>-132098.08500500396</v>
          </cell>
          <cell r="H23">
            <v>-132644.97079449892</v>
          </cell>
          <cell r="I23">
            <v>-174554.84824570268</v>
          </cell>
          <cell r="J23">
            <v>-115951.26385660097</v>
          </cell>
          <cell r="K23">
            <v>-131183.48064899817</v>
          </cell>
          <cell r="L23">
            <v>-140527.96589499898</v>
          </cell>
        </row>
        <row r="24">
          <cell r="C24">
            <v>-326217.36945600063</v>
          </cell>
          <cell r="D24">
            <v>-393905.330586005</v>
          </cell>
          <cell r="E24">
            <v>-373470.38452400267</v>
          </cell>
          <cell r="F24">
            <v>-387840.2780900076</v>
          </cell>
          <cell r="G24">
            <v>-397613.08344700187</v>
          </cell>
          <cell r="H24">
            <v>-355597.27394599468</v>
          </cell>
          <cell r="I24">
            <v>-337018.53903800249</v>
          </cell>
          <cell r="J24">
            <v>-284630.1573510021</v>
          </cell>
          <cell r="K24">
            <v>-313392.17838000879</v>
          </cell>
          <cell r="L24">
            <v>-315381.63623799756</v>
          </cell>
        </row>
        <row r="25">
          <cell r="C25">
            <v>-101015.12393699959</v>
          </cell>
          <cell r="D25">
            <v>-160662.42537900247</v>
          </cell>
          <cell r="E25">
            <v>-201806.71845399961</v>
          </cell>
          <cell r="F25">
            <v>-154454.26016100124</v>
          </cell>
          <cell r="G25">
            <v>-168457.70029199868</v>
          </cell>
          <cell r="H25">
            <v>-209474.66191499867</v>
          </cell>
          <cell r="I25">
            <v>-181884.2972279992</v>
          </cell>
          <cell r="J25">
            <v>-226118.52666299976</v>
          </cell>
          <cell r="K25">
            <v>-182042.69211799838</v>
          </cell>
          <cell r="L25">
            <v>-170370.49033700116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-945.91502200000104</v>
          </cell>
          <cell r="D27">
            <v>-305.47320199999376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-250.05300000000034</v>
          </cell>
          <cell r="J27">
            <v>-33.867993999999726</v>
          </cell>
          <cell r="K27">
            <v>0</v>
          </cell>
          <cell r="L27">
            <v>-35.638423999999986</v>
          </cell>
        </row>
        <row r="28">
          <cell r="C28">
            <v>-744600.41968700034</v>
          </cell>
          <cell r="D28">
            <v>-744599.93723740045</v>
          </cell>
          <cell r="E28">
            <v>-746640.15149260138</v>
          </cell>
          <cell r="F28">
            <v>-744599.48097380996</v>
          </cell>
          <cell r="G28">
            <v>-744599.89222570322</v>
          </cell>
          <cell r="H28">
            <v>-744600.02685099468</v>
          </cell>
          <cell r="I28">
            <v>-746639.74358820322</v>
          </cell>
          <cell r="J28">
            <v>-744600.15831360337</v>
          </cell>
          <cell r="K28">
            <v>-744599.8301070059</v>
          </cell>
          <cell r="L28">
            <v>-744599.91949599562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-44.312245908771743</v>
          </cell>
          <cell r="D31">
            <v>39.227792803804007</v>
          </cell>
          <cell r="E31">
            <v>-109.46450051041231</v>
          </cell>
          <cell r="F31">
            <v>22.175970224342773</v>
          </cell>
          <cell r="G31">
            <v>23.547122530895422</v>
          </cell>
          <cell r="H31">
            <v>34.422440727005608</v>
          </cell>
          <cell r="I31">
            <v>38.758789709416199</v>
          </cell>
          <cell r="J31">
            <v>136.15477372962675</v>
          </cell>
          <cell r="K31">
            <v>142.5273298064817</v>
          </cell>
          <cell r="L31">
            <v>163.58588588055113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34.649958059210576</v>
          </cell>
          <cell r="D33">
            <v>33.242733654511483</v>
          </cell>
          <cell r="E33">
            <v>33.799913368890728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45.171801221090789</v>
          </cell>
          <cell r="K33">
            <v>46.452441670884426</v>
          </cell>
          <cell r="L33">
            <v>47.885645373773123</v>
          </cell>
        </row>
        <row r="34">
          <cell r="C34">
            <v>-3.2651098021355628E-3</v>
          </cell>
          <cell r="D34">
            <v>-1.8097067162982313E-2</v>
          </cell>
          <cell r="E34">
            <v>-3.7874391390058152E-3</v>
          </cell>
          <cell r="F34">
            <v>2.467776714085284E-2</v>
          </cell>
          <cell r="G34">
            <v>-2.0298718150525481E-2</v>
          </cell>
          <cell r="H34">
            <v>6.2088318408601031E-2</v>
          </cell>
          <cell r="I34">
            <v>6.2299451735050089E-2</v>
          </cell>
          <cell r="J34">
            <v>7.4320657075046828E-2</v>
          </cell>
          <cell r="K34">
            <v>4.4512372063766702E-2</v>
          </cell>
          <cell r="L34">
            <v>6.9296831900329869E-2</v>
          </cell>
        </row>
        <row r="35">
          <cell r="C35">
            <v>24.445481251651824</v>
          </cell>
          <cell r="D35">
            <v>22.467599511084384</v>
          </cell>
          <cell r="E35">
            <v>22.892694959556582</v>
          </cell>
          <cell r="F35">
            <v>27.73881978359276</v>
          </cell>
          <cell r="G35">
            <v>30.544878184624849</v>
          </cell>
          <cell r="H35">
            <v>36.09994737892152</v>
          </cell>
          <cell r="I35">
            <v>39.221940329569129</v>
          </cell>
          <cell r="J35">
            <v>37.311605063747152</v>
          </cell>
          <cell r="K35">
            <v>40.382161370562237</v>
          </cell>
          <cell r="L35">
            <v>42.768987769955743</v>
          </cell>
        </row>
        <row r="36">
          <cell r="C36">
            <v>15.792309881430301</v>
          </cell>
          <cell r="D36">
            <v>17.175528545897198</v>
          </cell>
          <cell r="E36">
            <v>15.122780744019254</v>
          </cell>
          <cell r="F36">
            <v>14.832435324327024</v>
          </cell>
          <cell r="G36">
            <v>17.518327615743768</v>
          </cell>
          <cell r="H36">
            <v>17.641505166109916</v>
          </cell>
          <cell r="I36">
            <v>17.578340765188713</v>
          </cell>
          <cell r="J36">
            <v>20.005451076588653</v>
          </cell>
          <cell r="K36">
            <v>21.820596209226533</v>
          </cell>
          <cell r="L36">
            <v>23.379441338851617</v>
          </cell>
        </row>
        <row r="37">
          <cell r="C37">
            <v>22.334839482447645</v>
          </cell>
          <cell r="D37">
            <v>20.534197034011676</v>
          </cell>
          <cell r="E37">
            <v>21.500135292734146</v>
          </cell>
          <cell r="F37">
            <v>20.274940421401698</v>
          </cell>
          <cell r="G37">
            <v>22.602542081754546</v>
          </cell>
          <cell r="H37">
            <v>25.377637481044218</v>
          </cell>
          <cell r="I37">
            <v>28.513526421464451</v>
          </cell>
          <cell r="J37">
            <v>29.576034579851498</v>
          </cell>
          <cell r="K37">
            <v>28.563459759151719</v>
          </cell>
          <cell r="L37">
            <v>30.834900269104921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23.895286610640131</v>
          </cell>
          <cell r="D39">
            <v>16.818979754564879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40.827576553770619</v>
          </cell>
          <cell r="J39">
            <v>37.829851097765484</v>
          </cell>
          <cell r="K39">
            <v>0</v>
          </cell>
          <cell r="L39">
            <v>41.33996778308709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21.620436321328143</v>
          </cell>
          <cell r="D41">
            <v>19.861265935334703</v>
          </cell>
          <cell r="E41">
            <v>18.972547388242202</v>
          </cell>
          <cell r="F41">
            <v>19.087046661510175</v>
          </cell>
          <cell r="G41">
            <v>21.37582196274246</v>
          </cell>
          <cell r="H41">
            <v>24.103781852589428</v>
          </cell>
          <cell r="I41">
            <v>26.752420366668876</v>
          </cell>
          <cell r="J41">
            <v>28.868378903947697</v>
          </cell>
          <cell r="K41">
            <v>29.929424614322894</v>
          </cell>
          <cell r="L41">
            <v>31.811403674276466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N1" t="str">
            <v>142 - UT 2016.Q3 - 1a - GRID AC Study CONF _2016 12 15 (GOLD)</v>
          </cell>
        </row>
      </sheetData>
      <sheetData sheetId="1">
        <row r="5">
          <cell r="D5" t="str">
            <v>142 - UT 2016.Q3 - 2a - AC Case _2016 12 14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-202798.85080999136</v>
          </cell>
          <cell r="D7">
            <v>-1939606.5564434528</v>
          </cell>
          <cell r="E7">
            <v>-392135.33956098557</v>
          </cell>
          <cell r="F7">
            <v>1058772.0098755956</v>
          </cell>
          <cell r="G7">
            <v>1147420.3133815527</v>
          </cell>
          <cell r="H7">
            <v>1844284.338909626</v>
          </cell>
          <cell r="I7">
            <v>2323067.5451292396</v>
          </cell>
          <cell r="J7">
            <v>-833464.27574807405</v>
          </cell>
          <cell r="K7">
            <v>-522742.77316987514</v>
          </cell>
          <cell r="L7">
            <v>-734499.71030122042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-4213434.900000006</v>
          </cell>
          <cell r="D9">
            <v>-4095504.09</v>
          </cell>
          <cell r="E9">
            <v>-2624780.5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-5565166.299999997</v>
          </cell>
          <cell r="K9">
            <v>-5722941.1000000015</v>
          </cell>
          <cell r="L9">
            <v>-5899512.1000000015</v>
          </cell>
        </row>
        <row r="10">
          <cell r="C10">
            <v>-2448.854293461889</v>
          </cell>
          <cell r="D10">
            <v>-9700.9210061430931</v>
          </cell>
          <cell r="E10">
            <v>3266.7921543661505</v>
          </cell>
          <cell r="F10">
            <v>12502.037685520947</v>
          </cell>
          <cell r="G10">
            <v>22578.948079522699</v>
          </cell>
          <cell r="H10">
            <v>37930.370742630213</v>
          </cell>
          <cell r="I10">
            <v>66818.646200165153</v>
          </cell>
          <cell r="J10">
            <v>111118.16528737172</v>
          </cell>
          <cell r="K10">
            <v>23931.842025116086</v>
          </cell>
          <cell r="L10">
            <v>66318.486360799521</v>
          </cell>
        </row>
        <row r="11">
          <cell r="C11">
            <v>-4691385.9069900513</v>
          </cell>
          <cell r="D11">
            <v>-2880619.853990078</v>
          </cell>
          <cell r="E11">
            <v>-2175510.475399971</v>
          </cell>
          <cell r="F11">
            <v>-4677853.3530638218</v>
          </cell>
          <cell r="G11">
            <v>-4391720.6039998531</v>
          </cell>
          <cell r="H11">
            <v>-4718446.6343998909</v>
          </cell>
          <cell r="I11">
            <v>-6466678.4280799627</v>
          </cell>
          <cell r="J11">
            <v>-4644933.3294701576</v>
          </cell>
          <cell r="K11">
            <v>-5323520.6485198736</v>
          </cell>
          <cell r="L11">
            <v>-6136434.6391999722</v>
          </cell>
        </row>
        <row r="12">
          <cell r="C12">
            <v>-345.94894629716873</v>
          </cell>
          <cell r="D12">
            <v>-330.57686048746109</v>
          </cell>
          <cell r="E12">
            <v>-201.8608087003231</v>
          </cell>
          <cell r="F12">
            <v>2.7978129982948303</v>
          </cell>
          <cell r="G12">
            <v>30.937688022851944</v>
          </cell>
          <cell r="H12">
            <v>-2305.5139999985695</v>
          </cell>
          <cell r="I12">
            <v>-2339.5550000071526</v>
          </cell>
          <cell r="J12">
            <v>-2229.1859999895096</v>
          </cell>
          <cell r="K12">
            <v>-3246.7290000021458</v>
          </cell>
          <cell r="L12">
            <v>-4805.7259999811649</v>
          </cell>
        </row>
        <row r="13">
          <cell r="C13">
            <v>-5283057.1570619345</v>
          </cell>
          <cell r="D13">
            <v>-6795824.4910408258</v>
          </cell>
          <cell r="E13">
            <v>-5701374.5620989799</v>
          </cell>
          <cell r="F13">
            <v>-5560928.9060949087</v>
          </cell>
          <cell r="G13">
            <v>-6522401.0965034962</v>
          </cell>
          <cell r="H13">
            <v>-5886302.2807331085</v>
          </cell>
          <cell r="I13">
            <v>-6666612.085485816</v>
          </cell>
          <cell r="J13">
            <v>-5390416.9248170853</v>
          </cell>
          <cell r="K13">
            <v>-6554653.6599550247</v>
          </cell>
          <cell r="L13">
            <v>-7689070.4453567266</v>
          </cell>
        </row>
        <row r="14">
          <cell r="C14">
            <v>-2054373.9910919666</v>
          </cell>
          <cell r="D14">
            <v>-3018371.3618581891</v>
          </cell>
          <cell r="E14">
            <v>-3705377.8443677127</v>
          </cell>
          <cell r="F14">
            <v>-3323656.1141656041</v>
          </cell>
          <cell r="G14">
            <v>-4015765.8478935957</v>
          </cell>
          <cell r="H14">
            <v>-5874413.6141383648</v>
          </cell>
          <cell r="I14">
            <v>-3942055.1407599449</v>
          </cell>
          <cell r="J14">
            <v>-7218415.6179999113</v>
          </cell>
          <cell r="K14">
            <v>-5436679.8404099941</v>
          </cell>
          <cell r="L14">
            <v>-4618746.772159934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-22602.910559999989</v>
          </cell>
          <cell r="D16">
            <v>-5898.8464999999851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-11620.324800000002</v>
          </cell>
          <cell r="J16">
            <v>-9776.9082500000077</v>
          </cell>
          <cell r="K16">
            <v>0</v>
          </cell>
          <cell r="L16">
            <v>-3513.8974999999991</v>
          </cell>
        </row>
        <row r="17">
          <cell r="C17">
            <v>-16064850.818133727</v>
          </cell>
          <cell r="D17">
            <v>-14866643.58481227</v>
          </cell>
          <cell r="E17">
            <v>-13811843.110960012</v>
          </cell>
          <cell r="F17">
            <v>-14608705.547701411</v>
          </cell>
          <cell r="G17">
            <v>-16054697.976010952</v>
          </cell>
          <cell r="H17">
            <v>-18287822.011438359</v>
          </cell>
          <cell r="I17">
            <v>-19345554.433054805</v>
          </cell>
          <cell r="J17">
            <v>-21886355.825501695</v>
          </cell>
          <cell r="K17">
            <v>-22494367.362689905</v>
          </cell>
          <cell r="L17">
            <v>-23551265.383554596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4408.6861000023782</v>
          </cell>
          <cell r="D20">
            <v>-48415.709013000131</v>
          </cell>
          <cell r="E20">
            <v>8362.5609680023044</v>
          </cell>
          <cell r="F20">
            <v>49088.660613998771</v>
          </cell>
          <cell r="G20">
            <v>46150.24591460079</v>
          </cell>
          <cell r="H20">
            <v>53839.806481899694</v>
          </cell>
          <cell r="I20">
            <v>61788.444628300145</v>
          </cell>
          <cell r="J20">
            <v>-7913.0943720005453</v>
          </cell>
          <cell r="K20">
            <v>170.31433109845966</v>
          </cell>
          <cell r="L20">
            <v>-1523.7439840007573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-123199.97905599995</v>
          </cell>
          <cell r="E22">
            <v>-77656.426848000003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-123200.00862399995</v>
          </cell>
          <cell r="K22">
            <v>-123200.00615999999</v>
          </cell>
          <cell r="L22">
            <v>-123200.01232000004</v>
          </cell>
        </row>
        <row r="23">
          <cell r="C23">
            <v>-191851.2662409991</v>
          </cell>
          <cell r="D23">
            <v>-127148.52238900214</v>
          </cell>
          <cell r="E23">
            <v>-93779.039220001549</v>
          </cell>
          <cell r="F23">
            <v>-164956.70817415789</v>
          </cell>
          <cell r="G23">
            <v>-144268.97775030136</v>
          </cell>
          <cell r="H23">
            <v>-131975.67599499971</v>
          </cell>
          <cell r="I23">
            <v>-167028.35961000249</v>
          </cell>
          <cell r="J23">
            <v>-121135.59228900075</v>
          </cell>
          <cell r="K23">
            <v>-132963.60217800364</v>
          </cell>
          <cell r="L23">
            <v>-144728.80558700114</v>
          </cell>
        </row>
        <row r="24">
          <cell r="C24">
            <v>-333480.61527499557</v>
          </cell>
          <cell r="D24">
            <v>-395187.65569599718</v>
          </cell>
          <cell r="E24">
            <v>-384431.50991499797</v>
          </cell>
          <cell r="F24">
            <v>-372569.25079800189</v>
          </cell>
          <cell r="G24">
            <v>-372624.55170800164</v>
          </cell>
          <cell r="H24">
            <v>-332794.20353200287</v>
          </cell>
          <cell r="I24">
            <v>-373970.86995398998</v>
          </cell>
          <cell r="J24">
            <v>-268981.22354299948</v>
          </cell>
          <cell r="K24">
            <v>-299784.81124200672</v>
          </cell>
          <cell r="L24">
            <v>-328113.23863999546</v>
          </cell>
        </row>
        <row r="25">
          <cell r="C25">
            <v>-92313.912074999884</v>
          </cell>
          <cell r="D25">
            <v>-147084.28051899932</v>
          </cell>
          <cell r="E25">
            <v>-182410.37363100052</v>
          </cell>
          <cell r="F25">
            <v>-157984.89836699888</v>
          </cell>
          <cell r="G25">
            <v>-181556.16637599654</v>
          </cell>
          <cell r="H25">
            <v>-225990.32162999921</v>
          </cell>
          <cell r="I25">
            <v>-143567.89691299945</v>
          </cell>
          <cell r="J25">
            <v>-238948.71125600114</v>
          </cell>
          <cell r="K25">
            <v>-188481.15927400254</v>
          </cell>
          <cell r="L25">
            <v>-149996.82296700403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-945.91502200000104</v>
          </cell>
          <cell r="D27">
            <v>-395.14721000001009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-284.25224000000071</v>
          </cell>
          <cell r="J27">
            <v>-247.57940299999973</v>
          </cell>
          <cell r="K27">
            <v>0</v>
          </cell>
          <cell r="L27">
            <v>-85.000006999999869</v>
          </cell>
        </row>
        <row r="28">
          <cell r="C28">
            <v>-744600.3947129969</v>
          </cell>
          <cell r="D28">
            <v>-744599.87585699849</v>
          </cell>
          <cell r="E28">
            <v>-746639.91058200237</v>
          </cell>
          <cell r="F28">
            <v>-744599.51795315742</v>
          </cell>
          <cell r="G28">
            <v>-744599.94174890034</v>
          </cell>
          <cell r="H28">
            <v>-744600.00763890147</v>
          </cell>
          <cell r="I28">
            <v>-746639.82334529201</v>
          </cell>
          <cell r="J28">
            <v>-744600.02074300079</v>
          </cell>
          <cell r="K28">
            <v>-744599.89318511134</v>
          </cell>
          <cell r="L28">
            <v>-744600.13553699991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-45.999839001892639</v>
          </cell>
          <cell r="D31">
            <v>40.061513008570174</v>
          </cell>
          <cell r="E31">
            <v>-46.891776461949199</v>
          </cell>
          <cell r="F31">
            <v>21.568565869032128</v>
          </cell>
          <cell r="G31">
            <v>24.862712877084313</v>
          </cell>
          <cell r="H31">
            <v>34.25503283578206</v>
          </cell>
          <cell r="I31">
            <v>37.59711964112519</v>
          </cell>
          <cell r="J31">
            <v>105.32722555378322</v>
          </cell>
          <cell r="K31">
            <v>-3069.2823663070058</v>
          </cell>
          <cell r="L31">
            <v>482.03616750151866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34.649958059210576</v>
          </cell>
          <cell r="D33">
            <v>33.242733654511483</v>
          </cell>
          <cell r="E33">
            <v>33.799913368890728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45.171801221090789</v>
          </cell>
          <cell r="K33">
            <v>46.452441670884426</v>
          </cell>
          <cell r="L33">
            <v>47.885645373773123</v>
          </cell>
        </row>
        <row r="34">
          <cell r="C34">
            <v>-3.2888168081159691E-3</v>
          </cell>
          <cell r="D34">
            <v>-1.3028367745801463E-2</v>
          </cell>
          <cell r="E34">
            <v>4.375324849457486E-3</v>
          </cell>
          <cell r="F34">
            <v>1.6790284420124278E-2</v>
          </cell>
          <cell r="G34">
            <v>3.0323596354963112E-2</v>
          </cell>
          <cell r="H34">
            <v>5.0940599454069292E-2</v>
          </cell>
          <cell r="I34">
            <v>8.9492475636762436E-2</v>
          </cell>
          <cell r="J34">
            <v>0.14923202013410128</v>
          </cell>
          <cell r="K34">
            <v>3.2140539159554386E-2</v>
          </cell>
          <cell r="L34">
            <v>8.9065906915221205E-2</v>
          </cell>
        </row>
        <row r="35">
          <cell r="C35">
            <v>24.453244426840744</v>
          </cell>
          <cell r="D35">
            <v>22.655551160689228</v>
          </cell>
          <cell r="E35">
            <v>23.198259371119359</v>
          </cell>
          <cell r="F35">
            <v>28.35806682153866</v>
          </cell>
          <cell r="G35">
            <v>30.441198603354486</v>
          </cell>
          <cell r="H35">
            <v>35.752396029239989</v>
          </cell>
          <cell r="I35">
            <v>38.716050634629511</v>
          </cell>
          <cell r="J35">
            <v>38.344909548866944</v>
          </cell>
          <cell r="K35">
            <v>40.037427997724265</v>
          </cell>
          <cell r="L35">
            <v>42.399539015826143</v>
          </cell>
        </row>
        <row r="36">
          <cell r="C36">
            <v>15.842171673773024</v>
          </cell>
          <cell r="D36">
            <v>17.196449314875856</v>
          </cell>
          <cell r="E36">
            <v>14.830664019605512</v>
          </cell>
          <cell r="F36">
            <v>14.925893358574326</v>
          </cell>
          <cell r="G36">
            <v>17.503948858460138</v>
          </cell>
          <cell r="H36">
            <v>17.687514440638559</v>
          </cell>
          <cell r="I36">
            <v>17.826554475502373</v>
          </cell>
          <cell r="J36">
            <v>20.04012344733561</v>
          </cell>
          <cell r="K36">
            <v>21.864528869221669</v>
          </cell>
          <cell r="L36">
            <v>23.434197526522677</v>
          </cell>
        </row>
        <row r="37">
          <cell r="C37">
            <v>22.25421872949012</v>
          </cell>
          <cell r="D37">
            <v>20.521372856484803</v>
          </cell>
          <cell r="E37">
            <v>20.313416230720261</v>
          </cell>
          <cell r="F37">
            <v>21.037808983772308</v>
          </cell>
          <cell r="G37">
            <v>22.118586925751028</v>
          </cell>
          <cell r="H37">
            <v>25.994093781397417</v>
          </cell>
          <cell r="I37">
            <v>27.45777590618874</v>
          </cell>
          <cell r="J37">
            <v>30.209058588587062</v>
          </cell>
          <cell r="K37">
            <v>28.844685916359825</v>
          </cell>
          <cell r="L37">
            <v>30.792297335363934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23.895286610640131</v>
          </cell>
          <cell r="D39">
            <v>14.928225103752686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40.880327979121546</v>
          </cell>
          <cell r="J39">
            <v>39.489990409258795</v>
          </cell>
          <cell r="K39">
            <v>0</v>
          </cell>
          <cell r="L39">
            <v>41.339967183767463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21.575130677073918</v>
          </cell>
          <cell r="D41">
            <v>19.96594958829597</v>
          </cell>
          <cell r="E41">
            <v>18.498667048475543</v>
          </cell>
          <cell r="F41">
            <v>19.619547415044714</v>
          </cell>
          <cell r="G41">
            <v>21.561508503884681</v>
          </cell>
          <cell r="H41">
            <v>24.56059874271067</v>
          </cell>
          <cell r="I41">
            <v>25.91015617996073</v>
          </cell>
          <cell r="J41">
            <v>29.393439720378126</v>
          </cell>
          <cell r="K41">
            <v>30.210006163803854</v>
          </cell>
          <cell r="L41">
            <v>31.629413237441334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N1" t="str">
            <v>69 - UT 2016.Q2 - 01b - GRID AC Study CONF _2016 09 14 (GOLD)</v>
          </cell>
        </row>
      </sheetData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30622.658500015736</v>
          </cell>
          <cell r="D7">
            <v>53983.574479997158</v>
          </cell>
          <cell r="E7">
            <v>388728.37141001225</v>
          </cell>
          <cell r="F7">
            <v>49747.389850020409</v>
          </cell>
          <cell r="G7">
            <v>83665.057639956474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-21443628.755079985</v>
          </cell>
          <cell r="D9">
            <v>-20976461.34465</v>
          </cell>
          <cell r="E9">
            <v>-21992272.05317001</v>
          </cell>
          <cell r="F9">
            <v>-22290149.786009997</v>
          </cell>
          <cell r="G9">
            <v>-22440639.161929995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14111.6808610484</v>
          </cell>
          <cell r="D10">
            <v>55977.715667441487</v>
          </cell>
          <cell r="E10">
            <v>17658.499257247895</v>
          </cell>
          <cell r="F10">
            <v>16511.409915082157</v>
          </cell>
          <cell r="G10">
            <v>25539.773682821542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1362388.1809439659</v>
          </cell>
          <cell r="D11">
            <v>1018927.2969199419</v>
          </cell>
          <cell r="E11">
            <v>1510003.5377500057</v>
          </cell>
          <cell r="F11">
            <v>1256324.2691801786</v>
          </cell>
          <cell r="G11">
            <v>1741014.4788998365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-2782.3649999797344</v>
          </cell>
          <cell r="D12">
            <v>-1761.830000013113</v>
          </cell>
          <cell r="E12">
            <v>-1947.9139999747276</v>
          </cell>
          <cell r="F12">
            <v>-1368.0239999890327</v>
          </cell>
          <cell r="G12">
            <v>-1289.3889999985695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-2378840.6036450863</v>
          </cell>
          <cell r="D13">
            <v>-2807190.8680261374</v>
          </cell>
          <cell r="E13">
            <v>-2724237.5132482052</v>
          </cell>
          <cell r="F13">
            <v>-1650571.8511791229</v>
          </cell>
          <cell r="G13">
            <v>-1916855.1972471476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-683117.74300998449</v>
          </cell>
          <cell r="D14">
            <v>-983250.93848001957</v>
          </cell>
          <cell r="E14">
            <v>-841503.02055001259</v>
          </cell>
          <cell r="F14">
            <v>-685943.18247002363</v>
          </cell>
          <cell r="G14">
            <v>-600219.43739998341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2.9802322387695313E-8</v>
          </cell>
          <cell r="E15">
            <v>-481660.85219998658</v>
          </cell>
          <cell r="F15">
            <v>-2439523.9433900416</v>
          </cell>
          <cell r="G15">
            <v>-3025072.6339500844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-8277.5964999999997</v>
          </cell>
          <cell r="D16">
            <v>-6930.1821299999983</v>
          </cell>
          <cell r="E16">
            <v>-378447.00599999994</v>
          </cell>
          <cell r="F16">
            <v>-412384.79042999982</v>
          </cell>
          <cell r="G16">
            <v>-763158.66353000002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-23170769.859930038</v>
          </cell>
          <cell r="D17">
            <v>-23754673.725178756</v>
          </cell>
          <cell r="E17">
            <v>-25281134.693570949</v>
          </cell>
          <cell r="F17">
            <v>-26256853.288233932</v>
          </cell>
          <cell r="G17">
            <v>-27064345.288114507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465.83399999979883</v>
          </cell>
          <cell r="D20">
            <v>1500.296200000681</v>
          </cell>
          <cell r="E20">
            <v>8739.0765000013635</v>
          </cell>
          <cell r="F20">
            <v>3578.1820000000298</v>
          </cell>
          <cell r="G20">
            <v>3043.2182999998331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-664562.85496730055</v>
          </cell>
          <cell r="D22">
            <v>-628923.99707409972</v>
          </cell>
          <cell r="E22">
            <v>-618365.55987619935</v>
          </cell>
          <cell r="F22">
            <v>-607006.16591170034</v>
          </cell>
          <cell r="G22">
            <v>-592616.2896414001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29395.965514298528</v>
          </cell>
          <cell r="D23">
            <v>17275.762129995972</v>
          </cell>
          <cell r="E23">
            <v>27425.766485000029</v>
          </cell>
          <cell r="F23">
            <v>30268.596185002476</v>
          </cell>
          <cell r="G23">
            <v>39915.451729999855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-87483.004259996116</v>
          </cell>
          <cell r="D24">
            <v>-99345.758673008531</v>
          </cell>
          <cell r="E24">
            <v>-92208.076326999813</v>
          </cell>
          <cell r="F24">
            <v>-56215.401052001864</v>
          </cell>
          <cell r="G24">
            <v>-62633.797569993883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-23354.373938998207</v>
          </cell>
          <cell r="D25">
            <v>-31929.449822995812</v>
          </cell>
          <cell r="E25">
            <v>-26519.702795999125</v>
          </cell>
          <cell r="F25">
            <v>-20099.064058000222</v>
          </cell>
          <cell r="G25">
            <v>-17535.15989600122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-16073.124399999622</v>
          </cell>
          <cell r="F26">
            <v>-77877.482121002162</v>
          </cell>
          <cell r="G26">
            <v>-92837.985179601936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-169.84035999999992</v>
          </cell>
          <cell r="D27">
            <v>-176.08200799999997</v>
          </cell>
          <cell r="E27">
            <v>-10120.666949999995</v>
          </cell>
          <cell r="F27">
            <v>-10092.609837200001</v>
          </cell>
          <cell r="G27">
            <v>-17888.228325999982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-746639.94201199617</v>
          </cell>
          <cell r="D28">
            <v>-744599.82164810877</v>
          </cell>
          <cell r="E28">
            <v>-744600.44036419922</v>
          </cell>
          <cell r="F28">
            <v>-744600.30879490217</v>
          </cell>
          <cell r="G28">
            <v>-746639.22718299716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65.737276583566157</v>
          </cell>
          <cell r="D31">
            <v>35.98194441869056</v>
          </cell>
          <cell r="E31">
            <v>44.481630457171484</v>
          </cell>
          <cell r="F31">
            <v>13.90297918049445</v>
          </cell>
          <cell r="G31">
            <v>27.492295784354695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32.267269521308272</v>
          </cell>
          <cell r="D33">
            <v>33.352935238975398</v>
          </cell>
          <cell r="E33">
            <v>35.565163198243127</v>
          </cell>
          <cell r="F33">
            <v>36.721455296143546</v>
          </cell>
          <cell r="G33">
            <v>37.867064328436065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1.8900249058496885E-2</v>
          </cell>
          <cell r="D34">
            <v>7.5178255540727296E-2</v>
          </cell>
          <cell r="E34">
            <v>2.3715402650864352E-2</v>
          </cell>
          <cell r="F34">
            <v>2.2174863104482238E-2</v>
          </cell>
          <cell r="G34">
            <v>3.4206311097771835E-2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46.346093999915908</v>
          </cell>
          <cell r="D35">
            <v>58.980164768000279</v>
          </cell>
          <cell r="E35">
            <v>55.057842725229641</v>
          </cell>
          <cell r="F35">
            <v>41.505865072218441</v>
          </cell>
          <cell r="G35">
            <v>43.617556696503982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27.192031455335755</v>
          </cell>
          <cell r="D36">
            <v>28.256776187757165</v>
          </cell>
          <cell r="E36">
            <v>29.54445664376701</v>
          </cell>
          <cell r="F36">
            <v>29.361559648969987</v>
          </cell>
          <cell r="G36">
            <v>30.604166945250974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29.250098709316418</v>
          </cell>
          <cell r="D37">
            <v>30.794484212248324</v>
          </cell>
          <cell r="E37">
            <v>31.731238733073784</v>
          </cell>
          <cell r="F37">
            <v>34.128115642130666</v>
          </cell>
          <cell r="G37">
            <v>34.229481850168902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29.966846532961437</v>
          </cell>
          <cell r="F38">
            <v>31.325151724854567</v>
          </cell>
          <cell r="G38">
            <v>32.584427894442754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48.737511507865406</v>
          </cell>
          <cell r="D39">
            <v>39.357695932227209</v>
          </cell>
          <cell r="E39">
            <v>37.393484823645949</v>
          </cell>
          <cell r="F39">
            <v>40.860074557722918</v>
          </cell>
          <cell r="G39">
            <v>42.662618657476138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31.033391807958964</v>
          </cell>
          <cell r="D41">
            <v>31.902604640167375</v>
          </cell>
          <cell r="E41">
            <v>33.952618509338286</v>
          </cell>
          <cell r="F41">
            <v>35.263016920754865</v>
          </cell>
          <cell r="G41">
            <v>36.248223108000708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</sheetData>
      <sheetData sheetId="3"/>
      <sheetData sheetId="4"/>
      <sheetData sheetId="5"/>
      <sheetData sheetId="6">
        <row r="3">
          <cell r="E3">
            <v>2028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>
        <row r="1">
          <cell r="K1" t="str">
            <v>69 - UT 2016.Q2 - 21b - GRID AC Study CONF _2016 09 20 (Generic)</v>
          </cell>
        </row>
      </sheetData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1703.0994999408722</v>
          </cell>
          <cell r="D7">
            <v>316785.62016999722</v>
          </cell>
          <cell r="E7">
            <v>216528.60833996534</v>
          </cell>
          <cell r="F7">
            <v>291465.6366199851</v>
          </cell>
          <cell r="G7">
            <v>151319.84172004461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-21199253.54394</v>
          </cell>
          <cell r="D9">
            <v>-20929583.031299986</v>
          </cell>
          <cell r="E9">
            <v>-21610406.760589994</v>
          </cell>
          <cell r="F9">
            <v>-22032287.974819981</v>
          </cell>
          <cell r="G9">
            <v>-22303602.595029995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29459.866028506309</v>
          </cell>
          <cell r="D10">
            <v>49796.988981030881</v>
          </cell>
          <cell r="E10">
            <v>13017.846596535295</v>
          </cell>
          <cell r="F10">
            <v>11918.641539547592</v>
          </cell>
          <cell r="G10">
            <v>17692.495028804988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1503921.7818001509</v>
          </cell>
          <cell r="D11">
            <v>331545.17190015316</v>
          </cell>
          <cell r="E11">
            <v>1689781.7982939482</v>
          </cell>
          <cell r="F11">
            <v>1620722.8513599634</v>
          </cell>
          <cell r="G11">
            <v>2208537.1407897472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-2255.4210000038147</v>
          </cell>
          <cell r="D12">
            <v>-1130.8560000061989</v>
          </cell>
          <cell r="E12">
            <v>-1858.8160000145435</v>
          </cell>
          <cell r="F12">
            <v>-552.84299999475479</v>
          </cell>
          <cell r="G12">
            <v>-583.87700000405312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-2261729.3034453392</v>
          </cell>
          <cell r="D13">
            <v>-2704083.6982636452</v>
          </cell>
          <cell r="E13">
            <v>-2982856.8954219818</v>
          </cell>
          <cell r="F13">
            <v>-1792302.8823441267</v>
          </cell>
          <cell r="G13">
            <v>-1935600.5655800104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-1120641.5272200108</v>
          </cell>
          <cell r="D14">
            <v>-270509.45737999678</v>
          </cell>
          <cell r="E14">
            <v>-1109350.9145199656</v>
          </cell>
          <cell r="F14">
            <v>-498354.3638100028</v>
          </cell>
          <cell r="G14">
            <v>-720176.43776005507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5.2154064178466797E-8</v>
          </cell>
          <cell r="D15">
            <v>0</v>
          </cell>
          <cell r="E15">
            <v>-387840.15215005726</v>
          </cell>
          <cell r="F15">
            <v>-2487443.6842100993</v>
          </cell>
          <cell r="G15">
            <v>-2875899.2668699771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-55000.711975000013</v>
          </cell>
          <cell r="D16">
            <v>-276089.90436999989</v>
          </cell>
          <cell r="E16">
            <v>-772608.85527999979</v>
          </cell>
          <cell r="F16">
            <v>-811685.88740000036</v>
          </cell>
          <cell r="G16">
            <v>-1268182.9723000024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-23107201.959251586</v>
          </cell>
          <cell r="D17">
            <v>-24116840.406602446</v>
          </cell>
          <cell r="E17">
            <v>-25378651.357411496</v>
          </cell>
          <cell r="F17">
            <v>-26281451.779304679</v>
          </cell>
          <cell r="G17">
            <v>-27029135.920441538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1036.7559999991208</v>
          </cell>
          <cell r="D20">
            <v>7686.4862999990582</v>
          </cell>
          <cell r="E20">
            <v>4089.7179999994114</v>
          </cell>
          <cell r="F20">
            <v>6803.4709000010043</v>
          </cell>
          <cell r="G20">
            <v>4078.7613999992609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-656177.60214889981</v>
          </cell>
          <cell r="D22">
            <v>-627136.09439610015</v>
          </cell>
          <cell r="E22">
            <v>-606257.26439929986</v>
          </cell>
          <cell r="F22">
            <v>-599888.59824110032</v>
          </cell>
          <cell r="G22">
            <v>-588675.39772270038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32117.263533001766</v>
          </cell>
          <cell r="D23">
            <v>3567.3085699975491</v>
          </cell>
          <cell r="E23">
            <v>32350.506934056059</v>
          </cell>
          <cell r="F23">
            <v>35930.180861003697</v>
          </cell>
          <cell r="G23">
            <v>45755.569269997999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-82186.546163994819</v>
          </cell>
          <cell r="D24">
            <v>-93390.533795993775</v>
          </cell>
          <cell r="E24">
            <v>-98853.4396100007</v>
          </cell>
          <cell r="F24">
            <v>-60262.980533003807</v>
          </cell>
          <cell r="G24">
            <v>-62342.568586997688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-38180.605621997267</v>
          </cell>
          <cell r="D25">
            <v>-12738.27824900113</v>
          </cell>
          <cell r="E25">
            <v>-34945.980633499101</v>
          </cell>
          <cell r="F25">
            <v>-15543.253748498857</v>
          </cell>
          <cell r="G25">
            <v>-21375.823343999684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-13023.782366999891</v>
          </cell>
          <cell r="F26">
            <v>-78591.155033502495</v>
          </cell>
          <cell r="G26">
            <v>-87441.637338100234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-1175.8715490000004</v>
          </cell>
          <cell r="D27">
            <v>-7215.8277121000065</v>
          </cell>
          <cell r="E27">
            <v>-19780.354097000032</v>
          </cell>
          <cell r="F27">
            <v>-19440.290797500013</v>
          </cell>
          <cell r="G27">
            <v>-28480.933646999969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-746640.11795088928</v>
          </cell>
          <cell r="D28">
            <v>-744599.91188319656</v>
          </cell>
          <cell r="E28">
            <v>-744600.032172743</v>
          </cell>
          <cell r="F28">
            <v>-744599.56839260284</v>
          </cell>
          <cell r="G28">
            <v>-746639.55276879924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1.6427196948388207</v>
          </cell>
          <cell r="D31">
            <v>41.213320079687911</v>
          </cell>
          <cell r="E31">
            <v>52.944630495304693</v>
          </cell>
          <cell r="F31">
            <v>42.8407265797142</v>
          </cell>
          <cell r="G31">
            <v>37.099459095614669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32.307188594238951</v>
          </cell>
          <cell r="D33">
            <v>33.37327131753451</v>
          </cell>
          <cell r="E33">
            <v>35.645604646077622</v>
          </cell>
          <cell r="F33">
            <v>36.727299100899096</v>
          </cell>
          <cell r="G33">
            <v>37.887777680724923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3.9456580647390355E-2</v>
          </cell>
          <cell r="D34">
            <v>6.687751124639188E-2</v>
          </cell>
          <cell r="E34">
            <v>1.748300568635381E-2</v>
          </cell>
          <cell r="F34">
            <v>1.6006780080838411E-2</v>
          </cell>
          <cell r="G34">
            <v>2.3696166327105309E-2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46.825962624580747</v>
          </cell>
          <cell r="D35">
            <v>92.939863595926866</v>
          </cell>
          <cell r="E35">
            <v>52.233549283738718</v>
          </cell>
          <cell r="F35">
            <v>45.107561735626874</v>
          </cell>
          <cell r="G35">
            <v>48.268160051893148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27.519459193872077</v>
          </cell>
          <cell r="D36">
            <v>28.954580173731095</v>
          </cell>
          <cell r="E36">
            <v>30.174538257748345</v>
          </cell>
          <cell r="F36">
            <v>29.741358069114234</v>
          </cell>
          <cell r="G36">
            <v>31.047815472648072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29.351067353797223</v>
          </cell>
          <cell r="D37">
            <v>21.235951365814191</v>
          </cell>
          <cell r="E37">
            <v>31.744735572151768</v>
          </cell>
          <cell r="F37">
            <v>32.062422184810117</v>
          </cell>
          <cell r="G37">
            <v>33.691167173788081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29.779379079059247</v>
          </cell>
          <cell r="F38">
            <v>31.650427877662963</v>
          </cell>
          <cell r="G38">
            <v>32.889357455076897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46.774421935605481</v>
          </cell>
          <cell r="D39">
            <v>38.261709589744356</v>
          </cell>
          <cell r="E39">
            <v>39.059404674518781</v>
          </cell>
          <cell r="F39">
            <v>41.752764701667004</v>
          </cell>
          <cell r="G39">
            <v>44.527436776412912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30.948245886743894</v>
          </cell>
          <cell r="D41">
            <v>32.388991754790311</v>
          </cell>
          <cell r="E41">
            <v>34.083602284244584</v>
          </cell>
          <cell r="F41">
            <v>35.296087850332107</v>
          </cell>
          <cell r="G41">
            <v>36.201050185739689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</sheetData>
      <sheetData sheetId="3">
        <row r="7">
          <cell r="B7">
            <v>2028</v>
          </cell>
        </row>
      </sheetData>
      <sheetData sheetId="4"/>
      <sheetData sheetId="5"/>
      <sheetData sheetId="6">
        <row r="248">
          <cell r="E2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N1" t="str">
            <v>69 - UT 2016.Q2 - 31b - GRID AC Study CONF _2016 10 20 (161012 OFPC)</v>
          </cell>
        </row>
      </sheetData>
      <sheetData sheetId="1">
        <row r="1">
          <cell r="K1" t="str">
            <v>69 - UT 2016.Q2 - 31b - GRID AC Study CONF _2016 10 20 (161012 OFPC)</v>
          </cell>
        </row>
      </sheetData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-509497.86900287867</v>
          </cell>
          <cell r="D7">
            <v>-164365.91181766987</v>
          </cell>
          <cell r="E7">
            <v>41093.897507429123</v>
          </cell>
          <cell r="F7">
            <v>-212203.00858455896</v>
          </cell>
          <cell r="G7">
            <v>-81640.406112313271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-21559844.059610024</v>
          </cell>
          <cell r="D9">
            <v>-21866826.223250002</v>
          </cell>
          <cell r="E9">
            <v>-22732803.43528001</v>
          </cell>
          <cell r="F9">
            <v>-22382178.618860006</v>
          </cell>
          <cell r="G9">
            <v>-22982936.329109997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13151.846778415143</v>
          </cell>
          <cell r="D10">
            <v>21581.924718726426</v>
          </cell>
          <cell r="E10">
            <v>1542.5545555353165</v>
          </cell>
          <cell r="F10">
            <v>3827.1709567457438</v>
          </cell>
          <cell r="G10">
            <v>4455.273874796927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1707791.1193598509</v>
          </cell>
          <cell r="D11">
            <v>645724.16513001919</v>
          </cell>
          <cell r="E11">
            <v>1269602.3048601151</v>
          </cell>
          <cell r="F11">
            <v>1194665.4417399168</v>
          </cell>
          <cell r="G11">
            <v>1281035.6165599823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-483.21200001239777</v>
          </cell>
          <cell r="D12">
            <v>-2203.5049999952316</v>
          </cell>
          <cell r="E12">
            <v>-971.19400000572205</v>
          </cell>
          <cell r="F12">
            <v>-474.77599999308586</v>
          </cell>
          <cell r="G12">
            <v>-1109.6279999911785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-1714461.6766550541</v>
          </cell>
          <cell r="D13">
            <v>-2247924.0482599735</v>
          </cell>
          <cell r="E13">
            <v>-2346411.3047317266</v>
          </cell>
          <cell r="F13">
            <v>-1751355.5349588394</v>
          </cell>
          <cell r="G13">
            <v>-2103744.8628668785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-1722313.3587499857</v>
          </cell>
          <cell r="D14">
            <v>-330660.83898997307</v>
          </cell>
          <cell r="E14">
            <v>-977067.19396007061</v>
          </cell>
          <cell r="F14">
            <v>-794769.70939004421</v>
          </cell>
          <cell r="G14">
            <v>-233900.05639994144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-216833.9546700269</v>
          </cell>
          <cell r="F15">
            <v>-2022073.4890000224</v>
          </cell>
          <cell r="G15">
            <v>-2348696.4163899124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-11056.322779999988</v>
          </cell>
          <cell r="D16">
            <v>-85888.304639999988</v>
          </cell>
          <cell r="E16">
            <v>-171112.2634500002</v>
          </cell>
          <cell r="F16">
            <v>-417161.59719999996</v>
          </cell>
          <cell r="G16">
            <v>-510941.79749999987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-22777717.79465393</v>
          </cell>
          <cell r="D17">
            <v>-23701830.918473527</v>
          </cell>
          <cell r="E17">
            <v>-25215148.384183619</v>
          </cell>
          <cell r="F17">
            <v>-25957318.104127683</v>
          </cell>
          <cell r="G17">
            <v>-26814197.793719627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-7418.6510000005364</v>
          </cell>
          <cell r="D20">
            <v>124.72800000011921</v>
          </cell>
          <cell r="E20">
            <v>4251.9550000000745</v>
          </cell>
          <cell r="F20">
            <v>-294.48100000061095</v>
          </cell>
          <cell r="G20">
            <v>1952.6469999989495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-670187.84583749995</v>
          </cell>
          <cell r="D22">
            <v>-659692.58404939994</v>
          </cell>
          <cell r="E22">
            <v>-642368.20515789976</v>
          </cell>
          <cell r="F22">
            <v>-611474.83165450022</v>
          </cell>
          <cell r="G22">
            <v>-610705.2418028994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34306.825148001313</v>
          </cell>
          <cell r="D23">
            <v>9221.9283700026572</v>
          </cell>
          <cell r="E23">
            <v>21919.741480404511</v>
          </cell>
          <cell r="F23">
            <v>21704.367989998311</v>
          </cell>
          <cell r="G23">
            <v>25041.185178996995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-61594.654729995877</v>
          </cell>
          <cell r="D24">
            <v>-78647.678965993226</v>
          </cell>
          <cell r="E24">
            <v>-78055.299546997994</v>
          </cell>
          <cell r="F24">
            <v>-58543.044243000448</v>
          </cell>
          <cell r="G24">
            <v>-67642.034042000771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-56216.164068000391</v>
          </cell>
          <cell r="D25">
            <v>-13428.980867000297</v>
          </cell>
          <cell r="E25">
            <v>-30672.282521000132</v>
          </cell>
          <cell r="F25">
            <v>-23026.621366498992</v>
          </cell>
          <cell r="G25">
            <v>-8632.8398929964751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-7344.4878039988689</v>
          </cell>
          <cell r="F26">
            <v>-64651.766621701419</v>
          </cell>
          <cell r="G26">
            <v>-72578.799535998842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-367.19283200000018</v>
          </cell>
          <cell r="D27">
            <v>-1928.3045839999977</v>
          </cell>
          <cell r="E27">
            <v>-3827.8278060000011</v>
          </cell>
          <cell r="F27">
            <v>-8902.0923199999961</v>
          </cell>
          <cell r="G27">
            <v>-10169.435936199996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-746640.38131949434</v>
          </cell>
          <cell r="D28">
            <v>-744600.34809639095</v>
          </cell>
          <cell r="E28">
            <v>-744600.31635549234</v>
          </cell>
          <cell r="F28">
            <v>-744599.50721570221</v>
          </cell>
          <cell r="G28">
            <v>-746639.81303109741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68.677967059353762</v>
          </cell>
          <cell r="D31">
            <v>-1317.7948160598485</v>
          </cell>
          <cell r="E31">
            <v>9.6647065896577935</v>
          </cell>
          <cell r="F31">
            <v>720.59999994607028</v>
          </cell>
          <cell r="G31">
            <v>-41.810120371146034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32.169852368283067</v>
          </cell>
          <cell r="D33">
            <v>33.146994148432846</v>
          </cell>
          <cell r="E33">
            <v>35.389054521607413</v>
          </cell>
          <cell r="F33">
            <v>36.603597499343259</v>
          </cell>
          <cell r="G33">
            <v>37.633435503616603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1.7614700607503503E-2</v>
          </cell>
          <cell r="D34">
            <v>2.8984575113215734E-2</v>
          </cell>
          <cell r="E34">
            <v>2.0716544455493613E-3</v>
          </cell>
          <cell r="F34">
            <v>5.1399053043383967E-3</v>
          </cell>
          <cell r="G34">
            <v>5.9670992586238706E-3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49.779923149179702</v>
          </cell>
          <cell r="D35">
            <v>70.020514064113598</v>
          </cell>
          <cell r="E35">
            <v>57.920496279351447</v>
          </cell>
          <cell r="F35">
            <v>55.04262746975337</v>
          </cell>
          <cell r="G35">
            <v>51.157148010487781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27.834585390087938</v>
          </cell>
          <cell r="D36">
            <v>28.582204558534553</v>
          </cell>
          <cell r="E36">
            <v>30.060883993135217</v>
          </cell>
          <cell r="F36">
            <v>29.915689517089572</v>
          </cell>
          <cell r="G36">
            <v>31.101147277159146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30.637333359612281</v>
          </cell>
          <cell r="D37">
            <v>24.622928743797857</v>
          </cell>
          <cell r="E37">
            <v>31.855053281121492</v>
          </cell>
          <cell r="F37">
            <v>34.515255049372549</v>
          </cell>
          <cell r="G37">
            <v>27.094219202385126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29.523359621070764</v>
          </cell>
          <cell r="F38">
            <v>31.27638415252957</v>
          </cell>
          <cell r="G38">
            <v>32.360640178747609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30.110399268360396</v>
          </cell>
          <cell r="D39">
            <v>44.540839322093369</v>
          </cell>
          <cell r="E39">
            <v>44.702184142606164</v>
          </cell>
          <cell r="F39">
            <v>46.861072903364381</v>
          </cell>
          <cell r="G39">
            <v>50.242884728857739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30.506946000429533</v>
          </cell>
          <cell r="D41">
            <v>31.831614071989726</v>
          </cell>
          <cell r="E41">
            <v>33.864004393123608</v>
          </cell>
          <cell r="F41">
            <v>34.860777978742519</v>
          </cell>
          <cell r="G41">
            <v>35.913163650975605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</sheetData>
      <sheetData sheetId="3">
        <row r="7">
          <cell r="B7">
            <v>2028</v>
          </cell>
        </row>
      </sheetData>
      <sheetData sheetId="4"/>
      <sheetData sheetId="5"/>
      <sheetData sheetId="6">
        <row r="3">
          <cell r="F3">
            <v>46753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36"/>
  <sheetViews>
    <sheetView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F8" sqref="F8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28515625" style="1" customWidth="1"/>
    <col min="9" max="9" width="9.140625" style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2016.Q3 and 2016.Q2 Compliance Filing</v>
      </c>
      <c r="C4" s="6"/>
      <c r="D4" s="6"/>
      <c r="E4" s="6"/>
      <c r="F4" s="6"/>
      <c r="G4" s="6"/>
    </row>
    <row r="5" spans="2:10" ht="15.75" x14ac:dyDescent="0.25">
      <c r="B5" s="6" t="s">
        <v>12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Generic</v>
      </c>
      <c r="D7" s="11" t="str">
        <f>Energy!E7</f>
        <v>161012</v>
      </c>
      <c r="E7" s="11" t="str">
        <f>Energy!F7</f>
        <v>QF</v>
      </c>
      <c r="F7" s="11" t="s">
        <v>30</v>
      </c>
      <c r="G7" s="11" t="s">
        <v>5</v>
      </c>
      <c r="H7" s="1"/>
    </row>
    <row r="8" spans="2:10" s="4" customFormat="1" ht="15.75" x14ac:dyDescent="0.25">
      <c r="B8" s="15" t="s">
        <v>0</v>
      </c>
      <c r="C8" s="12" t="str">
        <f>Energy!D8</f>
        <v>Update</v>
      </c>
      <c r="D8" s="12" t="str">
        <f>Energy!E8</f>
        <v>OFPC</v>
      </c>
      <c r="E8" s="12" t="str">
        <f>Energy!F8</f>
        <v>Queue</v>
      </c>
      <c r="F8" s="12" t="s">
        <v>27</v>
      </c>
      <c r="G8" s="12" t="s">
        <v>17</v>
      </c>
      <c r="H8" s="1"/>
    </row>
    <row r="9" spans="2:10" ht="4.5" customHeight="1" x14ac:dyDescent="0.2"/>
    <row r="10" spans="2:10" ht="15.75" x14ac:dyDescent="0.25">
      <c r="B10" s="3">
        <f>Total!B10</f>
        <v>2018</v>
      </c>
      <c r="C10" s="54">
        <f>ROUND(Total!D10-Total!C10,3)</f>
        <v>-0.66200000000000003</v>
      </c>
      <c r="D10" s="54">
        <f>ROUND(Total!E10-Total!D10,3)</f>
        <v>-2.1999999999999999E-2</v>
      </c>
      <c r="E10" s="54">
        <f>ROUND(Total!F10-Total!E10,3)</f>
        <v>0.29799999999999999</v>
      </c>
      <c r="F10" s="54">
        <f>ROUND(Total!G10-Total!F10,3)</f>
        <v>-4.4999999999999998E-2</v>
      </c>
      <c r="G10" s="54">
        <f t="shared" ref="G10" ca="1" si="0">SUM(OFFSET($C10,0,0,1,COLUMN(G10)-3))</f>
        <v>-0.43100000000000005</v>
      </c>
      <c r="H10" s="55"/>
      <c r="J10" s="22"/>
    </row>
    <row r="11" spans="2:10" ht="15.75" x14ac:dyDescent="0.25">
      <c r="B11" s="3">
        <f t="shared" ref="B11:B24" si="1">B10+1</f>
        <v>2019</v>
      </c>
      <c r="C11" s="54">
        <f>ROUND(Total!D11-Total!C11,3)</f>
        <v>-0.40300000000000002</v>
      </c>
      <c r="D11" s="54">
        <f>ROUND(Total!E11-Total!D11,3)</f>
        <v>-1.867</v>
      </c>
      <c r="E11" s="54">
        <f>ROUND(Total!F11-Total!E11,3)</f>
        <v>0.24099999999999999</v>
      </c>
      <c r="F11" s="54">
        <f>ROUND(Total!G11-Total!F11,3)</f>
        <v>0.105</v>
      </c>
      <c r="G11" s="54">
        <f ca="1">SUM(OFFSET($C11,0,0,1,COLUMN(G11)-3))</f>
        <v>-1.9239999999999999</v>
      </c>
      <c r="H11" s="55"/>
      <c r="J11" s="22"/>
    </row>
    <row r="12" spans="2:10" ht="15.75" x14ac:dyDescent="0.25">
      <c r="B12" s="3">
        <f t="shared" si="1"/>
        <v>2020</v>
      </c>
      <c r="C12" s="54">
        <f>ROUND(Total!D12-Total!C12,3)</f>
        <v>-1.47</v>
      </c>
      <c r="D12" s="54">
        <f>ROUND(Total!E12-Total!D12,3)</f>
        <v>-0.92400000000000004</v>
      </c>
      <c r="E12" s="54">
        <f>ROUND(Total!F12-Total!E12,3)</f>
        <v>-1.1519999999999999</v>
      </c>
      <c r="F12" s="54">
        <f>ROUND(Total!G12-Total!F12,3)</f>
        <v>-0.47399999999999998</v>
      </c>
      <c r="G12" s="54">
        <f t="shared" ref="G12:G24" ca="1" si="2">SUM(OFFSET($C12,0,0,1,COLUMN(G12)-3))</f>
        <v>-4.0200000000000005</v>
      </c>
      <c r="H12" s="55"/>
      <c r="J12" s="22"/>
    </row>
    <row r="13" spans="2:10" ht="15.75" x14ac:dyDescent="0.25">
      <c r="B13" s="3">
        <f t="shared" si="1"/>
        <v>2021</v>
      </c>
      <c r="C13" s="54">
        <f>ROUND(Total!D13-Total!C13,3)</f>
        <v>-0.34399999999999997</v>
      </c>
      <c r="D13" s="54">
        <f>ROUND(Total!E13-Total!D13,3)</f>
        <v>-1.6870000000000001</v>
      </c>
      <c r="E13" s="54">
        <f>ROUND(Total!F13-Total!E13,3)</f>
        <v>-1.1519999999999999</v>
      </c>
      <c r="F13" s="54">
        <f>ROUND(Total!G13-Total!F13,3)</f>
        <v>0.53300000000000003</v>
      </c>
      <c r="G13" s="54">
        <f t="shared" ca="1" si="2"/>
        <v>-2.65</v>
      </c>
      <c r="H13" s="55"/>
      <c r="J13" s="22"/>
    </row>
    <row r="14" spans="2:10" ht="15.75" x14ac:dyDescent="0.25">
      <c r="B14" s="3">
        <f t="shared" si="1"/>
        <v>2022</v>
      </c>
      <c r="C14" s="54">
        <f>ROUND(Total!D14-Total!C14,3)</f>
        <v>-0.61199999999999999</v>
      </c>
      <c r="D14" s="54">
        <f>ROUND(Total!E14-Total!D14,3)</f>
        <v>-1.3839999999999999</v>
      </c>
      <c r="E14" s="54">
        <f>ROUND(Total!F14-Total!E14,3)</f>
        <v>-0.76800000000000002</v>
      </c>
      <c r="F14" s="54">
        <f>ROUND(Total!G14-Total!F14,3)</f>
        <v>0.186</v>
      </c>
      <c r="G14" s="54">
        <f t="shared" ca="1" si="2"/>
        <v>-2.5780000000000003</v>
      </c>
      <c r="H14" s="55"/>
      <c r="J14" s="22"/>
    </row>
    <row r="15" spans="2:10" ht="15.75" x14ac:dyDescent="0.25">
      <c r="B15" s="3">
        <f t="shared" si="1"/>
        <v>2023</v>
      </c>
      <c r="C15" s="54">
        <f>ROUND(Total!D15-Total!C15,3)</f>
        <v>-0.315</v>
      </c>
      <c r="D15" s="54">
        <f>ROUND(Total!E15-Total!D15,3)</f>
        <v>-0.91700000000000004</v>
      </c>
      <c r="E15" s="54">
        <f>ROUND(Total!F15-Total!E15,3)</f>
        <v>-1.742</v>
      </c>
      <c r="F15" s="54">
        <f>ROUND(Total!G15-Total!F15,3)</f>
        <v>0.45700000000000002</v>
      </c>
      <c r="G15" s="54">
        <f t="shared" ca="1" si="2"/>
        <v>-2.5170000000000003</v>
      </c>
      <c r="H15" s="55"/>
      <c r="J15" s="22"/>
    </row>
    <row r="16" spans="2:10" ht="15.75" x14ac:dyDescent="0.25">
      <c r="B16" s="3">
        <f t="shared" si="1"/>
        <v>2024</v>
      </c>
      <c r="C16" s="54">
        <f>ROUND(Total!D16-Total!C16,3)</f>
        <v>-1E-3</v>
      </c>
      <c r="D16" s="54">
        <f>ROUND(Total!E16-Total!D16,3)</f>
        <v>-0.54100000000000004</v>
      </c>
      <c r="E16" s="54">
        <f>ROUND(Total!F16-Total!E16,3)</f>
        <v>-1.867</v>
      </c>
      <c r="F16" s="54">
        <f>ROUND(Total!G16-Total!F16,3)</f>
        <v>-0.84199999999999997</v>
      </c>
      <c r="G16" s="54">
        <f t="shared" ca="1" si="2"/>
        <v>-3.2509999999999999</v>
      </c>
      <c r="H16" s="55"/>
      <c r="J16" s="22"/>
    </row>
    <row r="17" spans="2:10" ht="15.75" x14ac:dyDescent="0.25">
      <c r="B17" s="3">
        <f t="shared" si="1"/>
        <v>2025</v>
      </c>
      <c r="C17" s="54">
        <f>ROUND(Total!D17-Total!C17,3)</f>
        <v>0.16600000000000001</v>
      </c>
      <c r="D17" s="54">
        <f>ROUND(Total!E17-Total!D17,3)</f>
        <v>-0.47799999999999998</v>
      </c>
      <c r="E17" s="54">
        <f>ROUND(Total!F17-Total!E17,3)</f>
        <v>-3.7650000000000001</v>
      </c>
      <c r="F17" s="54">
        <f>ROUND(Total!G17-Total!F17,3)</f>
        <v>0.52500000000000002</v>
      </c>
      <c r="G17" s="54">
        <f t="shared" ca="1" si="2"/>
        <v>-3.552</v>
      </c>
      <c r="H17" s="55"/>
      <c r="J17" s="22"/>
    </row>
    <row r="18" spans="2:10" ht="15.75" x14ac:dyDescent="0.25">
      <c r="B18" s="3">
        <f t="shared" si="1"/>
        <v>2026</v>
      </c>
      <c r="C18" s="54">
        <f>ROUND(Total!D18-Total!C18,3)</f>
        <v>0.19500000000000001</v>
      </c>
      <c r="D18" s="54">
        <f>ROUND(Total!E18-Total!D18,3)</f>
        <v>-0.80800000000000005</v>
      </c>
      <c r="E18" s="54">
        <f>ROUND(Total!F18-Total!E18,3)</f>
        <v>-3.415</v>
      </c>
      <c r="F18" s="54">
        <f>ROUND(Total!G18-Total!F18,3)</f>
        <v>0.28100000000000003</v>
      </c>
      <c r="G18" s="54">
        <f t="shared" ca="1" si="2"/>
        <v>-3.7470000000000003</v>
      </c>
      <c r="H18" s="55"/>
      <c r="J18" s="22"/>
    </row>
    <row r="19" spans="2:10" ht="15.75" x14ac:dyDescent="0.25">
      <c r="B19" s="3">
        <f t="shared" si="1"/>
        <v>2027</v>
      </c>
      <c r="C19" s="54">
        <f>ROUND(Total!D19-Total!C19,3)</f>
        <v>7.3999999999999996E-2</v>
      </c>
      <c r="D19" s="54">
        <f>ROUND(Total!E19-Total!D19,3)</f>
        <v>-0.26500000000000001</v>
      </c>
      <c r="E19" s="54">
        <f>ROUND(Total!F19-Total!E19,3)</f>
        <v>-3.9260000000000002</v>
      </c>
      <c r="F19" s="54">
        <f>ROUND(Total!G19-Total!F19,3)</f>
        <v>-0.182</v>
      </c>
      <c r="G19" s="54">
        <f t="shared" ca="1" si="2"/>
        <v>-4.2990000000000004</v>
      </c>
      <c r="H19" s="55"/>
      <c r="J19" s="22"/>
    </row>
    <row r="20" spans="2:10" ht="15.75" x14ac:dyDescent="0.25">
      <c r="B20" s="3">
        <f t="shared" si="1"/>
        <v>2028</v>
      </c>
      <c r="C20" s="54">
        <f>ROUND(Total!D20-Total!C20,3)</f>
        <v>-8.5000000000000006E-2</v>
      </c>
      <c r="D20" s="54">
        <f>ROUND(Total!E20-Total!D20,3)</f>
        <v>-0.57899999999999996</v>
      </c>
      <c r="E20" s="54">
        <f>ROUND(Total!F20-Total!E20,3)</f>
        <v>-13.073</v>
      </c>
      <c r="F20" s="54">
        <f>ROUND(Total!G20-Total!F20,3)</f>
        <v>0.224</v>
      </c>
      <c r="G20" s="54">
        <f t="shared" ca="1" si="2"/>
        <v>-13.513</v>
      </c>
      <c r="H20" s="55"/>
      <c r="J20" s="22"/>
    </row>
    <row r="21" spans="2:10" ht="15.75" x14ac:dyDescent="0.25">
      <c r="B21" s="3">
        <f t="shared" si="1"/>
        <v>2029</v>
      </c>
      <c r="C21" s="54">
        <f>ROUND(Total!D21-Total!C21,3)</f>
        <v>0.48599999999999999</v>
      </c>
      <c r="D21" s="54">
        <f>ROUND(Total!E21-Total!D21,3)</f>
        <v>-0.67300000000000004</v>
      </c>
      <c r="E21" s="54">
        <f>ROUND(Total!F21-Total!E21,3)</f>
        <v>-11.670999999999999</v>
      </c>
      <c r="F21" s="54">
        <f>ROUND(Total!G21-Total!F21,3)</f>
        <v>0.32700000000000001</v>
      </c>
      <c r="G21" s="54">
        <f t="shared" ca="1" si="2"/>
        <v>-11.530999999999999</v>
      </c>
      <c r="H21" s="55"/>
      <c r="J21" s="22"/>
    </row>
    <row r="22" spans="2:10" ht="15.75" x14ac:dyDescent="0.25">
      <c r="B22" s="3">
        <f t="shared" si="1"/>
        <v>2030</v>
      </c>
      <c r="C22" s="54">
        <f>ROUND(Total!D22-Total!C22,3)</f>
        <v>0.13100000000000001</v>
      </c>
      <c r="D22" s="54">
        <f>ROUND(Total!E22-Total!D22,3)</f>
        <v>-0.34</v>
      </c>
      <c r="E22" s="54">
        <f>ROUND(Total!F22-Total!E22,3)</f>
        <v>-0.91200000000000003</v>
      </c>
      <c r="F22" s="54">
        <f>ROUND(Total!G22-Total!F22,3)</f>
        <v>-0.13400000000000001</v>
      </c>
      <c r="G22" s="54">
        <f t="shared" ca="1" si="2"/>
        <v>-1.2549999999999999</v>
      </c>
      <c r="H22" s="55"/>
      <c r="J22" s="22"/>
    </row>
    <row r="23" spans="2:10" ht="15.75" x14ac:dyDescent="0.25">
      <c r="B23" s="3">
        <f t="shared" si="1"/>
        <v>2031</v>
      </c>
      <c r="C23" s="54">
        <f>ROUND(Total!D23-Total!C23,3)</f>
        <v>3.3000000000000002E-2</v>
      </c>
      <c r="D23" s="54">
        <f>ROUND(Total!E23-Total!D23,3)</f>
        <v>-0.55800000000000005</v>
      </c>
      <c r="E23" s="54">
        <f>ROUND(Total!F23-Total!E23,3)</f>
        <v>-0.65600000000000003</v>
      </c>
      <c r="F23" s="54">
        <f>ROUND(Total!G23-Total!F23,3)</f>
        <v>8.5000000000000006E-2</v>
      </c>
      <c r="G23" s="54">
        <f t="shared" ca="1" si="2"/>
        <v>-1.0960000000000001</v>
      </c>
      <c r="H23" s="55"/>
      <c r="J23" s="22"/>
    </row>
    <row r="24" spans="2:10" ht="15.75" x14ac:dyDescent="0.25">
      <c r="B24" s="3">
        <f t="shared" si="1"/>
        <v>2032</v>
      </c>
      <c r="C24" s="54">
        <f>ROUND(Total!D24-Total!C24,3)</f>
        <v>-4.7E-2</v>
      </c>
      <c r="D24" s="54">
        <f>ROUND(Total!E24-Total!D24,3)</f>
        <v>-0.41199999999999998</v>
      </c>
      <c r="E24" s="54">
        <f>ROUND(Total!F24-Total!E24,3)</f>
        <v>-0.81599999999999995</v>
      </c>
      <c r="F24" s="54">
        <f>ROUND(Total!G24-Total!F24,3)</f>
        <v>0.27100000000000002</v>
      </c>
      <c r="G24" s="54">
        <f t="shared" ca="1" si="2"/>
        <v>-1.004</v>
      </c>
      <c r="H24" s="55"/>
      <c r="J24" s="22"/>
    </row>
    <row r="25" spans="2:10" x14ac:dyDescent="0.2">
      <c r="C25" s="55"/>
      <c r="D25" s="55"/>
      <c r="E25" s="55"/>
      <c r="F25" s="55"/>
      <c r="G25" s="55"/>
      <c r="H25" s="55"/>
    </row>
    <row r="26" spans="2:10" x14ac:dyDescent="0.2">
      <c r="B26" s="13" t="str">
        <f>Total!B26</f>
        <v>Nominal Levelized Payment at 6.660% Discount Rate (3)</v>
      </c>
      <c r="C26" s="56"/>
      <c r="D26" s="56"/>
      <c r="E26" s="56"/>
      <c r="F26" s="56"/>
      <c r="G26" s="56"/>
      <c r="H26" s="55"/>
    </row>
    <row r="27" spans="2:10" x14ac:dyDescent="0.2">
      <c r="B27" s="8" t="str">
        <f>B10&amp;" - "&amp;B24</f>
        <v>2018 - 2032</v>
      </c>
      <c r="C27" s="57">
        <f>ROUND(Total!D27-Total!C27,3)</f>
        <v>-0.27800000000000002</v>
      </c>
      <c r="D27" s="57">
        <f>ROUND(Total!E27-Total!D27,3)</f>
        <v>-0.82699999999999996</v>
      </c>
      <c r="E27" s="57">
        <f>ROUND(Total!F27-Total!E27,3)</f>
        <v>-2.5019999999999998</v>
      </c>
      <c r="F27" s="57">
        <f>ROUND(Total!G27-Total!F27,3)</f>
        <v>7.6999999999999999E-2</v>
      </c>
      <c r="G27" s="57">
        <f t="shared" ref="G27" ca="1" si="3">SUM(OFFSET($C27,0,0,1,COLUMN(G27)-3))</f>
        <v>-3.53</v>
      </c>
      <c r="H27" s="55"/>
    </row>
    <row r="28" spans="2:10" x14ac:dyDescent="0.2">
      <c r="C28" s="55"/>
      <c r="D28" s="55"/>
      <c r="E28" s="55"/>
      <c r="F28" s="55"/>
      <c r="G28" s="59"/>
    </row>
    <row r="29" spans="2:10" x14ac:dyDescent="0.2">
      <c r="B29" s="1" t="str">
        <f>Total!B29</f>
        <v>(1)   Studies are sequential.  The order of the studies would affect the price impact.</v>
      </c>
      <c r="C29" s="55"/>
      <c r="D29" s="55"/>
      <c r="E29" s="55"/>
      <c r="F29" s="55"/>
      <c r="G29" s="55"/>
    </row>
    <row r="30" spans="2:10" x14ac:dyDescent="0.2">
      <c r="B30" s="1" t="str">
        <f>Total!B30</f>
        <v>(2)   Official Forward Price Curve Dated June 2016</v>
      </c>
    </row>
    <row r="31" spans="2:10" x14ac:dyDescent="0.2">
      <c r="B31" s="1" t="str">
        <f>Total!B31</f>
        <v>(3)   Discount Rate - 2015 IRP Page 141</v>
      </c>
      <c r="C31" s="8"/>
    </row>
    <row r="32" spans="2:10" x14ac:dyDescent="0.2">
      <c r="B32" s="1" t="str">
        <f>Total!B32</f>
        <v xml:space="preserve">(4)   Capacity costs are allocated assuming an 85% capacity factor. </v>
      </c>
    </row>
    <row r="35" spans="2:2" hidden="1" x14ac:dyDescent="0.2">
      <c r="B35" s="24" t="s">
        <v>16</v>
      </c>
    </row>
    <row r="36" spans="2:2" hidden="1" x14ac:dyDescent="0.2">
      <c r="B36" s="40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E27" sqref="E27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425781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2016.Q3 and 2016.Q2 Compliance Filing</v>
      </c>
      <c r="C4" s="6"/>
      <c r="D4" s="6"/>
      <c r="E4" s="6"/>
      <c r="F4" s="6"/>
      <c r="G4" s="6"/>
    </row>
    <row r="5" spans="2:16" ht="15.75" x14ac:dyDescent="0.25">
      <c r="B5" s="6" t="s">
        <v>11</v>
      </c>
      <c r="C5" s="6"/>
      <c r="D5" s="6"/>
      <c r="E5" s="6"/>
      <c r="F5" s="6"/>
      <c r="G5" s="6"/>
    </row>
    <row r="6" spans="2:16" s="21" customFormat="1" ht="15.75" x14ac:dyDescent="0.25">
      <c r="B6" s="19"/>
      <c r="C6" s="19"/>
      <c r="D6" s="20"/>
      <c r="E6" s="19"/>
      <c r="F6" s="19"/>
      <c r="G6" s="19"/>
    </row>
    <row r="7" spans="2:16" ht="15.75" x14ac:dyDescent="0.25">
      <c r="B7" s="48"/>
      <c r="C7" s="49" t="str">
        <f>Energy!C7</f>
        <v>2016.Q2</v>
      </c>
      <c r="D7" s="49" t="str">
        <f>Energy!D7</f>
        <v>Generic</v>
      </c>
      <c r="E7" s="49" t="str">
        <f>Energy!E7</f>
        <v>161012</v>
      </c>
      <c r="F7" s="49" t="str">
        <f>Energy!F7</f>
        <v>QF</v>
      </c>
      <c r="G7" s="49" t="str">
        <f>Energy!G7</f>
        <v>Wind</v>
      </c>
    </row>
    <row r="8" spans="2:16" ht="15.75" x14ac:dyDescent="0.25">
      <c r="B8" s="7" t="s">
        <v>0</v>
      </c>
      <c r="C8" s="2" t="str">
        <f>Energy!C8</f>
        <v>As Filed</v>
      </c>
      <c r="D8" s="2" t="str">
        <f>Energy!D8</f>
        <v>Update</v>
      </c>
      <c r="E8" s="2" t="str">
        <f>Energy!E8</f>
        <v>OFPC</v>
      </c>
      <c r="F8" s="2" t="str">
        <f>Energy!F8</f>
        <v>Queue</v>
      </c>
      <c r="G8" s="2" t="str">
        <f>Energy!G8</f>
        <v>Hourly</v>
      </c>
    </row>
    <row r="9" spans="2:16" ht="4.5" customHeight="1" x14ac:dyDescent="0.2"/>
    <row r="10" spans="2:16" ht="15.75" x14ac:dyDescent="0.25">
      <c r="B10" s="3">
        <v>2018</v>
      </c>
      <c r="C10" s="16">
        <f>ROUND(Capacity!$G10+Energy!C10,3)</f>
        <v>22.006</v>
      </c>
      <c r="D10" s="16">
        <f>ROUND(Capacity!$G10+Energy!D10,3)</f>
        <v>21.344000000000001</v>
      </c>
      <c r="E10" s="16">
        <f>ROUND(Capacity!$H10+Energy!E10,3)</f>
        <v>21.321999999999999</v>
      </c>
      <c r="F10" s="16">
        <f>ROUND(Capacity!$I10+Energy!F10,3)</f>
        <v>21.62</v>
      </c>
      <c r="G10" s="16">
        <f>ROUND(Capacity!$I10+Energy!G10,3)</f>
        <v>21.574999999999999</v>
      </c>
      <c r="I10" s="50"/>
      <c r="J10" s="60"/>
      <c r="K10" s="50"/>
      <c r="L10" s="50"/>
      <c r="M10" s="50"/>
      <c r="N10" s="50"/>
      <c r="O10" s="50"/>
    </row>
    <row r="11" spans="2:16" ht="15.75" x14ac:dyDescent="0.25">
      <c r="B11" s="3">
        <f t="shared" ref="B11:B24" si="0">B10+1</f>
        <v>2019</v>
      </c>
      <c r="C11" s="16">
        <f>ROUND(Capacity!$G11+Energy!C11,3)</f>
        <v>21.89</v>
      </c>
      <c r="D11" s="16">
        <f>ROUND(Capacity!$G11+Energy!D11,3)</f>
        <v>21.486999999999998</v>
      </c>
      <c r="E11" s="16">
        <f>ROUND(Capacity!$H11+Energy!E11,3)</f>
        <v>19.62</v>
      </c>
      <c r="F11" s="16">
        <f>ROUND(Capacity!$I11+Energy!F11,3)</f>
        <v>19.861000000000001</v>
      </c>
      <c r="G11" s="16">
        <f>ROUND(Capacity!$I11+Energy!G11,3)</f>
        <v>19.966000000000001</v>
      </c>
      <c r="I11" s="50"/>
      <c r="J11" s="60"/>
      <c r="K11" s="50"/>
      <c r="L11" s="50"/>
      <c r="M11" s="50"/>
      <c r="N11" s="50"/>
      <c r="O11" s="50"/>
    </row>
    <row r="12" spans="2:16" ht="15.75" x14ac:dyDescent="0.25">
      <c r="B12" s="3">
        <f t="shared" si="0"/>
        <v>2020</v>
      </c>
      <c r="C12" s="16">
        <f>ROUND(Capacity!$G12+Energy!C12,3)</f>
        <v>22.518999999999998</v>
      </c>
      <c r="D12" s="16">
        <f>ROUND(Capacity!$G12+Energy!D12,3)</f>
        <v>21.048999999999999</v>
      </c>
      <c r="E12" s="16">
        <f>ROUND(Capacity!$H12+Energy!E12,3)</f>
        <v>20.125</v>
      </c>
      <c r="F12" s="16">
        <f>ROUND(Capacity!$I12+Energy!F12,3)</f>
        <v>18.972999999999999</v>
      </c>
      <c r="G12" s="16">
        <f>ROUND(Capacity!$I12+Energy!G12,3)</f>
        <v>18.498999999999999</v>
      </c>
      <c r="I12" s="50"/>
      <c r="J12" s="60"/>
      <c r="K12" s="50"/>
      <c r="L12" s="50"/>
      <c r="M12" s="50"/>
      <c r="N12" s="50"/>
      <c r="O12" s="50"/>
    </row>
    <row r="13" spans="2:16" ht="15.75" x14ac:dyDescent="0.25">
      <c r="B13" s="3">
        <f t="shared" si="0"/>
        <v>2021</v>
      </c>
      <c r="C13" s="16">
        <f>ROUND(Capacity!$G13+Energy!C13,3)</f>
        <v>22.27</v>
      </c>
      <c r="D13" s="16">
        <f>ROUND(Capacity!$G13+Energy!D13,3)</f>
        <v>21.925999999999998</v>
      </c>
      <c r="E13" s="16">
        <f>ROUND(Capacity!$H13+Energy!E13,3)</f>
        <v>20.239000000000001</v>
      </c>
      <c r="F13" s="16">
        <f>ROUND(Capacity!$I13+Energy!F13,3)</f>
        <v>19.087</v>
      </c>
      <c r="G13" s="16">
        <f>ROUND(Capacity!$I13+Energy!G13,3)</f>
        <v>19.62</v>
      </c>
      <c r="I13" s="50"/>
      <c r="J13" s="60"/>
      <c r="K13" s="50"/>
      <c r="L13" s="50"/>
      <c r="M13" s="50"/>
      <c r="N13" s="50"/>
      <c r="O13" s="50"/>
      <c r="P13" s="5"/>
    </row>
    <row r="14" spans="2:16" ht="15.75" x14ac:dyDescent="0.25">
      <c r="B14" s="3">
        <f t="shared" si="0"/>
        <v>2022</v>
      </c>
      <c r="C14" s="16">
        <f>ROUND(Capacity!$G14+Energy!C14,3)</f>
        <v>24.14</v>
      </c>
      <c r="D14" s="16">
        <f>ROUND(Capacity!$G14+Energy!D14,3)</f>
        <v>23.527999999999999</v>
      </c>
      <c r="E14" s="16">
        <f>ROUND(Capacity!$H14+Energy!E14,3)</f>
        <v>22.143999999999998</v>
      </c>
      <c r="F14" s="16">
        <f>ROUND(Capacity!$I14+Energy!F14,3)</f>
        <v>21.376000000000001</v>
      </c>
      <c r="G14" s="16">
        <f>ROUND(Capacity!$I14+Energy!G14,3)</f>
        <v>21.562000000000001</v>
      </c>
      <c r="I14" s="50"/>
      <c r="J14" s="60"/>
      <c r="K14" s="50"/>
      <c r="L14" s="50"/>
      <c r="M14" s="50"/>
      <c r="N14" s="50"/>
      <c r="O14" s="50"/>
    </row>
    <row r="15" spans="2:16" ht="15.75" x14ac:dyDescent="0.25">
      <c r="B15" s="3">
        <f t="shared" si="0"/>
        <v>2023</v>
      </c>
      <c r="C15" s="16">
        <f>ROUND(Capacity!$G15+Energy!C15,3)</f>
        <v>27.077999999999999</v>
      </c>
      <c r="D15" s="16">
        <f>ROUND(Capacity!$G15+Energy!D15,3)</f>
        <v>26.763000000000002</v>
      </c>
      <c r="E15" s="16">
        <f>ROUND(Capacity!$H15+Energy!E15,3)</f>
        <v>25.846</v>
      </c>
      <c r="F15" s="16">
        <f>ROUND(Capacity!$I15+Energy!F15,3)</f>
        <v>24.103999999999999</v>
      </c>
      <c r="G15" s="16">
        <f>ROUND(Capacity!$I15+Energy!G15,3)</f>
        <v>24.561</v>
      </c>
      <c r="I15" s="50"/>
      <c r="J15" s="60"/>
      <c r="K15" s="50"/>
      <c r="L15" s="50"/>
      <c r="M15" s="50"/>
      <c r="N15" s="50"/>
      <c r="O15" s="50"/>
    </row>
    <row r="16" spans="2:16" ht="15.75" x14ac:dyDescent="0.25">
      <c r="B16" s="3">
        <f t="shared" si="0"/>
        <v>2024</v>
      </c>
      <c r="C16" s="16">
        <f>ROUND(Capacity!$G16+Energy!C16,3)</f>
        <v>29.161000000000001</v>
      </c>
      <c r="D16" s="16">
        <f>ROUND(Capacity!$G16+Energy!D16,3)</f>
        <v>29.16</v>
      </c>
      <c r="E16" s="16">
        <f>ROUND(Capacity!$H16+Energy!E16,3)</f>
        <v>28.619</v>
      </c>
      <c r="F16" s="16">
        <f>ROUND(Capacity!$I16+Energy!F16,3)</f>
        <v>26.751999999999999</v>
      </c>
      <c r="G16" s="16">
        <f>ROUND(Capacity!$I16+Energy!G16,3)</f>
        <v>25.91</v>
      </c>
      <c r="I16" s="50"/>
      <c r="J16" s="60"/>
      <c r="K16" s="50"/>
      <c r="L16" s="50"/>
      <c r="M16" s="50"/>
      <c r="N16" s="50"/>
      <c r="O16" s="50"/>
    </row>
    <row r="17" spans="2:15" ht="15.75" x14ac:dyDescent="0.25">
      <c r="B17" s="3">
        <f t="shared" si="0"/>
        <v>2025</v>
      </c>
      <c r="C17" s="16">
        <f>ROUND(Capacity!$G17+Energy!C17,3)</f>
        <v>32.945</v>
      </c>
      <c r="D17" s="16">
        <f>ROUND(Capacity!$G17+Energy!D17,3)</f>
        <v>33.110999999999997</v>
      </c>
      <c r="E17" s="16">
        <f>ROUND(Capacity!$H17+Energy!E17,3)</f>
        <v>32.633000000000003</v>
      </c>
      <c r="F17" s="16">
        <f>ROUND(Capacity!$I17+Energy!F17,3)</f>
        <v>28.867999999999999</v>
      </c>
      <c r="G17" s="16">
        <f>ROUND(Capacity!$I17+Energy!G17,3)</f>
        <v>29.393000000000001</v>
      </c>
      <c r="I17" s="50"/>
      <c r="J17" s="60"/>
      <c r="K17" s="50"/>
      <c r="L17" s="50"/>
      <c r="M17" s="50"/>
      <c r="N17" s="50"/>
      <c r="O17" s="50"/>
    </row>
    <row r="18" spans="2:15" ht="15.75" x14ac:dyDescent="0.25">
      <c r="B18" s="3">
        <f t="shared" si="0"/>
        <v>2026</v>
      </c>
      <c r="C18" s="16">
        <f>ROUND(Capacity!$G18+Energy!C18,3)</f>
        <v>33.957000000000001</v>
      </c>
      <c r="D18" s="16">
        <f>ROUND(Capacity!$G18+Energy!D18,3)</f>
        <v>34.152000000000001</v>
      </c>
      <c r="E18" s="16">
        <f>ROUND(Capacity!$H18+Energy!E18,3)</f>
        <v>33.344000000000001</v>
      </c>
      <c r="F18" s="16">
        <f>ROUND(Capacity!$I18+Energy!F18,3)</f>
        <v>29.928999999999998</v>
      </c>
      <c r="G18" s="16">
        <f>ROUND(Capacity!$I18+Energy!G18,3)</f>
        <v>30.21</v>
      </c>
      <c r="I18" s="50"/>
      <c r="J18" s="60"/>
      <c r="K18" s="50"/>
      <c r="L18" s="50"/>
      <c r="M18" s="50"/>
      <c r="N18" s="50"/>
      <c r="O18" s="50"/>
    </row>
    <row r="19" spans="2:15" ht="15.75" x14ac:dyDescent="0.25">
      <c r="B19" s="3">
        <f t="shared" si="0"/>
        <v>2027</v>
      </c>
      <c r="C19" s="16">
        <f>ROUND(Capacity!$G19+Energy!C19,3)</f>
        <v>35.927999999999997</v>
      </c>
      <c r="D19" s="16">
        <f>ROUND(Capacity!$G19+Energy!D19,3)</f>
        <v>36.002000000000002</v>
      </c>
      <c r="E19" s="16">
        <f>ROUND(Capacity!$H19+Energy!E19,3)</f>
        <v>35.737000000000002</v>
      </c>
      <c r="F19" s="16">
        <f>ROUND(Capacity!$I19+Energy!F19,3)</f>
        <v>31.811</v>
      </c>
      <c r="G19" s="16">
        <f>ROUND(Capacity!$I19+Energy!G19,3)</f>
        <v>31.629000000000001</v>
      </c>
      <c r="I19" s="50"/>
      <c r="J19" s="60"/>
      <c r="K19" s="50"/>
      <c r="L19" s="50"/>
      <c r="M19" s="50"/>
      <c r="N19" s="50"/>
      <c r="O19" s="50"/>
    </row>
    <row r="20" spans="2:15" ht="15.75" x14ac:dyDescent="0.25">
      <c r="B20" s="3">
        <f t="shared" si="0"/>
        <v>2028</v>
      </c>
      <c r="C20" s="16">
        <f>ROUND(Capacity!$G20+Energy!C20,3)</f>
        <v>50.996000000000002</v>
      </c>
      <c r="D20" s="16">
        <f>ROUND(Capacity!$G20+Energy!D20,3)</f>
        <v>50.911000000000001</v>
      </c>
      <c r="E20" s="16">
        <f>ROUND(Capacity!$H20+Energy!E20,3)</f>
        <v>50.332000000000001</v>
      </c>
      <c r="F20" s="16">
        <f>ROUND(Capacity!$I20+Energy!F20,3)</f>
        <v>37.259</v>
      </c>
      <c r="G20" s="16">
        <f>ROUND(Capacity!$I20+Energy!G20,3)</f>
        <v>37.482999999999997</v>
      </c>
      <c r="I20" s="50"/>
      <c r="J20" s="60"/>
      <c r="K20" s="50"/>
      <c r="L20" s="50"/>
      <c r="M20" s="50"/>
      <c r="N20" s="50"/>
      <c r="O20" s="50"/>
    </row>
    <row r="21" spans="2:15" ht="15.75" x14ac:dyDescent="0.25">
      <c r="B21" s="3">
        <f t="shared" si="0"/>
        <v>2029</v>
      </c>
      <c r="C21" s="16">
        <f>ROUND(Capacity!$G21+Energy!C21,3)</f>
        <v>52.338999999999999</v>
      </c>
      <c r="D21" s="16">
        <f>ROUND(Capacity!$G21+Energy!D21,3)</f>
        <v>52.825000000000003</v>
      </c>
      <c r="E21" s="16">
        <f>ROUND(Capacity!$H21+Energy!E21,3)</f>
        <v>52.152000000000001</v>
      </c>
      <c r="F21" s="16">
        <f>ROUND(Capacity!$I21+Energy!F21,3)</f>
        <v>40.481000000000002</v>
      </c>
      <c r="G21" s="16">
        <f>ROUND(Capacity!$I21+Energy!G21,3)</f>
        <v>40.808</v>
      </c>
      <c r="I21" s="50"/>
      <c r="J21" s="60"/>
      <c r="K21" s="50"/>
      <c r="L21" s="50"/>
      <c r="M21" s="50"/>
      <c r="N21" s="50"/>
      <c r="O21" s="50"/>
    </row>
    <row r="22" spans="2:15" ht="15.75" x14ac:dyDescent="0.25">
      <c r="B22" s="3">
        <f t="shared" si="0"/>
        <v>2030</v>
      </c>
      <c r="C22" s="16">
        <f>ROUND(Capacity!$G22+Energy!C22,3)</f>
        <v>54.843000000000004</v>
      </c>
      <c r="D22" s="16">
        <f>ROUND(Capacity!$G22+Energy!D22,3)</f>
        <v>54.973999999999997</v>
      </c>
      <c r="E22" s="16">
        <f>ROUND(Capacity!$H22+Energy!E22,3)</f>
        <v>54.634</v>
      </c>
      <c r="F22" s="16">
        <f>ROUND(Capacity!$I22+Energy!F22,3)</f>
        <v>53.722000000000001</v>
      </c>
      <c r="G22" s="16">
        <f>ROUND(Capacity!$I22+Energy!G22,3)</f>
        <v>53.588000000000001</v>
      </c>
      <c r="I22" s="50"/>
      <c r="J22" s="60"/>
      <c r="K22" s="50"/>
      <c r="L22" s="50"/>
      <c r="M22" s="50"/>
      <c r="N22" s="50"/>
      <c r="O22" s="50"/>
    </row>
    <row r="23" spans="2:15" ht="15.75" x14ac:dyDescent="0.25">
      <c r="B23" s="3">
        <f t="shared" si="0"/>
        <v>2031</v>
      </c>
      <c r="C23" s="16">
        <f>ROUND(Capacity!$G23+Energy!C23,3)</f>
        <v>56.613999999999997</v>
      </c>
      <c r="D23" s="16">
        <f>ROUND(Capacity!$G23+Energy!D23,3)</f>
        <v>56.646999999999998</v>
      </c>
      <c r="E23" s="16">
        <f>ROUND(Capacity!$H23+Energy!E23,3)</f>
        <v>56.088999999999999</v>
      </c>
      <c r="F23" s="16">
        <f>ROUND(Capacity!$I23+Energy!F23,3)</f>
        <v>55.433</v>
      </c>
      <c r="G23" s="16">
        <f>ROUND(Capacity!$I23+Energy!G23,3)</f>
        <v>55.518000000000001</v>
      </c>
      <c r="I23" s="50"/>
      <c r="J23" s="60"/>
      <c r="K23" s="50"/>
      <c r="L23" s="50"/>
      <c r="M23" s="50"/>
      <c r="N23" s="50"/>
      <c r="O23" s="50"/>
    </row>
    <row r="24" spans="2:15" ht="15.75" x14ac:dyDescent="0.25">
      <c r="B24" s="3">
        <f t="shared" si="0"/>
        <v>2032</v>
      </c>
      <c r="C24" s="16">
        <f>ROUND(Capacity!$G24+Energy!C24,3)</f>
        <v>58.009</v>
      </c>
      <c r="D24" s="16">
        <f>ROUND(Capacity!$G24+Energy!D24,3)</f>
        <v>57.962000000000003</v>
      </c>
      <c r="E24" s="16">
        <f>ROUND(Capacity!$H24+Energy!E24,3)</f>
        <v>57.55</v>
      </c>
      <c r="F24" s="16">
        <f>ROUND(Capacity!$I24+Energy!F24,3)</f>
        <v>56.734000000000002</v>
      </c>
      <c r="G24" s="16">
        <f>ROUND(Capacity!$I24+Energy!G24,3)</f>
        <v>57.005000000000003</v>
      </c>
      <c r="I24" s="50"/>
      <c r="J24" s="60"/>
      <c r="K24" s="50"/>
      <c r="L24" s="50"/>
      <c r="M24" s="50"/>
      <c r="N24" s="50"/>
      <c r="O24" s="50"/>
    </row>
    <row r="25" spans="2:15" x14ac:dyDescent="0.2">
      <c r="C25" s="17"/>
      <c r="D25" s="17"/>
      <c r="E25" s="17"/>
      <c r="F25" s="17"/>
      <c r="G25" s="17"/>
      <c r="I25" s="50"/>
      <c r="J25" s="50"/>
    </row>
    <row r="26" spans="2:15" x14ac:dyDescent="0.2">
      <c r="B26" s="4" t="str">
        <f>"Nominal Levelized Payment at "&amp;TEXT(Discount_Rate,"0.000%")&amp;" Discount Rate (3)"</f>
        <v>Nominal Levelized Payment at 6.660% Discount Rate (3)</v>
      </c>
      <c r="C26" s="17"/>
      <c r="D26" s="17"/>
      <c r="E26" s="17"/>
      <c r="F26" s="17"/>
      <c r="G26" s="17"/>
      <c r="I26" s="50"/>
      <c r="J26" s="50"/>
    </row>
    <row r="27" spans="2:15" x14ac:dyDescent="0.2">
      <c r="B27" s="8" t="str">
        <f>B10&amp;" - "&amp;B24</f>
        <v>2018 - 2032</v>
      </c>
      <c r="C27" s="18">
        <f>ROUND(PMT(Discount_Rate,COUNT(C10:C24),-NPV(Discount_Rate,C10:C24)),2)</f>
        <v>32.83</v>
      </c>
      <c r="D27" s="18">
        <f>ROUND(PMT(Discount_Rate,COUNT(D10:D24),-NPV(Discount_Rate,D10:D24)),3)</f>
        <v>32.552</v>
      </c>
      <c r="E27" s="18">
        <f>ROUND(PMT(Discount_Rate,COUNT(E10:E24),-NPV(Discount_Rate,E10:E24)),3)</f>
        <v>31.725000000000001</v>
      </c>
      <c r="F27" s="18">
        <f>ROUND(PMT(Discount_Rate,COUNT(F10:F24),-NPV(Discount_Rate,F10:F24)),3)</f>
        <v>29.222999999999999</v>
      </c>
      <c r="G27" s="18">
        <f>ROUND(PMT(Discount_Rate,COUNT(G10:G24),-NPV(Discount_Rate,G10:G24)),2)</f>
        <v>29.3</v>
      </c>
      <c r="I27" s="50"/>
      <c r="J27" s="60"/>
    </row>
    <row r="28" spans="2:15" x14ac:dyDescent="0.2">
      <c r="D28" s="10"/>
      <c r="E28" s="10"/>
      <c r="F28" s="10"/>
      <c r="G28" s="10"/>
      <c r="I28" s="50"/>
      <c r="J28" s="50"/>
    </row>
    <row r="29" spans="2:15" x14ac:dyDescent="0.2">
      <c r="B29" s="8" t="s">
        <v>20</v>
      </c>
      <c r="I29" s="50"/>
      <c r="J29" s="50"/>
    </row>
    <row r="30" spans="2:15" x14ac:dyDescent="0.2">
      <c r="B30" s="1" t="str">
        <f>"(2)   Official Forward Price Curve Dated "&amp;TEXT(B39,"MMMM YYYY")</f>
        <v>(2)   Official Forward Price Curve Dated June 2016</v>
      </c>
      <c r="I30" s="50"/>
      <c r="J30" s="50"/>
    </row>
    <row r="31" spans="2:15" x14ac:dyDescent="0.2">
      <c r="B31" s="1" t="str">
        <f>"(3)   "&amp;B35</f>
        <v>(3)   Discount Rate - 2015 IRP Page 141</v>
      </c>
    </row>
    <row r="32" spans="2:15" x14ac:dyDescent="0.2">
      <c r="B32" s="1" t="s">
        <v>10</v>
      </c>
    </row>
    <row r="34" spans="2:7" x14ac:dyDescent="0.2">
      <c r="B34" s="24"/>
    </row>
    <row r="35" spans="2:7" hidden="1" x14ac:dyDescent="0.2">
      <c r="B35" s="24" t="s">
        <v>16</v>
      </c>
      <c r="E35" s="22"/>
      <c r="F35" s="22"/>
      <c r="G35" s="22"/>
    </row>
    <row r="36" spans="2:7" hidden="1" x14ac:dyDescent="0.2">
      <c r="B36" s="23">
        <v>6.6600000000000006E-2</v>
      </c>
      <c r="E36" s="22"/>
      <c r="F36" s="22"/>
      <c r="G36" s="22"/>
    </row>
    <row r="37" spans="2:7" hidden="1" x14ac:dyDescent="0.2">
      <c r="D37" s="22"/>
      <c r="E37" s="22"/>
      <c r="F37" s="22"/>
      <c r="G37" s="22"/>
    </row>
    <row r="38" spans="2:7" hidden="1" x14ac:dyDescent="0.2">
      <c r="B38" s="1" t="s">
        <v>13</v>
      </c>
    </row>
    <row r="39" spans="2:7" hidden="1" x14ac:dyDescent="0.2">
      <c r="B39" s="25">
        <f>'[1]Forward Price Curve'!$G$2</f>
        <v>42551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G38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C30" sqref="C30"/>
    </sheetView>
  </sheetViews>
  <sheetFormatPr defaultRowHeight="15" x14ac:dyDescent="0.2"/>
  <cols>
    <col min="1" max="1" width="1.85546875" style="28" customWidth="1"/>
    <col min="2" max="2" width="13.7109375" style="28" customWidth="1"/>
    <col min="3" max="7" width="17.7109375" style="28" customWidth="1"/>
    <col min="8" max="8" width="2.28515625" style="28" customWidth="1"/>
    <col min="9" max="16384" width="9.140625" style="28"/>
  </cols>
  <sheetData>
    <row r="1" spans="2:7" ht="15.75" x14ac:dyDescent="0.25">
      <c r="B1" s="26" t="str">
        <f>Total!B1</f>
        <v>Appendix C</v>
      </c>
      <c r="C1" s="26"/>
      <c r="D1" s="26"/>
      <c r="E1" s="26"/>
      <c r="F1" s="26"/>
      <c r="G1" s="26"/>
    </row>
    <row r="2" spans="2:7" ht="8.25" customHeight="1" x14ac:dyDescent="0.25">
      <c r="B2" s="26"/>
      <c r="C2" s="26"/>
      <c r="D2" s="26"/>
      <c r="E2" s="26"/>
      <c r="F2" s="26"/>
      <c r="G2" s="26"/>
    </row>
    <row r="3" spans="2:7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</row>
    <row r="4" spans="2:7" ht="15.75" x14ac:dyDescent="0.25">
      <c r="B4" s="26" t="str">
        <f>Capacity!$B$4</f>
        <v>Step Study between 2016.Q3 and 2016.Q2 Compliance Filing</v>
      </c>
      <c r="C4" s="26"/>
      <c r="D4" s="26"/>
      <c r="E4" s="26"/>
      <c r="F4" s="26"/>
      <c r="G4" s="26"/>
    </row>
    <row r="5" spans="2:7" ht="15.75" x14ac:dyDescent="0.25">
      <c r="B5" s="26" t="s">
        <v>6</v>
      </c>
      <c r="C5" s="26"/>
      <c r="D5" s="26"/>
      <c r="E5" s="26"/>
      <c r="F5" s="26"/>
      <c r="G5" s="26"/>
    </row>
    <row r="6" spans="2:7" ht="15.75" x14ac:dyDescent="0.25">
      <c r="B6" s="26"/>
      <c r="C6" s="53"/>
      <c r="D6" s="53"/>
      <c r="E6" s="53"/>
      <c r="F6" s="53"/>
      <c r="G6" s="53"/>
    </row>
    <row r="7" spans="2:7" ht="15.75" x14ac:dyDescent="0.25">
      <c r="B7" s="29"/>
      <c r="C7" s="46" t="str">
        <f>Capacity!M7</f>
        <v>2016.Q2</v>
      </c>
      <c r="D7" s="61" t="s">
        <v>15</v>
      </c>
      <c r="E7" s="52" t="s">
        <v>26</v>
      </c>
      <c r="F7" s="52" t="s">
        <v>18</v>
      </c>
      <c r="G7" s="52" t="s">
        <v>27</v>
      </c>
    </row>
    <row r="8" spans="2:7" ht="15.75" x14ac:dyDescent="0.25">
      <c r="B8" s="31" t="s">
        <v>0</v>
      </c>
      <c r="C8" s="45" t="s">
        <v>7</v>
      </c>
      <c r="D8" s="12" t="s">
        <v>14</v>
      </c>
      <c r="E8" s="45" t="s">
        <v>28</v>
      </c>
      <c r="F8" s="51" t="s">
        <v>19</v>
      </c>
      <c r="G8" s="51" t="s">
        <v>29</v>
      </c>
    </row>
    <row r="9" spans="2:7" ht="4.5" customHeight="1" x14ac:dyDescent="0.2"/>
    <row r="10" spans="2:7" ht="15.75" x14ac:dyDescent="0.25">
      <c r="B10" s="33">
        <f>Total!B10</f>
        <v>2018</v>
      </c>
      <c r="C10" s="44">
        <f>ROUND(HLOOKUP($B10,[2]Summary!$C$5:$L$41,37,FALSE),3)</f>
        <v>22.006</v>
      </c>
      <c r="D10" s="44">
        <f>ROUND(HLOOKUP($B10,[3]Summary!$C$5:$L$41,37,FALSE),3)</f>
        <v>21.344000000000001</v>
      </c>
      <c r="E10" s="44">
        <f>ROUND(HLOOKUP($B10,[4]Summary!$C$5:$L$41,37,FALSE),3)</f>
        <v>21.321999999999999</v>
      </c>
      <c r="F10" s="44">
        <f>ROUND(HLOOKUP($B10,[5]Summary!$C$5:$L$41,37,FALSE),3)*F$38</f>
        <v>21.62</v>
      </c>
      <c r="G10" s="44">
        <f>ROUND(HLOOKUP($B10,[6]Summary!$C$5:$L$41,37,FALSE),3)*G$38</f>
        <v>21.574999999999999</v>
      </c>
    </row>
    <row r="11" spans="2:7" ht="15.75" x14ac:dyDescent="0.25">
      <c r="B11" s="33">
        <f t="shared" ref="B11:B24" si="0">B10+1</f>
        <v>2019</v>
      </c>
      <c r="C11" s="44">
        <f>ROUND(HLOOKUP($B11,[2]Summary!$C$5:$L$41,37,FALSE),3)</f>
        <v>21.89</v>
      </c>
      <c r="D11" s="44">
        <f>ROUND(HLOOKUP($B11,[3]Summary!$C$5:$L$41,37,FALSE),3)</f>
        <v>21.486999999999998</v>
      </c>
      <c r="E11" s="44">
        <f>ROUND(HLOOKUP($B11,[4]Summary!$C$5:$L$41,37,FALSE),3)</f>
        <v>19.62</v>
      </c>
      <c r="F11" s="44">
        <f>ROUND(HLOOKUP($B11,[5]Summary!$C$5:$L$41,37,FALSE),3)*F$38</f>
        <v>19.861000000000001</v>
      </c>
      <c r="G11" s="44">
        <f>ROUND(HLOOKUP($B11,[6]Summary!$C$5:$L$41,37,FALSE),3)*G$38</f>
        <v>19.966000000000001</v>
      </c>
    </row>
    <row r="12" spans="2:7" ht="15.75" x14ac:dyDescent="0.25">
      <c r="B12" s="33">
        <f t="shared" si="0"/>
        <v>2020</v>
      </c>
      <c r="C12" s="44">
        <f>ROUND(HLOOKUP($B12,[2]Summary!$C$5:$L$41,37,FALSE),3)</f>
        <v>22.518999999999998</v>
      </c>
      <c r="D12" s="44">
        <f>ROUND(HLOOKUP($B12,[3]Summary!$C$5:$L$41,37,FALSE),3)</f>
        <v>21.048999999999999</v>
      </c>
      <c r="E12" s="44">
        <f>ROUND(HLOOKUP($B12,[4]Summary!$C$5:$L$41,37,FALSE),3)</f>
        <v>20.125</v>
      </c>
      <c r="F12" s="44">
        <f>ROUND(HLOOKUP($B12,[5]Summary!$C$5:$L$41,37,FALSE),3)*F$38</f>
        <v>18.972999999999999</v>
      </c>
      <c r="G12" s="44">
        <f>ROUND(HLOOKUP($B12,[6]Summary!$C$5:$L$41,37,FALSE),3)*G$38</f>
        <v>18.498999999999999</v>
      </c>
    </row>
    <row r="13" spans="2:7" ht="15.75" x14ac:dyDescent="0.25">
      <c r="B13" s="33">
        <f t="shared" si="0"/>
        <v>2021</v>
      </c>
      <c r="C13" s="44">
        <f>ROUND(HLOOKUP($B13,[2]Summary!$C$5:$L$41,37,FALSE),3)</f>
        <v>22.27</v>
      </c>
      <c r="D13" s="44">
        <f>ROUND(HLOOKUP($B13,[3]Summary!$C$5:$L$41,37,FALSE),3)</f>
        <v>21.925999999999998</v>
      </c>
      <c r="E13" s="44">
        <f>ROUND(HLOOKUP($B13,[4]Summary!$C$5:$L$41,37,FALSE),3)</f>
        <v>20.239000000000001</v>
      </c>
      <c r="F13" s="44">
        <f>ROUND(HLOOKUP($B13,[5]Summary!$C$5:$L$41,37,FALSE),3)*F$38</f>
        <v>19.087</v>
      </c>
      <c r="G13" s="44">
        <f>ROUND(HLOOKUP($B13,[6]Summary!$C$5:$L$41,37,FALSE),3)*G$38</f>
        <v>19.62</v>
      </c>
    </row>
    <row r="14" spans="2:7" ht="15.75" x14ac:dyDescent="0.25">
      <c r="B14" s="33">
        <f t="shared" si="0"/>
        <v>2022</v>
      </c>
      <c r="C14" s="44">
        <f>ROUND(HLOOKUP($B14,[2]Summary!$C$5:$L$41,37,FALSE),3)</f>
        <v>24.14</v>
      </c>
      <c r="D14" s="44">
        <f>ROUND(HLOOKUP($B14,[3]Summary!$C$5:$L$41,37,FALSE),3)</f>
        <v>23.527999999999999</v>
      </c>
      <c r="E14" s="44">
        <f>ROUND(HLOOKUP($B14,[4]Summary!$C$5:$L$41,37,FALSE),3)</f>
        <v>22.143999999999998</v>
      </c>
      <c r="F14" s="44">
        <f>ROUND(HLOOKUP($B14,[5]Summary!$C$5:$L$41,37,FALSE),3)*F$38</f>
        <v>21.376000000000001</v>
      </c>
      <c r="G14" s="44">
        <f>ROUND(HLOOKUP($B14,[6]Summary!$C$5:$L$41,37,FALSE),3)*G$38</f>
        <v>21.562000000000001</v>
      </c>
    </row>
    <row r="15" spans="2:7" ht="15.75" x14ac:dyDescent="0.25">
      <c r="B15" s="33">
        <f t="shared" si="0"/>
        <v>2023</v>
      </c>
      <c r="C15" s="44">
        <f>ROUND(HLOOKUP($B15,[2]Summary!$C$5:$L$41,37,FALSE),3)</f>
        <v>27.077999999999999</v>
      </c>
      <c r="D15" s="44">
        <f>ROUND(HLOOKUP($B15,[3]Summary!$C$5:$L$41,37,FALSE),3)</f>
        <v>26.763000000000002</v>
      </c>
      <c r="E15" s="44">
        <f>ROUND(HLOOKUP($B15,[4]Summary!$C$5:$L$41,37,FALSE),3)</f>
        <v>25.846</v>
      </c>
      <c r="F15" s="44">
        <f>ROUND(HLOOKUP($B15,[5]Summary!$C$5:$L$41,37,FALSE),3)*F$38</f>
        <v>24.103999999999999</v>
      </c>
      <c r="G15" s="44">
        <f>ROUND(HLOOKUP($B15,[6]Summary!$C$5:$L$41,37,FALSE),3)*G$38</f>
        <v>24.561</v>
      </c>
    </row>
    <row r="16" spans="2:7" ht="15.75" x14ac:dyDescent="0.25">
      <c r="B16" s="33">
        <f t="shared" si="0"/>
        <v>2024</v>
      </c>
      <c r="C16" s="44">
        <f>ROUND(HLOOKUP($B16,[2]Summary!$C$5:$L$41,37,FALSE),3)</f>
        <v>29.161000000000001</v>
      </c>
      <c r="D16" s="44">
        <f>ROUND(HLOOKUP($B16,[3]Summary!$C$5:$L$41,37,FALSE),3)</f>
        <v>29.16</v>
      </c>
      <c r="E16" s="44">
        <f>ROUND(HLOOKUP($B16,[4]Summary!$C$5:$L$41,37,FALSE),3)</f>
        <v>28.619</v>
      </c>
      <c r="F16" s="44">
        <f>ROUND(HLOOKUP($B16,[5]Summary!$C$5:$L$41,37,FALSE),3)*F$38</f>
        <v>26.751999999999999</v>
      </c>
      <c r="G16" s="44">
        <f>ROUND(HLOOKUP($B16,[6]Summary!$C$5:$L$41,37,FALSE),3)*G$38</f>
        <v>25.91</v>
      </c>
    </row>
    <row r="17" spans="2:7" ht="15.75" x14ac:dyDescent="0.25">
      <c r="B17" s="33">
        <f t="shared" si="0"/>
        <v>2025</v>
      </c>
      <c r="C17" s="44">
        <f>ROUND(HLOOKUP($B17,[2]Summary!$C$5:$L$41,37,FALSE),3)</f>
        <v>32.945</v>
      </c>
      <c r="D17" s="44">
        <f>ROUND(HLOOKUP($B17,[3]Summary!$C$5:$L$41,37,FALSE),3)</f>
        <v>33.110999999999997</v>
      </c>
      <c r="E17" s="44">
        <f>ROUND(HLOOKUP($B17,[4]Summary!$C$5:$L$41,37,FALSE),3)</f>
        <v>32.633000000000003</v>
      </c>
      <c r="F17" s="44">
        <f>ROUND(HLOOKUP($B17,[5]Summary!$C$5:$L$41,37,FALSE),3)*F$38</f>
        <v>28.867999999999999</v>
      </c>
      <c r="G17" s="44">
        <f>ROUND(HLOOKUP($B17,[6]Summary!$C$5:$L$41,37,FALSE),3)*G$38</f>
        <v>29.393000000000001</v>
      </c>
    </row>
    <row r="18" spans="2:7" ht="15.75" x14ac:dyDescent="0.25">
      <c r="B18" s="33">
        <f t="shared" si="0"/>
        <v>2026</v>
      </c>
      <c r="C18" s="44">
        <f>ROUND(HLOOKUP($B18,[2]Summary!$C$5:$L$41,37,FALSE),3)</f>
        <v>33.957000000000001</v>
      </c>
      <c r="D18" s="44">
        <f>ROUND(HLOOKUP($B18,[3]Summary!$C$5:$L$41,37,FALSE),3)</f>
        <v>34.152000000000001</v>
      </c>
      <c r="E18" s="44">
        <f>ROUND(HLOOKUP($B18,[4]Summary!$C$5:$L$41,37,FALSE),3)</f>
        <v>33.344000000000001</v>
      </c>
      <c r="F18" s="44">
        <f>ROUND(HLOOKUP($B18,[5]Summary!$C$5:$L$41,37,FALSE),3)*F$38</f>
        <v>29.928999999999998</v>
      </c>
      <c r="G18" s="44">
        <f>ROUND(HLOOKUP($B18,[6]Summary!$C$5:$L$41,37,FALSE),3)*G$38</f>
        <v>30.21</v>
      </c>
    </row>
    <row r="19" spans="2:7" ht="15.75" x14ac:dyDescent="0.25">
      <c r="B19" s="33">
        <f t="shared" si="0"/>
        <v>2027</v>
      </c>
      <c r="C19" s="44">
        <f>ROUND(HLOOKUP($B19,[2]Summary!$C$5:$L$41,37,FALSE),3)</f>
        <v>35.927999999999997</v>
      </c>
      <c r="D19" s="44">
        <f>ROUND(HLOOKUP($B19,[3]Summary!$C$5:$L$41,37,FALSE),3)</f>
        <v>36.002000000000002</v>
      </c>
      <c r="E19" s="44">
        <f>ROUND(HLOOKUP($B19,[4]Summary!$C$5:$L$41,37,FALSE),3)</f>
        <v>35.737000000000002</v>
      </c>
      <c r="F19" s="44">
        <f>ROUND(HLOOKUP($B19,[5]Summary!$C$5:$L$41,37,FALSE),3)*F$38</f>
        <v>31.811</v>
      </c>
      <c r="G19" s="44">
        <f>ROUND(HLOOKUP($B19,[6]Summary!$C$5:$L$41,37,FALSE),3)*G$38</f>
        <v>31.629000000000001</v>
      </c>
    </row>
    <row r="20" spans="2:7" ht="15.75" x14ac:dyDescent="0.25">
      <c r="B20" s="33">
        <f t="shared" si="0"/>
        <v>2028</v>
      </c>
      <c r="C20" s="44">
        <f>ROUND(HLOOKUP($B20,[7]Summary!$C$5:$L$41,37,FALSE),3)</f>
        <v>31.033000000000001</v>
      </c>
      <c r="D20" s="44">
        <f>ROUND(HLOOKUP($B20,[8]Summary!$C$5:$L$41,37,FALSE),3)</f>
        <v>30.948</v>
      </c>
      <c r="E20" s="44">
        <f>ROUND(HLOOKUP($B20,[9]Summary!$C$5:$L$41,37,FALSE),3)</f>
        <v>30.507000000000001</v>
      </c>
      <c r="F20" s="44">
        <f>ROUND(HLOOKUP($B20,[10]Summary!$C$5:$L$41,37,FALSE),3)*F$38</f>
        <v>35.414999999999999</v>
      </c>
      <c r="G20" s="44">
        <f>ROUND(HLOOKUP($B20,[11]Summary!$C$5:$L$41,37,FALSE),3)*G$38</f>
        <v>35.639000000000003</v>
      </c>
    </row>
    <row r="21" spans="2:7" ht="15.75" x14ac:dyDescent="0.25">
      <c r="B21" s="33">
        <f t="shared" si="0"/>
        <v>2029</v>
      </c>
      <c r="C21" s="44">
        <f>ROUND(HLOOKUP($B21,[7]Summary!$C$5:$L$41,37,FALSE),3)</f>
        <v>31.902999999999999</v>
      </c>
      <c r="D21" s="44">
        <f>ROUND(HLOOKUP($B21,[8]Summary!$C$5:$L$41,37,FALSE),3)</f>
        <v>32.389000000000003</v>
      </c>
      <c r="E21" s="44">
        <f>ROUND(HLOOKUP($B21,[9]Summary!$C$5:$L$41,37,FALSE),3)</f>
        <v>31.832000000000001</v>
      </c>
      <c r="F21" s="44">
        <f>ROUND(HLOOKUP($B21,[10]Summary!$C$5:$L$41,37,FALSE),3)*F$38</f>
        <v>38.591000000000001</v>
      </c>
      <c r="G21" s="44">
        <f>ROUND(HLOOKUP($B21,[11]Summary!$C$5:$L$41,37,FALSE),3)*G$38</f>
        <v>38.917999999999999</v>
      </c>
    </row>
    <row r="22" spans="2:7" ht="15.75" x14ac:dyDescent="0.25">
      <c r="B22" s="33">
        <f t="shared" si="0"/>
        <v>2030</v>
      </c>
      <c r="C22" s="44">
        <f>ROUND(HLOOKUP($B22,[7]Summary!$C$5:$L$41,37,FALSE),3)</f>
        <v>33.953000000000003</v>
      </c>
      <c r="D22" s="44">
        <f>ROUND(HLOOKUP($B22,[8]Summary!$C$5:$L$41,37,FALSE),3)</f>
        <v>34.084000000000003</v>
      </c>
      <c r="E22" s="44">
        <f>ROUND(HLOOKUP($B22,[9]Summary!$C$5:$L$41,37,FALSE),3)</f>
        <v>33.863999999999997</v>
      </c>
      <c r="F22" s="44">
        <f>ROUND(HLOOKUP($B22,[10]Summary!$C$5:$L$41,37,FALSE),3)*F$38</f>
        <v>34.301000000000002</v>
      </c>
      <c r="G22" s="44">
        <f>ROUND(HLOOKUP($B22,[11]Summary!$C$5:$L$41,37,FALSE),3)*G$38</f>
        <v>34.167000000000002</v>
      </c>
    </row>
    <row r="23" spans="2:7" ht="15.75" x14ac:dyDescent="0.25">
      <c r="B23" s="33">
        <f t="shared" si="0"/>
        <v>2031</v>
      </c>
      <c r="C23" s="44">
        <f>ROUND(HLOOKUP($B23,[7]Summary!$C$5:$L$41,37,FALSE),3)</f>
        <v>35.262999999999998</v>
      </c>
      <c r="D23" s="44">
        <f>ROUND(HLOOKUP($B23,[8]Summary!$C$5:$L$41,37,FALSE),3)</f>
        <v>35.295999999999999</v>
      </c>
      <c r="E23" s="44">
        <f>ROUND(HLOOKUP($B23,[9]Summary!$C$5:$L$41,37,FALSE),3)</f>
        <v>34.860999999999997</v>
      </c>
      <c r="F23" s="44">
        <f>ROUND(HLOOKUP($B23,[10]Summary!$C$5:$L$41,37,FALSE),3)*F$38</f>
        <v>35.582999999999998</v>
      </c>
      <c r="G23" s="44">
        <f>ROUND(HLOOKUP($B23,[11]Summary!$C$5:$L$41,37,FALSE),3)*G$38</f>
        <v>35.667999999999999</v>
      </c>
    </row>
    <row r="24" spans="2:7" ht="15.75" x14ac:dyDescent="0.25">
      <c r="B24" s="33">
        <f t="shared" si="0"/>
        <v>2032</v>
      </c>
      <c r="C24" s="44">
        <f>ROUND(HLOOKUP($B24,[7]Summary!$C$5:$L$41,37,FALSE),3)</f>
        <v>36.247999999999998</v>
      </c>
      <c r="D24" s="44">
        <f>ROUND(HLOOKUP($B24,[8]Summary!$C$5:$L$41,37,FALSE),3)</f>
        <v>36.201000000000001</v>
      </c>
      <c r="E24" s="44">
        <f>ROUND(HLOOKUP($B24,[9]Summary!$C$5:$L$41,37,FALSE),3)</f>
        <v>35.912999999999997</v>
      </c>
      <c r="F24" s="44">
        <f>ROUND(HLOOKUP($B24,[10]Summary!$C$5:$L$41,37,FALSE),3)*F$38</f>
        <v>36.5</v>
      </c>
      <c r="G24" s="44">
        <f>ROUND(HLOOKUP($B24,[11]Summary!$C$5:$L$41,37,FALSE),3)*G$38</f>
        <v>36.771000000000001</v>
      </c>
    </row>
    <row r="25" spans="2:7" x14ac:dyDescent="0.2">
      <c r="C25" s="43"/>
      <c r="D25" s="43"/>
      <c r="E25" s="43"/>
      <c r="F25" s="43"/>
      <c r="G25" s="43"/>
    </row>
    <row r="26" spans="2:7" x14ac:dyDescent="0.2">
      <c r="B26" s="36" t="str">
        <f>"Nominal Levelized Payment at "&amp;TEXT($B$35,"0.00%")&amp;" Discount Rate (3) (4)"</f>
        <v>Nominal Levelized Payment at 6.66% Discount Rate (3) (4)</v>
      </c>
      <c r="C26" s="43"/>
      <c r="D26" s="43"/>
      <c r="E26" s="43"/>
      <c r="F26" s="43"/>
      <c r="G26" s="43"/>
    </row>
    <row r="27" spans="2:7" x14ac:dyDescent="0.2">
      <c r="B27" s="37" t="str">
        <f>B10&amp;" - "&amp;B24</f>
        <v>2018 - 2032</v>
      </c>
      <c r="C27" s="42">
        <f>ROUND(PMT($B$35,COUNT(C10:C24),-NPV($B$35,C10:C24)),3)</f>
        <v>27.975999999999999</v>
      </c>
      <c r="D27" s="42">
        <f>ROUND(PMT($B$35,COUNT(D10:D24),-NPV($B$35,D10:D24)),3)</f>
        <v>27.693999999999999</v>
      </c>
      <c r="E27" s="42">
        <f>ROUND(PMT($B$35,COUNT(E10:E24),-NPV($B$35,E10:E24)),3)</f>
        <v>26.895</v>
      </c>
      <c r="F27" s="42">
        <f>ROUND(PMT($B$35,COUNT(F10:F24),-NPV($B$35,F10:F24)),3)</f>
        <v>26.437999999999999</v>
      </c>
      <c r="G27" s="42">
        <f>ROUND(PMT($B$35,COUNT(G10:G24),-NPV($B$35,G10:G24)),3)</f>
        <v>26.513000000000002</v>
      </c>
    </row>
    <row r="28" spans="2:7" x14ac:dyDescent="0.2">
      <c r="B28" s="37"/>
      <c r="C28" s="35"/>
      <c r="D28" s="35"/>
      <c r="E28" s="35"/>
      <c r="F28" s="35"/>
      <c r="G28" s="35"/>
    </row>
    <row r="29" spans="2:7" x14ac:dyDescent="0.2">
      <c r="B29" s="37" t="str">
        <f>Total!B29</f>
        <v>(1)   Studies are sequential.  The order of the studies would affect the price impact.</v>
      </c>
    </row>
    <row r="30" spans="2:7" x14ac:dyDescent="0.2">
      <c r="B30" s="37" t="str">
        <f>Total!B30</f>
        <v>(2)   Official Forward Price Curve Dated June 2016</v>
      </c>
    </row>
    <row r="31" spans="2:7" x14ac:dyDescent="0.2">
      <c r="B31" s="37" t="str">
        <f>Total!B31</f>
        <v>(3)   Discount Rate - 2015 IRP Page 141</v>
      </c>
    </row>
    <row r="32" spans="2:7" x14ac:dyDescent="0.2">
      <c r="B32" s="28" t="s">
        <v>22</v>
      </c>
    </row>
    <row r="33" spans="2:7" hidden="1" x14ac:dyDescent="0.2">
      <c r="B33" s="28" t="s">
        <v>23</v>
      </c>
    </row>
    <row r="34" spans="2:7" hidden="1" x14ac:dyDescent="0.2">
      <c r="B34" s="24" t="s">
        <v>16</v>
      </c>
    </row>
    <row r="35" spans="2:7" hidden="1" x14ac:dyDescent="0.2">
      <c r="B35" s="41">
        <f>Discount_Rate</f>
        <v>6.6600000000000006E-2</v>
      </c>
    </row>
    <row r="37" spans="2:7" ht="15.75" hidden="1" x14ac:dyDescent="0.25">
      <c r="F37" s="62"/>
      <c r="G37" s="62"/>
    </row>
    <row r="38" spans="2:7" hidden="1" x14ac:dyDescent="0.2">
      <c r="B38" s="63">
        <f t="shared" ref="B38:E38" si="1">IF(OR(B7="not used",B8="not used"),0,1)</f>
        <v>1</v>
      </c>
      <c r="C38" s="63">
        <f t="shared" si="1"/>
        <v>1</v>
      </c>
      <c r="D38" s="63">
        <f t="shared" si="1"/>
        <v>1</v>
      </c>
      <c r="E38" s="63">
        <f t="shared" si="1"/>
        <v>1</v>
      </c>
      <c r="F38" s="63">
        <f>IF(OR(F7="not used",F8="not used"),0,1)</f>
        <v>1</v>
      </c>
      <c r="G38" s="63">
        <f t="shared" ref="G38" si="2">IF(OR(G7="not used",G8="not used"),0,1)</f>
        <v>1</v>
      </c>
    </row>
  </sheetData>
  <printOptions horizontalCentered="1"/>
  <pageMargins left="0.25" right="0.25" top="0.75" bottom="0.75" header="0.3" footer="0.2"/>
  <pageSetup scale="90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M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P22" sqref="P22"/>
    </sheetView>
  </sheetViews>
  <sheetFormatPr defaultRowHeight="15" x14ac:dyDescent="0.2"/>
  <cols>
    <col min="1" max="1" width="1.85546875" style="28" customWidth="1"/>
    <col min="2" max="2" width="13.85546875" style="28" customWidth="1"/>
    <col min="3" max="5" width="19.140625" style="28" customWidth="1"/>
    <col min="6" max="6" width="1.140625" style="28" customWidth="1"/>
    <col min="7" max="9" width="19.140625" style="28" customWidth="1"/>
    <col min="10" max="10" width="1.5703125" style="28" customWidth="1"/>
    <col min="11" max="12" width="2.140625" customWidth="1"/>
    <col min="13" max="13" width="9.140625" style="28" hidden="1" customWidth="1"/>
    <col min="14" max="16384" width="9.140625" style="28"/>
  </cols>
  <sheetData>
    <row r="1" spans="2:13" ht="15.75" x14ac:dyDescent="0.25">
      <c r="B1" s="26" t="str">
        <f>[12]Total!B1</f>
        <v>Appendix C</v>
      </c>
      <c r="C1" s="26"/>
      <c r="D1" s="26"/>
      <c r="E1" s="26"/>
      <c r="F1" s="27"/>
      <c r="G1" s="26"/>
      <c r="H1" s="26"/>
      <c r="I1" s="26"/>
      <c r="J1" s="65"/>
      <c r="K1" s="66"/>
    </row>
    <row r="2" spans="2:13" ht="8.25" customHeight="1" x14ac:dyDescent="0.25">
      <c r="B2" s="26"/>
      <c r="C2" s="26"/>
      <c r="D2" s="26"/>
      <c r="E2" s="26"/>
      <c r="F2" s="27"/>
      <c r="G2" s="26"/>
      <c r="H2" s="26"/>
      <c r="I2" s="26"/>
      <c r="J2" s="65"/>
      <c r="K2" s="66"/>
    </row>
    <row r="3" spans="2:13" ht="15.75" x14ac:dyDescent="0.25">
      <c r="B3" s="26" t="str">
        <f>[12]Total!B3</f>
        <v>Utah Quarterly Compliance Filing</v>
      </c>
      <c r="C3" s="26"/>
      <c r="D3" s="26"/>
      <c r="E3" s="26"/>
      <c r="F3" s="27"/>
      <c r="G3" s="26"/>
      <c r="H3" s="26"/>
      <c r="I3" s="26"/>
      <c r="J3" s="65"/>
      <c r="K3" s="66"/>
    </row>
    <row r="4" spans="2:13" ht="15.75" x14ac:dyDescent="0.25">
      <c r="B4" s="26" t="str">
        <f>"Step Study between "&amp;M8&amp;" and "&amp;M7&amp;" Compliance Filing"</f>
        <v>Step Study between 2016.Q3 and 2016.Q2 Compliance Filing</v>
      </c>
      <c r="C4" s="26"/>
      <c r="D4" s="26"/>
      <c r="E4" s="26"/>
      <c r="F4" s="27"/>
      <c r="G4" s="26"/>
      <c r="H4" s="26"/>
      <c r="I4" s="26"/>
      <c r="J4" s="65"/>
      <c r="K4" s="66"/>
    </row>
    <row r="5" spans="2:13" ht="15.75" x14ac:dyDescent="0.25">
      <c r="B5" s="26" t="s">
        <v>9</v>
      </c>
      <c r="C5" s="26"/>
      <c r="D5" s="26"/>
      <c r="E5" s="26"/>
      <c r="F5" s="27"/>
      <c r="G5" s="26"/>
      <c r="H5" s="26"/>
      <c r="I5" s="26"/>
      <c r="J5" s="65"/>
      <c r="K5" s="66"/>
    </row>
    <row r="6" spans="2:13" ht="15.75" x14ac:dyDescent="0.25">
      <c r="B6" s="26"/>
      <c r="C6" s="26"/>
      <c r="D6" s="26"/>
      <c r="E6" s="26"/>
      <c r="G6" s="26"/>
      <c r="H6" s="26"/>
      <c r="I6" s="26"/>
      <c r="J6" s="65"/>
      <c r="K6" s="66"/>
    </row>
    <row r="7" spans="2:13" ht="15.75" x14ac:dyDescent="0.25">
      <c r="B7" s="29"/>
      <c r="C7" s="30" t="s">
        <v>2</v>
      </c>
      <c r="D7" s="30"/>
      <c r="E7" s="30"/>
      <c r="G7" s="30" t="s">
        <v>8</v>
      </c>
      <c r="H7" s="47"/>
      <c r="I7" s="47"/>
      <c r="J7" s="65"/>
      <c r="K7" s="66"/>
      <c r="M7" s="32" t="s">
        <v>21</v>
      </c>
    </row>
    <row r="8" spans="2:13" ht="30.75" customHeight="1" x14ac:dyDescent="0.25">
      <c r="B8" s="31" t="s">
        <v>0</v>
      </c>
      <c r="C8" s="58" t="str">
        <f>[12]Energy!C7&amp;" (3)"</f>
        <v>2016.Q2 (3)</v>
      </c>
      <c r="D8" s="64" t="s">
        <v>25</v>
      </c>
      <c r="E8" s="58" t="str">
        <f>M8&amp;" (5)"</f>
        <v>2016.Q3 (5)</v>
      </c>
      <c r="G8" s="32" t="str">
        <f>C8</f>
        <v>2016.Q2 (3)</v>
      </c>
      <c r="H8" s="58" t="str">
        <f>D8</f>
        <v>161012 OFPC (4)</v>
      </c>
      <c r="I8" s="58" t="str">
        <f>E8</f>
        <v>2016.Q3 (5)</v>
      </c>
      <c r="M8" s="32" t="s">
        <v>24</v>
      </c>
    </row>
    <row r="9" spans="2:13" ht="4.5" customHeight="1" x14ac:dyDescent="0.2"/>
    <row r="10" spans="2:13" ht="15.75" x14ac:dyDescent="0.25">
      <c r="B10" s="33">
        <f>[12]Total!B10</f>
        <v>2018</v>
      </c>
      <c r="C10" s="34">
        <f>IF(VLOOKUP($B10,'[13]Table 1'!$B$12:$C$33,2,FALSE)&lt;&gt;0,VLOOKUP($B10,'[13]Table 1'!$B$12:$C$33,2,FALSE),0)</f>
        <v>0</v>
      </c>
      <c r="D10" s="34">
        <f>IF(VLOOKUP($B10,'[14]Table 1'!$B$12:$C$33,2,FALSE)&lt;&gt;0,VLOOKUP($B10,'[14]Table 1'!$B$12:$C$33,2,FALSE),0)</f>
        <v>0</v>
      </c>
      <c r="E10" s="34">
        <f>IF(VLOOKUP($B10,'[15]Table 1'!$B$12:$C$33,2,FALSE)&lt;&gt;0,VLOOKUP($B10,'[15]Table 1'!$B$12:$C$33,2,FALSE),0)</f>
        <v>0</v>
      </c>
      <c r="G10" s="34">
        <f t="shared" ref="G10:I24" si="0">C10*1000/(IF(MOD($B10,4)=0,8784,8760)*0.85)</f>
        <v>0</v>
      </c>
      <c r="H10" s="34">
        <f t="shared" si="0"/>
        <v>0</v>
      </c>
      <c r="I10" s="34">
        <f t="shared" si="0"/>
        <v>0</v>
      </c>
    </row>
    <row r="11" spans="2:13" ht="15.75" x14ac:dyDescent="0.25">
      <c r="B11" s="33">
        <f t="shared" ref="B11:B24" si="1">B10+1</f>
        <v>2019</v>
      </c>
      <c r="C11" s="34">
        <f>IF(VLOOKUP($B11,'[13]Table 1'!$B$12:$C$33,2,FALSE)&lt;&gt;0,VLOOKUP($B11,'[13]Table 1'!$B$12:$C$33,2,FALSE),0)</f>
        <v>0</v>
      </c>
      <c r="D11" s="34">
        <f>IF(VLOOKUP($B11,'[14]Table 1'!$B$12:$C$33,2,FALSE)&lt;&gt;0,VLOOKUP($B11,'[14]Table 1'!$B$12:$C$33,2,FALSE),0)</f>
        <v>0</v>
      </c>
      <c r="E11" s="34">
        <f>IF(VLOOKUP($B11,'[15]Table 1'!$B$12:$C$33,2,FALSE)&lt;&gt;0,VLOOKUP($B11,'[15]Table 1'!$B$12:$C$33,2,FALSE),0)</f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</row>
    <row r="12" spans="2:13" ht="15.75" x14ac:dyDescent="0.25">
      <c r="B12" s="33">
        <f t="shared" si="1"/>
        <v>2020</v>
      </c>
      <c r="C12" s="34">
        <f>IF(VLOOKUP($B12,'[13]Table 1'!$B$12:$C$33,2,FALSE)&lt;&gt;0,VLOOKUP($B12,'[13]Table 1'!$B$12:$C$33,2,FALSE),0)</f>
        <v>0</v>
      </c>
      <c r="D12" s="34">
        <f>IF(VLOOKUP($B12,'[14]Table 1'!$B$12:$C$33,2,FALSE)&lt;&gt;0,VLOOKUP($B12,'[14]Table 1'!$B$12:$C$33,2,FALSE),0)</f>
        <v>0</v>
      </c>
      <c r="E12" s="34">
        <f>IF(VLOOKUP($B12,'[15]Table 1'!$B$12:$C$33,2,FALSE)&lt;&gt;0,VLOOKUP($B12,'[15]Table 1'!$B$12:$C$33,2,FALSE),0)</f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13" ht="15.75" x14ac:dyDescent="0.25">
      <c r="B13" s="33">
        <f t="shared" si="1"/>
        <v>2021</v>
      </c>
      <c r="C13" s="34">
        <f>IF(VLOOKUP($B13,'[13]Table 1'!$B$12:$C$33,2,FALSE)&lt;&gt;0,VLOOKUP($B13,'[13]Table 1'!$B$12:$C$33,2,FALSE),0)</f>
        <v>0</v>
      </c>
      <c r="D13" s="34">
        <f>IF(VLOOKUP($B13,'[14]Table 1'!$B$12:$C$33,2,FALSE)&lt;&gt;0,VLOOKUP($B13,'[14]Table 1'!$B$12:$C$33,2,FALSE),0)</f>
        <v>0</v>
      </c>
      <c r="E13" s="34">
        <f>IF(VLOOKUP($B13,'[15]Table 1'!$B$12:$C$33,2,FALSE)&lt;&gt;0,VLOOKUP($B13,'[15]Table 1'!$B$12:$C$33,2,FALSE),0)</f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</row>
    <row r="14" spans="2:13" ht="15.75" x14ac:dyDescent="0.25">
      <c r="B14" s="33">
        <f t="shared" si="1"/>
        <v>2022</v>
      </c>
      <c r="C14" s="34">
        <f>IF(VLOOKUP($B14,'[13]Table 1'!$B$12:$C$33,2,FALSE)&lt;&gt;0,VLOOKUP($B14,'[13]Table 1'!$B$12:$C$33,2,FALSE),0)</f>
        <v>0</v>
      </c>
      <c r="D14" s="34">
        <f>IF(VLOOKUP($B14,'[14]Table 1'!$B$12:$C$33,2,FALSE)&lt;&gt;0,VLOOKUP($B14,'[14]Table 1'!$B$12:$C$33,2,FALSE),0)</f>
        <v>0</v>
      </c>
      <c r="E14" s="34">
        <f>IF(VLOOKUP($B14,'[15]Table 1'!$B$12:$C$33,2,FALSE)&lt;&gt;0,VLOOKUP($B14,'[15]Table 1'!$B$12:$C$33,2,FALSE),0)</f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</row>
    <row r="15" spans="2:13" ht="15.75" x14ac:dyDescent="0.25">
      <c r="B15" s="33">
        <f t="shared" si="1"/>
        <v>2023</v>
      </c>
      <c r="C15" s="34">
        <f>IF(VLOOKUP($B15,'[13]Table 1'!$B$12:$C$33,2,FALSE)&lt;&gt;0,VLOOKUP($B15,'[13]Table 1'!$B$12:$C$33,2,FALSE),0)</f>
        <v>0</v>
      </c>
      <c r="D15" s="34">
        <f>IF(VLOOKUP($B15,'[14]Table 1'!$B$12:$C$33,2,FALSE)&lt;&gt;0,VLOOKUP($B15,'[14]Table 1'!$B$12:$C$33,2,FALSE),0)</f>
        <v>0</v>
      </c>
      <c r="E15" s="34">
        <f>IF(VLOOKUP($B15,'[15]Table 1'!$B$12:$C$33,2,FALSE)&lt;&gt;0,VLOOKUP($B15,'[15]Table 1'!$B$12:$C$33,2,FALSE),0)</f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</row>
    <row r="16" spans="2:13" ht="15.75" x14ac:dyDescent="0.25">
      <c r="B16" s="33">
        <f t="shared" si="1"/>
        <v>2024</v>
      </c>
      <c r="C16" s="34">
        <f>IF(VLOOKUP($B16,'[13]Table 1'!$B$12:$C$33,2,FALSE)&lt;&gt;0,VLOOKUP($B16,'[13]Table 1'!$B$12:$C$33,2,FALSE),0)</f>
        <v>0</v>
      </c>
      <c r="D16" s="34">
        <f>IF(VLOOKUP($B16,'[14]Table 1'!$B$12:$C$33,2,FALSE)&lt;&gt;0,VLOOKUP($B16,'[14]Table 1'!$B$12:$C$33,2,FALSE),0)</f>
        <v>0</v>
      </c>
      <c r="E16" s="34">
        <f>IF(VLOOKUP($B16,'[15]Table 1'!$B$12:$C$33,2,FALSE)&lt;&gt;0,VLOOKUP($B16,'[15]Table 1'!$B$12:$C$33,2,FALSE),0)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</row>
    <row r="17" spans="2:12" ht="15.75" x14ac:dyDescent="0.25">
      <c r="B17" s="33">
        <f t="shared" si="1"/>
        <v>2025</v>
      </c>
      <c r="C17" s="34">
        <f>IF(VLOOKUP($B17,'[13]Table 1'!$B$12:$C$33,2,FALSE)&lt;&gt;0,VLOOKUP($B17,'[13]Table 1'!$B$12:$C$33,2,FALSE),0)</f>
        <v>0</v>
      </c>
      <c r="D17" s="34">
        <f>IF(VLOOKUP($B17,'[14]Table 1'!$B$12:$C$33,2,FALSE)&lt;&gt;0,VLOOKUP($B17,'[14]Table 1'!$B$12:$C$33,2,FALSE),0)</f>
        <v>0</v>
      </c>
      <c r="E17" s="34">
        <f>IF(VLOOKUP($B17,'[15]Table 1'!$B$12:$C$33,2,FALSE)&lt;&gt;0,VLOOKUP($B17,'[15]Table 1'!$B$12:$C$33,2,FALSE),0)</f>
        <v>0</v>
      </c>
      <c r="G17" s="34">
        <f t="shared" si="0"/>
        <v>0</v>
      </c>
      <c r="H17" s="34">
        <f t="shared" si="0"/>
        <v>0</v>
      </c>
      <c r="I17" s="34">
        <f t="shared" si="0"/>
        <v>0</v>
      </c>
    </row>
    <row r="18" spans="2:12" ht="15.75" x14ac:dyDescent="0.25">
      <c r="B18" s="33">
        <f t="shared" si="1"/>
        <v>2026</v>
      </c>
      <c r="C18" s="34">
        <f>IF(VLOOKUP($B18,'[13]Table 1'!$B$12:$C$33,2,FALSE)&lt;&gt;0,VLOOKUP($B18,'[13]Table 1'!$B$12:$C$33,2,FALSE),0)</f>
        <v>0</v>
      </c>
      <c r="D18" s="34">
        <f>IF(VLOOKUP($B18,'[14]Table 1'!$B$12:$C$33,2,FALSE)&lt;&gt;0,VLOOKUP($B18,'[14]Table 1'!$B$12:$C$33,2,FALSE),0)</f>
        <v>0</v>
      </c>
      <c r="E18" s="34">
        <f>IF(VLOOKUP($B18,'[15]Table 1'!$B$12:$C$33,2,FALSE)&lt;&gt;0,VLOOKUP($B18,'[15]Table 1'!$B$12:$C$33,2,FALSE),0)</f>
        <v>0</v>
      </c>
      <c r="G18" s="34">
        <f t="shared" si="0"/>
        <v>0</v>
      </c>
      <c r="H18" s="34">
        <f t="shared" si="0"/>
        <v>0</v>
      </c>
      <c r="I18" s="34">
        <f t="shared" si="0"/>
        <v>0</v>
      </c>
    </row>
    <row r="19" spans="2:12" ht="15.75" x14ac:dyDescent="0.25">
      <c r="B19" s="33">
        <f t="shared" si="1"/>
        <v>2027</v>
      </c>
      <c r="C19" s="34">
        <f>IF(VLOOKUP($B19,'[13]Table 1'!$B$12:$C$33,2,FALSE)&lt;&gt;0,VLOOKUP($B19,'[13]Table 1'!$B$12:$C$33,2,FALSE),0)</f>
        <v>0</v>
      </c>
      <c r="D19" s="34">
        <f>IF(VLOOKUP($B19,'[14]Table 1'!$B$12:$C$33,2,FALSE)&lt;&gt;0,VLOOKUP($B19,'[14]Table 1'!$B$12:$C$33,2,FALSE),0)</f>
        <v>0</v>
      </c>
      <c r="E19" s="34">
        <f>IF(VLOOKUP($B19,'[15]Table 1'!$B$12:$C$33,2,FALSE)&lt;&gt;0,VLOOKUP($B19,'[15]Table 1'!$B$12:$C$33,2,FALSE),0)</f>
        <v>0</v>
      </c>
      <c r="G19" s="34">
        <f t="shared" si="0"/>
        <v>0</v>
      </c>
      <c r="H19" s="34">
        <f t="shared" si="0"/>
        <v>0</v>
      </c>
      <c r="I19" s="34">
        <f t="shared" si="0"/>
        <v>0</v>
      </c>
    </row>
    <row r="20" spans="2:12" ht="15.75" x14ac:dyDescent="0.25">
      <c r="B20" s="33">
        <f t="shared" si="1"/>
        <v>2028</v>
      </c>
      <c r="C20" s="34">
        <f>IF(VLOOKUP($B20,'[13]Table 1'!$B$12:$C$33,2,FALSE)&lt;&gt;0,VLOOKUP($B20,'[13]Table 1'!$B$12:$C$33,2,FALSE),0)</f>
        <v>149.05000000000001</v>
      </c>
      <c r="D20" s="34">
        <f>IF(VLOOKUP($B20,'[14]Table 1'!$B$12:$C$33,2,FALSE)&lt;&gt;0,VLOOKUP($B20,'[14]Table 1'!$B$12:$C$33,2,FALSE),0)</f>
        <v>148.02000000000001</v>
      </c>
      <c r="E20" s="34">
        <f>IF(VLOOKUP($B20,'[15]Table 1'!$B$12:$C$33,2,FALSE)&lt;&gt;0,VLOOKUP($B20,'[15]Table 1'!$B$12:$C$33,2,FALSE),0)</f>
        <v>13.768309627245415</v>
      </c>
      <c r="G20" s="34">
        <f t="shared" si="0"/>
        <v>19.96276652737598</v>
      </c>
      <c r="H20" s="34">
        <f t="shared" si="0"/>
        <v>19.824815171970428</v>
      </c>
      <c r="I20" s="34">
        <f t="shared" si="0"/>
        <v>1.8440358977881464</v>
      </c>
    </row>
    <row r="21" spans="2:12" ht="15.75" x14ac:dyDescent="0.25">
      <c r="B21" s="33">
        <f t="shared" si="1"/>
        <v>2029</v>
      </c>
      <c r="C21" s="34">
        <f>IF(VLOOKUP($B21,'[13]Table 1'!$B$12:$C$33,2,FALSE)&lt;&gt;0,VLOOKUP($B21,'[13]Table 1'!$B$12:$C$33,2,FALSE),0)</f>
        <v>152.16999999999999</v>
      </c>
      <c r="D21" s="34">
        <f>IF(VLOOKUP($B21,'[14]Table 1'!$B$12:$C$33,2,FALSE)&lt;&gt;0,VLOOKUP($B21,'[14]Table 1'!$B$12:$C$33,2,FALSE),0)</f>
        <v>151.30000000000001</v>
      </c>
      <c r="E21" s="34">
        <f>IF(VLOOKUP($B21,'[15]Table 1'!$B$12:$C$33,2,FALSE)&lt;&gt;0,VLOOKUP($B21,'[15]Table 1'!$B$12:$C$33,2,FALSE),0)</f>
        <v>14.073403908946299</v>
      </c>
      <c r="G21" s="34">
        <f t="shared" si="0"/>
        <v>20.436475960247112</v>
      </c>
      <c r="H21" s="34">
        <f t="shared" si="0"/>
        <v>20.319634703196346</v>
      </c>
      <c r="I21" s="34">
        <f t="shared" si="0"/>
        <v>1.8900623031085548</v>
      </c>
    </row>
    <row r="22" spans="2:12" ht="15.75" x14ac:dyDescent="0.25">
      <c r="B22" s="33">
        <f t="shared" si="1"/>
        <v>2030</v>
      </c>
      <c r="C22" s="34">
        <f>IF(VLOOKUP($B22,'[13]Table 1'!$B$12:$C$33,2,FALSE)&lt;&gt;0,VLOOKUP($B22,'[13]Table 1'!$B$12:$C$33,2,FALSE),0)</f>
        <v>155.55000000000001</v>
      </c>
      <c r="D22" s="34">
        <f>IF(VLOOKUP($B22,'[14]Table 1'!$B$12:$C$33,2,FALSE)&lt;&gt;0,VLOOKUP($B22,'[14]Table 1'!$B$12:$C$33,2,FALSE),0)</f>
        <v>154.65</v>
      </c>
      <c r="E22" s="34">
        <f>IF(VLOOKUP($B22,'[15]Table 1'!$B$12:$C$33,2,FALSE)&lt;&gt;0,VLOOKUP($B22,'[15]Table 1'!$B$12:$C$33,2,FALSE),0)</f>
        <v>144.60969320074051</v>
      </c>
      <c r="G22" s="34">
        <f t="shared" si="0"/>
        <v>20.890410958904109</v>
      </c>
      <c r="H22" s="34">
        <f t="shared" si="0"/>
        <v>20.769540692989526</v>
      </c>
      <c r="I22" s="34">
        <f t="shared" si="0"/>
        <v>19.4211245233334</v>
      </c>
    </row>
    <row r="23" spans="2:12" ht="15.75" x14ac:dyDescent="0.25">
      <c r="B23" s="33">
        <f t="shared" si="1"/>
        <v>2031</v>
      </c>
      <c r="C23" s="34">
        <f>IF(VLOOKUP($B23,'[13]Table 1'!$B$12:$C$33,2,FALSE)&lt;&gt;0,VLOOKUP($B23,'[13]Table 1'!$B$12:$C$33,2,FALSE),0)</f>
        <v>158.97999999999999</v>
      </c>
      <c r="D23" s="34">
        <f>IF(VLOOKUP($B23,'[14]Table 1'!$B$12:$C$33,2,FALSE)&lt;&gt;0,VLOOKUP($B23,'[14]Table 1'!$B$12:$C$33,2,FALSE),0)</f>
        <v>158.06</v>
      </c>
      <c r="E23" s="34">
        <f>IF(VLOOKUP($B23,'[15]Table 1'!$B$12:$C$33,2,FALSE)&lt;&gt;0,VLOOKUP($B23,'[15]Table 1'!$B$12:$C$33,2,FALSE),0)</f>
        <v>147.80201717257225</v>
      </c>
      <c r="G23" s="34">
        <f t="shared" si="0"/>
        <v>21.351060972334139</v>
      </c>
      <c r="H23" s="34">
        <f t="shared" si="0"/>
        <v>21.227504700510341</v>
      </c>
      <c r="I23" s="34">
        <f t="shared" si="0"/>
        <v>19.84985457595652</v>
      </c>
    </row>
    <row r="24" spans="2:12" ht="15.75" x14ac:dyDescent="0.25">
      <c r="B24" s="33">
        <f t="shared" si="1"/>
        <v>2032</v>
      </c>
      <c r="C24" s="34">
        <f>IF(VLOOKUP($B24,'[13]Table 1'!$B$12:$C$33,2,FALSE)&lt;&gt;0,VLOOKUP($B24,'[13]Table 1'!$B$12:$C$33,2,FALSE),0)</f>
        <v>162.47999999999999</v>
      </c>
      <c r="D24" s="34">
        <f>IF(VLOOKUP($B24,'[14]Table 1'!$B$12:$C$33,2,FALSE)&lt;&gt;0,VLOOKUP($B24,'[14]Table 1'!$B$12:$C$33,2,FALSE),0)</f>
        <v>161.55000000000001</v>
      </c>
      <c r="E24" s="34">
        <f>IF(VLOOKUP($B24,'[15]Table 1'!$B$12:$C$33,2,FALSE)&lt;&gt;0,VLOOKUP($B24,'[15]Table 1'!$B$12:$C$33,2,FALSE),0)</f>
        <v>151.07434114440403</v>
      </c>
      <c r="G24" s="34">
        <f t="shared" si="0"/>
        <v>21.76149148183864</v>
      </c>
      <c r="H24" s="34">
        <f t="shared" si="0"/>
        <v>21.636933461909354</v>
      </c>
      <c r="I24" s="34">
        <f t="shared" si="0"/>
        <v>20.233893328030113</v>
      </c>
    </row>
    <row r="25" spans="2:12" ht="15.75" x14ac:dyDescent="0.25">
      <c r="B25" s="33"/>
      <c r="C25" s="35"/>
      <c r="D25" s="35"/>
      <c r="E25" s="35"/>
      <c r="G25" s="35"/>
    </row>
    <row r="26" spans="2:12" x14ac:dyDescent="0.2">
      <c r="B26" s="36" t="str">
        <f>"Nominal Levelized Payment at "&amp;TEXT($B$39,"0.000%")&amp;" Discount Rate (2)"</f>
        <v>Nominal Levelized Payment at 6.660% Discount Rate (2)</v>
      </c>
    </row>
    <row r="27" spans="2:12" x14ac:dyDescent="0.2">
      <c r="B27" s="37" t="str">
        <f>$B$10&amp;" - "&amp;B24</f>
        <v>2018 - 2032</v>
      </c>
      <c r="C27" s="38">
        <f>PMT($B$39,COUNT(C10:C24),-NPV($B$39,C10:C24))</f>
        <v>36.214449841425342</v>
      </c>
      <c r="D27" s="38">
        <f>PMT($B$39,COUNT(D10:D24),-NPV($B$39,D10:D24))</f>
        <v>35.996978314773472</v>
      </c>
      <c r="E27" s="38">
        <f>PMT($B$39,COUNT(E10:E24),-NPV($B$39,E10:E24))</f>
        <v>20.756348002420943</v>
      </c>
      <c r="G27" s="38">
        <f>PMT($B$39,COUNT(G10:G24),-NPV($B$39,G10:G24))</f>
        <v>4.858284479601652</v>
      </c>
      <c r="H27" s="38">
        <f>PMT($B$39,COUNT(H10:H24),-NPV($B$39,H10:H24))</f>
        <v>4.8291119100591056</v>
      </c>
      <c r="I27" s="38">
        <f>PMT($B$39,COUNT(I10:I24),-NPV($B$39,I10:I24))</f>
        <v>2.7850521235592454</v>
      </c>
    </row>
    <row r="29" spans="2:12" x14ac:dyDescent="0.2">
      <c r="B29" s="28" t="s">
        <v>3</v>
      </c>
    </row>
    <row r="30" spans="2:12" s="1" customFormat="1" x14ac:dyDescent="0.2">
      <c r="B30" s="28" t="str">
        <f>"(2)   "&amp;[12]Total!B35</f>
        <v>(2)   Discount Rate - 2015 IRP Page 141</v>
      </c>
      <c r="C30" s="28"/>
      <c r="D30" s="28"/>
      <c r="E30" s="28"/>
      <c r="F30" s="28"/>
      <c r="G30" s="28"/>
      <c r="K30"/>
      <c r="L30"/>
    </row>
    <row r="31" spans="2:12" x14ac:dyDescent="0.2">
      <c r="B31" s="28" t="str">
        <f>"(3)  Capacity costs reflect - "&amp;TRIM('[13]Table 1'!$B$45)</f>
        <v>(3)  Capacity costs reflect - 2028 - West M - 477 MW - CCCT Dry "J", Adv 1x1 - West Side Resource (1,500') ( 100.0%)</v>
      </c>
    </row>
    <row r="32" spans="2:12" hidden="1" x14ac:dyDescent="0.2">
      <c r="B32" s="28" t="str">
        <f>"   "&amp;'[13]Table 1'!$B$46</f>
        <v xml:space="preserve">   </v>
      </c>
    </row>
    <row r="33" spans="2:2" x14ac:dyDescent="0.2">
      <c r="B33" s="28" t="str">
        <f>"(4)  Capacity costs reflect - "&amp;TRIM('[14]Table 1'!$B$45)</f>
        <v>(4)  Capacity costs reflect - 2028 - West M - 477 MW - CCCT Dry "J", Adv 1x1 - West Side Resource (1,500') ( 100.0%)</v>
      </c>
    </row>
    <row r="34" spans="2:2" x14ac:dyDescent="0.2">
      <c r="B34" s="28" t="str">
        <f>"(5)  Capacity costs reflect - "</f>
        <v xml:space="preserve">(5)  Capacity costs reflect - </v>
      </c>
    </row>
    <row r="35" spans="2:2" x14ac:dyDescent="0.2">
      <c r="B35" s="28" t="str">
        <f>"     "&amp;TRIM('[15]Table 1'!$B$45)</f>
        <v xml:space="preserve">     2028 - West M - 477 MW - CCCT Dry "J", Adv 1x1 - West Side Resource (1,500') ( 9.3%)</v>
      </c>
    </row>
    <row r="36" spans="2:2" x14ac:dyDescent="0.2">
      <c r="B36" s="28" t="str">
        <f>"     "&amp;TRIM('[15]Table 1'!$B$46)</f>
        <v xml:space="preserve">     2030 - WYNE DJohns - 665 MW - CCCT Dry "JF, 2x1 - East Side Resource (5,050') ( 90.7%)</v>
      </c>
    </row>
    <row r="38" spans="2:2" x14ac:dyDescent="0.2">
      <c r="B38" s="65" t="str">
        <f>[12]Total!B35</f>
        <v>Discount Rate - 2015 IRP Page 141</v>
      </c>
    </row>
    <row r="39" spans="2:2" x14ac:dyDescent="0.2">
      <c r="B39" s="39">
        <f>Discount_Rate</f>
        <v>6.6600000000000006E-2</v>
      </c>
    </row>
  </sheetData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2016-12-29T22:00:40Z</dcterms:created>
  <dcterms:modified xsi:type="dcterms:W3CDTF">2016-12-30T16:46:29Z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