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24226"/>
  <bookViews>
    <workbookView xWindow="0" yWindow="0" windowWidth="34440" windowHeight="12825" activeTab="1"/>
  </bookViews>
  <sheets>
    <sheet name="Queue" sheetId="2" r:id="rId1"/>
    <sheet name="Displacement" sheetId="6" r:id="rId2"/>
  </sheets>
  <definedNames>
    <definedName name="_xlnm._FilterDatabase" localSheetId="0" hidden="1">Queue!$B$3:$I$125</definedName>
    <definedName name="_Order1" hidden="1">255</definedName>
    <definedName name="_Order2" hidden="1">0</definedName>
    <definedName name="AC_Case">Queue!$D$125</definedName>
    <definedName name="Base_Case">Queue!$D$122</definedName>
    <definedName name="CC_E_Fixed">Queue!$K$6</definedName>
    <definedName name="CC_E_Gas">Queue!$K$8</definedName>
    <definedName name="CC_E_Hydro">Queue!$K$9</definedName>
    <definedName name="CC_E_Tracking">Queue!$K$7</definedName>
    <definedName name="CC_E_Wind">Queue!$K$5</definedName>
    <definedName name="CC_W_Fixed">Queue!$N$6</definedName>
    <definedName name="CC_W_Gas">Queue!$N$8</definedName>
    <definedName name="CC_W_Hydro">Queue!$N$9</definedName>
    <definedName name="CC_W_Tracking">Queue!$N$7</definedName>
    <definedName name="CC_W_Wind">Queue!$N$5</definedName>
    <definedName name="_xlnm.Print_Area" localSheetId="0">Queue!$B$1:$I$126</definedName>
    <definedName name="Signed_MW" localSheetId="0">Queue!$D$27</definedName>
  </definedNames>
  <calcPr calcId="152511" calcOnSave="0"/>
</workbook>
</file>

<file path=xl/calcChain.xml><?xml version="1.0" encoding="utf-8"?>
<calcChain xmlns="http://schemas.openxmlformats.org/spreadsheetml/2006/main">
  <c r="D66" i="2" l="1"/>
  <c r="D65" i="2"/>
  <c r="D64" i="2"/>
  <c r="D63" i="2"/>
  <c r="G63" i="2" l="1"/>
  <c r="G64" i="2"/>
  <c r="G65" i="2"/>
  <c r="G66" i="2"/>
  <c r="D62" i="2" l="1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G57" i="2" l="1"/>
  <c r="G61" i="2"/>
  <c r="G50" i="2"/>
  <c r="G51" i="2"/>
  <c r="G55" i="2"/>
  <c r="G59" i="2"/>
  <c r="G49" i="2"/>
  <c r="G53" i="2"/>
  <c r="G48" i="2"/>
  <c r="G52" i="2"/>
  <c r="G56" i="2"/>
  <c r="G60" i="2"/>
  <c r="G54" i="2"/>
  <c r="G58" i="2"/>
  <c r="G62" i="2"/>
  <c r="E9" i="2" l="1"/>
  <c r="D44" i="2" l="1"/>
  <c r="D47" i="2"/>
  <c r="D43" i="2"/>
  <c r="D46" i="2"/>
  <c r="D45" i="2"/>
  <c r="G45" i="2" l="1"/>
  <c r="G44" i="2"/>
  <c r="G43" i="2"/>
  <c r="G46" i="2"/>
  <c r="G47" i="2"/>
  <c r="D37" i="2" l="1"/>
  <c r="G37" i="2" l="1"/>
  <c r="D36" i="2" l="1"/>
  <c r="G36" i="2" l="1"/>
  <c r="F6" i="2" l="1"/>
  <c r="D6" i="2"/>
  <c r="G6" i="2" s="1"/>
  <c r="F5" i="2"/>
  <c r="D5" i="2"/>
  <c r="G5" i="2" s="1"/>
  <c r="M12" i="2" l="1"/>
  <c r="G5" i="6" l="1"/>
  <c r="M5" i="6"/>
  <c r="L5" i="6"/>
  <c r="K5" i="6"/>
  <c r="J5" i="6"/>
  <c r="I5" i="6"/>
  <c r="H5" i="6"/>
  <c r="F5" i="6"/>
  <c r="E5" i="6"/>
  <c r="K9" i="6" s="1"/>
  <c r="D5" i="6"/>
  <c r="C5" i="6"/>
  <c r="B12" i="6"/>
  <c r="L9" i="6" l="1"/>
  <c r="F12" i="6"/>
  <c r="E9" i="6"/>
  <c r="M9" i="6"/>
  <c r="I9" i="6"/>
  <c r="H9" i="6"/>
  <c r="B13" i="6"/>
  <c r="F13" i="6" l="1"/>
  <c r="B14" i="6"/>
  <c r="F14" i="6" l="1"/>
  <c r="B15" i="6"/>
  <c r="F15" i="6" l="1"/>
  <c r="B16" i="6"/>
  <c r="F16" i="6" l="1"/>
  <c r="B17" i="6"/>
  <c r="F17" i="6" l="1"/>
  <c r="B18" i="6"/>
  <c r="F18" i="6" l="1"/>
  <c r="B19" i="6"/>
  <c r="F19" i="6" l="1"/>
  <c r="B20" i="6"/>
  <c r="F20" i="6" l="1"/>
  <c r="B21" i="6"/>
  <c r="F21" i="6" l="1"/>
  <c r="B22" i="6"/>
  <c r="F22" i="6" l="1"/>
  <c r="B23" i="6"/>
  <c r="F23" i="6" l="1"/>
  <c r="B24" i="6"/>
  <c r="F24" i="6" l="1"/>
  <c r="B25" i="6"/>
  <c r="F25" i="6" l="1"/>
  <c r="B26" i="6"/>
  <c r="F26" i="6" l="1"/>
  <c r="B27" i="6"/>
  <c r="F27" i="6" l="1"/>
  <c r="B28" i="6"/>
  <c r="F28" i="6" l="1"/>
  <c r="B29" i="6"/>
  <c r="F29" i="6" l="1"/>
  <c r="F30" i="6" s="1"/>
  <c r="F31" i="6" s="1"/>
  <c r="F32" i="6" s="1"/>
  <c r="F33" i="6" s="1"/>
  <c r="F34" i="6" s="1"/>
  <c r="F35" i="6" s="1"/>
  <c r="F36" i="6" s="1"/>
  <c r="B30" i="6"/>
  <c r="B31" i="6" l="1"/>
  <c r="B32" i="6" l="1"/>
  <c r="B33" i="6" l="1"/>
  <c r="B34" i="6" l="1"/>
  <c r="B35" i="6" l="1"/>
  <c r="B36" i="6" s="1"/>
  <c r="M9" i="2" l="1"/>
  <c r="M8" i="2"/>
  <c r="M7" i="2"/>
  <c r="M6" i="2"/>
  <c r="M5" i="2"/>
  <c r="B6" i="2" l="1"/>
  <c r="B7" i="2" s="1"/>
  <c r="B8" i="2" s="1"/>
  <c r="B9" i="2" s="1"/>
  <c r="D27" i="2" l="1"/>
  <c r="E27" i="2"/>
  <c r="D34" i="2" l="1"/>
  <c r="D35" i="2"/>
  <c r="D33" i="2"/>
  <c r="D31" i="2"/>
  <c r="D32" i="2"/>
  <c r="D30" i="2" l="1"/>
  <c r="G31" i="2"/>
  <c r="G33" i="2"/>
  <c r="G32" i="2"/>
  <c r="G35" i="2"/>
  <c r="G34" i="2"/>
  <c r="G30" i="2" l="1"/>
  <c r="B30" i="2" l="1"/>
  <c r="B31" i="2" l="1"/>
  <c r="B32" i="2" s="1"/>
  <c r="B33" i="2" l="1"/>
  <c r="B34" i="2" l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D39" i="2" l="1"/>
  <c r="D38" i="2" l="1"/>
  <c r="G39" i="2"/>
  <c r="G38" i="2" l="1"/>
  <c r="D41" i="2"/>
  <c r="D40" i="2" l="1"/>
  <c r="G41" i="2"/>
  <c r="G40" i="2" l="1"/>
  <c r="D42" i="2" l="1"/>
  <c r="G42" i="2" l="1"/>
  <c r="D73" i="2" l="1"/>
  <c r="D72" i="2"/>
  <c r="D71" i="2"/>
  <c r="D70" i="2"/>
  <c r="D69" i="2"/>
  <c r="D68" i="2"/>
  <c r="D67" i="2"/>
  <c r="D77" i="2"/>
  <c r="D75" i="2"/>
  <c r="D74" i="2"/>
  <c r="D78" i="2"/>
  <c r="D76" i="2"/>
  <c r="D79" i="2"/>
  <c r="D80" i="2"/>
  <c r="G80" i="2" l="1"/>
  <c r="G78" i="2"/>
  <c r="G75" i="2"/>
  <c r="G77" i="2"/>
  <c r="G79" i="2"/>
  <c r="G74" i="2"/>
  <c r="G76" i="2"/>
  <c r="G68" i="2"/>
  <c r="G72" i="2"/>
  <c r="G73" i="2"/>
  <c r="G69" i="2"/>
  <c r="G70" i="2"/>
  <c r="G67" i="2"/>
  <c r="G71" i="2"/>
  <c r="D82" i="2" l="1"/>
  <c r="D81" i="2"/>
  <c r="G81" i="2" l="1"/>
  <c r="G82" i="2"/>
  <c r="D83" i="2" l="1"/>
  <c r="D84" i="2"/>
  <c r="G84" i="2" l="1"/>
  <c r="G83" i="2"/>
  <c r="D85" i="2" l="1"/>
  <c r="E120" i="2"/>
  <c r="D124" i="2"/>
  <c r="G124" i="2" s="1"/>
  <c r="E122" i="2" l="1"/>
  <c r="G85" i="2"/>
  <c r="D120" i="2"/>
  <c r="D122" i="2" s="1"/>
  <c r="D125" i="2" l="1"/>
  <c r="F39" i="6"/>
  <c r="G39" i="6" l="1"/>
  <c r="E11" i="6" l="1"/>
  <c r="H11" i="6" s="1"/>
  <c r="I11" i="6" s="1"/>
  <c r="K11" i="6" l="1"/>
  <c r="L11" i="6" s="1"/>
  <c r="M11" i="6" l="1"/>
  <c r="B67" i="2" l="1"/>
  <c r="B68" i="2" s="1"/>
  <c r="B69" i="2" l="1"/>
  <c r="B70" i="2" s="1"/>
  <c r="B71" i="2" s="1"/>
  <c r="B72" i="2" s="1"/>
  <c r="B73" i="2" l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124" i="2" l="1"/>
  <c r="E30" i="6" l="1"/>
  <c r="E17" i="6"/>
  <c r="E35" i="6"/>
  <c r="E21" i="6"/>
  <c r="E32" i="6"/>
  <c r="E13" i="6"/>
  <c r="E28" i="6"/>
  <c r="E27" i="6"/>
  <c r="E25" i="6"/>
  <c r="E15" i="6"/>
  <c r="E23" i="6"/>
  <c r="E29" i="6"/>
  <c r="E22" i="6"/>
  <c r="E16" i="6"/>
  <c r="E12" i="6"/>
  <c r="E24" i="6"/>
  <c r="E26" i="6"/>
  <c r="E31" i="6"/>
  <c r="E34" i="6"/>
  <c r="E33" i="6"/>
  <c r="E14" i="6"/>
  <c r="E19" i="6"/>
  <c r="E20" i="6"/>
  <c r="E18" i="6"/>
  <c r="E36" i="6"/>
  <c r="K34" i="6" l="1"/>
  <c r="K12" i="6"/>
  <c r="H12" i="6"/>
  <c r="H13" i="6" s="1"/>
  <c r="H14" i="6" s="1"/>
  <c r="K36" i="6"/>
  <c r="K18" i="6"/>
  <c r="K25" i="6"/>
  <c r="K13" i="6"/>
  <c r="K32" i="6"/>
  <c r="K21" i="6"/>
  <c r="K30" i="6"/>
  <c r="K33" i="6"/>
  <c r="K16" i="6"/>
  <c r="K28" i="6"/>
  <c r="K31" i="6"/>
  <c r="K26" i="6"/>
  <c r="K24" i="6"/>
  <c r="K23" i="6"/>
  <c r="K35" i="6"/>
  <c r="K20" i="6"/>
  <c r="K15" i="6"/>
  <c r="K27" i="6"/>
  <c r="K17" i="6"/>
  <c r="K19" i="6"/>
  <c r="K14" i="6"/>
  <c r="K22" i="6"/>
  <c r="K29" i="6"/>
  <c r="H15" i="6" l="1"/>
  <c r="I14" i="6"/>
  <c r="L12" i="6"/>
  <c r="M12" i="6" s="1"/>
  <c r="I13" i="6"/>
  <c r="I12" i="6"/>
  <c r="H16" i="6" l="1"/>
  <c r="I15" i="6"/>
  <c r="L13" i="6"/>
  <c r="H17" i="6" l="1"/>
  <c r="I16" i="6"/>
  <c r="L14" i="6"/>
  <c r="M13" i="6"/>
  <c r="H18" i="6" l="1"/>
  <c r="I17" i="6"/>
  <c r="M14" i="6"/>
  <c r="L15" i="6"/>
  <c r="H19" i="6" l="1"/>
  <c r="I18" i="6"/>
  <c r="L16" i="6"/>
  <c r="M15" i="6"/>
  <c r="H20" i="6" l="1"/>
  <c r="I19" i="6"/>
  <c r="L17" i="6"/>
  <c r="M16" i="6"/>
  <c r="H21" i="6" l="1"/>
  <c r="I20" i="6"/>
  <c r="L18" i="6"/>
  <c r="M17" i="6"/>
  <c r="H22" i="6" l="1"/>
  <c r="I21" i="6"/>
  <c r="L19" i="6"/>
  <c r="M18" i="6"/>
  <c r="H23" i="6" l="1"/>
  <c r="I22" i="6"/>
  <c r="L20" i="6"/>
  <c r="M19" i="6"/>
  <c r="H24" i="6" l="1"/>
  <c r="I23" i="6"/>
  <c r="L21" i="6"/>
  <c r="M20" i="6"/>
  <c r="H25" i="6" l="1"/>
  <c r="I24" i="6"/>
  <c r="L22" i="6"/>
  <c r="M21" i="6"/>
  <c r="H26" i="6" l="1"/>
  <c r="I25" i="6"/>
  <c r="L23" i="6"/>
  <c r="M22" i="6"/>
  <c r="H27" i="6" l="1"/>
  <c r="I26" i="6"/>
  <c r="L24" i="6"/>
  <c r="M23" i="6"/>
  <c r="H28" i="6" l="1"/>
  <c r="I27" i="6"/>
  <c r="L25" i="6"/>
  <c r="M24" i="6"/>
  <c r="H29" i="6" l="1"/>
  <c r="I28" i="6"/>
  <c r="L26" i="6"/>
  <c r="M25" i="6"/>
  <c r="H30" i="6" l="1"/>
  <c r="I29" i="6"/>
  <c r="L27" i="6"/>
  <c r="M26" i="6"/>
  <c r="H31" i="6" l="1"/>
  <c r="I30" i="6"/>
  <c r="L28" i="6"/>
  <c r="M27" i="6"/>
  <c r="H32" i="6" l="1"/>
  <c r="I31" i="6"/>
  <c r="L29" i="6"/>
  <c r="M28" i="6"/>
  <c r="H33" i="6" l="1"/>
  <c r="I32" i="6"/>
  <c r="L30" i="6"/>
  <c r="M29" i="6"/>
  <c r="H34" i="6" l="1"/>
  <c r="I33" i="6"/>
  <c r="L31" i="6"/>
  <c r="M30" i="6"/>
  <c r="H35" i="6" l="1"/>
  <c r="I34" i="6"/>
  <c r="L32" i="6"/>
  <c r="M31" i="6"/>
  <c r="H36" i="6" l="1"/>
  <c r="I35" i="6"/>
  <c r="L33" i="6"/>
  <c r="M32" i="6"/>
  <c r="I36" i="6" l="1"/>
  <c r="F40" i="6"/>
  <c r="L34" i="6"/>
  <c r="M33" i="6"/>
  <c r="L35" i="6" l="1"/>
  <c r="M34" i="6"/>
  <c r="L36" i="6" l="1"/>
  <c r="M35" i="6"/>
  <c r="M36" i="6" l="1"/>
  <c r="G40" i="6"/>
</calcChain>
</file>

<file path=xl/sharedStrings.xml><?xml version="1.0" encoding="utf-8"?>
<sst xmlns="http://schemas.openxmlformats.org/spreadsheetml/2006/main" count="113" uniqueCount="105">
  <si>
    <t>QF</t>
  </si>
  <si>
    <t>Start Date</t>
  </si>
  <si>
    <t>CF</t>
  </si>
  <si>
    <t>Partial Displacement</t>
  </si>
  <si>
    <t>Partial Displacement after QF</t>
  </si>
  <si>
    <t>No.</t>
  </si>
  <si>
    <t>Total Partial Displacement</t>
  </si>
  <si>
    <t>Total Signed MW</t>
  </si>
  <si>
    <t>Total Potential MW</t>
  </si>
  <si>
    <t>QF Queue</t>
  </si>
  <si>
    <t>Capacity Contribution</t>
  </si>
  <si>
    <t>Signed</t>
  </si>
  <si>
    <t>Name plate</t>
  </si>
  <si>
    <t>Type</t>
  </si>
  <si>
    <t>Total</t>
  </si>
  <si>
    <t>Displacement</t>
  </si>
  <si>
    <t>Nameplate</t>
  </si>
  <si>
    <t xml:space="preserve">Wind </t>
  </si>
  <si>
    <t xml:space="preserve">Gas </t>
  </si>
  <si>
    <t xml:space="preserve">Hydro </t>
  </si>
  <si>
    <t>East</t>
  </si>
  <si>
    <t>West</t>
  </si>
  <si>
    <t>Fixed</t>
  </si>
  <si>
    <t>Tracking</t>
  </si>
  <si>
    <t>Year</t>
  </si>
  <si>
    <t>FOT</t>
  </si>
  <si>
    <t>Potential</t>
  </si>
  <si>
    <t>Base Case</t>
  </si>
  <si>
    <t>Signed &amp; Potential QFs</t>
  </si>
  <si>
    <t>Adjusted For Solar Degradation</t>
  </si>
  <si>
    <t xml:space="preserve">Base Case </t>
  </si>
  <si>
    <t>Avoided Cost Case</t>
  </si>
  <si>
    <t>New QF</t>
  </si>
  <si>
    <t>AC Case</t>
  </si>
  <si>
    <t>Cummulative</t>
  </si>
  <si>
    <t>2015 IRP</t>
  </si>
  <si>
    <t>CCCT MW</t>
  </si>
  <si>
    <t>Partial Displacement Adjusted for Solar Degradation</t>
  </si>
  <si>
    <t>CCCT</t>
  </si>
  <si>
    <t>MW Capacity (July)</t>
  </si>
  <si>
    <t>CCCT Partial Displacement in 2030</t>
  </si>
  <si>
    <t xml:space="preserve">    Before Solar Degradation</t>
  </si>
  <si>
    <t xml:space="preserve">    After Solar Degradation</t>
  </si>
  <si>
    <t>Pavant Solar III</t>
  </si>
  <si>
    <t>Sweetwater Solar</t>
  </si>
  <si>
    <t>QF - 245 - WY - Wind</t>
  </si>
  <si>
    <t>QF - 246 - WY - Wind</t>
  </si>
  <si>
    <t>QF - 247 - WY - Wind</t>
  </si>
  <si>
    <t>QF - 249 - OR - Solar</t>
  </si>
  <si>
    <t>QF - 254 - OR - Solar</t>
  </si>
  <si>
    <t>QF - 256 - UT - Solar</t>
  </si>
  <si>
    <t>QF - 271 - UT - Solar</t>
  </si>
  <si>
    <t>Orchard Wind Farm</t>
  </si>
  <si>
    <t>Chevron Wind</t>
  </si>
  <si>
    <t>QF - 277 - WY - Solar</t>
  </si>
  <si>
    <t>QF - 278 - WY - Solar</t>
  </si>
  <si>
    <t>QF - 279 - OR - Solar</t>
  </si>
  <si>
    <t>QF - 280 - OR - Solar</t>
  </si>
  <si>
    <t>QF - 281 - OR - Solar</t>
  </si>
  <si>
    <t>QF - 282 - WY - Solar</t>
  </si>
  <si>
    <t>Surprise Valley Geothermal</t>
  </si>
  <si>
    <t>QF - 284 - OR - Solar</t>
  </si>
  <si>
    <t>QF - 285 - WY - Wind</t>
  </si>
  <si>
    <t>QF - 286 - WY - Wind</t>
  </si>
  <si>
    <t>QF - 287 - WY - Wind</t>
  </si>
  <si>
    <t>QF - 288 - WY - Wind</t>
  </si>
  <si>
    <t>QF - 289 - UT - Solar</t>
  </si>
  <si>
    <t>QF - 290 - UT - Solar</t>
  </si>
  <si>
    <t>QF - 291 - UT - Solar</t>
  </si>
  <si>
    <t>QF - 292 - OR - Solar</t>
  </si>
  <si>
    <t>QF - 293 - OR - Solar</t>
  </si>
  <si>
    <t>QF - 295 - UT - Solar</t>
  </si>
  <si>
    <t>QF - 296 - UT - Solar</t>
  </si>
  <si>
    <t>QF - 297 - UT - Solar</t>
  </si>
  <si>
    <t>QF - 298 - UT - Solar</t>
  </si>
  <si>
    <t>QF - 299 - UT - Solar</t>
  </si>
  <si>
    <t>QF - 300 - OR - Solar</t>
  </si>
  <si>
    <t>QF - 301 - OR - Solar</t>
  </si>
  <si>
    <t>QF - 302 - WY - Solar</t>
  </si>
  <si>
    <t>QF - 304 - WY - Solar</t>
  </si>
  <si>
    <t>QF - 305 - WY - Solar</t>
  </si>
  <si>
    <t>QF - 310 - WY - Wind</t>
  </si>
  <si>
    <t>QF - 309 - WY - Wind</t>
  </si>
  <si>
    <t>QF - 308 - WY - Wind</t>
  </si>
  <si>
    <t>QF - 311 - WY - Wind</t>
  </si>
  <si>
    <t>QF - 313 - UT - Solar</t>
  </si>
  <si>
    <t>QF - 315 - UT - Solar</t>
  </si>
  <si>
    <t>QF - 317 - UT - Solar</t>
  </si>
  <si>
    <t>QF - 319 - UT - Solar</t>
  </si>
  <si>
    <t>QF - 321 - UT - Solar</t>
  </si>
  <si>
    <t>QF - 323 - UT - Solar</t>
  </si>
  <si>
    <t>QF - 325 - UT - Solar</t>
  </si>
  <si>
    <t>QF - 326 - UT - Solar</t>
  </si>
  <si>
    <t>QF - 327 - OR - Solar</t>
  </si>
  <si>
    <t>QF - 328 - OR - Solar</t>
  </si>
  <si>
    <t>QF - 329 - UT - Solar</t>
  </si>
  <si>
    <t>QF - 330 - UT - Solar</t>
  </si>
  <si>
    <t>QF - 331 - UT - Solar</t>
  </si>
  <si>
    <t>QF - 332 - UT - Solar</t>
  </si>
  <si>
    <t>QF - 333 - UT - Solar</t>
  </si>
  <si>
    <t>QF - 334 - UT - Solar</t>
  </si>
  <si>
    <t>QF - 335 - UT - Solar</t>
  </si>
  <si>
    <t>QF - 336 - UT - Solar</t>
  </si>
  <si>
    <t>QF - 337 - WY - Solar</t>
  </si>
  <si>
    <t>Avoided Cost 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</si>
</sst>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0.0"/>
    <numFmt numFmtId="166" formatCode="#,##0.0_);\(#,##0.0\)"/>
    <numFmt numFmtId="167" formatCode="yyyy\ mm\ dd"/>
    <numFmt numFmtId="168" formatCode="0.0%"/>
    <numFmt numFmtId="169" formatCode="&quot;$&quot;###0;[Red]\(&quot;$&quot;###0\)"/>
    <numFmt numFmtId="170" formatCode="_(* #,##0.0_);_(* \(#,##0.0\);_(* &quot;-&quot;??_);_(@_)"/>
    <numFmt numFmtId="171" formatCode="_(* #,##0.0_);_(* \(#,##0.0\);_(* &quot;-&quot;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b/>
      <sz val="18"/>
      <color indexed="56"/>
      <name val="Cambri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">
    <xf numFmtId="164" fontId="0" fillId="0" borderId="0"/>
    <xf numFmtId="164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4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64" fontId="2" fillId="0" borderId="0"/>
    <xf numFmtId="164" fontId="6" fillId="0" borderId="0"/>
    <xf numFmtId="0" fontId="1" fillId="0" borderId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9" fontId="11" fillId="0" borderId="0" applyFont="0" applyFill="0" applyBorder="0" applyProtection="0">
      <alignment horizontal="right"/>
    </xf>
    <xf numFmtId="165" fontId="12" fillId="0" borderId="0" applyNumberFormat="0" applyFill="0" applyBorder="0" applyAlignment="0" applyProtection="0"/>
    <xf numFmtId="0" fontId="13" fillId="0" borderId="16" applyNumberFormat="0" applyBorder="0" applyAlignment="0"/>
    <xf numFmtId="12" fontId="14" fillId="16" borderId="17">
      <alignment horizontal="left"/>
    </xf>
    <xf numFmtId="37" fontId="13" fillId="17" borderId="0" applyNumberFormat="0" applyBorder="0" applyAlignment="0" applyProtection="0"/>
    <xf numFmtId="37" fontId="13" fillId="0" borderId="0"/>
    <xf numFmtId="3" fontId="15" fillId="18" borderId="18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18">
    <xf numFmtId="164" fontId="0" fillId="0" borderId="0" xfId="0"/>
    <xf numFmtId="0" fontId="9" fillId="0" borderId="11" xfId="1" applyNumberFormat="1" applyFont="1" applyFill="1" applyBorder="1" applyAlignment="1">
      <alignment horizontal="left"/>
    </xf>
    <xf numFmtId="43" fontId="9" fillId="0" borderId="5" xfId="2" applyFont="1" applyFill="1" applyBorder="1"/>
    <xf numFmtId="168" fontId="9" fillId="0" borderId="4" xfId="3" applyNumberFormat="1" applyFont="1" applyFill="1" applyBorder="1"/>
    <xf numFmtId="167" fontId="9" fillId="0" borderId="4" xfId="1" applyNumberFormat="1" applyFont="1" applyFill="1" applyBorder="1"/>
    <xf numFmtId="0" fontId="9" fillId="0" borderId="9" xfId="1" applyNumberFormat="1" applyFont="1" applyFill="1" applyBorder="1" applyAlignment="1">
      <alignment horizontal="center"/>
    </xf>
    <xf numFmtId="168" fontId="9" fillId="0" borderId="3" xfId="3" applyNumberFormat="1" applyFont="1" applyFill="1" applyBorder="1" applyAlignment="1">
      <alignment horizontal="center"/>
    </xf>
    <xf numFmtId="167" fontId="9" fillId="0" borderId="3" xfId="2" applyNumberFormat="1" applyFont="1" applyFill="1" applyBorder="1" applyAlignment="1">
      <alignment horizontal="center"/>
    </xf>
    <xf numFmtId="0" fontId="9" fillId="0" borderId="8" xfId="1" applyNumberFormat="1" applyFont="1" applyFill="1" applyBorder="1" applyAlignment="1">
      <alignment horizontal="center"/>
    </xf>
    <xf numFmtId="43" fontId="9" fillId="0" borderId="2" xfId="2" applyFont="1" applyFill="1" applyBorder="1"/>
    <xf numFmtId="168" fontId="9" fillId="0" borderId="1" xfId="3" applyNumberFormat="1" applyFont="1" applyFill="1" applyBorder="1" applyAlignment="1">
      <alignment horizontal="center"/>
    </xf>
    <xf numFmtId="167" fontId="9" fillId="0" borderId="1" xfId="2" applyNumberFormat="1" applyFont="1" applyFill="1" applyBorder="1" applyAlignment="1">
      <alignment horizontal="center"/>
    </xf>
    <xf numFmtId="0" fontId="9" fillId="0" borderId="10" xfId="1" applyNumberFormat="1" applyFont="1" applyFill="1" applyBorder="1" applyAlignment="1">
      <alignment horizontal="center"/>
    </xf>
    <xf numFmtId="167" fontId="9" fillId="0" borderId="6" xfId="2" applyNumberFormat="1" applyFont="1" applyFill="1" applyBorder="1" applyAlignment="1">
      <alignment horizontal="center"/>
    </xf>
    <xf numFmtId="0" fontId="9" fillId="0" borderId="0" xfId="2" applyNumberFormat="1" applyFont="1" applyFill="1" applyBorder="1" applyAlignment="1">
      <alignment horizontal="center"/>
    </xf>
    <xf numFmtId="43" fontId="9" fillId="0" borderId="0" xfId="2" applyFont="1" applyFill="1" applyBorder="1"/>
    <xf numFmtId="166" fontId="9" fillId="0" borderId="0" xfId="2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167" fontId="9" fillId="0" borderId="0" xfId="2" applyNumberFormat="1" applyFont="1" applyFill="1" applyBorder="1" applyAlignment="1">
      <alignment horizontal="center"/>
    </xf>
    <xf numFmtId="43" fontId="9" fillId="0" borderId="8" xfId="2" applyFont="1" applyFill="1" applyBorder="1"/>
    <xf numFmtId="168" fontId="9" fillId="0" borderId="8" xfId="3" applyNumberFormat="1" applyFont="1" applyFill="1" applyBorder="1" applyAlignment="1">
      <alignment horizontal="center"/>
    </xf>
    <xf numFmtId="164" fontId="9" fillId="0" borderId="0" xfId="1" applyFont="1" applyFill="1"/>
    <xf numFmtId="165" fontId="8" fillId="0" borderId="0" xfId="2" applyNumberFormat="1" applyFont="1" applyFill="1" applyAlignment="1">
      <alignment horizontal="center"/>
    </xf>
    <xf numFmtId="164" fontId="9" fillId="0" borderId="7" xfId="1" applyFont="1" applyFill="1" applyBorder="1"/>
    <xf numFmtId="166" fontId="9" fillId="0" borderId="12" xfId="2" applyNumberFormat="1" applyFont="1" applyFill="1" applyBorder="1" applyAlignment="1">
      <alignment horizontal="center"/>
    </xf>
    <xf numFmtId="164" fontId="9" fillId="0" borderId="12" xfId="1" applyFont="1" applyFill="1" applyBorder="1"/>
    <xf numFmtId="164" fontId="9" fillId="0" borderId="6" xfId="1" applyFont="1" applyFill="1" applyBorder="1"/>
    <xf numFmtId="164" fontId="9" fillId="0" borderId="0" xfId="1" applyFont="1" applyFill="1" applyBorder="1"/>
    <xf numFmtId="43" fontId="9" fillId="0" borderId="9" xfId="2" applyFont="1" applyFill="1" applyBorder="1"/>
    <xf numFmtId="0" fontId="8" fillId="0" borderId="8" xfId="1" applyNumberFormat="1" applyFont="1" applyFill="1" applyBorder="1" applyAlignment="1">
      <alignment horizontal="centerContinuous" wrapText="1"/>
    </xf>
    <xf numFmtId="164" fontId="8" fillId="0" borderId="9" xfId="1" applyFont="1" applyFill="1" applyBorder="1" applyAlignment="1">
      <alignment horizontal="centerContinuous" wrapText="1"/>
    </xf>
    <xf numFmtId="164" fontId="8" fillId="0" borderId="8" xfId="1" applyFont="1" applyFill="1" applyBorder="1" applyAlignment="1">
      <alignment horizontal="centerContinuous" wrapText="1"/>
    </xf>
    <xf numFmtId="2" fontId="9" fillId="0" borderId="9" xfId="1" applyNumberFormat="1" applyFont="1" applyFill="1" applyBorder="1" applyAlignment="1">
      <alignment horizontal="center"/>
    </xf>
    <xf numFmtId="2" fontId="9" fillId="0" borderId="8" xfId="1" applyNumberFormat="1" applyFont="1" applyFill="1" applyBorder="1" applyAlignment="1">
      <alignment horizontal="center"/>
    </xf>
    <xf numFmtId="2" fontId="9" fillId="0" borderId="10" xfId="2" applyNumberFormat="1" applyFont="1" applyFill="1" applyBorder="1" applyAlignment="1">
      <alignment horizontal="center"/>
    </xf>
    <xf numFmtId="2" fontId="9" fillId="0" borderId="0" xfId="2" applyNumberFormat="1" applyFont="1" applyFill="1" applyBorder="1" applyAlignment="1">
      <alignment horizontal="center"/>
    </xf>
    <xf numFmtId="2" fontId="9" fillId="0" borderId="11" xfId="1" applyNumberFormat="1" applyFont="1" applyFill="1" applyBorder="1" applyAlignment="1">
      <alignment horizontal="left"/>
    </xf>
    <xf numFmtId="2" fontId="9" fillId="0" borderId="8" xfId="2" applyNumberFormat="1" applyFont="1" applyFill="1" applyBorder="1" applyAlignment="1">
      <alignment horizontal="center"/>
    </xf>
    <xf numFmtId="2" fontId="8" fillId="0" borderId="0" xfId="2" applyNumberFormat="1" applyFont="1" applyFill="1" applyAlignment="1">
      <alignment horizontal="center"/>
    </xf>
    <xf numFmtId="2" fontId="8" fillId="0" borderId="12" xfId="2" applyNumberFormat="1" applyFont="1" applyFill="1" applyBorder="1" applyAlignment="1">
      <alignment horizontal="center"/>
    </xf>
    <xf numFmtId="2" fontId="8" fillId="0" borderId="0" xfId="2" applyNumberFormat="1" applyFont="1" applyFill="1" applyBorder="1" applyAlignment="1">
      <alignment horizontal="center"/>
    </xf>
    <xf numFmtId="164" fontId="9" fillId="0" borderId="0" xfId="1" applyFont="1" applyFill="1" applyBorder="1" applyAlignment="1">
      <alignment horizontal="center"/>
    </xf>
    <xf numFmtId="0" fontId="9" fillId="0" borderId="7" xfId="1" applyNumberFormat="1" applyFont="1" applyFill="1" applyBorder="1" applyAlignment="1">
      <alignment horizontal="center"/>
    </xf>
    <xf numFmtId="2" fontId="9" fillId="0" borderId="10" xfId="1" applyNumberFormat="1" applyFont="1" applyFill="1" applyBorder="1" applyAlignment="1">
      <alignment horizontal="center"/>
    </xf>
    <xf numFmtId="164" fontId="10" fillId="0" borderId="10" xfId="1" applyFont="1" applyFill="1" applyBorder="1" applyAlignment="1">
      <alignment horizontal="centerContinuous"/>
    </xf>
    <xf numFmtId="168" fontId="9" fillId="0" borderId="10" xfId="3" applyNumberFormat="1" applyFont="1" applyFill="1" applyBorder="1"/>
    <xf numFmtId="168" fontId="9" fillId="0" borderId="6" xfId="2" applyNumberFormat="1" applyFont="1" applyFill="1" applyBorder="1" applyAlignment="1">
      <alignment horizontal="center"/>
    </xf>
    <xf numFmtId="168" fontId="9" fillId="0" borderId="12" xfId="1" applyNumberFormat="1" applyFont="1" applyFill="1" applyBorder="1" applyAlignment="1">
      <alignment horizontal="center"/>
    </xf>
    <xf numFmtId="168" fontId="9" fillId="0" borderId="0" xfId="1" applyNumberFormat="1" applyFont="1" applyFill="1" applyBorder="1" applyAlignment="1">
      <alignment horizontal="center"/>
    </xf>
    <xf numFmtId="168" fontId="9" fillId="0" borderId="6" xfId="3" applyNumberFormat="1" applyFont="1" applyFill="1" applyBorder="1" applyAlignment="1">
      <alignment horizontal="center"/>
    </xf>
    <xf numFmtId="164" fontId="8" fillId="0" borderId="0" xfId="0" applyFont="1" applyFill="1"/>
    <xf numFmtId="164" fontId="9" fillId="0" borderId="0" xfId="0" applyFont="1" applyFill="1"/>
    <xf numFmtId="168" fontId="9" fillId="0" borderId="9" xfId="30" applyNumberFormat="1" applyFont="1" applyFill="1" applyBorder="1" applyAlignment="1">
      <alignment horizontal="center"/>
    </xf>
    <xf numFmtId="164" fontId="9" fillId="0" borderId="9" xfId="0" applyFont="1" applyFill="1" applyBorder="1"/>
    <xf numFmtId="164" fontId="9" fillId="0" borderId="12" xfId="0" applyFont="1" applyFill="1" applyBorder="1" applyAlignment="1">
      <alignment horizontal="centerContinuous"/>
    </xf>
    <xf numFmtId="164" fontId="9" fillId="0" borderId="6" xfId="0" applyFont="1" applyFill="1" applyBorder="1" applyAlignment="1">
      <alignment horizontal="centerContinuous"/>
    </xf>
    <xf numFmtId="164" fontId="9" fillId="0" borderId="8" xfId="0" applyFont="1" applyFill="1" applyBorder="1" applyAlignment="1">
      <alignment horizontal="center"/>
    </xf>
    <xf numFmtId="164" fontId="9" fillId="0" borderId="10" xfId="0" applyFont="1" applyFill="1" applyBorder="1"/>
    <xf numFmtId="168" fontId="9" fillId="0" borderId="9" xfId="38" applyNumberFormat="1" applyFont="1" applyFill="1" applyBorder="1" applyAlignment="1">
      <alignment horizontal="center"/>
    </xf>
    <xf numFmtId="168" fontId="9" fillId="0" borderId="1" xfId="0" applyNumberFormat="1" applyFont="1" applyFill="1" applyBorder="1" applyAlignment="1">
      <alignment horizontal="center"/>
    </xf>
    <xf numFmtId="164" fontId="9" fillId="0" borderId="8" xfId="0" applyFont="1" applyFill="1" applyBorder="1"/>
    <xf numFmtId="168" fontId="9" fillId="0" borderId="6" xfId="0" applyNumberFormat="1" applyFont="1" applyFill="1" applyBorder="1" applyAlignment="1">
      <alignment horizontal="center"/>
    </xf>
    <xf numFmtId="164" fontId="9" fillId="0" borderId="0" xfId="0" applyFont="1" applyFill="1" applyBorder="1"/>
    <xf numFmtId="168" fontId="9" fillId="0" borderId="0" xfId="0" applyNumberFormat="1" applyFont="1" applyFill="1" applyAlignment="1">
      <alignment horizontal="center"/>
    </xf>
    <xf numFmtId="168" fontId="9" fillId="0" borderId="4" xfId="30" applyNumberFormat="1" applyFont="1" applyFill="1" applyBorder="1" applyAlignment="1">
      <alignment horizontal="center"/>
    </xf>
    <xf numFmtId="168" fontId="9" fillId="0" borderId="3" xfId="0" applyNumberFormat="1" applyFont="1" applyFill="1" applyBorder="1" applyAlignment="1">
      <alignment horizontal="center"/>
    </xf>
    <xf numFmtId="164" fontId="8" fillId="0" borderId="19" xfId="0" applyFont="1" applyFill="1" applyBorder="1"/>
    <xf numFmtId="168" fontId="5" fillId="0" borderId="6" xfId="3" applyNumberFormat="1" applyFont="1" applyFill="1" applyBorder="1" applyAlignment="1">
      <alignment horizontal="center"/>
    </xf>
    <xf numFmtId="164" fontId="16" fillId="0" borderId="0" xfId="0" applyFont="1" applyAlignment="1">
      <alignment horizontal="centerContinuous"/>
    </xf>
    <xf numFmtId="164" fontId="17" fillId="0" borderId="0" xfId="0" applyFont="1"/>
    <xf numFmtId="164" fontId="17" fillId="0" borderId="0" xfId="0" applyFont="1" applyAlignment="1">
      <alignment horizontal="center"/>
    </xf>
    <xf numFmtId="164" fontId="18" fillId="0" borderId="11" xfId="1" applyFont="1" applyFill="1" applyBorder="1" applyAlignment="1">
      <alignment horizontal="center"/>
    </xf>
    <xf numFmtId="164" fontId="18" fillId="0" borderId="9" xfId="1" applyFont="1" applyFill="1" applyBorder="1" applyAlignment="1">
      <alignment horizontal="center"/>
    </xf>
    <xf numFmtId="164" fontId="17" fillId="0" borderId="8" xfId="0" applyFont="1" applyFill="1" applyBorder="1" applyAlignment="1">
      <alignment horizontal="center"/>
    </xf>
    <xf numFmtId="164" fontId="18" fillId="0" borderId="6" xfId="1" applyFont="1" applyFill="1" applyBorder="1" applyAlignment="1">
      <alignment horizontal="center"/>
    </xf>
    <xf numFmtId="164" fontId="18" fillId="0" borderId="10" xfId="1" applyFont="1" applyFill="1" applyBorder="1" applyAlignment="1">
      <alignment horizontal="center"/>
    </xf>
    <xf numFmtId="164" fontId="18" fillId="0" borderId="7" xfId="1" applyFont="1" applyFill="1" applyBorder="1" applyAlignment="1">
      <alignment horizontal="center"/>
    </xf>
    <xf numFmtId="164" fontId="18" fillId="0" borderId="8" xfId="1" applyFont="1" applyFill="1" applyBorder="1" applyAlignment="1">
      <alignment horizontal="center"/>
    </xf>
    <xf numFmtId="164" fontId="18" fillId="0" borderId="1" xfId="1" applyFont="1" applyFill="1" applyBorder="1" applyAlignment="1">
      <alignment horizontal="center"/>
    </xf>
    <xf numFmtId="0" fontId="19" fillId="0" borderId="5" xfId="1" applyNumberFormat="1" applyFont="1" applyFill="1" applyBorder="1" applyAlignment="1">
      <alignment horizontal="center"/>
    </xf>
    <xf numFmtId="171" fontId="19" fillId="0" borderId="11" xfId="2" applyNumberFormat="1" applyFont="1" applyFill="1" applyBorder="1"/>
    <xf numFmtId="170" fontId="19" fillId="0" borderId="5" xfId="2" applyNumberFormat="1" applyFont="1" applyFill="1" applyBorder="1"/>
    <xf numFmtId="171" fontId="19" fillId="0" borderId="5" xfId="2" applyNumberFormat="1" applyFont="1" applyFill="1" applyBorder="1"/>
    <xf numFmtId="0" fontId="19" fillId="0" borderId="20" xfId="1" applyNumberFormat="1" applyFont="1" applyFill="1" applyBorder="1" applyAlignment="1">
      <alignment horizontal="center"/>
    </xf>
    <xf numFmtId="171" fontId="19" fillId="0" borderId="9" xfId="2" applyNumberFormat="1" applyFont="1" applyFill="1" applyBorder="1"/>
    <xf numFmtId="170" fontId="19" fillId="0" borderId="20" xfId="2" applyNumberFormat="1" applyFont="1" applyFill="1" applyBorder="1"/>
    <xf numFmtId="171" fontId="19" fillId="0" borderId="20" xfId="2" applyNumberFormat="1" applyFont="1" applyFill="1" applyBorder="1"/>
    <xf numFmtId="0" fontId="19" fillId="0" borderId="2" xfId="1" applyNumberFormat="1" applyFont="1" applyFill="1" applyBorder="1" applyAlignment="1">
      <alignment horizontal="center"/>
    </xf>
    <xf numFmtId="171" fontId="19" fillId="0" borderId="8" xfId="2" applyNumberFormat="1" applyFont="1" applyFill="1" applyBorder="1"/>
    <xf numFmtId="170" fontId="19" fillId="0" borderId="2" xfId="2" applyNumberFormat="1" applyFont="1" applyFill="1" applyBorder="1"/>
    <xf numFmtId="171" fontId="19" fillId="0" borderId="2" xfId="2" applyNumberFormat="1" applyFont="1" applyFill="1" applyBorder="1"/>
    <xf numFmtId="164" fontId="17" fillId="0" borderId="15" xfId="0" applyFont="1" applyBorder="1" applyAlignment="1">
      <alignment horizontal="center"/>
    </xf>
    <xf numFmtId="164" fontId="17" fillId="0" borderId="21" xfId="0" applyFont="1" applyBorder="1" applyAlignment="1">
      <alignment horizontal="center"/>
    </xf>
    <xf numFmtId="43" fontId="19" fillId="0" borderId="8" xfId="2" applyNumberFormat="1" applyFont="1" applyFill="1" applyBorder="1"/>
    <xf numFmtId="43" fontId="19" fillId="0" borderId="10" xfId="2" applyNumberFormat="1" applyFont="1" applyFill="1" applyBorder="1"/>
    <xf numFmtId="0" fontId="8" fillId="0" borderId="7" xfId="5" applyFont="1" applyFill="1" applyBorder="1" applyAlignment="1">
      <alignment horizontal="center"/>
    </xf>
    <xf numFmtId="0" fontId="8" fillId="0" borderId="12" xfId="5" applyFont="1" applyFill="1" applyBorder="1" applyAlignment="1">
      <alignment horizontal="center"/>
    </xf>
    <xf numFmtId="0" fontId="8" fillId="0" borderId="6" xfId="5" applyFont="1" applyFill="1" applyBorder="1" applyAlignment="1">
      <alignment horizontal="center"/>
    </xf>
    <xf numFmtId="43" fontId="9" fillId="0" borderId="7" xfId="2" applyFont="1" applyFill="1" applyBorder="1" applyAlignment="1">
      <alignment horizontal="center"/>
    </xf>
    <xf numFmtId="43" fontId="9" fillId="0" borderId="6" xfId="2" applyFont="1" applyFill="1" applyBorder="1" applyAlignment="1">
      <alignment horizontal="center"/>
    </xf>
    <xf numFmtId="164" fontId="9" fillId="0" borderId="7" xfId="1" applyFont="1" applyFill="1" applyBorder="1" applyAlignment="1">
      <alignment horizontal="center"/>
    </xf>
    <xf numFmtId="164" fontId="9" fillId="0" borderId="6" xfId="1" applyFont="1" applyFill="1" applyBorder="1" applyAlignment="1">
      <alignment horizontal="center"/>
    </xf>
    <xf numFmtId="164" fontId="17" fillId="0" borderId="13" xfId="0" applyFont="1" applyBorder="1" applyAlignment="1"/>
    <xf numFmtId="164" fontId="17" fillId="0" borderId="14" xfId="0" applyFont="1" applyBorder="1" applyAlignment="1"/>
    <xf numFmtId="164" fontId="17" fillId="0" borderId="15" xfId="0" applyFont="1" applyBorder="1" applyAlignment="1"/>
    <xf numFmtId="164" fontId="17" fillId="0" borderId="2" xfId="0" applyFont="1" applyBorder="1" applyAlignment="1"/>
    <xf numFmtId="164" fontId="17" fillId="0" borderId="19" xfId="0" applyFont="1" applyBorder="1" applyAlignment="1"/>
    <xf numFmtId="164" fontId="17" fillId="0" borderId="1" xfId="0" applyFont="1" applyBorder="1" applyAlignment="1"/>
    <xf numFmtId="164" fontId="17" fillId="0" borderId="7" xfId="0" applyFont="1" applyBorder="1" applyAlignment="1"/>
    <xf numFmtId="164" fontId="17" fillId="0" borderId="12" xfId="0" applyFont="1" applyBorder="1" applyAlignment="1"/>
    <xf numFmtId="164" fontId="17" fillId="0" borderId="6" xfId="0" applyFont="1" applyBorder="1" applyAlignment="1"/>
    <xf numFmtId="164" fontId="18" fillId="0" borderId="7" xfId="1" applyFont="1" applyFill="1" applyBorder="1" applyAlignment="1">
      <alignment horizontal="center"/>
    </xf>
    <xf numFmtId="164" fontId="18" fillId="0" borderId="12" xfId="1" applyFont="1" applyFill="1" applyBorder="1" applyAlignment="1">
      <alignment horizontal="center"/>
    </xf>
    <xf numFmtId="164" fontId="18" fillId="0" borderId="6" xfId="1" applyFont="1" applyFill="1" applyBorder="1" applyAlignment="1">
      <alignment horizontal="center"/>
    </xf>
    <xf numFmtId="164" fontId="18" fillId="0" borderId="5" xfId="1" applyFont="1" applyFill="1" applyBorder="1" applyAlignment="1">
      <alignment horizontal="center"/>
    </xf>
    <xf numFmtId="164" fontId="18" fillId="0" borderId="4" xfId="1" applyFont="1" applyFill="1" applyBorder="1" applyAlignment="1">
      <alignment horizontal="center"/>
    </xf>
    <xf numFmtId="164" fontId="18" fillId="0" borderId="2" xfId="1" applyFont="1" applyFill="1" applyBorder="1" applyAlignment="1">
      <alignment horizontal="center"/>
    </xf>
    <xf numFmtId="164" fontId="18" fillId="0" borderId="1" xfId="1" applyFont="1" applyFill="1" applyBorder="1" applyAlignment="1">
      <alignment horizontal="center"/>
    </xf>
  </cellXfs>
  <cellStyles count="41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Comma 2" xfId="2"/>
    <cellStyle name="Comma 2 2" xfId="39"/>
    <cellStyle name="Currency 2" xfId="24"/>
    <cellStyle name="Currency No Comma" xfId="31"/>
    <cellStyle name="MCP" xfId="32"/>
    <cellStyle name="noninput" xfId="33"/>
    <cellStyle name="Normal" xfId="0" builtinId="0" customBuiltin="1"/>
    <cellStyle name="Normal 176" xfId="40"/>
    <cellStyle name="Normal 2" xfId="25"/>
    <cellStyle name="Normal 2 2" xfId="4"/>
    <cellStyle name="Normal 3" xfId="26"/>
    <cellStyle name="Normal 4" xfId="27"/>
    <cellStyle name="Normal 7" xfId="28"/>
    <cellStyle name="Normal_Thermal Attributes" xfId="5"/>
    <cellStyle name="Normal_xAC_Demand (Avoided Cost)" xfId="1"/>
    <cellStyle name="Password" xfId="34"/>
    <cellStyle name="Percent" xfId="30" builtinId="5"/>
    <cellStyle name="Percent 2" xfId="3"/>
    <cellStyle name="Percent 3 2 2 2" xfId="38"/>
    <cellStyle name="Sheet Title" xfId="29"/>
    <cellStyle name="Unprot" xfId="35"/>
    <cellStyle name="Unprot$" xfId="36"/>
    <cellStyle name="Unprotect" xfId="37"/>
  </cellStyles>
  <dxfs count="8"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26"/>
  <sheetViews>
    <sheetView showGridLines="0" zoomScaleNormal="100" workbookViewId="0">
      <pane xSplit="2" ySplit="3" topLeftCell="C53" activePane="bottomRight" state="frozen"/>
      <selection activeCell="J49" sqref="J49"/>
      <selection pane="topRight" activeCell="J49" sqref="J49"/>
      <selection pane="bottomLeft" activeCell="J49" sqref="J49"/>
      <selection pane="bottomRight" activeCell="E74" sqref="E74"/>
    </sheetView>
  </sheetViews>
  <sheetFormatPr defaultRowHeight="12.75" x14ac:dyDescent="0.2"/>
  <cols>
    <col min="1" max="1" width="2.85546875" style="51" customWidth="1"/>
    <col min="2" max="2" width="5.5703125" style="51" customWidth="1"/>
    <col min="3" max="3" width="27.7109375" style="21" customWidth="1"/>
    <col min="4" max="4" width="11.5703125" style="21" customWidth="1"/>
    <col min="5" max="6" width="8.7109375" style="21" customWidth="1"/>
    <col min="7" max="7" width="11.140625" style="51" customWidth="1"/>
    <col min="8" max="8" width="11.5703125" style="21" customWidth="1"/>
    <col min="9" max="9" width="2.42578125" style="51" customWidth="1"/>
    <col min="10" max="10" width="14" style="51" hidden="1" customWidth="1"/>
    <col min="11" max="11" width="0" style="51" hidden="1" customWidth="1"/>
    <col min="12" max="12" width="1.7109375" style="51" hidden="1" customWidth="1"/>
    <col min="13" max="13" width="13.7109375" style="51" hidden="1" customWidth="1"/>
    <col min="14" max="14" width="0" style="51" hidden="1" customWidth="1"/>
    <col min="15" max="16384" width="9.140625" style="51"/>
  </cols>
  <sheetData>
    <row r="1" spans="2:14" ht="6" customHeight="1" x14ac:dyDescent="0.2"/>
    <row r="2" spans="2:14" x14ac:dyDescent="0.2">
      <c r="B2" s="95" t="s">
        <v>9</v>
      </c>
      <c r="C2" s="96"/>
      <c r="D2" s="96"/>
      <c r="E2" s="96"/>
      <c r="F2" s="96"/>
      <c r="G2" s="96"/>
      <c r="H2" s="97"/>
      <c r="J2" s="44" t="s">
        <v>10</v>
      </c>
      <c r="K2" s="44"/>
      <c r="L2" s="54"/>
      <c r="M2" s="54"/>
      <c r="N2" s="55"/>
    </row>
    <row r="3" spans="2:14" ht="25.5" x14ac:dyDescent="0.2">
      <c r="B3" s="29" t="s">
        <v>5</v>
      </c>
      <c r="C3" s="30" t="s">
        <v>0</v>
      </c>
      <c r="D3" s="31" t="s">
        <v>3</v>
      </c>
      <c r="E3" s="31" t="s">
        <v>12</v>
      </c>
      <c r="F3" s="30" t="s">
        <v>2</v>
      </c>
      <c r="G3" s="31" t="s">
        <v>10</v>
      </c>
      <c r="H3" s="31" t="s">
        <v>1</v>
      </c>
      <c r="J3" s="56" t="s">
        <v>13</v>
      </c>
      <c r="K3" s="56" t="s">
        <v>20</v>
      </c>
      <c r="M3" s="56" t="s">
        <v>13</v>
      </c>
      <c r="N3" s="56" t="s">
        <v>21</v>
      </c>
    </row>
    <row r="4" spans="2:14" ht="4.5" customHeight="1" x14ac:dyDescent="0.2">
      <c r="B4" s="1"/>
      <c r="C4" s="2"/>
      <c r="D4" s="1"/>
      <c r="E4" s="1"/>
      <c r="F4" s="3"/>
      <c r="G4" s="1"/>
      <c r="H4" s="4"/>
    </row>
    <row r="5" spans="2:14" ht="12" customHeight="1" x14ac:dyDescent="0.2">
      <c r="B5" s="5">
        <v>1</v>
      </c>
      <c r="C5" s="28" t="s">
        <v>43</v>
      </c>
      <c r="D5" s="32">
        <f>ROUND(E5*CC_E_Tracking,2)</f>
        <v>7.82</v>
      </c>
      <c r="E5" s="32">
        <v>20</v>
      </c>
      <c r="F5" s="6">
        <f>51702/(8760*E5)</f>
        <v>0.29510273972602741</v>
      </c>
      <c r="G5" s="52">
        <f>ROUND(D5/E5,3)</f>
        <v>0.39100000000000001</v>
      </c>
      <c r="H5" s="7">
        <v>42735</v>
      </c>
      <c r="J5" s="57" t="s">
        <v>17</v>
      </c>
      <c r="K5" s="45">
        <v>0.14499999999999999</v>
      </c>
      <c r="M5" s="57" t="str">
        <f>"CC_W_"&amp;J5</f>
        <v xml:space="preserve">CC_W_Wind </v>
      </c>
      <c r="N5" s="45">
        <v>0.254</v>
      </c>
    </row>
    <row r="6" spans="2:14" ht="12" customHeight="1" x14ac:dyDescent="0.2">
      <c r="B6" s="5">
        <f t="shared" ref="B6:B9" ca="1" si="0">OFFSET(B6,-1,0)+1</f>
        <v>2</v>
      </c>
      <c r="C6" s="28" t="s">
        <v>44</v>
      </c>
      <c r="D6" s="32">
        <f>ROUND(E6*CC_E_Tracking,2)</f>
        <v>31.28</v>
      </c>
      <c r="E6" s="32">
        <v>80</v>
      </c>
      <c r="F6" s="6">
        <f>186548/(E6*8760)</f>
        <v>0.26619292237442921</v>
      </c>
      <c r="G6" s="52">
        <f>ROUND(D6/E6,3)</f>
        <v>0.39100000000000001</v>
      </c>
      <c r="H6" s="7">
        <v>43405</v>
      </c>
      <c r="J6" s="57" t="s">
        <v>22</v>
      </c>
      <c r="K6" s="45">
        <v>0.34100000000000003</v>
      </c>
      <c r="M6" s="57" t="str">
        <f>"CC_W_"&amp;J6</f>
        <v>CC_W_Fixed</v>
      </c>
      <c r="N6" s="45">
        <v>0.32200000000000001</v>
      </c>
    </row>
    <row r="7" spans="2:14" ht="12" customHeight="1" x14ac:dyDescent="0.2">
      <c r="B7" s="5">
        <f t="shared" ca="1" si="0"/>
        <v>3</v>
      </c>
      <c r="C7" s="28" t="s">
        <v>52</v>
      </c>
      <c r="D7" s="32">
        <v>10.16</v>
      </c>
      <c r="E7" s="32">
        <v>40</v>
      </c>
      <c r="F7" s="6">
        <v>0.35992009132420089</v>
      </c>
      <c r="G7" s="52">
        <v>0.254</v>
      </c>
      <c r="H7" s="7">
        <v>44105</v>
      </c>
      <c r="J7" s="57" t="s">
        <v>23</v>
      </c>
      <c r="K7" s="45">
        <v>0.39100000000000001</v>
      </c>
      <c r="M7" s="57" t="str">
        <f>"CC_W_"&amp;J7</f>
        <v>CC_W_Tracking</v>
      </c>
      <c r="N7" s="45">
        <v>0.36699999999999999</v>
      </c>
    </row>
    <row r="8" spans="2:14" ht="12" customHeight="1" x14ac:dyDescent="0.2">
      <c r="B8" s="5">
        <f t="shared" ca="1" si="0"/>
        <v>4</v>
      </c>
      <c r="C8" s="28" t="s">
        <v>53</v>
      </c>
      <c r="D8" s="32">
        <v>2.39</v>
      </c>
      <c r="E8" s="32">
        <v>16.5</v>
      </c>
      <c r="F8" s="6">
        <v>0.29492873944928738</v>
      </c>
      <c r="G8" s="52">
        <v>0.14499999999999999</v>
      </c>
      <c r="H8" s="7">
        <v>42552</v>
      </c>
      <c r="J8" s="57" t="s">
        <v>18</v>
      </c>
      <c r="K8" s="45">
        <v>1</v>
      </c>
      <c r="M8" s="57" t="str">
        <f>"CC_W_"&amp;J8</f>
        <v xml:space="preserve">CC_W_Gas </v>
      </c>
      <c r="N8" s="45">
        <v>1</v>
      </c>
    </row>
    <row r="9" spans="2:14" ht="12" customHeight="1" x14ac:dyDescent="0.2">
      <c r="B9" s="5">
        <f t="shared" ca="1" si="0"/>
        <v>5</v>
      </c>
      <c r="C9" s="28" t="s">
        <v>60</v>
      </c>
      <c r="D9" s="32">
        <v>3.7</v>
      </c>
      <c r="E9" s="32">
        <f>D9</f>
        <v>3.7</v>
      </c>
      <c r="F9" s="6">
        <v>0.85</v>
      </c>
      <c r="G9" s="52">
        <v>1</v>
      </c>
      <c r="H9" s="7">
        <v>42614</v>
      </c>
      <c r="J9" s="57" t="s">
        <v>19</v>
      </c>
      <c r="K9" s="45">
        <v>1</v>
      </c>
      <c r="M9" s="57" t="str">
        <f>"CC_W_"&amp;J9</f>
        <v xml:space="preserve">CC_W_Hydro </v>
      </c>
      <c r="N9" s="45">
        <v>1</v>
      </c>
    </row>
    <row r="10" spans="2:14" ht="12" hidden="1" customHeight="1" x14ac:dyDescent="0.2">
      <c r="B10" s="5"/>
      <c r="C10" s="28"/>
      <c r="D10" s="32"/>
      <c r="E10" s="32"/>
      <c r="F10" s="6"/>
      <c r="G10" s="52"/>
      <c r="H10" s="7"/>
    </row>
    <row r="11" spans="2:14" ht="12" hidden="1" customHeight="1" x14ac:dyDescent="0.2">
      <c r="B11" s="5"/>
      <c r="C11" s="28"/>
      <c r="D11" s="32"/>
      <c r="E11" s="32"/>
      <c r="F11" s="6"/>
      <c r="G11" s="52"/>
      <c r="H11" s="7"/>
    </row>
    <row r="12" spans="2:14" ht="12" hidden="1" customHeight="1" x14ac:dyDescent="0.2">
      <c r="B12" s="5"/>
      <c r="C12" s="28"/>
      <c r="D12" s="32"/>
      <c r="E12" s="32"/>
      <c r="F12" s="6"/>
      <c r="G12" s="52"/>
      <c r="H12" s="7"/>
      <c r="J12" s="57" t="s">
        <v>22</v>
      </c>
      <c r="K12" s="45">
        <v>0.34100000000000003</v>
      </c>
      <c r="M12" s="57" t="str">
        <f>"CC_W_"&amp;J12</f>
        <v>CC_W_Fixed</v>
      </c>
      <c r="N12" s="45">
        <v>0.32200000000000001</v>
      </c>
    </row>
    <row r="13" spans="2:14" ht="12" hidden="1" customHeight="1" x14ac:dyDescent="0.2">
      <c r="B13" s="5"/>
      <c r="C13" s="28"/>
      <c r="D13" s="32"/>
      <c r="E13" s="32"/>
      <c r="F13" s="6"/>
      <c r="G13" s="52"/>
      <c r="H13" s="7"/>
    </row>
    <row r="14" spans="2:14" ht="12" hidden="1" customHeight="1" x14ac:dyDescent="0.2">
      <c r="B14" s="5"/>
      <c r="C14" s="28"/>
      <c r="D14" s="32"/>
      <c r="E14" s="32"/>
      <c r="F14" s="6"/>
      <c r="G14" s="52"/>
      <c r="H14" s="7"/>
    </row>
    <row r="15" spans="2:14" ht="12" hidden="1" customHeight="1" x14ac:dyDescent="0.2">
      <c r="B15" s="5"/>
      <c r="C15" s="28"/>
      <c r="D15" s="32"/>
      <c r="E15" s="32"/>
      <c r="F15" s="6"/>
      <c r="G15" s="52"/>
      <c r="H15" s="7"/>
    </row>
    <row r="16" spans="2:14" ht="12" hidden="1" customHeight="1" x14ac:dyDescent="0.2">
      <c r="B16" s="5"/>
      <c r="C16" s="28"/>
      <c r="D16" s="32"/>
      <c r="E16" s="32"/>
      <c r="F16" s="6"/>
      <c r="G16" s="52"/>
      <c r="H16" s="7"/>
    </row>
    <row r="17" spans="1:14" ht="12" hidden="1" customHeight="1" x14ac:dyDescent="0.2">
      <c r="B17" s="5"/>
      <c r="C17" s="28"/>
      <c r="D17" s="32"/>
      <c r="E17" s="32"/>
      <c r="F17" s="6"/>
      <c r="G17" s="52"/>
      <c r="H17" s="7"/>
    </row>
    <row r="18" spans="1:14" ht="12" hidden="1" customHeight="1" x14ac:dyDescent="0.2">
      <c r="B18" s="5"/>
      <c r="C18" s="28"/>
      <c r="D18" s="32"/>
      <c r="E18" s="32"/>
      <c r="F18" s="6"/>
      <c r="G18" s="58"/>
      <c r="H18" s="7"/>
    </row>
    <row r="19" spans="1:14" ht="12" hidden="1" customHeight="1" x14ac:dyDescent="0.2">
      <c r="B19" s="5"/>
      <c r="C19" s="28"/>
      <c r="D19" s="32"/>
      <c r="E19" s="32"/>
      <c r="F19" s="6"/>
      <c r="G19" s="58"/>
      <c r="H19" s="7"/>
    </row>
    <row r="20" spans="1:14" ht="12" hidden="1" customHeight="1" x14ac:dyDescent="0.2">
      <c r="B20" s="5"/>
      <c r="C20" s="28"/>
      <c r="D20" s="32"/>
      <c r="E20" s="32"/>
      <c r="F20" s="6"/>
      <c r="G20" s="58"/>
      <c r="H20" s="7"/>
    </row>
    <row r="21" spans="1:14" ht="12" hidden="1" customHeight="1" x14ac:dyDescent="0.2">
      <c r="B21" s="5"/>
      <c r="C21" s="28"/>
      <c r="D21" s="32"/>
      <c r="E21" s="32"/>
      <c r="F21" s="6"/>
      <c r="G21" s="52"/>
      <c r="H21" s="7"/>
    </row>
    <row r="22" spans="1:14" ht="12" hidden="1" customHeight="1" x14ac:dyDescent="0.2">
      <c r="B22" s="5"/>
      <c r="C22" s="28"/>
      <c r="D22" s="32"/>
      <c r="E22" s="32"/>
      <c r="F22" s="6"/>
      <c r="G22" s="52"/>
      <c r="H22" s="7"/>
    </row>
    <row r="23" spans="1:14" ht="12" hidden="1" customHeight="1" x14ac:dyDescent="0.2">
      <c r="B23" s="5"/>
      <c r="C23" s="28"/>
      <c r="D23" s="32"/>
      <c r="E23" s="32"/>
      <c r="F23" s="6"/>
      <c r="G23" s="58"/>
      <c r="H23" s="7"/>
    </row>
    <row r="24" spans="1:14" ht="12" hidden="1" customHeight="1" x14ac:dyDescent="0.2">
      <c r="B24" s="5"/>
      <c r="C24" s="28"/>
      <c r="D24" s="32"/>
      <c r="E24" s="32"/>
      <c r="F24" s="6"/>
      <c r="G24" s="52"/>
      <c r="H24" s="7"/>
    </row>
    <row r="25" spans="1:14" ht="12" hidden="1" customHeight="1" x14ac:dyDescent="0.2">
      <c r="B25" s="5"/>
      <c r="C25" s="28"/>
      <c r="D25" s="32"/>
      <c r="E25" s="32"/>
      <c r="F25" s="6"/>
      <c r="G25" s="52"/>
      <c r="H25" s="7"/>
    </row>
    <row r="26" spans="1:14" ht="3.75" customHeight="1" x14ac:dyDescent="0.2">
      <c r="B26" s="8"/>
      <c r="C26" s="9"/>
      <c r="D26" s="33"/>
      <c r="E26" s="33"/>
      <c r="F26" s="10"/>
      <c r="G26" s="59"/>
      <c r="H26" s="11"/>
    </row>
    <row r="27" spans="1:14" ht="15" customHeight="1" x14ac:dyDescent="0.2">
      <c r="B27" s="98" t="s">
        <v>7</v>
      </c>
      <c r="C27" s="99"/>
      <c r="D27" s="34">
        <f>ROUND(SUM(D5:D26),2)</f>
        <v>55.35</v>
      </c>
      <c r="E27" s="34">
        <f>ROUND(SUM(E5:E26),2)</f>
        <v>160.19999999999999</v>
      </c>
      <c r="F27" s="12"/>
      <c r="G27" s="61"/>
      <c r="H27" s="13"/>
    </row>
    <row r="28" spans="1:14" ht="6.75" customHeight="1" x14ac:dyDescent="0.2">
      <c r="A28" s="62"/>
      <c r="B28" s="14"/>
      <c r="C28" s="15"/>
      <c r="D28" s="35"/>
      <c r="E28" s="35"/>
      <c r="F28" s="17"/>
      <c r="G28" s="63"/>
      <c r="H28" s="18"/>
    </row>
    <row r="29" spans="1:14" ht="4.5" customHeight="1" x14ac:dyDescent="0.2">
      <c r="B29" s="1"/>
      <c r="C29" s="2"/>
      <c r="D29" s="36"/>
      <c r="E29" s="36"/>
      <c r="F29" s="3"/>
      <c r="G29" s="64"/>
      <c r="H29" s="4"/>
    </row>
    <row r="30" spans="1:14" ht="12" customHeight="1" x14ac:dyDescent="0.2">
      <c r="B30" s="5">
        <f t="shared" ref="B30:B74" ca="1" si="1">OFFSET(B30,-1,0)+1</f>
        <v>1</v>
      </c>
      <c r="C30" s="53" t="s">
        <v>45</v>
      </c>
      <c r="D30" s="32">
        <f>ROUND(E30*IF(RIGHT(C30,4)="Wind",CC_E_Wind,IF(RIGHT(C30,5)="Solar",CC_E_Tracking,IF(RIGHT(C30,3)="Gas",CC_E_Gas,IF(RIGHT(C30,5)="Hydro",CC_E_Hydro,0)))),2)</f>
        <v>11.6</v>
      </c>
      <c r="E30" s="32">
        <v>80</v>
      </c>
      <c r="F30" s="6">
        <v>0.44888127853881277</v>
      </c>
      <c r="G30" s="52">
        <f t="shared" ref="G30:G32" si="2">ROUND(D30/E30,3)</f>
        <v>0.14499999999999999</v>
      </c>
      <c r="H30" s="7">
        <v>43405</v>
      </c>
      <c r="I30" s="50"/>
      <c r="J30" s="50"/>
      <c r="K30" s="50"/>
      <c r="L30" s="50"/>
      <c r="M30" s="50"/>
      <c r="N30" s="50"/>
    </row>
    <row r="31" spans="1:14" ht="12" customHeight="1" x14ac:dyDescent="0.2">
      <c r="B31" s="5">
        <f t="shared" ca="1" si="1"/>
        <v>2</v>
      </c>
      <c r="C31" s="53" t="s">
        <v>46</v>
      </c>
      <c r="D31" s="32">
        <f>ROUND(E31*IF(RIGHT(C31,4)="Wind",CC_E_Wind,IF(RIGHT(C31,5)="Solar",CC_E_Tracking,IF(RIGHT(C31,3)="Gas",CC_E_Gas,IF(RIGHT(C31,5)="Hydro",CC_E_Hydro,0)))),2)</f>
        <v>11.6</v>
      </c>
      <c r="E31" s="32">
        <v>80</v>
      </c>
      <c r="F31" s="6">
        <v>0.4201084474885845</v>
      </c>
      <c r="G31" s="52">
        <f t="shared" si="2"/>
        <v>0.14499999999999999</v>
      </c>
      <c r="H31" s="7">
        <v>43405</v>
      </c>
      <c r="I31" s="50"/>
      <c r="J31" s="50"/>
      <c r="K31" s="50"/>
      <c r="L31" s="50"/>
      <c r="M31" s="50"/>
      <c r="N31" s="50"/>
    </row>
    <row r="32" spans="1:14" ht="12" customHeight="1" x14ac:dyDescent="0.2">
      <c r="B32" s="5">
        <f t="shared" ca="1" si="1"/>
        <v>3</v>
      </c>
      <c r="C32" s="53" t="s">
        <v>47</v>
      </c>
      <c r="D32" s="32">
        <f>ROUND(E32*IF(RIGHT(C32,4)="Wind",CC_E_Wind,IF(RIGHT(C32,5)="Solar",CC_E_Tracking,IF(RIGHT(C32,3)="Gas",CC_E_Gas,IF(RIGHT(C32,5)="Hydro",CC_E_Hydro,0)))),2)</f>
        <v>11.6</v>
      </c>
      <c r="E32" s="32">
        <v>80</v>
      </c>
      <c r="F32" s="6">
        <v>0.37412813926940641</v>
      </c>
      <c r="G32" s="52">
        <f t="shared" si="2"/>
        <v>0.14499999999999999</v>
      </c>
      <c r="H32" s="7">
        <v>43405</v>
      </c>
      <c r="I32" s="50"/>
      <c r="J32" s="50"/>
      <c r="K32" s="50"/>
      <c r="L32" s="50"/>
      <c r="M32" s="50"/>
      <c r="N32" s="50"/>
    </row>
    <row r="33" spans="2:14" ht="12" customHeight="1" x14ac:dyDescent="0.2">
      <c r="B33" s="5">
        <f t="shared" ca="1" si="1"/>
        <v>4</v>
      </c>
      <c r="C33" s="53" t="s">
        <v>48</v>
      </c>
      <c r="D33" s="32">
        <f>ROUND(E33*IF(RIGHT(C33,4)="Wind",CC_W_Wind,IF(RIGHT(C33,5)="Solar",CC_W_Tracking,IF(RIGHT(C33,3)="Gas",CC_W_Gas,IF(RIGHT(C33,5)="Hydro",CC_W_Hydro,0)))),2)</f>
        <v>14.68</v>
      </c>
      <c r="E33" s="32">
        <v>40</v>
      </c>
      <c r="F33" s="6">
        <v>0.29103767123287672</v>
      </c>
      <c r="G33" s="52">
        <f t="shared" ref="G33:G35" si="3">ROUND(D33/E33,3)</f>
        <v>0.36699999999999999</v>
      </c>
      <c r="H33" s="7">
        <v>43100</v>
      </c>
      <c r="I33" s="50"/>
      <c r="J33" s="50"/>
      <c r="K33" s="50"/>
      <c r="L33" s="50"/>
      <c r="M33" s="50"/>
      <c r="N33" s="50"/>
    </row>
    <row r="34" spans="2:14" ht="12" customHeight="1" x14ac:dyDescent="0.2">
      <c r="B34" s="5">
        <f t="shared" ca="1" si="1"/>
        <v>5</v>
      </c>
      <c r="C34" s="53" t="s">
        <v>49</v>
      </c>
      <c r="D34" s="32">
        <f>ROUND(E34*IF(RIGHT(C34,4)="Wind",CC_W_Wind,IF(RIGHT(C34,5)="Solar",CC_W_Tracking,IF(RIGHT(C34,3)="Gas",CC_W_Gas,IF(RIGHT(C34,5)="Hydro",CC_W_Hydro,0)))),2)</f>
        <v>20.190000000000001</v>
      </c>
      <c r="E34" s="32">
        <v>55</v>
      </c>
      <c r="F34" s="6">
        <v>0.24561402833410492</v>
      </c>
      <c r="G34" s="52">
        <f t="shared" si="3"/>
        <v>0.36699999999999999</v>
      </c>
      <c r="H34" s="7">
        <v>43100</v>
      </c>
      <c r="I34" s="50"/>
      <c r="J34" s="50"/>
      <c r="K34" s="50"/>
      <c r="L34" s="50"/>
      <c r="M34" s="50"/>
      <c r="N34" s="50"/>
    </row>
    <row r="35" spans="2:14" ht="12" customHeight="1" x14ac:dyDescent="0.2">
      <c r="B35" s="5">
        <f t="shared" ca="1" si="1"/>
        <v>6</v>
      </c>
      <c r="C35" s="53" t="s">
        <v>50</v>
      </c>
      <c r="D35" s="32">
        <f>ROUND(E35*IF(RIGHT(C35,4)="Wind",CC_E_Wind,IF(RIGHT(C35,5)="Solar",CC_E_Tracking,IF(RIGHT(C35,3)="Gas",CC_E_Gas,IF(RIGHT(C35,5)="Hydro",CC_E_Hydro,0)))),2)</f>
        <v>26.59</v>
      </c>
      <c r="E35" s="32">
        <v>68</v>
      </c>
      <c r="F35" s="6">
        <v>0.32312986838571045</v>
      </c>
      <c r="G35" s="52">
        <f t="shared" si="3"/>
        <v>0.39100000000000001</v>
      </c>
      <c r="H35" s="7">
        <v>43647</v>
      </c>
      <c r="I35" s="50"/>
      <c r="J35" s="50"/>
      <c r="K35" s="50"/>
      <c r="L35" s="50"/>
      <c r="M35" s="50"/>
      <c r="N35" s="50"/>
    </row>
    <row r="36" spans="2:14" ht="12" customHeight="1" x14ac:dyDescent="0.2">
      <c r="B36" s="5">
        <f t="shared" ca="1" si="1"/>
        <v>7</v>
      </c>
      <c r="C36" s="53" t="s">
        <v>51</v>
      </c>
      <c r="D36" s="32">
        <f>ROUND(E36*IF(RIGHT(C36,4)="Wind",CC_E_Wind,IF(RIGHT(C36,5)="Solar",CC_E_Tracking,IF(RIGHT(C36,3)="Gas",CC_E_Gas,IF(RIGHT(C36,5)="Hydro",CC_E_Hydro,0)))),2)</f>
        <v>15.64</v>
      </c>
      <c r="E36" s="32">
        <v>40</v>
      </c>
      <c r="F36" s="6">
        <v>0.30656506849315068</v>
      </c>
      <c r="G36" s="52">
        <f t="shared" ref="G36" si="4">ROUND(D36/E36,3)</f>
        <v>0.39100000000000001</v>
      </c>
      <c r="H36" s="7">
        <v>43435</v>
      </c>
      <c r="I36" s="50"/>
      <c r="J36" s="50"/>
      <c r="K36" s="50"/>
      <c r="L36" s="50"/>
      <c r="M36" s="50"/>
      <c r="N36" s="50"/>
    </row>
    <row r="37" spans="2:14" ht="12" customHeight="1" x14ac:dyDescent="0.2">
      <c r="B37" s="5">
        <f t="shared" ca="1" si="1"/>
        <v>8</v>
      </c>
      <c r="C37" s="53" t="s">
        <v>54</v>
      </c>
      <c r="D37" s="32">
        <f>ROUND(E37*IF(RIGHT(C37,4)="Wind",CC_E_Wind,IF(RIGHT(C37,5)="Solar",CC_E_Tracking,IF(RIGHT(C37,3)="Gas",CC_E_Gas,IF(RIGHT(C37,5)="Hydro",CC_E_Hydro,0)))),2)</f>
        <v>7.82</v>
      </c>
      <c r="E37" s="32">
        <v>20</v>
      </c>
      <c r="F37" s="6">
        <v>0.28240833333333337</v>
      </c>
      <c r="G37" s="52">
        <f t="shared" ref="G37:G42" si="5">ROUND(D37/E37,3)</f>
        <v>0.39100000000000001</v>
      </c>
      <c r="H37" s="7">
        <v>43739</v>
      </c>
      <c r="I37" s="50"/>
      <c r="J37" s="50"/>
      <c r="K37" s="50"/>
      <c r="L37" s="50"/>
      <c r="M37" s="50"/>
      <c r="N37" s="50"/>
    </row>
    <row r="38" spans="2:14" ht="12" customHeight="1" x14ac:dyDescent="0.2">
      <c r="B38" s="5">
        <f t="shared" ca="1" si="1"/>
        <v>9</v>
      </c>
      <c r="C38" s="53" t="s">
        <v>55</v>
      </c>
      <c r="D38" s="32">
        <f>ROUND(E38*IF(RIGHT(C38,4)="Wind",CC_E_Wind,IF(RIGHT(C38,5)="Solar",CC_E_Tracking,IF(RIGHT(C38,3)="Gas",CC_E_Gas,IF(RIGHT(C38,5)="Hydro",CC_E_Hydro,0)))),2)</f>
        <v>7.82</v>
      </c>
      <c r="E38" s="32">
        <v>20</v>
      </c>
      <c r="F38" s="6">
        <v>0.28240833333333337</v>
      </c>
      <c r="G38" s="52">
        <f t="shared" si="5"/>
        <v>0.39100000000000001</v>
      </c>
      <c r="H38" s="7">
        <v>43739</v>
      </c>
      <c r="I38" s="50"/>
      <c r="J38" s="50"/>
      <c r="K38" s="50"/>
      <c r="L38" s="50"/>
      <c r="M38" s="50"/>
      <c r="N38" s="50"/>
    </row>
    <row r="39" spans="2:14" ht="12" customHeight="1" x14ac:dyDescent="0.2">
      <c r="B39" s="5">
        <f t="shared" ca="1" si="1"/>
        <v>10</v>
      </c>
      <c r="C39" s="53" t="s">
        <v>56</v>
      </c>
      <c r="D39" s="32">
        <f>ROUND(E39*IF(RIGHT(C39,4)="Wind",CC_W_Wind,IF(RIGHT(C39,5)="Solar",CC_W_Tracking,IF(RIGHT(C39,3)="Gas",CC_W_Gas,IF(RIGHT(C39,5)="Hydro",CC_W_Hydro,0)))),2)</f>
        <v>14.68</v>
      </c>
      <c r="E39" s="32">
        <v>40</v>
      </c>
      <c r="F39" s="6">
        <v>0.30979452054794521</v>
      </c>
      <c r="G39" s="52">
        <f t="shared" si="5"/>
        <v>0.36699999999999999</v>
      </c>
      <c r="H39" s="7">
        <v>43281</v>
      </c>
      <c r="I39" s="50"/>
      <c r="J39" s="50"/>
      <c r="K39" s="50"/>
      <c r="L39" s="50"/>
      <c r="M39" s="50"/>
      <c r="N39" s="50"/>
    </row>
    <row r="40" spans="2:14" ht="12" customHeight="1" x14ac:dyDescent="0.2">
      <c r="B40" s="5">
        <f t="shared" ca="1" si="1"/>
        <v>11</v>
      </c>
      <c r="C40" s="53" t="s">
        <v>57</v>
      </c>
      <c r="D40" s="32">
        <f>ROUND(E40*IF(RIGHT(C40,4)="Wind",CC_W_Wind,IF(RIGHT(C40,5)="Solar",CC_W_Tracking,IF(RIGHT(C40,3)="Gas",CC_W_Gas,IF(RIGHT(C40,5)="Hydro",CC_W_Hydro,0)))),2)</f>
        <v>14.68</v>
      </c>
      <c r="E40" s="32">
        <v>40</v>
      </c>
      <c r="F40" s="6">
        <v>0.2791238584474886</v>
      </c>
      <c r="G40" s="52">
        <f t="shared" si="5"/>
        <v>0.36699999999999999</v>
      </c>
      <c r="H40" s="7">
        <v>43435</v>
      </c>
      <c r="I40" s="50"/>
      <c r="J40" s="50"/>
      <c r="K40" s="50"/>
      <c r="L40" s="50"/>
      <c r="M40" s="50"/>
      <c r="N40" s="50"/>
    </row>
    <row r="41" spans="2:14" ht="12" customHeight="1" x14ac:dyDescent="0.2">
      <c r="B41" s="5">
        <f t="shared" ca="1" si="1"/>
        <v>12</v>
      </c>
      <c r="C41" s="53" t="s">
        <v>58</v>
      </c>
      <c r="D41" s="32">
        <f>ROUND(E41*IF(RIGHT(C41,4)="Wind",CC_W_Wind,IF(RIGHT(C41,5)="Solar",CC_W_Tracking,IF(RIGHT(C41,3)="Gas",CC_W_Gas,IF(RIGHT(C41,5)="Hydro",CC_W_Hydro,0)))),2)</f>
        <v>14.68</v>
      </c>
      <c r="E41" s="32">
        <v>40</v>
      </c>
      <c r="F41" s="6">
        <v>0.24543093607305935</v>
      </c>
      <c r="G41" s="52">
        <f t="shared" si="5"/>
        <v>0.36699999999999999</v>
      </c>
      <c r="H41" s="7">
        <v>43435</v>
      </c>
      <c r="I41" s="50"/>
      <c r="J41" s="50"/>
      <c r="K41" s="50"/>
      <c r="L41" s="50"/>
      <c r="M41" s="50"/>
      <c r="N41" s="50"/>
    </row>
    <row r="42" spans="2:14" ht="12" customHeight="1" x14ac:dyDescent="0.2">
      <c r="B42" s="5">
        <f t="shared" ca="1" si="1"/>
        <v>13</v>
      </c>
      <c r="C42" s="53" t="s">
        <v>59</v>
      </c>
      <c r="D42" s="32">
        <f>ROUND(E42*IF(RIGHT(C42,4)="Wind",CC_E_Wind,IF(RIGHT(C42,5)="Solar",CC_E_Tracking,IF(RIGHT(C42,3)="Gas",CC_E_Gas,IF(RIGHT(C42,5)="Hydro",CC_E_Hydro,0)))),2)</f>
        <v>29.29</v>
      </c>
      <c r="E42" s="32">
        <v>74.900000000000006</v>
      </c>
      <c r="F42" s="6">
        <v>0.30612898628917706</v>
      </c>
      <c r="G42" s="52">
        <f t="shared" si="5"/>
        <v>0.39100000000000001</v>
      </c>
      <c r="H42" s="7">
        <v>43160</v>
      </c>
      <c r="I42" s="50"/>
      <c r="J42" s="50"/>
      <c r="K42" s="50"/>
      <c r="L42" s="50"/>
      <c r="M42" s="50"/>
      <c r="N42" s="50"/>
    </row>
    <row r="43" spans="2:14" ht="12" customHeight="1" x14ac:dyDescent="0.2">
      <c r="B43" s="5">
        <f t="shared" ca="1" si="1"/>
        <v>14</v>
      </c>
      <c r="C43" s="53" t="s">
        <v>61</v>
      </c>
      <c r="D43" s="32">
        <f>ROUND(E43*IF(RIGHT(C43,4)="Wind",CC_W_Wind,IF(RIGHT(C43,5)="Solar",CC_W_Tracking,IF(RIGHT(C43,3)="Gas",CC_W_Gas,IF(RIGHT(C43,5)="Hydro",CC_W_Hydro,0)))),2)</f>
        <v>4.4000000000000004</v>
      </c>
      <c r="E43" s="32">
        <v>12</v>
      </c>
      <c r="F43" s="6">
        <v>0.25991088505834109</v>
      </c>
      <c r="G43" s="52">
        <f t="shared" ref="G43:G62" si="6">ROUND(D43/E43,3)</f>
        <v>0.36699999999999999</v>
      </c>
      <c r="H43" s="7">
        <v>43101</v>
      </c>
      <c r="I43" s="50"/>
      <c r="J43" s="50"/>
      <c r="K43" s="50"/>
      <c r="L43" s="50"/>
      <c r="M43" s="50"/>
      <c r="N43" s="50"/>
    </row>
    <row r="44" spans="2:14" ht="12" customHeight="1" x14ac:dyDescent="0.2">
      <c r="B44" s="5">
        <f t="shared" ca="1" si="1"/>
        <v>15</v>
      </c>
      <c r="C44" s="53" t="s">
        <v>62</v>
      </c>
      <c r="D44" s="32">
        <f t="shared" ref="D44:D50" si="7">ROUND(E44*IF(RIGHT(C44,4)="Wind",CC_E_Wind,IF(RIGHT(C44,5)="Solar",CC_E_Tracking,IF(RIGHT(C44,3)="Gas",CC_E_Gas,IF(RIGHT(C44,5)="Hydro",CC_E_Hydro,0)))),2)</f>
        <v>11.6</v>
      </c>
      <c r="E44" s="32">
        <v>80</v>
      </c>
      <c r="F44" s="6">
        <v>0.40697345890410958</v>
      </c>
      <c r="G44" s="52">
        <f t="shared" si="6"/>
        <v>0.14499999999999999</v>
      </c>
      <c r="H44" s="7">
        <v>43465</v>
      </c>
      <c r="I44" s="50"/>
      <c r="J44" s="50"/>
      <c r="K44" s="50"/>
      <c r="L44" s="50"/>
      <c r="M44" s="50"/>
      <c r="N44" s="50"/>
    </row>
    <row r="45" spans="2:14" ht="12" customHeight="1" x14ac:dyDescent="0.2">
      <c r="B45" s="5">
        <f t="shared" ca="1" si="1"/>
        <v>16</v>
      </c>
      <c r="C45" s="53" t="s">
        <v>63</v>
      </c>
      <c r="D45" s="32">
        <f t="shared" si="7"/>
        <v>11.6</v>
      </c>
      <c r="E45" s="32">
        <v>80</v>
      </c>
      <c r="F45" s="6">
        <v>0.40697345890410958</v>
      </c>
      <c r="G45" s="52">
        <f t="shared" si="6"/>
        <v>0.14499999999999999</v>
      </c>
      <c r="H45" s="7">
        <v>43465</v>
      </c>
      <c r="I45" s="50"/>
      <c r="J45" s="50"/>
      <c r="K45" s="50"/>
      <c r="L45" s="50"/>
      <c r="M45" s="50"/>
      <c r="N45" s="50"/>
    </row>
    <row r="46" spans="2:14" ht="12" customHeight="1" x14ac:dyDescent="0.2">
      <c r="B46" s="5">
        <f t="shared" ca="1" si="1"/>
        <v>17</v>
      </c>
      <c r="C46" s="53" t="s">
        <v>64</v>
      </c>
      <c r="D46" s="32">
        <f t="shared" si="7"/>
        <v>11.6</v>
      </c>
      <c r="E46" s="32">
        <v>80</v>
      </c>
      <c r="F46" s="6">
        <v>0.40697345890410958</v>
      </c>
      <c r="G46" s="52">
        <f t="shared" si="6"/>
        <v>0.14499999999999999</v>
      </c>
      <c r="H46" s="7">
        <v>43465</v>
      </c>
      <c r="I46" s="50"/>
      <c r="J46" s="50"/>
      <c r="K46" s="50"/>
      <c r="L46" s="50"/>
      <c r="M46" s="50"/>
      <c r="N46" s="50"/>
    </row>
    <row r="47" spans="2:14" ht="12" customHeight="1" x14ac:dyDescent="0.2">
      <c r="B47" s="5">
        <f t="shared" ca="1" si="1"/>
        <v>18</v>
      </c>
      <c r="C47" s="53" t="s">
        <v>65</v>
      </c>
      <c r="D47" s="32">
        <f t="shared" si="7"/>
        <v>11.6</v>
      </c>
      <c r="E47" s="32">
        <v>80</v>
      </c>
      <c r="F47" s="6">
        <v>0.40697345890410958</v>
      </c>
      <c r="G47" s="52">
        <f t="shared" si="6"/>
        <v>0.14499999999999999</v>
      </c>
      <c r="H47" s="7">
        <v>43465</v>
      </c>
      <c r="I47" s="50"/>
      <c r="J47" s="50"/>
      <c r="K47" s="50"/>
      <c r="L47" s="50"/>
      <c r="M47" s="50"/>
      <c r="N47" s="50"/>
    </row>
    <row r="48" spans="2:14" ht="12" customHeight="1" x14ac:dyDescent="0.2">
      <c r="B48" s="5">
        <f t="shared" ca="1" si="1"/>
        <v>19</v>
      </c>
      <c r="C48" s="53" t="s">
        <v>66</v>
      </c>
      <c r="D48" s="32">
        <f t="shared" si="7"/>
        <v>31.28</v>
      </c>
      <c r="E48" s="32">
        <v>80</v>
      </c>
      <c r="F48" s="6">
        <v>0.31172945205479452</v>
      </c>
      <c r="G48" s="52">
        <f t="shared" si="6"/>
        <v>0.39100000000000001</v>
      </c>
      <c r="H48" s="7">
        <v>43435</v>
      </c>
      <c r="I48" s="50"/>
      <c r="J48" s="50"/>
      <c r="K48" s="50"/>
      <c r="L48" s="50"/>
      <c r="M48" s="50"/>
      <c r="N48" s="50"/>
    </row>
    <row r="49" spans="2:14" ht="12" customHeight="1" x14ac:dyDescent="0.2">
      <c r="B49" s="5">
        <f t="shared" ca="1" si="1"/>
        <v>20</v>
      </c>
      <c r="C49" s="53" t="s">
        <v>67</v>
      </c>
      <c r="D49" s="32">
        <f t="shared" si="7"/>
        <v>31.28</v>
      </c>
      <c r="E49" s="32">
        <v>80</v>
      </c>
      <c r="F49" s="6">
        <v>0.31513555936073057</v>
      </c>
      <c r="G49" s="52">
        <f t="shared" si="6"/>
        <v>0.39100000000000001</v>
      </c>
      <c r="H49" s="7">
        <v>43435</v>
      </c>
      <c r="I49" s="50"/>
      <c r="J49" s="50"/>
      <c r="K49" s="50"/>
      <c r="L49" s="50"/>
      <c r="M49" s="50"/>
      <c r="N49" s="50"/>
    </row>
    <row r="50" spans="2:14" ht="12" customHeight="1" x14ac:dyDescent="0.2">
      <c r="B50" s="5">
        <f t="shared" ca="1" si="1"/>
        <v>21</v>
      </c>
      <c r="C50" s="53" t="s">
        <v>68</v>
      </c>
      <c r="D50" s="32">
        <f t="shared" si="7"/>
        <v>31.28</v>
      </c>
      <c r="E50" s="32">
        <v>80</v>
      </c>
      <c r="F50" s="6">
        <v>0.31859446347031961</v>
      </c>
      <c r="G50" s="52">
        <f t="shared" si="6"/>
        <v>0.39100000000000001</v>
      </c>
      <c r="H50" s="7">
        <v>43435</v>
      </c>
      <c r="I50" s="50"/>
      <c r="J50" s="50"/>
      <c r="K50" s="50"/>
      <c r="L50" s="50"/>
      <c r="M50" s="50"/>
      <c r="N50" s="50"/>
    </row>
    <row r="51" spans="2:14" ht="12" customHeight="1" x14ac:dyDescent="0.2">
      <c r="B51" s="5">
        <f t="shared" ca="1" si="1"/>
        <v>22</v>
      </c>
      <c r="C51" s="53" t="s">
        <v>69</v>
      </c>
      <c r="D51" s="32">
        <f>ROUND(E51*IF(RIGHT(C51,4)="Wind",CC_W_Wind,IF(RIGHT(C51,5)="Solar",CC_W_Tracking,IF(RIGHT(C51,3)="Gas",CC_W_Gas,IF(RIGHT(C51,5)="Hydro",CC_W_Hydro,0)))),2)</f>
        <v>14.68</v>
      </c>
      <c r="E51" s="32">
        <v>40</v>
      </c>
      <c r="F51" s="6">
        <v>0.28310787671232879</v>
      </c>
      <c r="G51" s="52">
        <f t="shared" si="6"/>
        <v>0.36699999999999999</v>
      </c>
      <c r="H51" s="7">
        <v>43830</v>
      </c>
      <c r="I51" s="50"/>
      <c r="J51" s="50"/>
      <c r="K51" s="50"/>
      <c r="L51" s="50"/>
      <c r="M51" s="50"/>
      <c r="N51" s="50"/>
    </row>
    <row r="52" spans="2:14" ht="12" customHeight="1" x14ac:dyDescent="0.2">
      <c r="B52" s="5">
        <f t="shared" ca="1" si="1"/>
        <v>23</v>
      </c>
      <c r="C52" s="53" t="s">
        <v>70</v>
      </c>
      <c r="D52" s="32">
        <f>ROUND(E52*IF(RIGHT(C52,4)="Wind",CC_W_Wind,IF(RIGHT(C52,5)="Solar",CC_W_Tracking,IF(RIGHT(C52,3)="Gas",CC_W_Gas,IF(RIGHT(C52,5)="Hydro",CC_W_Hydro,0)))),2)</f>
        <v>18.350000000000001</v>
      </c>
      <c r="E52" s="32">
        <v>50</v>
      </c>
      <c r="F52" s="6">
        <v>0.26696347031963469</v>
      </c>
      <c r="G52" s="52">
        <f t="shared" si="6"/>
        <v>0.36699999999999999</v>
      </c>
      <c r="H52" s="7">
        <v>43830</v>
      </c>
      <c r="I52" s="50"/>
      <c r="J52" s="50"/>
      <c r="K52" s="50"/>
      <c r="L52" s="50"/>
      <c r="M52" s="50"/>
      <c r="N52" s="50"/>
    </row>
    <row r="53" spans="2:14" ht="12" customHeight="1" x14ac:dyDescent="0.2">
      <c r="B53" s="5">
        <f t="shared" ca="1" si="1"/>
        <v>24</v>
      </c>
      <c r="C53" s="53" t="s">
        <v>71</v>
      </c>
      <c r="D53" s="32">
        <f>ROUND(E53*IF(RIGHT(C53,4)="Wind",CC_E_Wind,IF(RIGHT(C53,5)="Solar",CC_E_Tracking,IF(RIGHT(C53,3)="Gas",CC_E_Gas,IF(RIGHT(C53,5)="Hydro",CC_E_Hydro,0)))),2)</f>
        <v>31.28</v>
      </c>
      <c r="E53" s="32">
        <v>80</v>
      </c>
      <c r="F53" s="6">
        <v>0.27453909817351596</v>
      </c>
      <c r="G53" s="52">
        <f t="shared" si="6"/>
        <v>0.39100000000000001</v>
      </c>
      <c r="H53" s="7">
        <v>43646</v>
      </c>
      <c r="I53" s="50"/>
      <c r="J53" s="50"/>
      <c r="K53" s="50"/>
      <c r="L53" s="50"/>
      <c r="M53" s="50"/>
      <c r="N53" s="50"/>
    </row>
    <row r="54" spans="2:14" ht="12" customHeight="1" x14ac:dyDescent="0.2">
      <c r="B54" s="5">
        <f t="shared" ca="1" si="1"/>
        <v>25</v>
      </c>
      <c r="C54" s="53" t="s">
        <v>72</v>
      </c>
      <c r="D54" s="32">
        <f>ROUND(E54*IF(RIGHT(C54,4)="Wind",CC_E_Wind,IF(RIGHT(C54,5)="Solar",CC_E_Tracking,IF(RIGHT(C54,3)="Gas",CC_E_Gas,IF(RIGHT(C54,5)="Hydro",CC_E_Hydro,0)))),2)</f>
        <v>31.28</v>
      </c>
      <c r="E54" s="32">
        <v>80</v>
      </c>
      <c r="F54" s="6">
        <v>0.26782819634703198</v>
      </c>
      <c r="G54" s="52">
        <f t="shared" si="6"/>
        <v>0.39100000000000001</v>
      </c>
      <c r="H54" s="7">
        <v>43646</v>
      </c>
      <c r="I54" s="50"/>
      <c r="J54" s="50"/>
      <c r="K54" s="50"/>
      <c r="L54" s="50"/>
      <c r="M54" s="50"/>
      <c r="N54" s="50"/>
    </row>
    <row r="55" spans="2:14" ht="12" customHeight="1" x14ac:dyDescent="0.2">
      <c r="B55" s="5">
        <f t="shared" ca="1" si="1"/>
        <v>26</v>
      </c>
      <c r="C55" s="53" t="s">
        <v>73</v>
      </c>
      <c r="D55" s="32">
        <f>ROUND(E55*IF(RIGHT(C55,4)="Wind",CC_E_Wind,IF(RIGHT(C55,5)="Solar",CC_E_Tracking,IF(RIGHT(C55,3)="Gas",CC_E_Gas,IF(RIGHT(C55,5)="Hydro",CC_E_Hydro,0)))),2)</f>
        <v>15.64</v>
      </c>
      <c r="E55" s="32">
        <v>40</v>
      </c>
      <c r="F55" s="6">
        <v>0.25790239726027397</v>
      </c>
      <c r="G55" s="52">
        <f t="shared" si="6"/>
        <v>0.39100000000000001</v>
      </c>
      <c r="H55" s="7">
        <v>43646</v>
      </c>
      <c r="I55" s="50"/>
      <c r="J55" s="50"/>
      <c r="K55" s="50"/>
      <c r="L55" s="50"/>
      <c r="M55" s="50"/>
      <c r="N55" s="50"/>
    </row>
    <row r="56" spans="2:14" ht="12" customHeight="1" x14ac:dyDescent="0.2">
      <c r="B56" s="5">
        <f t="shared" ca="1" si="1"/>
        <v>27</v>
      </c>
      <c r="C56" s="53" t="s">
        <v>74</v>
      </c>
      <c r="D56" s="32">
        <f>ROUND(E56*IF(RIGHT(C56,4)="Wind",CC_E_Wind,IF(RIGHT(C56,5)="Solar",CC_E_Tracking,IF(RIGHT(C56,3)="Gas",CC_E_Gas,IF(RIGHT(C56,5)="Hydro",CC_E_Hydro,0)))),2)</f>
        <v>31.28</v>
      </c>
      <c r="E56" s="32">
        <v>80</v>
      </c>
      <c r="F56" s="6">
        <v>0.2779139969891552</v>
      </c>
      <c r="G56" s="52">
        <f t="shared" si="6"/>
        <v>0.39100000000000001</v>
      </c>
      <c r="H56" s="7">
        <v>43646</v>
      </c>
      <c r="I56" s="50"/>
      <c r="J56" s="50"/>
      <c r="K56" s="50"/>
      <c r="L56" s="50"/>
      <c r="M56" s="50"/>
      <c r="N56" s="50"/>
    </row>
    <row r="57" spans="2:14" ht="12" customHeight="1" x14ac:dyDescent="0.2">
      <c r="B57" s="5">
        <f t="shared" ca="1" si="1"/>
        <v>28</v>
      </c>
      <c r="C57" s="53" t="s">
        <v>75</v>
      </c>
      <c r="D57" s="32">
        <f>ROUND(E57*IF(RIGHT(C57,4)="Wind",CC_E_Wind,IF(RIGHT(C57,5)="Solar",CC_E_Tracking,IF(RIGHT(C57,3)="Gas",CC_E_Gas,IF(RIGHT(C57,5)="Hydro",CC_E_Hydro,0)))),2)</f>
        <v>7.04</v>
      </c>
      <c r="E57" s="32">
        <v>18</v>
      </c>
      <c r="F57" s="6">
        <v>0.26866273798833079</v>
      </c>
      <c r="G57" s="52">
        <f t="shared" si="6"/>
        <v>0.39100000000000001</v>
      </c>
      <c r="H57" s="7">
        <v>43646</v>
      </c>
      <c r="I57" s="50"/>
      <c r="J57" s="50"/>
      <c r="K57" s="50"/>
      <c r="L57" s="50"/>
      <c r="M57" s="50"/>
      <c r="N57" s="50"/>
    </row>
    <row r="58" spans="2:14" ht="12" customHeight="1" x14ac:dyDescent="0.2">
      <c r="B58" s="5">
        <f t="shared" ca="1" si="1"/>
        <v>29</v>
      </c>
      <c r="C58" s="53" t="s">
        <v>76</v>
      </c>
      <c r="D58" s="32">
        <f>ROUND(E58*IF(RIGHT(C58,4)="Wind",CC_W_Wind,IF(RIGHT(C58,5)="Solar",CC_W_Tracking,IF(RIGHT(C58,3)="Gas",CC_W_Gas,IF(RIGHT(C58,5)="Hydro",CC_W_Hydro,0)))),2)</f>
        <v>5.51</v>
      </c>
      <c r="E58" s="32">
        <v>15</v>
      </c>
      <c r="F58" s="6">
        <v>0.29340182648401825</v>
      </c>
      <c r="G58" s="52">
        <f t="shared" si="6"/>
        <v>0.36699999999999999</v>
      </c>
      <c r="H58" s="7">
        <v>43435</v>
      </c>
      <c r="I58" s="50"/>
      <c r="J58" s="50"/>
      <c r="K58" s="50"/>
      <c r="L58" s="50"/>
      <c r="M58" s="50"/>
      <c r="N58" s="50"/>
    </row>
    <row r="59" spans="2:14" ht="12" customHeight="1" x14ac:dyDescent="0.2">
      <c r="B59" s="5">
        <f t="shared" ca="1" si="1"/>
        <v>30</v>
      </c>
      <c r="C59" s="53" t="s">
        <v>77</v>
      </c>
      <c r="D59" s="32">
        <f>ROUND(E59*IF(RIGHT(C59,4)="Wind",CC_W_Wind,IF(RIGHT(C59,5)="Solar",CC_W_Tracking,IF(RIGHT(C59,3)="Gas",CC_W_Gas,IF(RIGHT(C59,5)="Hydro",CC_W_Hydro,0)))),2)</f>
        <v>16.52</v>
      </c>
      <c r="E59" s="32">
        <v>45</v>
      </c>
      <c r="F59" s="6">
        <v>0.28835109081684424</v>
      </c>
      <c r="G59" s="52">
        <f t="shared" si="6"/>
        <v>0.36699999999999999</v>
      </c>
      <c r="H59" s="7">
        <v>43435</v>
      </c>
      <c r="I59" s="50"/>
      <c r="J59" s="50"/>
      <c r="K59" s="50"/>
      <c r="L59" s="50"/>
      <c r="M59" s="50"/>
      <c r="N59" s="50"/>
    </row>
    <row r="60" spans="2:14" ht="12" customHeight="1" x14ac:dyDescent="0.2">
      <c r="B60" s="5">
        <f t="shared" ca="1" si="1"/>
        <v>31</v>
      </c>
      <c r="C60" s="53" t="s">
        <v>78</v>
      </c>
      <c r="D60" s="32">
        <f t="shared" ref="D60:D74" si="8">ROUND(E60*IF(RIGHT(C60,4)="Wind",CC_E_Wind,IF(RIGHT(C60,5)="Solar",CC_E_Tracking,IF(RIGHT(C60,3)="Gas",CC_E_Gas,IF(RIGHT(C60,5)="Hydro",CC_E_Hydro,0)))),2)</f>
        <v>6.26</v>
      </c>
      <c r="E60" s="32">
        <v>16</v>
      </c>
      <c r="F60" s="6">
        <v>0.29317208904109587</v>
      </c>
      <c r="G60" s="52">
        <f t="shared" si="6"/>
        <v>0.39100000000000001</v>
      </c>
      <c r="H60" s="7">
        <v>43739</v>
      </c>
      <c r="I60" s="50"/>
      <c r="J60" s="50"/>
      <c r="K60" s="50"/>
      <c r="L60" s="50"/>
      <c r="M60" s="50"/>
      <c r="N60" s="50"/>
    </row>
    <row r="61" spans="2:14" ht="12" customHeight="1" x14ac:dyDescent="0.2">
      <c r="B61" s="5">
        <f t="shared" ca="1" si="1"/>
        <v>32</v>
      </c>
      <c r="C61" s="53" t="s">
        <v>79</v>
      </c>
      <c r="D61" s="32">
        <f t="shared" si="8"/>
        <v>11.73</v>
      </c>
      <c r="E61" s="32">
        <v>30</v>
      </c>
      <c r="F61" s="6">
        <v>0.27404870624048705</v>
      </c>
      <c r="G61" s="52">
        <f t="shared" si="6"/>
        <v>0.39100000000000001</v>
      </c>
      <c r="H61" s="7">
        <v>43646</v>
      </c>
      <c r="I61" s="50"/>
      <c r="J61" s="50"/>
      <c r="K61" s="50"/>
      <c r="L61" s="50"/>
      <c r="M61" s="50"/>
      <c r="N61" s="50"/>
    </row>
    <row r="62" spans="2:14" ht="12" customHeight="1" x14ac:dyDescent="0.2">
      <c r="B62" s="5">
        <f t="shared" ca="1" si="1"/>
        <v>33</v>
      </c>
      <c r="C62" s="53" t="s">
        <v>80</v>
      </c>
      <c r="D62" s="32">
        <f t="shared" si="8"/>
        <v>31.28</v>
      </c>
      <c r="E62" s="32">
        <v>80</v>
      </c>
      <c r="F62" s="6">
        <v>0.27414526255707761</v>
      </c>
      <c r="G62" s="52">
        <f t="shared" si="6"/>
        <v>0.39100000000000001</v>
      </c>
      <c r="H62" s="7">
        <v>43646</v>
      </c>
      <c r="I62" s="50"/>
      <c r="J62" s="50"/>
      <c r="K62" s="50"/>
      <c r="L62" s="50"/>
      <c r="M62" s="50"/>
      <c r="N62" s="50"/>
    </row>
    <row r="63" spans="2:14" ht="12" customHeight="1" x14ac:dyDescent="0.2">
      <c r="B63" s="5">
        <f t="shared" ca="1" si="1"/>
        <v>34</v>
      </c>
      <c r="C63" s="53" t="s">
        <v>83</v>
      </c>
      <c r="D63" s="32">
        <f t="shared" si="8"/>
        <v>11.6</v>
      </c>
      <c r="E63" s="32">
        <v>80</v>
      </c>
      <c r="F63" s="6">
        <v>0.46554223744292239</v>
      </c>
      <c r="G63" s="52">
        <f t="shared" ref="G63:G66" si="9">ROUND(D63/E63,3)</f>
        <v>0.14499999999999999</v>
      </c>
      <c r="H63" s="7">
        <v>43831</v>
      </c>
      <c r="I63" s="50"/>
      <c r="J63" s="50"/>
      <c r="K63" s="50"/>
      <c r="L63" s="50"/>
      <c r="M63" s="50"/>
      <c r="N63" s="50"/>
    </row>
    <row r="64" spans="2:14" ht="12" customHeight="1" x14ac:dyDescent="0.2">
      <c r="B64" s="5">
        <f t="shared" ca="1" si="1"/>
        <v>35</v>
      </c>
      <c r="C64" s="53" t="s">
        <v>82</v>
      </c>
      <c r="D64" s="32">
        <f t="shared" si="8"/>
        <v>11.6</v>
      </c>
      <c r="E64" s="32">
        <v>80</v>
      </c>
      <c r="F64" s="6">
        <v>0.46554223744292239</v>
      </c>
      <c r="G64" s="52">
        <f t="shared" si="9"/>
        <v>0.14499999999999999</v>
      </c>
      <c r="H64" s="7">
        <v>43831</v>
      </c>
      <c r="I64" s="50"/>
      <c r="J64" s="50"/>
      <c r="K64" s="50"/>
      <c r="L64" s="50"/>
      <c r="M64" s="50"/>
      <c r="N64" s="50"/>
    </row>
    <row r="65" spans="2:14" ht="12" customHeight="1" x14ac:dyDescent="0.2">
      <c r="B65" s="5">
        <f t="shared" ca="1" si="1"/>
        <v>36</v>
      </c>
      <c r="C65" s="53" t="s">
        <v>81</v>
      </c>
      <c r="D65" s="32">
        <f t="shared" si="8"/>
        <v>11.6</v>
      </c>
      <c r="E65" s="32">
        <v>80</v>
      </c>
      <c r="F65" s="6">
        <v>0.46554223744292239</v>
      </c>
      <c r="G65" s="52">
        <f t="shared" si="9"/>
        <v>0.14499999999999999</v>
      </c>
      <c r="H65" s="7">
        <v>43831</v>
      </c>
      <c r="I65" s="50"/>
      <c r="J65" s="50"/>
      <c r="K65" s="50"/>
      <c r="L65" s="50"/>
      <c r="M65" s="50"/>
      <c r="N65" s="50"/>
    </row>
    <row r="66" spans="2:14" ht="12" customHeight="1" x14ac:dyDescent="0.2">
      <c r="B66" s="5">
        <f t="shared" ca="1" si="1"/>
        <v>37</v>
      </c>
      <c r="C66" s="53" t="s">
        <v>84</v>
      </c>
      <c r="D66" s="32">
        <f t="shared" si="8"/>
        <v>5.8</v>
      </c>
      <c r="E66" s="32">
        <v>40</v>
      </c>
      <c r="F66" s="6">
        <v>0.46554223744292239</v>
      </c>
      <c r="G66" s="52">
        <f t="shared" si="9"/>
        <v>0.14499999999999999</v>
      </c>
      <c r="H66" s="7">
        <v>43831</v>
      </c>
      <c r="I66" s="50"/>
      <c r="J66" s="50"/>
      <c r="K66" s="50"/>
      <c r="L66" s="50"/>
      <c r="M66" s="50"/>
      <c r="N66" s="50"/>
    </row>
    <row r="67" spans="2:14" ht="12" customHeight="1" x14ac:dyDescent="0.2">
      <c r="B67" s="5">
        <f t="shared" ref="B67:B72" ca="1" si="10">OFFSET(B67,-1,0)+1</f>
        <v>38</v>
      </c>
      <c r="C67" s="53" t="s">
        <v>85</v>
      </c>
      <c r="D67" s="32">
        <f t="shared" si="8"/>
        <v>31.28</v>
      </c>
      <c r="E67" s="32">
        <v>80</v>
      </c>
      <c r="F67" s="6">
        <v>0.2962956621004566</v>
      </c>
      <c r="G67" s="52">
        <f t="shared" ref="G67:G72" si="11">ROUND(D67/E67,3)</f>
        <v>0.39100000000000001</v>
      </c>
      <c r="H67" s="7">
        <v>43800</v>
      </c>
      <c r="I67" s="50"/>
      <c r="J67" s="50"/>
      <c r="K67" s="50"/>
      <c r="L67" s="50"/>
      <c r="M67" s="50"/>
      <c r="N67" s="50"/>
    </row>
    <row r="68" spans="2:14" ht="12" customHeight="1" x14ac:dyDescent="0.2">
      <c r="B68" s="5">
        <f t="shared" ca="1" si="10"/>
        <v>39</v>
      </c>
      <c r="C68" s="53" t="s">
        <v>86</v>
      </c>
      <c r="D68" s="32">
        <f t="shared" si="8"/>
        <v>31.28</v>
      </c>
      <c r="E68" s="32">
        <v>80</v>
      </c>
      <c r="F68" s="6">
        <v>0.2962956621004566</v>
      </c>
      <c r="G68" s="52">
        <f t="shared" si="11"/>
        <v>0.39100000000000001</v>
      </c>
      <c r="H68" s="7">
        <v>43800</v>
      </c>
      <c r="I68" s="50"/>
      <c r="J68" s="50"/>
      <c r="K68" s="50"/>
      <c r="L68" s="50"/>
      <c r="M68" s="50"/>
      <c r="N68" s="50"/>
    </row>
    <row r="69" spans="2:14" ht="12" customHeight="1" x14ac:dyDescent="0.2">
      <c r="B69" s="5">
        <f t="shared" ca="1" si="10"/>
        <v>40</v>
      </c>
      <c r="C69" s="53" t="s">
        <v>87</v>
      </c>
      <c r="D69" s="32">
        <f t="shared" si="8"/>
        <v>31.28</v>
      </c>
      <c r="E69" s="32">
        <v>80</v>
      </c>
      <c r="F69" s="6">
        <v>0.2962956621004566</v>
      </c>
      <c r="G69" s="52">
        <f t="shared" si="11"/>
        <v>0.39100000000000001</v>
      </c>
      <c r="H69" s="7">
        <v>43800</v>
      </c>
      <c r="I69" s="50"/>
      <c r="J69" s="50"/>
      <c r="K69" s="50"/>
      <c r="L69" s="50"/>
      <c r="M69" s="50"/>
      <c r="N69" s="50"/>
    </row>
    <row r="70" spans="2:14" ht="12" customHeight="1" x14ac:dyDescent="0.2">
      <c r="B70" s="5">
        <f t="shared" ca="1" si="10"/>
        <v>41</v>
      </c>
      <c r="C70" s="53" t="s">
        <v>88</v>
      </c>
      <c r="D70" s="32">
        <f t="shared" si="8"/>
        <v>31.28</v>
      </c>
      <c r="E70" s="32">
        <v>80</v>
      </c>
      <c r="F70" s="6">
        <v>0.2962956621004566</v>
      </c>
      <c r="G70" s="52">
        <f t="shared" si="11"/>
        <v>0.39100000000000001</v>
      </c>
      <c r="H70" s="7">
        <v>43800</v>
      </c>
      <c r="I70" s="50"/>
      <c r="J70" s="50"/>
      <c r="K70" s="50"/>
      <c r="L70" s="50"/>
      <c r="M70" s="50"/>
      <c r="N70" s="50"/>
    </row>
    <row r="71" spans="2:14" ht="12" customHeight="1" x14ac:dyDescent="0.2">
      <c r="B71" s="5">
        <f t="shared" ca="1" si="10"/>
        <v>42</v>
      </c>
      <c r="C71" s="53" t="s">
        <v>89</v>
      </c>
      <c r="D71" s="32">
        <f t="shared" si="8"/>
        <v>31.28</v>
      </c>
      <c r="E71" s="32">
        <v>80</v>
      </c>
      <c r="F71" s="6">
        <v>0.2962956621004566</v>
      </c>
      <c r="G71" s="52">
        <f t="shared" si="11"/>
        <v>0.39100000000000001</v>
      </c>
      <c r="H71" s="7">
        <v>43800</v>
      </c>
      <c r="I71" s="50"/>
      <c r="J71" s="50"/>
      <c r="K71" s="50"/>
      <c r="L71" s="50"/>
      <c r="M71" s="50"/>
      <c r="N71" s="50"/>
    </row>
    <row r="72" spans="2:14" ht="12" customHeight="1" x14ac:dyDescent="0.2">
      <c r="B72" s="5">
        <f t="shared" ca="1" si="10"/>
        <v>43</v>
      </c>
      <c r="C72" s="53" t="s">
        <v>90</v>
      </c>
      <c r="D72" s="32">
        <f t="shared" si="8"/>
        <v>31.28</v>
      </c>
      <c r="E72" s="32">
        <v>80</v>
      </c>
      <c r="F72" s="6">
        <v>0.2962956621004566</v>
      </c>
      <c r="G72" s="52">
        <f t="shared" si="11"/>
        <v>0.39100000000000001</v>
      </c>
      <c r="H72" s="7">
        <v>43800</v>
      </c>
      <c r="I72" s="50"/>
      <c r="J72" s="50"/>
      <c r="K72" s="50"/>
      <c r="L72" s="50"/>
      <c r="M72" s="50"/>
      <c r="N72" s="50"/>
    </row>
    <row r="73" spans="2:14" ht="12" customHeight="1" x14ac:dyDescent="0.2">
      <c r="B73" s="5">
        <f t="shared" ca="1" si="1"/>
        <v>44</v>
      </c>
      <c r="C73" s="53" t="s">
        <v>91</v>
      </c>
      <c r="D73" s="32">
        <f t="shared" si="8"/>
        <v>31.28</v>
      </c>
      <c r="E73" s="32">
        <v>80</v>
      </c>
      <c r="F73" s="6">
        <v>0.2962956621004566</v>
      </c>
      <c r="G73" s="52">
        <f t="shared" ref="G73" si="12">ROUND(D73/E73,3)</f>
        <v>0.39100000000000001</v>
      </c>
      <c r="H73" s="7">
        <v>43800</v>
      </c>
      <c r="I73" s="50"/>
      <c r="J73" s="50"/>
      <c r="K73" s="50"/>
      <c r="L73" s="50"/>
      <c r="M73" s="50"/>
      <c r="N73" s="50"/>
    </row>
    <row r="74" spans="2:14" ht="12" customHeight="1" x14ac:dyDescent="0.2">
      <c r="B74" s="5">
        <f t="shared" ca="1" si="1"/>
        <v>45</v>
      </c>
      <c r="C74" s="53" t="s">
        <v>92</v>
      </c>
      <c r="D74" s="32">
        <f t="shared" si="8"/>
        <v>8.2100000000000009</v>
      </c>
      <c r="E74" s="32">
        <v>21</v>
      </c>
      <c r="F74" s="6">
        <v>0.3490215264187867</v>
      </c>
      <c r="G74" s="52">
        <f t="shared" ref="G74:G85" si="13">ROUND(D74/E74,3)</f>
        <v>0.39100000000000001</v>
      </c>
      <c r="H74" s="7">
        <v>43800</v>
      </c>
      <c r="I74" s="50"/>
      <c r="J74" s="50"/>
      <c r="K74" s="50"/>
      <c r="L74" s="50"/>
      <c r="M74" s="50"/>
      <c r="N74" s="50"/>
    </row>
    <row r="75" spans="2:14" ht="12" customHeight="1" x14ac:dyDescent="0.2">
      <c r="B75" s="5">
        <f t="shared" ref="B75:B85" ca="1" si="14">OFFSET(B75,-1,0)+1</f>
        <v>46</v>
      </c>
      <c r="C75" s="53" t="s">
        <v>93</v>
      </c>
      <c r="D75" s="32">
        <f>ROUND(E75*IF(RIGHT(C75,4)="Wind",CC_W_Wind,IF(RIGHT(C75,5)="Solar",CC_W_Tracking,IF(RIGHT(C75,3)="Gas",CC_W_Gas,IF(RIGHT(C75,5)="Hydro",CC_W_Hydro,0)))),2)</f>
        <v>2.94</v>
      </c>
      <c r="E75" s="32">
        <v>8</v>
      </c>
      <c r="F75" s="6">
        <v>0.28451753710045663</v>
      </c>
      <c r="G75" s="52">
        <f t="shared" si="13"/>
        <v>0.36799999999999999</v>
      </c>
      <c r="H75" s="7">
        <v>43435</v>
      </c>
      <c r="I75" s="50"/>
      <c r="J75" s="50"/>
      <c r="K75" s="50"/>
      <c r="L75" s="50"/>
      <c r="M75" s="50"/>
      <c r="N75" s="50"/>
    </row>
    <row r="76" spans="2:14" ht="12" customHeight="1" x14ac:dyDescent="0.2">
      <c r="B76" s="5">
        <f t="shared" ca="1" si="14"/>
        <v>47</v>
      </c>
      <c r="C76" s="53" t="s">
        <v>94</v>
      </c>
      <c r="D76" s="32">
        <f>ROUND(E76*IF(RIGHT(C76,4)="Wind",CC_W_Wind,IF(RIGHT(C76,5)="Solar",CC_W_Tracking,IF(RIGHT(C76,3)="Gas",CC_W_Gas,IF(RIGHT(C76,5)="Hydro",CC_W_Hydro,0)))),2)</f>
        <v>16.88</v>
      </c>
      <c r="E76" s="32">
        <v>46</v>
      </c>
      <c r="F76" s="6">
        <v>0.28746024171133611</v>
      </c>
      <c r="G76" s="52">
        <f t="shared" si="13"/>
        <v>0.36699999999999999</v>
      </c>
      <c r="H76" s="7">
        <v>43435</v>
      </c>
      <c r="I76" s="50"/>
      <c r="J76" s="50"/>
      <c r="K76" s="50"/>
      <c r="L76" s="50"/>
      <c r="M76" s="50"/>
      <c r="N76" s="50"/>
    </row>
    <row r="77" spans="2:14" ht="12" customHeight="1" x14ac:dyDescent="0.2">
      <c r="B77" s="5">
        <f t="shared" ca="1" si="14"/>
        <v>48</v>
      </c>
      <c r="C77" s="53" t="s">
        <v>95</v>
      </c>
      <c r="D77" s="32">
        <f t="shared" ref="D77:D85" si="15">ROUND(E77*IF(RIGHT(C77,4)="Wind",CC_E_Wind,IF(RIGHT(C77,5)="Solar",CC_E_Tracking,IF(RIGHT(C77,3)="Gas",CC_E_Gas,IF(RIGHT(C77,5)="Hydro",CC_E_Hydro,0)))),2)</f>
        <v>31.28</v>
      </c>
      <c r="E77" s="32">
        <v>80</v>
      </c>
      <c r="F77" s="6">
        <v>0.2965884703196347</v>
      </c>
      <c r="G77" s="52">
        <f t="shared" si="13"/>
        <v>0.39100000000000001</v>
      </c>
      <c r="H77" s="7">
        <v>43435</v>
      </c>
      <c r="I77" s="50"/>
      <c r="J77" s="50"/>
      <c r="K77" s="50"/>
      <c r="L77" s="50"/>
      <c r="M77" s="50"/>
      <c r="N77" s="50"/>
    </row>
    <row r="78" spans="2:14" ht="12" customHeight="1" x14ac:dyDescent="0.2">
      <c r="B78" s="5">
        <f t="shared" ca="1" si="14"/>
        <v>49</v>
      </c>
      <c r="C78" s="53" t="s">
        <v>96</v>
      </c>
      <c r="D78" s="32">
        <f t="shared" si="15"/>
        <v>31.28</v>
      </c>
      <c r="E78" s="32">
        <v>80</v>
      </c>
      <c r="F78" s="6">
        <v>0.2965884703196347</v>
      </c>
      <c r="G78" s="52">
        <f t="shared" si="13"/>
        <v>0.39100000000000001</v>
      </c>
      <c r="H78" s="7">
        <v>43435</v>
      </c>
      <c r="I78" s="50"/>
      <c r="J78" s="50"/>
      <c r="K78" s="50"/>
      <c r="L78" s="50"/>
      <c r="M78" s="50"/>
      <c r="N78" s="50"/>
    </row>
    <row r="79" spans="2:14" ht="12" customHeight="1" x14ac:dyDescent="0.2">
      <c r="B79" s="5">
        <f t="shared" ca="1" si="14"/>
        <v>50</v>
      </c>
      <c r="C79" s="53" t="s">
        <v>97</v>
      </c>
      <c r="D79" s="32">
        <f t="shared" si="15"/>
        <v>31.28</v>
      </c>
      <c r="E79" s="32">
        <v>80</v>
      </c>
      <c r="F79" s="6">
        <v>0.2965884703196347</v>
      </c>
      <c r="G79" s="52">
        <f t="shared" si="13"/>
        <v>0.39100000000000001</v>
      </c>
      <c r="H79" s="7">
        <v>43435</v>
      </c>
      <c r="I79" s="50"/>
      <c r="J79" s="50"/>
      <c r="K79" s="50"/>
      <c r="L79" s="50"/>
      <c r="M79" s="50"/>
      <c r="N79" s="50"/>
    </row>
    <row r="80" spans="2:14" ht="12" customHeight="1" x14ac:dyDescent="0.2">
      <c r="B80" s="5">
        <f t="shared" ca="1" si="14"/>
        <v>51</v>
      </c>
      <c r="C80" s="53" t="s">
        <v>98</v>
      </c>
      <c r="D80" s="32">
        <f t="shared" si="15"/>
        <v>31.28</v>
      </c>
      <c r="E80" s="32">
        <v>80</v>
      </c>
      <c r="F80" s="6">
        <v>0.2965884703196347</v>
      </c>
      <c r="G80" s="52">
        <f t="shared" si="13"/>
        <v>0.39100000000000001</v>
      </c>
      <c r="H80" s="7">
        <v>43435</v>
      </c>
      <c r="I80" s="50"/>
      <c r="J80" s="50"/>
      <c r="K80" s="50"/>
      <c r="L80" s="50"/>
      <c r="M80" s="50"/>
      <c r="N80" s="50"/>
    </row>
    <row r="81" spans="2:14" ht="12" customHeight="1" x14ac:dyDescent="0.2">
      <c r="B81" s="5">
        <f t="shared" ca="1" si="14"/>
        <v>52</v>
      </c>
      <c r="C81" s="53" t="s">
        <v>99</v>
      </c>
      <c r="D81" s="32">
        <f t="shared" si="15"/>
        <v>31.28</v>
      </c>
      <c r="E81" s="32">
        <v>80</v>
      </c>
      <c r="F81" s="6">
        <v>0.2965884703196347</v>
      </c>
      <c r="G81" s="52">
        <f t="shared" si="13"/>
        <v>0.39100000000000001</v>
      </c>
      <c r="H81" s="7">
        <v>43435</v>
      </c>
      <c r="I81" s="50"/>
      <c r="J81" s="50"/>
      <c r="K81" s="50"/>
      <c r="L81" s="50"/>
      <c r="M81" s="50"/>
      <c r="N81" s="50"/>
    </row>
    <row r="82" spans="2:14" ht="12" customHeight="1" x14ac:dyDescent="0.2">
      <c r="B82" s="5">
        <f t="shared" ca="1" si="14"/>
        <v>53</v>
      </c>
      <c r="C82" s="53" t="s">
        <v>100</v>
      </c>
      <c r="D82" s="32">
        <f t="shared" si="15"/>
        <v>31.28</v>
      </c>
      <c r="E82" s="32">
        <v>80</v>
      </c>
      <c r="F82" s="6">
        <v>0.2965884703196347</v>
      </c>
      <c r="G82" s="52">
        <f t="shared" si="13"/>
        <v>0.39100000000000001</v>
      </c>
      <c r="H82" s="7">
        <v>43435</v>
      </c>
      <c r="I82" s="50"/>
      <c r="J82" s="50"/>
      <c r="K82" s="50"/>
      <c r="L82" s="50"/>
      <c r="M82" s="50"/>
      <c r="N82" s="50"/>
    </row>
    <row r="83" spans="2:14" ht="12" customHeight="1" x14ac:dyDescent="0.2">
      <c r="B83" s="5">
        <f t="shared" ca="1" si="14"/>
        <v>54</v>
      </c>
      <c r="C83" s="53" t="s">
        <v>101</v>
      </c>
      <c r="D83" s="32">
        <f t="shared" si="15"/>
        <v>31.28</v>
      </c>
      <c r="E83" s="32">
        <v>80</v>
      </c>
      <c r="F83" s="6">
        <v>0.2965884703196347</v>
      </c>
      <c r="G83" s="52">
        <f t="shared" si="13"/>
        <v>0.39100000000000001</v>
      </c>
      <c r="H83" s="7">
        <v>43435</v>
      </c>
      <c r="I83" s="50"/>
      <c r="J83" s="50"/>
      <c r="K83" s="50"/>
      <c r="L83" s="50"/>
      <c r="M83" s="50"/>
      <c r="N83" s="50"/>
    </row>
    <row r="84" spans="2:14" ht="12" customHeight="1" x14ac:dyDescent="0.2">
      <c r="B84" s="5">
        <f t="shared" ca="1" si="14"/>
        <v>55</v>
      </c>
      <c r="C84" s="53" t="s">
        <v>102</v>
      </c>
      <c r="D84" s="32">
        <f t="shared" si="15"/>
        <v>22.68</v>
      </c>
      <c r="E84" s="32">
        <v>58</v>
      </c>
      <c r="F84" s="6">
        <v>0.33892497244528419</v>
      </c>
      <c r="G84" s="52">
        <f t="shared" si="13"/>
        <v>0.39100000000000001</v>
      </c>
      <c r="H84" s="7">
        <v>43282</v>
      </c>
      <c r="I84" s="50"/>
      <c r="J84" s="50"/>
      <c r="K84" s="50"/>
      <c r="L84" s="50"/>
      <c r="M84" s="50"/>
      <c r="N84" s="50"/>
    </row>
    <row r="85" spans="2:14" ht="10.5" customHeight="1" x14ac:dyDescent="0.2">
      <c r="B85" s="5">
        <f t="shared" ca="1" si="14"/>
        <v>56</v>
      </c>
      <c r="C85" s="53" t="s">
        <v>103</v>
      </c>
      <c r="D85" s="32">
        <f t="shared" si="15"/>
        <v>6.26</v>
      </c>
      <c r="E85" s="32">
        <v>16</v>
      </c>
      <c r="F85" s="6">
        <v>0.22216752283105023</v>
      </c>
      <c r="G85" s="52">
        <f t="shared" si="13"/>
        <v>0.39100000000000001</v>
      </c>
      <c r="H85" s="7">
        <v>43313</v>
      </c>
      <c r="I85" s="50"/>
      <c r="J85" s="50"/>
      <c r="K85" s="50"/>
      <c r="L85" s="50"/>
      <c r="M85" s="50"/>
      <c r="N85" s="50"/>
    </row>
    <row r="86" spans="2:14" ht="10.5" hidden="1" customHeight="1" x14ac:dyDescent="0.2">
      <c r="B86" s="5"/>
      <c r="C86" s="53"/>
      <c r="D86" s="32"/>
      <c r="E86" s="32"/>
      <c r="F86" s="6"/>
      <c r="G86" s="52"/>
      <c r="H86" s="7"/>
      <c r="I86" s="50"/>
      <c r="J86" s="50"/>
      <c r="K86" s="50"/>
      <c r="L86" s="50"/>
      <c r="M86" s="50"/>
      <c r="N86" s="50"/>
    </row>
    <row r="87" spans="2:14" ht="10.5" hidden="1" customHeight="1" x14ac:dyDescent="0.2">
      <c r="B87" s="5"/>
      <c r="C87" s="53"/>
      <c r="D87" s="32"/>
      <c r="E87" s="32"/>
      <c r="F87" s="6"/>
      <c r="G87" s="52"/>
      <c r="H87" s="7"/>
      <c r="I87" s="50"/>
      <c r="J87" s="50"/>
      <c r="K87" s="50"/>
      <c r="L87" s="50"/>
      <c r="M87" s="50"/>
      <c r="N87" s="50"/>
    </row>
    <row r="88" spans="2:14" ht="10.5" hidden="1" customHeight="1" x14ac:dyDescent="0.2">
      <c r="B88" s="5"/>
      <c r="C88" s="53"/>
      <c r="D88" s="32"/>
      <c r="E88" s="32"/>
      <c r="F88" s="6"/>
      <c r="G88" s="52"/>
      <c r="H88" s="7"/>
      <c r="I88" s="50"/>
      <c r="J88" s="50"/>
      <c r="K88" s="50"/>
      <c r="L88" s="50"/>
      <c r="M88" s="50"/>
      <c r="N88" s="50"/>
    </row>
    <row r="89" spans="2:14" ht="10.5" hidden="1" customHeight="1" x14ac:dyDescent="0.2">
      <c r="B89" s="5"/>
      <c r="C89" s="53"/>
      <c r="D89" s="32"/>
      <c r="E89" s="32"/>
      <c r="F89" s="6"/>
      <c r="G89" s="52"/>
      <c r="H89" s="7"/>
      <c r="I89" s="50"/>
      <c r="J89" s="50"/>
      <c r="K89" s="50"/>
      <c r="L89" s="50"/>
      <c r="M89" s="50"/>
      <c r="N89" s="50"/>
    </row>
    <row r="90" spans="2:14" ht="10.5" hidden="1" customHeight="1" x14ac:dyDescent="0.2">
      <c r="B90" s="5"/>
      <c r="C90" s="53"/>
      <c r="D90" s="32"/>
      <c r="E90" s="32"/>
      <c r="F90" s="6"/>
      <c r="G90" s="52"/>
      <c r="H90" s="7"/>
      <c r="I90" s="50"/>
      <c r="J90" s="50"/>
      <c r="K90" s="50"/>
      <c r="L90" s="50"/>
      <c r="M90" s="50"/>
      <c r="N90" s="50"/>
    </row>
    <row r="91" spans="2:14" ht="10.5" hidden="1" customHeight="1" x14ac:dyDescent="0.2">
      <c r="B91" s="5"/>
      <c r="C91" s="53"/>
      <c r="D91" s="32"/>
      <c r="E91" s="32"/>
      <c r="F91" s="6"/>
      <c r="G91" s="52"/>
      <c r="H91" s="7"/>
      <c r="I91" s="50"/>
      <c r="J91" s="50"/>
      <c r="K91" s="50"/>
      <c r="L91" s="50"/>
      <c r="M91" s="50"/>
      <c r="N91" s="50"/>
    </row>
    <row r="92" spans="2:14" ht="10.5" hidden="1" customHeight="1" x14ac:dyDescent="0.2">
      <c r="B92" s="5"/>
      <c r="C92" s="53"/>
      <c r="D92" s="32"/>
      <c r="E92" s="32"/>
      <c r="F92" s="6"/>
      <c r="G92" s="52"/>
      <c r="H92" s="7"/>
      <c r="I92" s="50"/>
      <c r="J92" s="50"/>
      <c r="K92" s="50"/>
      <c r="L92" s="50"/>
      <c r="M92" s="50"/>
      <c r="N92" s="50"/>
    </row>
    <row r="93" spans="2:14" ht="10.5" hidden="1" customHeight="1" x14ac:dyDescent="0.2">
      <c r="B93" s="5"/>
      <c r="C93" s="53"/>
      <c r="D93" s="32"/>
      <c r="E93" s="32"/>
      <c r="F93" s="6"/>
      <c r="G93" s="52"/>
      <c r="H93" s="7"/>
      <c r="I93" s="50"/>
      <c r="J93" s="50"/>
      <c r="K93" s="50"/>
      <c r="L93" s="50"/>
      <c r="M93" s="50"/>
      <c r="N93" s="50"/>
    </row>
    <row r="94" spans="2:14" ht="10.5" hidden="1" customHeight="1" x14ac:dyDescent="0.2">
      <c r="B94" s="5"/>
      <c r="C94" s="53"/>
      <c r="D94" s="32"/>
      <c r="E94" s="32"/>
      <c r="F94" s="6"/>
      <c r="G94" s="52"/>
      <c r="H94" s="7"/>
      <c r="I94" s="50"/>
      <c r="J94" s="50"/>
      <c r="K94" s="50"/>
      <c r="L94" s="50"/>
      <c r="M94" s="50"/>
      <c r="N94" s="50"/>
    </row>
    <row r="95" spans="2:14" ht="10.5" hidden="1" customHeight="1" x14ac:dyDescent="0.2">
      <c r="B95" s="5"/>
      <c r="C95" s="53"/>
      <c r="D95" s="32"/>
      <c r="E95" s="32"/>
      <c r="F95" s="6"/>
      <c r="G95" s="52"/>
      <c r="H95" s="7"/>
      <c r="I95" s="50"/>
      <c r="J95" s="50"/>
      <c r="K95" s="50"/>
      <c r="L95" s="50"/>
      <c r="M95" s="50"/>
      <c r="N95" s="50"/>
    </row>
    <row r="96" spans="2:14" ht="10.5" hidden="1" customHeight="1" x14ac:dyDescent="0.2">
      <c r="B96" s="5"/>
      <c r="C96" s="53"/>
      <c r="D96" s="32"/>
      <c r="E96" s="32"/>
      <c r="F96" s="6"/>
      <c r="G96" s="52"/>
      <c r="H96" s="7"/>
      <c r="I96" s="50"/>
      <c r="J96" s="50"/>
      <c r="K96" s="50"/>
      <c r="L96" s="50"/>
      <c r="M96" s="50"/>
      <c r="N96" s="50"/>
    </row>
    <row r="97" spans="2:14" ht="10.5" hidden="1" customHeight="1" x14ac:dyDescent="0.2">
      <c r="B97" s="5"/>
      <c r="C97" s="53"/>
      <c r="D97" s="32"/>
      <c r="E97" s="32"/>
      <c r="F97" s="6"/>
      <c r="G97" s="52"/>
      <c r="H97" s="7"/>
      <c r="I97" s="50"/>
      <c r="J97" s="50"/>
      <c r="K97" s="50"/>
      <c r="L97" s="50"/>
      <c r="M97" s="50"/>
      <c r="N97" s="50"/>
    </row>
    <row r="98" spans="2:14" ht="10.5" hidden="1" customHeight="1" x14ac:dyDescent="0.2">
      <c r="B98" s="5"/>
      <c r="C98" s="53"/>
      <c r="D98" s="32"/>
      <c r="E98" s="32"/>
      <c r="F98" s="6"/>
      <c r="G98" s="52"/>
      <c r="H98" s="7"/>
      <c r="I98" s="50"/>
      <c r="J98" s="50"/>
      <c r="K98" s="50"/>
      <c r="L98" s="50"/>
      <c r="M98" s="50"/>
      <c r="N98" s="50"/>
    </row>
    <row r="99" spans="2:14" ht="10.5" hidden="1" customHeight="1" x14ac:dyDescent="0.2">
      <c r="B99" s="5"/>
      <c r="C99" s="53"/>
      <c r="D99" s="32"/>
      <c r="E99" s="32"/>
      <c r="F99" s="6"/>
      <c r="G99" s="52"/>
      <c r="H99" s="7"/>
      <c r="I99" s="50"/>
      <c r="J99" s="50"/>
      <c r="K99" s="50"/>
      <c r="L99" s="50"/>
      <c r="M99" s="50"/>
      <c r="N99" s="50"/>
    </row>
    <row r="100" spans="2:14" ht="10.5" hidden="1" customHeight="1" x14ac:dyDescent="0.2">
      <c r="B100" s="5"/>
      <c r="C100" s="53"/>
      <c r="D100" s="32"/>
      <c r="E100" s="32"/>
      <c r="F100" s="6"/>
      <c r="G100" s="52"/>
      <c r="H100" s="7"/>
      <c r="I100" s="50"/>
      <c r="J100" s="50"/>
      <c r="K100" s="50"/>
      <c r="L100" s="50"/>
      <c r="M100" s="50"/>
      <c r="N100" s="50"/>
    </row>
    <row r="101" spans="2:14" ht="10.5" hidden="1" customHeight="1" x14ac:dyDescent="0.2">
      <c r="B101" s="5"/>
      <c r="C101" s="53"/>
      <c r="D101" s="32"/>
      <c r="E101" s="32"/>
      <c r="F101" s="6"/>
      <c r="G101" s="52"/>
      <c r="H101" s="7"/>
      <c r="I101" s="50"/>
      <c r="J101" s="50"/>
      <c r="K101" s="50"/>
      <c r="L101" s="50"/>
      <c r="M101" s="50"/>
      <c r="N101" s="50"/>
    </row>
    <row r="102" spans="2:14" ht="10.5" hidden="1" customHeight="1" x14ac:dyDescent="0.2">
      <c r="B102" s="5"/>
      <c r="C102" s="53"/>
      <c r="D102" s="32"/>
      <c r="E102" s="32"/>
      <c r="F102" s="6"/>
      <c r="G102" s="52"/>
      <c r="H102" s="7"/>
      <c r="I102" s="50"/>
      <c r="J102" s="50"/>
      <c r="K102" s="50"/>
      <c r="L102" s="50"/>
      <c r="M102" s="50"/>
      <c r="N102" s="50"/>
    </row>
    <row r="103" spans="2:14" ht="10.5" hidden="1" customHeight="1" x14ac:dyDescent="0.2">
      <c r="B103" s="5"/>
      <c r="C103" s="53"/>
      <c r="D103" s="32"/>
      <c r="E103" s="32"/>
      <c r="F103" s="6"/>
      <c r="G103" s="52"/>
      <c r="H103" s="7"/>
      <c r="I103" s="50"/>
      <c r="J103" s="50"/>
      <c r="K103" s="50"/>
      <c r="L103" s="50"/>
      <c r="M103" s="50"/>
      <c r="N103" s="50"/>
    </row>
    <row r="104" spans="2:14" ht="10.5" hidden="1" customHeight="1" x14ac:dyDescent="0.2">
      <c r="B104" s="5"/>
      <c r="C104" s="53"/>
      <c r="D104" s="32"/>
      <c r="E104" s="32"/>
      <c r="F104" s="6"/>
      <c r="G104" s="52"/>
      <c r="H104" s="7"/>
      <c r="I104" s="50"/>
      <c r="J104" s="50"/>
      <c r="K104" s="50"/>
      <c r="L104" s="50"/>
      <c r="M104" s="50"/>
      <c r="N104" s="50"/>
    </row>
    <row r="105" spans="2:14" ht="10.5" hidden="1" customHeight="1" x14ac:dyDescent="0.2">
      <c r="B105" s="5"/>
      <c r="C105" s="53"/>
      <c r="D105" s="32"/>
      <c r="E105" s="32"/>
      <c r="F105" s="6"/>
      <c r="G105" s="52"/>
      <c r="H105" s="7"/>
      <c r="I105" s="50"/>
      <c r="J105" s="50"/>
      <c r="K105" s="50"/>
      <c r="L105" s="50"/>
      <c r="M105" s="50"/>
      <c r="N105" s="50"/>
    </row>
    <row r="106" spans="2:14" ht="10.5" hidden="1" customHeight="1" x14ac:dyDescent="0.2">
      <c r="B106" s="5"/>
      <c r="C106" s="53"/>
      <c r="D106" s="32"/>
      <c r="E106" s="32"/>
      <c r="F106" s="6"/>
      <c r="G106" s="52"/>
      <c r="H106" s="7"/>
      <c r="I106" s="50"/>
      <c r="J106" s="50"/>
      <c r="K106" s="50"/>
      <c r="L106" s="50"/>
      <c r="M106" s="50"/>
      <c r="N106" s="50"/>
    </row>
    <row r="107" spans="2:14" ht="10.5" hidden="1" customHeight="1" x14ac:dyDescent="0.2">
      <c r="B107" s="5"/>
      <c r="C107" s="53"/>
      <c r="D107" s="32"/>
      <c r="E107" s="32"/>
      <c r="F107" s="6"/>
      <c r="G107" s="52"/>
      <c r="H107" s="7"/>
      <c r="I107" s="50"/>
      <c r="J107" s="50"/>
      <c r="K107" s="50"/>
      <c r="L107" s="50"/>
      <c r="M107" s="50"/>
      <c r="N107" s="50"/>
    </row>
    <row r="108" spans="2:14" ht="10.5" hidden="1" customHeight="1" x14ac:dyDescent="0.2">
      <c r="B108" s="5"/>
      <c r="C108" s="53"/>
      <c r="D108" s="32"/>
      <c r="E108" s="32"/>
      <c r="F108" s="6"/>
      <c r="G108" s="52"/>
      <c r="H108" s="7"/>
      <c r="I108" s="50"/>
      <c r="J108" s="50"/>
      <c r="K108" s="50"/>
      <c r="L108" s="50"/>
      <c r="M108" s="50"/>
      <c r="N108" s="50"/>
    </row>
    <row r="109" spans="2:14" ht="10.5" hidden="1" customHeight="1" x14ac:dyDescent="0.2">
      <c r="B109" s="5"/>
      <c r="C109" s="53"/>
      <c r="D109" s="32"/>
      <c r="E109" s="32"/>
      <c r="F109" s="6"/>
      <c r="G109" s="52"/>
      <c r="H109" s="7"/>
      <c r="I109" s="50"/>
      <c r="J109" s="50"/>
      <c r="K109" s="50"/>
      <c r="L109" s="50"/>
      <c r="M109" s="50"/>
      <c r="N109" s="50"/>
    </row>
    <row r="110" spans="2:14" ht="10.5" hidden="1" customHeight="1" x14ac:dyDescent="0.2">
      <c r="B110" s="5"/>
      <c r="C110" s="53"/>
      <c r="D110" s="32"/>
      <c r="E110" s="32"/>
      <c r="F110" s="6"/>
      <c r="G110" s="52"/>
      <c r="H110" s="7"/>
      <c r="I110" s="50"/>
      <c r="J110" s="50"/>
      <c r="K110" s="50"/>
      <c r="L110" s="50"/>
      <c r="M110" s="50"/>
      <c r="N110" s="50"/>
    </row>
    <row r="111" spans="2:14" ht="10.5" hidden="1" customHeight="1" x14ac:dyDescent="0.2">
      <c r="B111" s="5"/>
      <c r="C111" s="53"/>
      <c r="D111" s="32"/>
      <c r="E111" s="32"/>
      <c r="F111" s="6"/>
      <c r="G111" s="52"/>
      <c r="H111" s="7"/>
      <c r="I111" s="50"/>
      <c r="J111" s="50"/>
      <c r="K111" s="50"/>
      <c r="L111" s="50"/>
      <c r="M111" s="50"/>
      <c r="N111" s="50"/>
    </row>
    <row r="112" spans="2:14" ht="10.5" hidden="1" customHeight="1" x14ac:dyDescent="0.2">
      <c r="B112" s="5"/>
      <c r="C112" s="53"/>
      <c r="D112" s="32"/>
      <c r="E112" s="32"/>
      <c r="F112" s="6"/>
      <c r="G112" s="52"/>
      <c r="H112" s="7"/>
      <c r="I112" s="50"/>
      <c r="J112" s="50"/>
      <c r="K112" s="50"/>
      <c r="L112" s="50"/>
      <c r="M112" s="50"/>
      <c r="N112" s="50"/>
    </row>
    <row r="113" spans="2:14" ht="10.5" hidden="1" customHeight="1" x14ac:dyDescent="0.2">
      <c r="B113" s="5"/>
      <c r="C113" s="53"/>
      <c r="D113" s="32"/>
      <c r="E113" s="32"/>
      <c r="F113" s="6"/>
      <c r="G113" s="52"/>
      <c r="H113" s="7"/>
      <c r="I113" s="50"/>
      <c r="J113" s="50"/>
      <c r="K113" s="50"/>
      <c r="L113" s="50"/>
      <c r="M113" s="50"/>
      <c r="N113" s="50"/>
    </row>
    <row r="114" spans="2:14" ht="10.5" hidden="1" customHeight="1" x14ac:dyDescent="0.2">
      <c r="B114" s="5"/>
      <c r="C114" s="53"/>
      <c r="D114" s="32"/>
      <c r="E114" s="32"/>
      <c r="F114" s="6"/>
      <c r="G114" s="52"/>
      <c r="H114" s="7"/>
      <c r="I114" s="50"/>
      <c r="J114" s="50"/>
      <c r="K114" s="50"/>
      <c r="L114" s="50"/>
      <c r="M114" s="50"/>
      <c r="N114" s="50"/>
    </row>
    <row r="115" spans="2:14" ht="10.5" hidden="1" customHeight="1" x14ac:dyDescent="0.2">
      <c r="B115" s="5"/>
      <c r="C115" s="53"/>
      <c r="D115" s="32"/>
      <c r="E115" s="32"/>
      <c r="F115" s="6"/>
      <c r="G115" s="52"/>
      <c r="H115" s="7"/>
      <c r="I115" s="50"/>
      <c r="J115" s="50"/>
      <c r="K115" s="50"/>
      <c r="L115" s="50"/>
      <c r="M115" s="50"/>
      <c r="N115" s="50"/>
    </row>
    <row r="116" spans="2:14" ht="10.5" hidden="1" customHeight="1" x14ac:dyDescent="0.2">
      <c r="B116" s="5"/>
      <c r="C116" s="53"/>
      <c r="D116" s="32"/>
      <c r="E116" s="32"/>
      <c r="F116" s="6"/>
      <c r="G116" s="52"/>
      <c r="H116" s="7"/>
      <c r="I116" s="50"/>
      <c r="J116" s="50"/>
      <c r="K116" s="50"/>
      <c r="L116" s="50"/>
      <c r="M116" s="50"/>
      <c r="N116" s="50"/>
    </row>
    <row r="117" spans="2:14" ht="10.5" hidden="1" customHeight="1" x14ac:dyDescent="0.2">
      <c r="B117" s="5"/>
      <c r="C117" s="53"/>
      <c r="D117" s="32"/>
      <c r="E117" s="32"/>
      <c r="F117" s="6"/>
      <c r="G117" s="52"/>
      <c r="H117" s="7"/>
      <c r="I117" s="50"/>
      <c r="J117" s="50"/>
      <c r="K117" s="50"/>
      <c r="L117" s="50"/>
      <c r="M117" s="50"/>
      <c r="N117" s="50"/>
    </row>
    <row r="118" spans="2:14" ht="10.5" hidden="1" customHeight="1" x14ac:dyDescent="0.2">
      <c r="B118" s="5"/>
      <c r="C118" s="53"/>
      <c r="D118" s="32"/>
      <c r="E118" s="32"/>
      <c r="F118" s="6"/>
      <c r="G118" s="52"/>
      <c r="H118" s="7"/>
      <c r="I118" s="50"/>
      <c r="J118" s="50"/>
      <c r="K118" s="50"/>
      <c r="L118" s="50"/>
      <c r="M118" s="50"/>
      <c r="N118" s="50"/>
    </row>
    <row r="119" spans="2:14" ht="4.5" customHeight="1" x14ac:dyDescent="0.2">
      <c r="B119" s="19"/>
      <c r="C119" s="60"/>
      <c r="D119" s="37"/>
      <c r="E119" s="37"/>
      <c r="F119" s="20"/>
      <c r="G119" s="65"/>
      <c r="H119" s="11"/>
    </row>
    <row r="120" spans="2:14" ht="10.5" customHeight="1" x14ac:dyDescent="0.2">
      <c r="B120" s="98" t="s">
        <v>8</v>
      </c>
      <c r="C120" s="99"/>
      <c r="D120" s="34">
        <f>SUM(D29:D119)</f>
        <v>1101.8499999999999</v>
      </c>
      <c r="E120" s="34">
        <f>SUM(E29:E119)</f>
        <v>3372.9</v>
      </c>
      <c r="F120" s="12"/>
      <c r="G120" s="46"/>
      <c r="H120" s="13"/>
    </row>
    <row r="121" spans="2:14" ht="7.5" customHeight="1" x14ac:dyDescent="0.2">
      <c r="B121" s="21"/>
      <c r="C121" s="51"/>
      <c r="D121" s="38"/>
      <c r="E121" s="22"/>
      <c r="G121" s="63"/>
    </row>
    <row r="122" spans="2:14" ht="12" customHeight="1" x14ac:dyDescent="0.2">
      <c r="B122" s="100" t="s">
        <v>6</v>
      </c>
      <c r="C122" s="101"/>
      <c r="D122" s="39">
        <f>D27+D120</f>
        <v>1157.1999999999998</v>
      </c>
      <c r="E122" s="39">
        <f>E27+E120</f>
        <v>3533.1</v>
      </c>
      <c r="F122" s="25"/>
      <c r="G122" s="47"/>
      <c r="H122" s="26"/>
    </row>
    <row r="123" spans="2:14" ht="6" customHeight="1" x14ac:dyDescent="0.2">
      <c r="B123" s="27"/>
      <c r="C123" s="66"/>
      <c r="D123" s="40"/>
      <c r="E123" s="16"/>
      <c r="F123" s="27"/>
      <c r="G123" s="48"/>
      <c r="H123" s="27"/>
    </row>
    <row r="124" spans="2:14" x14ac:dyDescent="0.2">
      <c r="B124" s="42">
        <f ca="1">MAX(B30:B119)+1</f>
        <v>57</v>
      </c>
      <c r="C124" s="57" t="s">
        <v>104</v>
      </c>
      <c r="D124" s="43">
        <f>E124</f>
        <v>100</v>
      </c>
      <c r="E124" s="43">
        <v>100</v>
      </c>
      <c r="F124" s="49">
        <v>0.85</v>
      </c>
      <c r="G124" s="67">
        <f t="shared" ref="G124" si="16">ROUND(D124/E124,3)</f>
        <v>1</v>
      </c>
      <c r="H124" s="13">
        <v>43101</v>
      </c>
    </row>
    <row r="125" spans="2:14" x14ac:dyDescent="0.2">
      <c r="B125" s="23" t="s">
        <v>4</v>
      </c>
      <c r="C125" s="25"/>
      <c r="D125" s="39">
        <f>ROUND(D122+D124,2)</f>
        <v>1257.2</v>
      </c>
      <c r="E125" s="24"/>
      <c r="F125" s="25"/>
      <c r="G125" s="25"/>
      <c r="H125" s="26"/>
    </row>
    <row r="126" spans="2:14" ht="7.5" customHeight="1" x14ac:dyDescent="0.2">
      <c r="B126" s="27"/>
      <c r="C126" s="27"/>
      <c r="D126" s="40"/>
      <c r="E126" s="16"/>
      <c r="F126" s="27"/>
      <c r="G126" s="41"/>
      <c r="H126" s="27"/>
    </row>
  </sheetData>
  <sortState ref="A67:V79">
    <sortCondition ref="C67:C79"/>
  </sortState>
  <mergeCells count="4">
    <mergeCell ref="B2:H2"/>
    <mergeCell ref="B27:C27"/>
    <mergeCell ref="B120:C120"/>
    <mergeCell ref="B122:C122"/>
  </mergeCells>
  <conditionalFormatting sqref="E12">
    <cfRule type="expression" dxfId="7" priority="77">
      <formula>AND(ISLOGICAL(#REF!),#REF!=FALSE)</formula>
    </cfRule>
  </conditionalFormatting>
  <conditionalFormatting sqref="H13">
    <cfRule type="expression" dxfId="6" priority="67">
      <formula>AND(ISLOGICAL(#REF!),#REF!=FALSE)</formula>
    </cfRule>
  </conditionalFormatting>
  <conditionalFormatting sqref="H13">
    <cfRule type="expression" dxfId="5" priority="66">
      <formula>AND(ISLOGICAL(#REF!),#REF!=FALSE)</formula>
    </cfRule>
  </conditionalFormatting>
  <conditionalFormatting sqref="E9">
    <cfRule type="expression" dxfId="4" priority="24">
      <formula>AND(ISLOGICAL(#REF!),#REF!=FALSE)</formula>
    </cfRule>
  </conditionalFormatting>
  <conditionalFormatting sqref="H9">
    <cfRule type="expression" dxfId="3" priority="25">
      <formula>AND(ISLOGICAL(#REF!),#REF!=FALSE)</formula>
    </cfRule>
  </conditionalFormatting>
  <conditionalFormatting sqref="E5">
    <cfRule type="expression" dxfId="2" priority="135">
      <formula>AND(ISLOGICAL(#REF!),#REF!=FALSE)</formula>
    </cfRule>
  </conditionalFormatting>
  <conditionalFormatting sqref="H5:H8 H10:H12">
    <cfRule type="expression" dxfId="1" priority="136">
      <formula>AND(ISLOGICAL(#REF!),#REF!=FALSE)</formula>
    </cfRule>
  </conditionalFormatting>
  <conditionalFormatting sqref="B30:B118">
    <cfRule type="expression" dxfId="0" priority="146">
      <formula>AND($E30&gt;0,#REF!=1)</formula>
    </cfRule>
  </conditionalFormatting>
  <printOptions horizontalCentered="1"/>
  <pageMargins left="0.25" right="0.25" top="0.75" bottom="0.75" header="0.3" footer="0.3"/>
  <pageSetup scale="6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M40"/>
  <sheetViews>
    <sheetView showGridLines="0" tabSelected="1" workbookViewId="0">
      <selection activeCell="R22" sqref="R22"/>
    </sheetView>
  </sheetViews>
  <sheetFormatPr defaultRowHeight="12" x14ac:dyDescent="0.2"/>
  <cols>
    <col min="1" max="1" width="1.85546875" style="69" customWidth="1"/>
    <col min="2" max="2" width="6.140625" style="69" customWidth="1"/>
    <col min="3" max="3" width="7.28515625" style="69" bestFit="1" customWidth="1"/>
    <col min="4" max="4" width="9.28515625" style="69" bestFit="1" customWidth="1"/>
    <col min="5" max="5" width="9.42578125" style="69" bestFit="1" customWidth="1"/>
    <col min="6" max="7" width="9.28515625" style="69" customWidth="1"/>
    <col min="8" max="8" width="8" style="69" bestFit="1" customWidth="1"/>
    <col min="9" max="9" width="9.42578125" style="69" bestFit="1" customWidth="1"/>
    <col min="10" max="10" width="8.42578125" style="69" bestFit="1" customWidth="1"/>
    <col min="11" max="12" width="8" style="69" bestFit="1" customWidth="1"/>
    <col min="13" max="13" width="9.140625" style="69" bestFit="1" customWidth="1"/>
    <col min="14" max="16384" width="9.140625" style="69"/>
  </cols>
  <sheetData>
    <row r="2" spans="2:13" x14ac:dyDescent="0.2">
      <c r="B2" s="68" t="s">
        <v>37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2:13" x14ac:dyDescent="0.2">
      <c r="B3" s="68" t="s">
        <v>39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3" x14ac:dyDescent="0.2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2:13" x14ac:dyDescent="0.2">
      <c r="C5" s="70" t="str">
        <f>CHAR(COLUMN()+94)</f>
        <v>a</v>
      </c>
      <c r="D5" s="70" t="str">
        <f t="shared" ref="D5:M5" si="0">CHAR(COLUMN()+94)</f>
        <v>b</v>
      </c>
      <c r="E5" s="70" t="str">
        <f t="shared" si="0"/>
        <v>c</v>
      </c>
      <c r="F5" s="70" t="str">
        <f t="shared" si="0"/>
        <v>d</v>
      </c>
      <c r="G5" s="70" t="str">
        <f t="shared" si="0"/>
        <v>e</v>
      </c>
      <c r="H5" s="70" t="str">
        <f t="shared" si="0"/>
        <v>f</v>
      </c>
      <c r="I5" s="70" t="str">
        <f t="shared" si="0"/>
        <v>g</v>
      </c>
      <c r="J5" s="70" t="str">
        <f t="shared" si="0"/>
        <v>h</v>
      </c>
      <c r="K5" s="70" t="str">
        <f t="shared" si="0"/>
        <v>i</v>
      </c>
      <c r="L5" s="70" t="str">
        <f t="shared" si="0"/>
        <v>j</v>
      </c>
      <c r="M5" s="70" t="str">
        <f t="shared" si="0"/>
        <v>k</v>
      </c>
    </row>
    <row r="6" spans="2:13" x14ac:dyDescent="0.2">
      <c r="B6" s="71"/>
      <c r="C6" s="111" t="s">
        <v>28</v>
      </c>
      <c r="D6" s="112"/>
      <c r="E6" s="113"/>
      <c r="F6" s="114" t="s">
        <v>34</v>
      </c>
      <c r="G6" s="115"/>
      <c r="H6" s="111" t="s">
        <v>30</v>
      </c>
      <c r="I6" s="113"/>
      <c r="J6" s="111" t="s">
        <v>31</v>
      </c>
      <c r="K6" s="112"/>
      <c r="L6" s="112"/>
      <c r="M6" s="113"/>
    </row>
    <row r="7" spans="2:13" x14ac:dyDescent="0.2">
      <c r="B7" s="72" t="s">
        <v>24</v>
      </c>
      <c r="C7" s="111" t="s">
        <v>29</v>
      </c>
      <c r="D7" s="112"/>
      <c r="E7" s="113"/>
      <c r="F7" s="116" t="s">
        <v>35</v>
      </c>
      <c r="G7" s="117"/>
      <c r="H7" s="111" t="s">
        <v>15</v>
      </c>
      <c r="I7" s="113"/>
      <c r="J7" s="111" t="s">
        <v>16</v>
      </c>
      <c r="K7" s="113"/>
      <c r="L7" s="111" t="s">
        <v>15</v>
      </c>
      <c r="M7" s="113"/>
    </row>
    <row r="8" spans="2:13" x14ac:dyDescent="0.2">
      <c r="B8" s="73"/>
      <c r="C8" s="74" t="s">
        <v>11</v>
      </c>
      <c r="D8" s="75" t="s">
        <v>26</v>
      </c>
      <c r="E8" s="76" t="s">
        <v>14</v>
      </c>
      <c r="F8" s="77" t="s">
        <v>36</v>
      </c>
      <c r="G8" s="78" t="s">
        <v>25</v>
      </c>
      <c r="H8" s="74" t="s">
        <v>38</v>
      </c>
      <c r="I8" s="75" t="s">
        <v>25</v>
      </c>
      <c r="J8" s="75" t="s">
        <v>32</v>
      </c>
      <c r="K8" s="75" t="s">
        <v>14</v>
      </c>
      <c r="L8" s="74" t="s">
        <v>38</v>
      </c>
      <c r="M8" s="75" t="s">
        <v>25</v>
      </c>
    </row>
    <row r="9" spans="2:13" x14ac:dyDescent="0.2">
      <c r="B9" s="70"/>
      <c r="C9" s="70"/>
      <c r="D9" s="70"/>
      <c r="E9" s="70" t="str">
        <f>C5&amp;" + "&amp;D5</f>
        <v>a + b</v>
      </c>
      <c r="F9" s="70"/>
      <c r="G9" s="70"/>
      <c r="H9" s="70" t="str">
        <f>"MIN( "&amp;E5&amp;","&amp;F5&amp;" )"</f>
        <v>MIN( c,d )</v>
      </c>
      <c r="I9" s="70" t="str">
        <f>"MIN( "&amp;G5&amp;","&amp;E5&amp;" - "&amp;H5&amp;" )"</f>
        <v>MIN( e,c - f )</v>
      </c>
      <c r="J9" s="70"/>
      <c r="K9" s="70" t="str">
        <f>E5&amp;" + "&amp;J5</f>
        <v>c + h</v>
      </c>
      <c r="L9" s="70" t="str">
        <f>"MIN( "&amp;F5&amp;","&amp;K5&amp;" )"</f>
        <v>MIN( d,i )</v>
      </c>
      <c r="M9" s="70" t="str">
        <f>"MIN( "&amp;G5&amp;","&amp;K5&amp;" - "&amp;L5&amp;" )"</f>
        <v>MIN( e,i - j )</v>
      </c>
    </row>
    <row r="10" spans="2:13" ht="6" customHeight="1" x14ac:dyDescent="0.2"/>
    <row r="11" spans="2:13" x14ac:dyDescent="0.2">
      <c r="B11" s="79">
        <v>2017</v>
      </c>
      <c r="C11" s="80">
        <v>13.912500000000001</v>
      </c>
      <c r="D11" s="80">
        <v>0</v>
      </c>
      <c r="E11" s="80">
        <f>C11+D11</f>
        <v>13.912500000000001</v>
      </c>
      <c r="F11" s="81">
        <v>0</v>
      </c>
      <c r="G11" s="81">
        <v>747.7</v>
      </c>
      <c r="H11" s="82">
        <f t="shared" ref="H11" si="1">MIN(F11,E11)</f>
        <v>0</v>
      </c>
      <c r="I11" s="80">
        <f>MIN(G11,MAX(E11-H11,0))</f>
        <v>13.912500000000001</v>
      </c>
      <c r="J11" s="80">
        <v>0</v>
      </c>
      <c r="K11" s="80">
        <f>E11+J11</f>
        <v>13.912500000000001</v>
      </c>
      <c r="L11" s="82">
        <f>MIN(F11,K11)</f>
        <v>0</v>
      </c>
      <c r="M11" s="80">
        <f>MIN(G11,MAX(K11-L11,0))</f>
        <v>13.912500000000001</v>
      </c>
    </row>
    <row r="12" spans="2:13" x14ac:dyDescent="0.2">
      <c r="B12" s="83">
        <f t="shared" ref="B12:B36" si="2">B11+1</f>
        <v>2018</v>
      </c>
      <c r="C12" s="84">
        <v>11.4809</v>
      </c>
      <c r="D12" s="84">
        <v>105.91289999999999</v>
      </c>
      <c r="E12" s="84">
        <f t="shared" ref="E12:E30" si="3">C12+D12</f>
        <v>117.3938</v>
      </c>
      <c r="F12" s="85">
        <f>IF(B12=2028,477+635,IF(B12=2030,F11+635,IF(B12=2031,F11+454,IF(B12=2033,F11+423,F11))))</f>
        <v>0</v>
      </c>
      <c r="G12" s="85">
        <v>1093.9000000000001</v>
      </c>
      <c r="H12" s="86">
        <f t="shared" ref="H12:H25" si="4">IF(H11&gt;=F11,MIN(F12,E12),H11)</f>
        <v>0</v>
      </c>
      <c r="I12" s="84">
        <f t="shared" ref="I12" si="5">MIN(G12,MAX(E12-H12,0))</f>
        <v>117.3938</v>
      </c>
      <c r="J12" s="84">
        <v>100</v>
      </c>
      <c r="K12" s="84">
        <f t="shared" ref="K12:K36" si="6">E12+J12</f>
        <v>217.3938</v>
      </c>
      <c r="L12" s="86">
        <f t="shared" ref="L12:L36" si="7">IF(L11&gt;=F11,MIN(F12,K12),L11)</f>
        <v>0</v>
      </c>
      <c r="M12" s="84">
        <f t="shared" ref="M12:M36" si="8">MIN(G12,MAX(K12-L12,0))</f>
        <v>217.3938</v>
      </c>
    </row>
    <row r="13" spans="2:13" x14ac:dyDescent="0.2">
      <c r="B13" s="83">
        <f t="shared" si="2"/>
        <v>2019</v>
      </c>
      <c r="C13" s="84">
        <v>42.721800000000002</v>
      </c>
      <c r="D13" s="84">
        <v>778.58041649999961</v>
      </c>
      <c r="E13" s="84">
        <f t="shared" si="3"/>
        <v>821.30221649999964</v>
      </c>
      <c r="F13" s="85">
        <f t="shared" ref="F13:F29" si="9">IF(B13=2028,477+635,IF(B13=2030,F12+635,IF(B13=2031,F12+454,IF(B13=2033,F12+423,F12))))</f>
        <v>0</v>
      </c>
      <c r="G13" s="85">
        <v>1245.7</v>
      </c>
      <c r="H13" s="86">
        <f t="shared" si="4"/>
        <v>0</v>
      </c>
      <c r="I13" s="84">
        <f>MIN(G13,MAX(E13-H13,0))</f>
        <v>821.30221649999964</v>
      </c>
      <c r="J13" s="84">
        <v>100</v>
      </c>
      <c r="K13" s="84">
        <f t="shared" si="6"/>
        <v>921.30221649999964</v>
      </c>
      <c r="L13" s="86">
        <f t="shared" si="7"/>
        <v>0</v>
      </c>
      <c r="M13" s="84">
        <f t="shared" si="8"/>
        <v>921.30221649999964</v>
      </c>
    </row>
    <row r="14" spans="2:13" x14ac:dyDescent="0.2">
      <c r="B14" s="83">
        <f t="shared" si="2"/>
        <v>2020</v>
      </c>
      <c r="C14" s="84">
        <v>42.432459999999999</v>
      </c>
      <c r="D14" s="84">
        <v>1097.5347275074998</v>
      </c>
      <c r="E14" s="84">
        <f t="shared" si="3"/>
        <v>1139.9671875074998</v>
      </c>
      <c r="F14" s="85">
        <f t="shared" si="9"/>
        <v>0</v>
      </c>
      <c r="G14" s="85">
        <v>1203</v>
      </c>
      <c r="H14" s="86">
        <f t="shared" si="4"/>
        <v>0</v>
      </c>
      <c r="I14" s="84">
        <f t="shared" ref="I14:I36" si="10">MIN(G14,MAX(E14-H14,0))</f>
        <v>1139.9671875074998</v>
      </c>
      <c r="J14" s="84">
        <v>100</v>
      </c>
      <c r="K14" s="84">
        <f t="shared" si="6"/>
        <v>1239.9671875074998</v>
      </c>
      <c r="L14" s="86">
        <f t="shared" si="7"/>
        <v>0</v>
      </c>
      <c r="M14" s="84">
        <f t="shared" si="8"/>
        <v>1203</v>
      </c>
    </row>
    <row r="15" spans="2:13" x14ac:dyDescent="0.2">
      <c r="B15" s="83">
        <f t="shared" si="2"/>
        <v>2021</v>
      </c>
      <c r="C15" s="84">
        <v>52.305121920000005</v>
      </c>
      <c r="D15" s="84">
        <v>1092.3798618233025</v>
      </c>
      <c r="E15" s="84">
        <f t="shared" si="3"/>
        <v>1144.6849837433024</v>
      </c>
      <c r="F15" s="85">
        <f t="shared" si="9"/>
        <v>0</v>
      </c>
      <c r="G15" s="85">
        <v>970.2</v>
      </c>
      <c r="H15" s="86">
        <f t="shared" si="4"/>
        <v>0</v>
      </c>
      <c r="I15" s="84">
        <f t="shared" si="10"/>
        <v>970.2</v>
      </c>
      <c r="J15" s="84">
        <v>100</v>
      </c>
      <c r="K15" s="84">
        <f t="shared" si="6"/>
        <v>1244.6849837433024</v>
      </c>
      <c r="L15" s="86">
        <f t="shared" si="7"/>
        <v>0</v>
      </c>
      <c r="M15" s="84">
        <f t="shared" si="8"/>
        <v>970.2</v>
      </c>
    </row>
    <row r="16" spans="2:13" x14ac:dyDescent="0.2">
      <c r="B16" s="83">
        <f t="shared" si="2"/>
        <v>2022</v>
      </c>
      <c r="C16" s="84">
        <v>48.319769744639999</v>
      </c>
      <c r="D16" s="84">
        <v>1087.2507647823161</v>
      </c>
      <c r="E16" s="84">
        <f t="shared" si="3"/>
        <v>1135.5705345269562</v>
      </c>
      <c r="F16" s="85">
        <f t="shared" si="9"/>
        <v>0</v>
      </c>
      <c r="G16" s="85">
        <v>1060</v>
      </c>
      <c r="H16" s="86">
        <f t="shared" si="4"/>
        <v>0</v>
      </c>
      <c r="I16" s="84">
        <f t="shared" si="10"/>
        <v>1060</v>
      </c>
      <c r="J16" s="84">
        <v>100</v>
      </c>
      <c r="K16" s="84">
        <f t="shared" si="6"/>
        <v>1235.5705345269562</v>
      </c>
      <c r="L16" s="86">
        <f t="shared" si="7"/>
        <v>0</v>
      </c>
      <c r="M16" s="84">
        <f t="shared" si="8"/>
        <v>1060</v>
      </c>
    </row>
    <row r="17" spans="2:13" x14ac:dyDescent="0.2">
      <c r="B17" s="83">
        <f t="shared" si="2"/>
        <v>2023</v>
      </c>
      <c r="C17" s="84">
        <v>48.036387586682878</v>
      </c>
      <c r="D17" s="84">
        <v>1082.1472937260803</v>
      </c>
      <c r="E17" s="84">
        <f t="shared" si="3"/>
        <v>1130.1836813127632</v>
      </c>
      <c r="F17" s="85">
        <f t="shared" si="9"/>
        <v>0</v>
      </c>
      <c r="G17" s="85">
        <v>965.3</v>
      </c>
      <c r="H17" s="86">
        <f t="shared" si="4"/>
        <v>0</v>
      </c>
      <c r="I17" s="84">
        <f t="shared" si="10"/>
        <v>965.3</v>
      </c>
      <c r="J17" s="84">
        <v>100</v>
      </c>
      <c r="K17" s="84">
        <f t="shared" si="6"/>
        <v>1230.1836813127632</v>
      </c>
      <c r="L17" s="86">
        <f t="shared" si="7"/>
        <v>0</v>
      </c>
      <c r="M17" s="84">
        <f t="shared" si="8"/>
        <v>965.3</v>
      </c>
    </row>
    <row r="18" spans="2:13" x14ac:dyDescent="0.2">
      <c r="B18" s="83">
        <f t="shared" si="2"/>
        <v>2024</v>
      </c>
      <c r="C18" s="84">
        <v>47.754959685989419</v>
      </c>
      <c r="D18" s="84">
        <v>1077.0693068119635</v>
      </c>
      <c r="E18" s="84">
        <f t="shared" si="3"/>
        <v>1124.824266497953</v>
      </c>
      <c r="F18" s="85">
        <f t="shared" si="9"/>
        <v>0</v>
      </c>
      <c r="G18" s="85">
        <v>993</v>
      </c>
      <c r="H18" s="86">
        <f t="shared" si="4"/>
        <v>0</v>
      </c>
      <c r="I18" s="84">
        <f t="shared" si="10"/>
        <v>993</v>
      </c>
      <c r="J18" s="84">
        <v>100</v>
      </c>
      <c r="K18" s="84">
        <f t="shared" si="6"/>
        <v>1224.824266497953</v>
      </c>
      <c r="L18" s="86">
        <f t="shared" si="7"/>
        <v>0</v>
      </c>
      <c r="M18" s="84">
        <f t="shared" si="8"/>
        <v>993</v>
      </c>
    </row>
    <row r="19" spans="2:13" x14ac:dyDescent="0.2">
      <c r="B19" s="83">
        <f t="shared" si="2"/>
        <v>2025</v>
      </c>
      <c r="C19" s="84">
        <v>47.475470408501494</v>
      </c>
      <c r="D19" s="84">
        <v>1072.0166630083243</v>
      </c>
      <c r="E19" s="84">
        <f t="shared" si="3"/>
        <v>1119.4921334168257</v>
      </c>
      <c r="F19" s="85">
        <f t="shared" si="9"/>
        <v>0</v>
      </c>
      <c r="G19" s="85">
        <v>1440.3000000000002</v>
      </c>
      <c r="H19" s="86">
        <f t="shared" si="4"/>
        <v>0</v>
      </c>
      <c r="I19" s="84">
        <f t="shared" si="10"/>
        <v>1119.4921334168257</v>
      </c>
      <c r="J19" s="84">
        <v>100</v>
      </c>
      <c r="K19" s="84">
        <f t="shared" si="6"/>
        <v>1219.4921334168257</v>
      </c>
      <c r="L19" s="86">
        <f t="shared" si="7"/>
        <v>0</v>
      </c>
      <c r="M19" s="84">
        <f t="shared" si="8"/>
        <v>1219.4921334168257</v>
      </c>
    </row>
    <row r="20" spans="2:13" x14ac:dyDescent="0.2">
      <c r="B20" s="83">
        <f t="shared" si="2"/>
        <v>2026</v>
      </c>
      <c r="C20" s="84">
        <v>47.197904245233488</v>
      </c>
      <c r="D20" s="84">
        <v>1066.9892220896957</v>
      </c>
      <c r="E20" s="84">
        <f t="shared" si="3"/>
        <v>1114.1871263349292</v>
      </c>
      <c r="F20" s="85">
        <f t="shared" si="9"/>
        <v>0</v>
      </c>
      <c r="G20" s="85">
        <v>1440.1</v>
      </c>
      <c r="H20" s="86">
        <f t="shared" si="4"/>
        <v>0</v>
      </c>
      <c r="I20" s="84">
        <f t="shared" si="10"/>
        <v>1114.1871263349292</v>
      </c>
      <c r="J20" s="84">
        <v>100</v>
      </c>
      <c r="K20" s="84">
        <f t="shared" si="6"/>
        <v>1214.1871263349292</v>
      </c>
      <c r="L20" s="86">
        <f t="shared" si="7"/>
        <v>0</v>
      </c>
      <c r="M20" s="84">
        <f t="shared" si="8"/>
        <v>1214.1871263349292</v>
      </c>
    </row>
    <row r="21" spans="2:13" x14ac:dyDescent="0.2">
      <c r="B21" s="83">
        <f t="shared" si="2"/>
        <v>2027</v>
      </c>
      <c r="C21" s="84">
        <v>46.922245811271608</v>
      </c>
      <c r="D21" s="84">
        <v>1061.9868446320042</v>
      </c>
      <c r="E21" s="84">
        <f t="shared" si="3"/>
        <v>1108.9090904432758</v>
      </c>
      <c r="F21" s="85">
        <f t="shared" si="9"/>
        <v>0</v>
      </c>
      <c r="G21" s="85">
        <v>1442.9</v>
      </c>
      <c r="H21" s="86">
        <f t="shared" si="4"/>
        <v>0</v>
      </c>
      <c r="I21" s="84">
        <f t="shared" si="10"/>
        <v>1108.9090904432758</v>
      </c>
      <c r="J21" s="84">
        <v>100</v>
      </c>
      <c r="K21" s="84">
        <f t="shared" si="6"/>
        <v>1208.9090904432758</v>
      </c>
      <c r="L21" s="86">
        <f t="shared" si="7"/>
        <v>0</v>
      </c>
      <c r="M21" s="84">
        <f t="shared" si="8"/>
        <v>1208.9090904432758</v>
      </c>
    </row>
    <row r="22" spans="2:13" x14ac:dyDescent="0.2">
      <c r="B22" s="83">
        <f t="shared" si="2"/>
        <v>2028</v>
      </c>
      <c r="C22" s="84">
        <v>46.648479844781448</v>
      </c>
      <c r="D22" s="84">
        <v>1057.0093920078195</v>
      </c>
      <c r="E22" s="84">
        <f t="shared" si="3"/>
        <v>1103.6578718526009</v>
      </c>
      <c r="F22" s="85">
        <f t="shared" si="9"/>
        <v>1112</v>
      </c>
      <c r="G22" s="85">
        <v>1177.3</v>
      </c>
      <c r="H22" s="86">
        <f t="shared" si="4"/>
        <v>1103.6578718526009</v>
      </c>
      <c r="I22" s="84">
        <f t="shared" si="10"/>
        <v>0</v>
      </c>
      <c r="J22" s="84">
        <v>100</v>
      </c>
      <c r="K22" s="84">
        <f t="shared" si="6"/>
        <v>1203.6578718526009</v>
      </c>
      <c r="L22" s="86">
        <f t="shared" si="7"/>
        <v>1112</v>
      </c>
      <c r="M22" s="84">
        <f t="shared" si="8"/>
        <v>91.65787185260092</v>
      </c>
    </row>
    <row r="23" spans="2:13" x14ac:dyDescent="0.2">
      <c r="B23" s="83">
        <f t="shared" si="2"/>
        <v>2029</v>
      </c>
      <c r="C23" s="84">
        <v>46.376591206023193</v>
      </c>
      <c r="D23" s="84">
        <v>1052.0567263816283</v>
      </c>
      <c r="E23" s="84">
        <f t="shared" si="3"/>
        <v>1098.4333175876516</v>
      </c>
      <c r="F23" s="85">
        <f t="shared" si="9"/>
        <v>1112</v>
      </c>
      <c r="G23" s="85">
        <v>1222.8</v>
      </c>
      <c r="H23" s="86">
        <f t="shared" si="4"/>
        <v>1103.6578718526009</v>
      </c>
      <c r="I23" s="84">
        <f t="shared" si="10"/>
        <v>0</v>
      </c>
      <c r="J23" s="84">
        <v>100</v>
      </c>
      <c r="K23" s="84">
        <f t="shared" si="6"/>
        <v>1198.4333175876516</v>
      </c>
      <c r="L23" s="86">
        <f t="shared" si="7"/>
        <v>1112</v>
      </c>
      <c r="M23" s="84">
        <f t="shared" si="8"/>
        <v>86.433317587651572</v>
      </c>
    </row>
    <row r="24" spans="2:13" x14ac:dyDescent="0.2">
      <c r="B24" s="83">
        <f t="shared" si="2"/>
        <v>2030</v>
      </c>
      <c r="C24" s="84">
        <v>46.106564876375003</v>
      </c>
      <c r="D24" s="84">
        <v>1047.1287107051423</v>
      </c>
      <c r="E24" s="84">
        <f t="shared" si="3"/>
        <v>1093.2352755815173</v>
      </c>
      <c r="F24" s="85">
        <f t="shared" si="9"/>
        <v>1747</v>
      </c>
      <c r="G24" s="85">
        <v>1442.9</v>
      </c>
      <c r="H24" s="86">
        <f t="shared" si="4"/>
        <v>1103.6578718526009</v>
      </c>
      <c r="I24" s="84">
        <f t="shared" si="10"/>
        <v>0</v>
      </c>
      <c r="J24" s="84">
        <v>100</v>
      </c>
      <c r="K24" s="84">
        <f t="shared" si="6"/>
        <v>1193.2352755815173</v>
      </c>
      <c r="L24" s="86">
        <f t="shared" si="7"/>
        <v>1193.2352755815173</v>
      </c>
      <c r="M24" s="84">
        <f t="shared" si="8"/>
        <v>0</v>
      </c>
    </row>
    <row r="25" spans="2:13" x14ac:dyDescent="0.2">
      <c r="B25" s="83">
        <f t="shared" si="2"/>
        <v>2031</v>
      </c>
      <c r="C25" s="84">
        <v>45.838385957364011</v>
      </c>
      <c r="D25" s="84">
        <v>1042.2252087126287</v>
      </c>
      <c r="E25" s="84">
        <f t="shared" si="3"/>
        <v>1088.0635946699927</v>
      </c>
      <c r="F25" s="85">
        <f t="shared" si="9"/>
        <v>2201</v>
      </c>
      <c r="G25" s="85">
        <v>1106.5999999999999</v>
      </c>
      <c r="H25" s="86">
        <f t="shared" si="4"/>
        <v>1103.6578718526009</v>
      </c>
      <c r="I25" s="84">
        <f t="shared" si="10"/>
        <v>0</v>
      </c>
      <c r="J25" s="84">
        <v>100</v>
      </c>
      <c r="K25" s="84">
        <f t="shared" si="6"/>
        <v>1188.0635946699927</v>
      </c>
      <c r="L25" s="86">
        <f t="shared" si="7"/>
        <v>1193.2352755815173</v>
      </c>
      <c r="M25" s="84">
        <f t="shared" si="8"/>
        <v>0</v>
      </c>
    </row>
    <row r="26" spans="2:13" x14ac:dyDescent="0.2">
      <c r="B26" s="83">
        <f t="shared" si="2"/>
        <v>2032</v>
      </c>
      <c r="C26" s="84">
        <v>45.572039669705092</v>
      </c>
      <c r="D26" s="84">
        <v>1037.3460849162802</v>
      </c>
      <c r="E26" s="84">
        <f t="shared" si="3"/>
        <v>1082.9181245859854</v>
      </c>
      <c r="F26" s="85">
        <f t="shared" si="9"/>
        <v>2201</v>
      </c>
      <c r="G26" s="85">
        <v>1174</v>
      </c>
      <c r="H26" s="86">
        <f>IF(H25&gt;=F25,MIN(F26,E26),H25)</f>
        <v>1103.6578718526009</v>
      </c>
      <c r="I26" s="84">
        <f t="shared" si="10"/>
        <v>0</v>
      </c>
      <c r="J26" s="84">
        <v>100</v>
      </c>
      <c r="K26" s="84">
        <f t="shared" si="6"/>
        <v>1182.9181245859854</v>
      </c>
      <c r="L26" s="86">
        <f t="shared" si="7"/>
        <v>1193.2352755815173</v>
      </c>
      <c r="M26" s="84">
        <f t="shared" si="8"/>
        <v>0</v>
      </c>
    </row>
    <row r="27" spans="2:13" x14ac:dyDescent="0.2">
      <c r="B27" s="83">
        <f t="shared" si="2"/>
        <v>2033</v>
      </c>
      <c r="C27" s="84">
        <v>45.307511352347447</v>
      </c>
      <c r="D27" s="84">
        <v>984.26008306448819</v>
      </c>
      <c r="E27" s="84">
        <f t="shared" si="3"/>
        <v>1029.5675944168356</v>
      </c>
      <c r="F27" s="85">
        <f t="shared" si="9"/>
        <v>2624</v>
      </c>
      <c r="G27" s="85">
        <v>1442.9</v>
      </c>
      <c r="H27" s="86">
        <f>IF(H26&gt;=F26,MIN(F27,E27),H26)</f>
        <v>1103.6578718526009</v>
      </c>
      <c r="I27" s="84">
        <f t="shared" si="10"/>
        <v>0</v>
      </c>
      <c r="J27" s="84">
        <v>100</v>
      </c>
      <c r="K27" s="84">
        <f t="shared" si="6"/>
        <v>1129.5675944168356</v>
      </c>
      <c r="L27" s="86">
        <f t="shared" si="7"/>
        <v>1193.2352755815173</v>
      </c>
      <c r="M27" s="84">
        <f t="shared" si="8"/>
        <v>0</v>
      </c>
    </row>
    <row r="28" spans="2:13" x14ac:dyDescent="0.2">
      <c r="B28" s="83">
        <f t="shared" si="2"/>
        <v>2034</v>
      </c>
      <c r="C28" s="84">
        <v>45.044786461528673</v>
      </c>
      <c r="D28" s="84">
        <v>518.27455472832048</v>
      </c>
      <c r="E28" s="84">
        <f t="shared" si="3"/>
        <v>563.31934118984918</v>
      </c>
      <c r="F28" s="85">
        <f t="shared" si="9"/>
        <v>2624</v>
      </c>
      <c r="G28" s="85">
        <v>1442.9</v>
      </c>
      <c r="H28" s="86">
        <f t="shared" ref="H28:H36" si="11">IF(H27&gt;=F27,MIN(F28,E28),H27)</f>
        <v>1103.6578718526009</v>
      </c>
      <c r="I28" s="84">
        <f t="shared" si="10"/>
        <v>0</v>
      </c>
      <c r="J28" s="84">
        <v>100</v>
      </c>
      <c r="K28" s="84">
        <f t="shared" si="6"/>
        <v>663.31934118984918</v>
      </c>
      <c r="L28" s="86">
        <f t="shared" si="7"/>
        <v>1193.2352755815173</v>
      </c>
      <c r="M28" s="84">
        <f t="shared" si="8"/>
        <v>0</v>
      </c>
    </row>
    <row r="29" spans="2:13" x14ac:dyDescent="0.2">
      <c r="B29" s="83">
        <f t="shared" si="2"/>
        <v>2035</v>
      </c>
      <c r="C29" s="84">
        <v>44.783850569836446</v>
      </c>
      <c r="D29" s="84">
        <v>305.5133405546955</v>
      </c>
      <c r="E29" s="84">
        <f t="shared" si="3"/>
        <v>350.29719112453193</v>
      </c>
      <c r="F29" s="85">
        <f t="shared" si="9"/>
        <v>2624</v>
      </c>
      <c r="G29" s="85">
        <v>1442.9</v>
      </c>
      <c r="H29" s="86">
        <f t="shared" si="11"/>
        <v>1103.6578718526009</v>
      </c>
      <c r="I29" s="84">
        <f t="shared" si="10"/>
        <v>0</v>
      </c>
      <c r="J29" s="84">
        <v>100</v>
      </c>
      <c r="K29" s="84">
        <f t="shared" si="6"/>
        <v>450.29719112453193</v>
      </c>
      <c r="L29" s="86">
        <f t="shared" si="7"/>
        <v>1193.2352755815173</v>
      </c>
      <c r="M29" s="84">
        <f t="shared" si="8"/>
        <v>0</v>
      </c>
    </row>
    <row r="30" spans="2:13" x14ac:dyDescent="0.2">
      <c r="B30" s="83">
        <f t="shared" si="2"/>
        <v>2036</v>
      </c>
      <c r="C30" s="84">
        <v>44.524689365277752</v>
      </c>
      <c r="D30" s="84">
        <v>304.5313080096343</v>
      </c>
      <c r="E30" s="84">
        <f t="shared" si="3"/>
        <v>349.05599737491207</v>
      </c>
      <c r="F30" s="85">
        <f>F29</f>
        <v>2624</v>
      </c>
      <c r="G30" s="85">
        <v>1442.9</v>
      </c>
      <c r="H30" s="86">
        <f t="shared" si="11"/>
        <v>1103.6578718526009</v>
      </c>
      <c r="I30" s="84">
        <f t="shared" si="10"/>
        <v>0</v>
      </c>
      <c r="J30" s="84">
        <v>100</v>
      </c>
      <c r="K30" s="84">
        <f t="shared" si="6"/>
        <v>449.05599737491207</v>
      </c>
      <c r="L30" s="86">
        <f t="shared" si="7"/>
        <v>1193.2352755815173</v>
      </c>
      <c r="M30" s="84">
        <f t="shared" si="8"/>
        <v>0</v>
      </c>
    </row>
    <row r="31" spans="2:13" x14ac:dyDescent="0.2">
      <c r="B31" s="83">
        <f t="shared" si="2"/>
        <v>2037</v>
      </c>
      <c r="C31" s="84">
        <v>37.229288650355542</v>
      </c>
      <c r="D31" s="84">
        <v>303.55279030961219</v>
      </c>
      <c r="E31" s="84">
        <f t="shared" ref="E31:E36" si="12">C31+D31</f>
        <v>340.78207895996775</v>
      </c>
      <c r="F31" s="85">
        <f>F30</f>
        <v>2624</v>
      </c>
      <c r="G31" s="85">
        <v>1442.9</v>
      </c>
      <c r="H31" s="86">
        <f t="shared" si="11"/>
        <v>1103.6578718526009</v>
      </c>
      <c r="I31" s="84">
        <f t="shared" si="10"/>
        <v>0</v>
      </c>
      <c r="J31" s="84">
        <v>100</v>
      </c>
      <c r="K31" s="84">
        <f t="shared" si="6"/>
        <v>440.78207895996775</v>
      </c>
      <c r="L31" s="86">
        <f t="shared" si="7"/>
        <v>1193.2352755815173</v>
      </c>
      <c r="M31" s="84">
        <f t="shared" si="8"/>
        <v>0</v>
      </c>
    </row>
    <row r="32" spans="2:13" x14ac:dyDescent="0.2">
      <c r="B32" s="83">
        <f t="shared" si="2"/>
        <v>2038</v>
      </c>
      <c r="C32" s="84">
        <v>37.012734341152694</v>
      </c>
      <c r="D32" s="84">
        <v>254.22357730530749</v>
      </c>
      <c r="E32" s="84">
        <f t="shared" si="12"/>
        <v>291.23631164646019</v>
      </c>
      <c r="F32" s="85">
        <f t="shared" ref="F32:F36" si="13">F31</f>
        <v>2624</v>
      </c>
      <c r="G32" s="85">
        <v>1442.9</v>
      </c>
      <c r="H32" s="86">
        <f t="shared" si="11"/>
        <v>1103.6578718526009</v>
      </c>
      <c r="I32" s="84">
        <f t="shared" si="10"/>
        <v>0</v>
      </c>
      <c r="J32" s="84">
        <v>100</v>
      </c>
      <c r="K32" s="84">
        <f t="shared" si="6"/>
        <v>391.23631164646019</v>
      </c>
      <c r="L32" s="86">
        <f t="shared" si="7"/>
        <v>1193.2352755815173</v>
      </c>
      <c r="M32" s="84">
        <f t="shared" si="8"/>
        <v>0</v>
      </c>
    </row>
    <row r="33" spans="2:13" x14ac:dyDescent="0.2">
      <c r="B33" s="83">
        <f t="shared" si="2"/>
        <v>2039</v>
      </c>
      <c r="C33" s="84">
        <v>10.16</v>
      </c>
      <c r="D33" s="84">
        <v>89.892005999999995</v>
      </c>
      <c r="E33" s="84">
        <f t="shared" si="12"/>
        <v>100.05200599999999</v>
      </c>
      <c r="F33" s="85">
        <f t="shared" si="13"/>
        <v>2624</v>
      </c>
      <c r="G33" s="85">
        <v>1442.9</v>
      </c>
      <c r="H33" s="86">
        <f t="shared" si="11"/>
        <v>1103.6578718526009</v>
      </c>
      <c r="I33" s="84">
        <f t="shared" si="10"/>
        <v>0</v>
      </c>
      <c r="J33" s="84">
        <v>100</v>
      </c>
      <c r="K33" s="84">
        <f t="shared" si="6"/>
        <v>200.05200600000001</v>
      </c>
      <c r="L33" s="86">
        <f t="shared" si="7"/>
        <v>1193.2352755815173</v>
      </c>
      <c r="M33" s="84">
        <f t="shared" si="8"/>
        <v>0</v>
      </c>
    </row>
    <row r="34" spans="2:13" x14ac:dyDescent="0.2">
      <c r="B34" s="83">
        <f t="shared" si="2"/>
        <v>2040</v>
      </c>
      <c r="C34" s="84">
        <v>10.16</v>
      </c>
      <c r="D34" s="84">
        <v>0</v>
      </c>
      <c r="E34" s="84">
        <f t="shared" si="12"/>
        <v>10.16</v>
      </c>
      <c r="F34" s="85">
        <f t="shared" si="13"/>
        <v>2624</v>
      </c>
      <c r="G34" s="85">
        <v>1442.9</v>
      </c>
      <c r="H34" s="86">
        <f t="shared" si="11"/>
        <v>1103.6578718526009</v>
      </c>
      <c r="I34" s="84">
        <f t="shared" si="10"/>
        <v>0</v>
      </c>
      <c r="J34" s="84">
        <v>100</v>
      </c>
      <c r="K34" s="84">
        <f t="shared" si="6"/>
        <v>110.16</v>
      </c>
      <c r="L34" s="86">
        <f t="shared" si="7"/>
        <v>1193.2352755815173</v>
      </c>
      <c r="M34" s="84">
        <f t="shared" si="8"/>
        <v>0</v>
      </c>
    </row>
    <row r="35" spans="2:13" x14ac:dyDescent="0.2">
      <c r="B35" s="83">
        <f t="shared" si="2"/>
        <v>2041</v>
      </c>
      <c r="C35" s="84">
        <v>0</v>
      </c>
      <c r="D35" s="84">
        <v>0</v>
      </c>
      <c r="E35" s="84">
        <f t="shared" si="12"/>
        <v>0</v>
      </c>
      <c r="F35" s="85">
        <f t="shared" si="13"/>
        <v>2624</v>
      </c>
      <c r="G35" s="85">
        <v>1442.9</v>
      </c>
      <c r="H35" s="86">
        <f t="shared" si="11"/>
        <v>1103.6578718526009</v>
      </c>
      <c r="I35" s="84">
        <f t="shared" si="10"/>
        <v>0</v>
      </c>
      <c r="J35" s="84">
        <v>100</v>
      </c>
      <c r="K35" s="84">
        <f t="shared" si="6"/>
        <v>100</v>
      </c>
      <c r="L35" s="86">
        <f t="shared" si="7"/>
        <v>1193.2352755815173</v>
      </c>
      <c r="M35" s="84">
        <f t="shared" si="8"/>
        <v>0</v>
      </c>
    </row>
    <row r="36" spans="2:13" x14ac:dyDescent="0.2">
      <c r="B36" s="87">
        <f t="shared" si="2"/>
        <v>2042</v>
      </c>
      <c r="C36" s="88">
        <v>0</v>
      </c>
      <c r="D36" s="88">
        <v>0</v>
      </c>
      <c r="E36" s="88">
        <f t="shared" si="12"/>
        <v>0</v>
      </c>
      <c r="F36" s="89">
        <f t="shared" si="13"/>
        <v>2624</v>
      </c>
      <c r="G36" s="89">
        <v>1442.9</v>
      </c>
      <c r="H36" s="90">
        <f t="shared" si="11"/>
        <v>1103.6578718526009</v>
      </c>
      <c r="I36" s="88">
        <f t="shared" si="10"/>
        <v>0</v>
      </c>
      <c r="J36" s="88">
        <v>100</v>
      </c>
      <c r="K36" s="88">
        <f t="shared" si="6"/>
        <v>100</v>
      </c>
      <c r="L36" s="90">
        <f t="shared" si="7"/>
        <v>1193.2352755815173</v>
      </c>
      <c r="M36" s="88">
        <f t="shared" si="8"/>
        <v>0</v>
      </c>
    </row>
    <row r="37" spans="2:13" ht="12.75" thickBot="1" x14ac:dyDescent="0.25"/>
    <row r="38" spans="2:13" ht="12.75" thickBot="1" x14ac:dyDescent="0.25">
      <c r="B38" s="102" t="s">
        <v>40</v>
      </c>
      <c r="C38" s="103"/>
      <c r="D38" s="103"/>
      <c r="E38" s="104"/>
      <c r="F38" s="91" t="s">
        <v>27</v>
      </c>
      <c r="G38" s="92" t="s">
        <v>33</v>
      </c>
    </row>
    <row r="39" spans="2:13" x14ac:dyDescent="0.2">
      <c r="B39" s="105" t="s">
        <v>41</v>
      </c>
      <c r="C39" s="106"/>
      <c r="D39" s="106"/>
      <c r="E39" s="107"/>
      <c r="F39" s="93">
        <f>Base_Case</f>
        <v>1157.1999999999998</v>
      </c>
      <c r="G39" s="93">
        <f>AC_Case</f>
        <v>1257.2</v>
      </c>
    </row>
    <row r="40" spans="2:13" x14ac:dyDescent="0.2">
      <c r="B40" s="108" t="s">
        <v>42</v>
      </c>
      <c r="C40" s="109"/>
      <c r="D40" s="109"/>
      <c r="E40" s="110"/>
      <c r="F40" s="94">
        <f>IF(ABS(MAX(H11:H36)-F39)&lt;0.05,F39,ROUND(MAX(H11:H36),2))</f>
        <v>1103.6600000000001</v>
      </c>
      <c r="G40" s="94">
        <f>IF(ABS(MAX(L11:L36)-G39)&lt;0.05,G39,ROUND(MAX(L11:L36),2))</f>
        <v>1193.24</v>
      </c>
    </row>
  </sheetData>
  <mergeCells count="12">
    <mergeCell ref="F6:G6"/>
    <mergeCell ref="F7:G7"/>
    <mergeCell ref="H6:I6"/>
    <mergeCell ref="H7:I7"/>
    <mergeCell ref="J6:M6"/>
    <mergeCell ref="J7:K7"/>
    <mergeCell ref="L7:M7"/>
    <mergeCell ref="B38:E38"/>
    <mergeCell ref="B39:E39"/>
    <mergeCell ref="B40:E40"/>
    <mergeCell ref="C6:E6"/>
    <mergeCell ref="C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Queue</vt:lpstr>
      <vt:lpstr>Displacement</vt:lpstr>
      <vt:lpstr>AC_Case</vt:lpstr>
      <vt:lpstr>Base_Case</vt:lpstr>
      <vt:lpstr>CC_E_Fixed</vt:lpstr>
      <vt:lpstr>CC_E_Gas</vt:lpstr>
      <vt:lpstr>CC_E_Hydro</vt:lpstr>
      <vt:lpstr>CC_E_Tracking</vt:lpstr>
      <vt:lpstr>CC_E_Wind</vt:lpstr>
      <vt:lpstr>CC_W_Fixed</vt:lpstr>
      <vt:lpstr>CC_W_Gas</vt:lpstr>
      <vt:lpstr>CC_W_Hydro</vt:lpstr>
      <vt:lpstr>CC_W_Tracking</vt:lpstr>
      <vt:lpstr>CC_W_Wind</vt:lpstr>
      <vt:lpstr>Queue!Print_Area</vt:lpstr>
      <vt:lpstr>Queue!Signed_MW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2016-12-29T22:10:19Z</dcterms:created>
  <dcterms:modified xsi:type="dcterms:W3CDTF">2016-12-30T16:48:28Z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